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autoCompressPictures="0" defaultThemeVersion="124226"/>
  <mc:AlternateContent xmlns:mc="http://schemas.openxmlformats.org/markup-compatibility/2006">
    <mc:Choice Requires="x15">
      <x15ac:absPath xmlns:x15ac="http://schemas.microsoft.com/office/spreadsheetml/2010/11/ac" url="T:\25\13600\T.25.13603\Toetsing\"/>
    </mc:Choice>
  </mc:AlternateContent>
  <xr:revisionPtr revIDLastSave="0" documentId="13_ncr:1_{CDAF463D-3EC3-462E-A3C7-18662315C4D7}" xr6:coauthVersionLast="47" xr6:coauthVersionMax="47" xr10:uidLastSave="{00000000-0000-0000-0000-000000000000}"/>
  <bookViews>
    <workbookView xWindow="4290" yWindow="4290" windowWidth="28800" windowHeight="15555"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A!$A$1:$I$50</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A!$A$1:$I$50</definedName>
    <definedName name="_11299520_3" localSheetId="7">B!$A$1:$I$50</definedName>
    <definedName name="_11299520_4" localSheetId="6">A!$A$1:$I$50</definedName>
    <definedName name="_11299520_4" localSheetId="7">B!$A$1:$I$50</definedName>
    <definedName name="_1LR11299520" localSheetId="6">A!$A$1:$CQ$368</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0"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U226" i="27"/>
  <c r="U225" i="27"/>
  <c r="U224" i="27"/>
  <c r="U223" i="27"/>
  <c r="U222" i="27"/>
  <c r="U221" i="27"/>
  <c r="U220" i="27"/>
  <c r="U219" i="27"/>
  <c r="U218" i="27"/>
  <c r="U217" i="27"/>
  <c r="U210" i="27"/>
  <c r="U209" i="27"/>
  <c r="U208" i="27"/>
  <c r="U207" i="27"/>
  <c r="U206" i="27"/>
  <c r="U205" i="27"/>
  <c r="U204" i="27"/>
  <c r="U203" i="27"/>
  <c r="U202" i="27"/>
  <c r="U201" i="27"/>
  <c r="U200" i="27"/>
  <c r="U199" i="27"/>
  <c r="U198" i="27"/>
  <c r="U197" i="27"/>
  <c r="U196" i="27"/>
  <c r="U192" i="27"/>
  <c r="U191" i="27"/>
  <c r="U190" i="27"/>
  <c r="U189" i="27"/>
  <c r="U184" i="27"/>
  <c r="U183" i="27"/>
  <c r="U182" i="27"/>
  <c r="U181" i="27"/>
  <c r="U180" i="27"/>
  <c r="U177" i="27"/>
  <c r="U174" i="27"/>
  <c r="U173" i="27"/>
  <c r="U170" i="27"/>
  <c r="U167" i="27"/>
  <c r="U166" i="27"/>
  <c r="U165" i="27"/>
  <c r="U141" i="27"/>
  <c r="U142" i="27"/>
  <c r="U143" i="27"/>
  <c r="U144" i="27"/>
  <c r="U145" i="27"/>
  <c r="U146" i="27"/>
  <c r="U147" i="27"/>
  <c r="U148" i="27"/>
  <c r="U149" i="27"/>
  <c r="U150" i="27"/>
  <c r="U151" i="27"/>
  <c r="U152" i="27"/>
  <c r="U153" i="27"/>
  <c r="U154" i="27"/>
  <c r="U155" i="27"/>
  <c r="U156" i="27"/>
  <c r="U157" i="27"/>
  <c r="U158" i="27"/>
  <c r="U140" i="27"/>
  <c r="U133" i="27"/>
  <c r="U134" i="27"/>
  <c r="U135" i="27"/>
  <c r="U132" i="27"/>
  <c r="U123" i="27"/>
  <c r="U124" i="27"/>
  <c r="U125" i="27"/>
  <c r="U126" i="27"/>
  <c r="U127" i="27"/>
  <c r="U128" i="27"/>
  <c r="U129" i="27"/>
  <c r="U122" i="27"/>
  <c r="U115" i="27"/>
  <c r="U116" i="27"/>
  <c r="U117" i="27"/>
  <c r="U118" i="27"/>
  <c r="U119" i="27"/>
  <c r="U114" i="27"/>
  <c r="U101" i="27"/>
  <c r="U102" i="27"/>
  <c r="U103" i="27"/>
  <c r="U104" i="27"/>
  <c r="U105" i="27"/>
  <c r="U106" i="27"/>
  <c r="U100" i="27"/>
  <c r="U86" i="27"/>
  <c r="U87" i="27"/>
  <c r="U88" i="27"/>
  <c r="U89" i="27"/>
  <c r="U90" i="27"/>
  <c r="U91" i="27"/>
  <c r="U92" i="27"/>
  <c r="U93" i="27"/>
  <c r="U94" i="27"/>
  <c r="U95" i="27"/>
  <c r="U96" i="27"/>
  <c r="U97" i="27"/>
  <c r="U85" i="27"/>
  <c r="U71" i="27"/>
  <c r="U72" i="27"/>
  <c r="U73" i="27"/>
  <c r="U74" i="27"/>
  <c r="U75" i="27"/>
  <c r="U76" i="27"/>
  <c r="U77" i="27"/>
  <c r="U78" i="27"/>
  <c r="U79" i="27"/>
  <c r="U80" i="27"/>
  <c r="U70" i="27"/>
  <c r="U66" i="27"/>
  <c r="U65" i="27"/>
  <c r="U64" i="27"/>
  <c r="U45" i="27"/>
  <c r="U46" i="27"/>
  <c r="U47" i="27"/>
  <c r="U48" i="27"/>
  <c r="U49" i="27"/>
  <c r="U50" i="27"/>
  <c r="U51" i="27"/>
  <c r="U52" i="27"/>
  <c r="U53" i="27"/>
  <c r="U54" i="27"/>
  <c r="U55" i="27"/>
  <c r="U56" i="27"/>
  <c r="U57" i="27"/>
  <c r="U44" i="27"/>
  <c r="U40" i="27"/>
  <c r="U39" i="27"/>
  <c r="U38" i="27"/>
  <c r="U37" i="27"/>
  <c r="U15" i="27"/>
  <c r="U16" i="27"/>
  <c r="U17" i="27"/>
  <c r="U18" i="27"/>
  <c r="U19" i="27"/>
  <c r="U20" i="27"/>
  <c r="U21" i="27"/>
  <c r="U22" i="27"/>
  <c r="U23" i="27"/>
  <c r="U24" i="27"/>
  <c r="U25" i="27"/>
  <c r="U26" i="27"/>
  <c r="U27" i="27"/>
  <c r="U28" i="27"/>
  <c r="U29" i="27"/>
  <c r="U30" i="27"/>
  <c r="U31" i="27"/>
  <c r="U32" i="27"/>
  <c r="U33" i="27"/>
  <c r="U14" i="27"/>
  <c r="S227" i="27" l="1"/>
  <c r="Q227" i="27"/>
  <c r="O227" i="27"/>
  <c r="M227" i="27"/>
  <c r="K227" i="27"/>
  <c r="I227" i="27"/>
  <c r="G227" i="27"/>
  <c r="E227" i="27"/>
  <c r="S226" i="27"/>
  <c r="Q226" i="27"/>
  <c r="O226" i="27"/>
  <c r="M226" i="27"/>
  <c r="K226" i="27"/>
  <c r="I226" i="27"/>
  <c r="G226" i="27"/>
  <c r="E226" i="27"/>
  <c r="S225" i="27"/>
  <c r="Q225" i="27"/>
  <c r="O225" i="27"/>
  <c r="M225" i="27"/>
  <c r="K225" i="27"/>
  <c r="I225" i="27"/>
  <c r="G225" i="27"/>
  <c r="E225" i="27"/>
  <c r="S224" i="27"/>
  <c r="Q224" i="27"/>
  <c r="O224" i="27"/>
  <c r="M224" i="27"/>
  <c r="K224" i="27"/>
  <c r="I224" i="27"/>
  <c r="G224" i="27"/>
  <c r="E224" i="27"/>
  <c r="S223" i="27"/>
  <c r="Q223" i="27"/>
  <c r="O223" i="27"/>
  <c r="M223" i="27"/>
  <c r="K223" i="27"/>
  <c r="I223" i="27"/>
  <c r="G223" i="27"/>
  <c r="E223" i="27"/>
  <c r="S222" i="27"/>
  <c r="Q222" i="27"/>
  <c r="O222" i="27"/>
  <c r="M222" i="27"/>
  <c r="K222" i="27"/>
  <c r="I222" i="27"/>
  <c r="G222" i="27"/>
  <c r="E222" i="27"/>
  <c r="S221" i="27"/>
  <c r="Q221" i="27"/>
  <c r="O221" i="27"/>
  <c r="M221" i="27"/>
  <c r="K221" i="27"/>
  <c r="I221" i="27"/>
  <c r="G221" i="27"/>
  <c r="E221" i="27"/>
  <c r="S220" i="27"/>
  <c r="Q220" i="27"/>
  <c r="O220" i="27"/>
  <c r="M220" i="27"/>
  <c r="K220" i="27"/>
  <c r="I220" i="27"/>
  <c r="G220" i="27"/>
  <c r="E220" i="27"/>
  <c r="S219" i="27"/>
  <c r="Q219" i="27"/>
  <c r="O219" i="27"/>
  <c r="M219" i="27"/>
  <c r="K219" i="27"/>
  <c r="I219" i="27"/>
  <c r="G219" i="27"/>
  <c r="E219" i="27"/>
  <c r="S218" i="27"/>
  <c r="Q218" i="27"/>
  <c r="O218" i="27"/>
  <c r="M218" i="27"/>
  <c r="K218" i="27"/>
  <c r="I218" i="27"/>
  <c r="G218" i="27"/>
  <c r="E218" i="27"/>
  <c r="S217" i="27"/>
  <c r="Q217" i="27"/>
  <c r="O217" i="27"/>
  <c r="M217" i="27"/>
  <c r="K217" i="27"/>
  <c r="I217" i="27"/>
  <c r="G217" i="27"/>
  <c r="E217" i="27"/>
  <c r="S210" i="27"/>
  <c r="Q210" i="27"/>
  <c r="O210" i="27"/>
  <c r="M210" i="27"/>
  <c r="K210" i="27"/>
  <c r="I210" i="27"/>
  <c r="G210" i="27"/>
  <c r="E210" i="27"/>
  <c r="S209" i="27"/>
  <c r="Q209" i="27"/>
  <c r="O209" i="27"/>
  <c r="M209" i="27"/>
  <c r="K209" i="27"/>
  <c r="I209" i="27"/>
  <c r="G209" i="27"/>
  <c r="E209" i="27"/>
  <c r="S208" i="27"/>
  <c r="Q208" i="27"/>
  <c r="O208" i="27"/>
  <c r="M208" i="27"/>
  <c r="K208" i="27"/>
  <c r="I208" i="27"/>
  <c r="G208" i="27"/>
  <c r="E208" i="27"/>
  <c r="S207" i="27"/>
  <c r="Q207" i="27"/>
  <c r="O207" i="27"/>
  <c r="M207" i="27"/>
  <c r="K207" i="27"/>
  <c r="I207" i="27"/>
  <c r="G207" i="27"/>
  <c r="E207" i="27"/>
  <c r="S206" i="27"/>
  <c r="Q206" i="27"/>
  <c r="O206" i="27"/>
  <c r="M206" i="27"/>
  <c r="K206" i="27"/>
  <c r="I206" i="27"/>
  <c r="G206" i="27"/>
  <c r="E206" i="27"/>
  <c r="S205" i="27"/>
  <c r="Q205" i="27"/>
  <c r="O205" i="27"/>
  <c r="M205" i="27"/>
  <c r="K205" i="27"/>
  <c r="I205" i="27"/>
  <c r="G205" i="27"/>
  <c r="E205" i="27"/>
  <c r="S204" i="27"/>
  <c r="Q204" i="27"/>
  <c r="O204" i="27"/>
  <c r="M204" i="27"/>
  <c r="K204" i="27"/>
  <c r="I204" i="27"/>
  <c r="G204" i="27"/>
  <c r="E204" i="27"/>
  <c r="S203" i="27"/>
  <c r="Q203" i="27"/>
  <c r="O203" i="27"/>
  <c r="M203" i="27"/>
  <c r="K203" i="27"/>
  <c r="I203" i="27"/>
  <c r="G203" i="27"/>
  <c r="E203" i="27"/>
  <c r="S202" i="27"/>
  <c r="Q202" i="27"/>
  <c r="O202" i="27"/>
  <c r="M202" i="27"/>
  <c r="K202" i="27"/>
  <c r="I202" i="27"/>
  <c r="G202" i="27"/>
  <c r="E202" i="27"/>
  <c r="S201" i="27"/>
  <c r="Q201" i="27"/>
  <c r="O201" i="27"/>
  <c r="M201" i="27"/>
  <c r="K201" i="27"/>
  <c r="I201" i="27"/>
  <c r="G201" i="27"/>
  <c r="E201" i="27"/>
  <c r="S200" i="27"/>
  <c r="Q200" i="27"/>
  <c r="O200" i="27"/>
  <c r="M200" i="27"/>
  <c r="K200" i="27"/>
  <c r="I200" i="27"/>
  <c r="G200" i="27"/>
  <c r="E200" i="27"/>
  <c r="S199" i="27"/>
  <c r="Q199" i="27"/>
  <c r="O199" i="27"/>
  <c r="M199" i="27"/>
  <c r="K199" i="27"/>
  <c r="I199" i="27"/>
  <c r="G199" i="27"/>
  <c r="E199" i="27"/>
  <c r="S198" i="27"/>
  <c r="Q198" i="27"/>
  <c r="O198" i="27"/>
  <c r="M198" i="27"/>
  <c r="K198" i="27"/>
  <c r="I198" i="27"/>
  <c r="G198" i="27"/>
  <c r="E198" i="27"/>
  <c r="S197" i="27"/>
  <c r="Q197" i="27"/>
  <c r="O197" i="27"/>
  <c r="M197" i="27"/>
  <c r="K197" i="27"/>
  <c r="I197" i="27"/>
  <c r="G197" i="27"/>
  <c r="E197" i="27"/>
  <c r="S196" i="27"/>
  <c r="Q196" i="27"/>
  <c r="O196" i="27"/>
  <c r="M196" i="27"/>
  <c r="K196" i="27"/>
  <c r="I196" i="27"/>
  <c r="G196" i="27"/>
  <c r="E196" i="27"/>
  <c r="S192" i="27"/>
  <c r="Q192" i="27"/>
  <c r="O192" i="27"/>
  <c r="M192" i="27"/>
  <c r="K192" i="27"/>
  <c r="I192" i="27"/>
  <c r="G192" i="27"/>
  <c r="E192" i="27"/>
  <c r="S191" i="27"/>
  <c r="Q191" i="27"/>
  <c r="O191" i="27"/>
  <c r="M191" i="27"/>
  <c r="K191" i="27"/>
  <c r="I191" i="27"/>
  <c r="G191" i="27"/>
  <c r="E191" i="27"/>
  <c r="S190" i="27"/>
  <c r="Q190" i="27"/>
  <c r="O190" i="27"/>
  <c r="M190" i="27"/>
  <c r="K190" i="27"/>
  <c r="I190" i="27"/>
  <c r="G190" i="27"/>
  <c r="E190" i="27"/>
  <c r="S189" i="27"/>
  <c r="Q189" i="27"/>
  <c r="O189" i="27"/>
  <c r="M189" i="27"/>
  <c r="K189" i="27"/>
  <c r="I189" i="27"/>
  <c r="G189" i="27"/>
  <c r="E189" i="27"/>
  <c r="S184" i="27"/>
  <c r="Q184" i="27"/>
  <c r="O184" i="27"/>
  <c r="M184" i="27"/>
  <c r="K184" i="27"/>
  <c r="I184" i="27"/>
  <c r="G184" i="27"/>
  <c r="E184" i="27"/>
  <c r="S183" i="27"/>
  <c r="Q183" i="27"/>
  <c r="O183" i="27"/>
  <c r="M183" i="27"/>
  <c r="K183" i="27"/>
  <c r="I183" i="27"/>
  <c r="G183" i="27"/>
  <c r="E183" i="27"/>
  <c r="S182" i="27"/>
  <c r="Q182" i="27"/>
  <c r="O182" i="27"/>
  <c r="M182" i="27"/>
  <c r="K182" i="27"/>
  <c r="I182" i="27"/>
  <c r="G182" i="27"/>
  <c r="E182" i="27"/>
  <c r="S181" i="27"/>
  <c r="Q181" i="27"/>
  <c r="O181" i="27"/>
  <c r="M181" i="27"/>
  <c r="K181" i="27"/>
  <c r="I181" i="27"/>
  <c r="G181" i="27"/>
  <c r="E181" i="27"/>
  <c r="S180" i="27"/>
  <c r="Q180" i="27"/>
  <c r="O180" i="27"/>
  <c r="M180" i="27"/>
  <c r="K180" i="27"/>
  <c r="I180" i="27"/>
  <c r="G180" i="27"/>
  <c r="E180" i="27"/>
  <c r="S177" i="27"/>
  <c r="Q177" i="27"/>
  <c r="O177" i="27"/>
  <c r="M177" i="27"/>
  <c r="K177" i="27"/>
  <c r="I177" i="27"/>
  <c r="G177" i="27"/>
  <c r="E177" i="27"/>
  <c r="S174" i="27"/>
  <c r="Q174" i="27"/>
  <c r="O174" i="27"/>
  <c r="M174" i="27"/>
  <c r="K174" i="27"/>
  <c r="I174" i="27"/>
  <c r="G174" i="27"/>
  <c r="E174" i="27"/>
  <c r="S173" i="27"/>
  <c r="Q173" i="27"/>
  <c r="O173" i="27"/>
  <c r="M173" i="27"/>
  <c r="K173" i="27"/>
  <c r="I173" i="27"/>
  <c r="G173" i="27"/>
  <c r="E173" i="27"/>
  <c r="S170" i="27"/>
  <c r="Q170" i="27"/>
  <c r="O170" i="27"/>
  <c r="M170" i="27"/>
  <c r="K170" i="27"/>
  <c r="I170" i="27"/>
  <c r="G170" i="27"/>
  <c r="E170" i="27"/>
  <c r="S167" i="27"/>
  <c r="Q167" i="27"/>
  <c r="O167" i="27"/>
  <c r="M167" i="27"/>
  <c r="K167" i="27"/>
  <c r="I167" i="27"/>
  <c r="G167" i="27"/>
  <c r="E167" i="27"/>
  <c r="S166" i="27"/>
  <c r="Q166" i="27"/>
  <c r="O166" i="27"/>
  <c r="M166" i="27"/>
  <c r="K166" i="27"/>
  <c r="I166" i="27"/>
  <c r="G166" i="27"/>
  <c r="E166" i="27"/>
  <c r="S165" i="27"/>
  <c r="Q165" i="27"/>
  <c r="O165" i="27"/>
  <c r="M165" i="27"/>
  <c r="K165" i="27"/>
  <c r="I165" i="27"/>
  <c r="G165" i="27"/>
  <c r="E165" i="27"/>
  <c r="S158" i="27"/>
  <c r="Q158" i="27"/>
  <c r="O158" i="27"/>
  <c r="M158" i="27"/>
  <c r="K158" i="27"/>
  <c r="I158" i="27"/>
  <c r="G158" i="27"/>
  <c r="E158" i="27"/>
  <c r="S157" i="27"/>
  <c r="Q157" i="27"/>
  <c r="O157" i="27"/>
  <c r="M157" i="27"/>
  <c r="K157" i="27"/>
  <c r="I157" i="27"/>
  <c r="G157" i="27"/>
  <c r="E157" i="27"/>
  <c r="S156" i="27"/>
  <c r="Q156" i="27"/>
  <c r="O156" i="27"/>
  <c r="M156" i="27"/>
  <c r="K156" i="27"/>
  <c r="I156" i="27"/>
  <c r="G156" i="27"/>
  <c r="E156" i="27"/>
  <c r="S155" i="27"/>
  <c r="Q155" i="27"/>
  <c r="O155" i="27"/>
  <c r="M155" i="27"/>
  <c r="K155" i="27"/>
  <c r="I155" i="27"/>
  <c r="G155" i="27"/>
  <c r="E155" i="27"/>
  <c r="S154" i="27"/>
  <c r="Q154" i="27"/>
  <c r="O154" i="27"/>
  <c r="M154" i="27"/>
  <c r="K154" i="27"/>
  <c r="I154" i="27"/>
  <c r="G154" i="27"/>
  <c r="E154" i="27"/>
  <c r="S153" i="27"/>
  <c r="Q153" i="27"/>
  <c r="O153" i="27"/>
  <c r="M153" i="27"/>
  <c r="K153" i="27"/>
  <c r="I153" i="27"/>
  <c r="G153" i="27"/>
  <c r="E153" i="27"/>
  <c r="S152" i="27"/>
  <c r="Q152" i="27"/>
  <c r="O152" i="27"/>
  <c r="M152" i="27"/>
  <c r="K152" i="27"/>
  <c r="I152" i="27"/>
  <c r="G152" i="27"/>
  <c r="E152" i="27"/>
  <c r="S151" i="27"/>
  <c r="Q151" i="27"/>
  <c r="O151" i="27"/>
  <c r="M151" i="27"/>
  <c r="K151" i="27"/>
  <c r="I151" i="27"/>
  <c r="G151" i="27"/>
  <c r="E151" i="27"/>
  <c r="S150" i="27"/>
  <c r="Q150" i="27"/>
  <c r="O150" i="27"/>
  <c r="M150" i="27"/>
  <c r="K150" i="27"/>
  <c r="I150" i="27"/>
  <c r="G150" i="27"/>
  <c r="E150" i="27"/>
  <c r="S149" i="27"/>
  <c r="Q149" i="27"/>
  <c r="O149" i="27"/>
  <c r="M149" i="27"/>
  <c r="K149" i="27"/>
  <c r="I149" i="27"/>
  <c r="G149" i="27"/>
  <c r="E149" i="27"/>
  <c r="S148" i="27"/>
  <c r="Q148" i="27"/>
  <c r="O148" i="27"/>
  <c r="M148" i="27"/>
  <c r="K148" i="27"/>
  <c r="I148" i="27"/>
  <c r="G148" i="27"/>
  <c r="E148" i="27"/>
  <c r="S147" i="27"/>
  <c r="Q147" i="27"/>
  <c r="O147" i="27"/>
  <c r="M147" i="27"/>
  <c r="K147" i="27"/>
  <c r="I147" i="27"/>
  <c r="G147" i="27"/>
  <c r="E147" i="27"/>
  <c r="S146" i="27"/>
  <c r="Q146" i="27"/>
  <c r="O146" i="27"/>
  <c r="M146" i="27"/>
  <c r="K146" i="27"/>
  <c r="I146" i="27"/>
  <c r="G146" i="27"/>
  <c r="E146" i="27"/>
  <c r="S145" i="27"/>
  <c r="Q145" i="27"/>
  <c r="O145" i="27"/>
  <c r="M145" i="27"/>
  <c r="K145" i="27"/>
  <c r="I145" i="27"/>
  <c r="G145" i="27"/>
  <c r="E145" i="27"/>
  <c r="S144" i="27"/>
  <c r="Q144" i="27"/>
  <c r="O144" i="27"/>
  <c r="M144" i="27"/>
  <c r="K144" i="27"/>
  <c r="I144" i="27"/>
  <c r="G144" i="27"/>
  <c r="E144" i="27"/>
  <c r="S143" i="27"/>
  <c r="Q143" i="27"/>
  <c r="O143" i="27"/>
  <c r="M143" i="27"/>
  <c r="K143" i="27"/>
  <c r="I143" i="27"/>
  <c r="G143" i="27"/>
  <c r="E143" i="27"/>
  <c r="S142" i="27"/>
  <c r="Q142" i="27"/>
  <c r="O142" i="27"/>
  <c r="M142" i="27"/>
  <c r="K142" i="27"/>
  <c r="I142" i="27"/>
  <c r="G142" i="27"/>
  <c r="E142" i="27"/>
  <c r="S141" i="27"/>
  <c r="Q141" i="27"/>
  <c r="O141" i="27"/>
  <c r="M141" i="27"/>
  <c r="K141" i="27"/>
  <c r="I141" i="27"/>
  <c r="G141" i="27"/>
  <c r="E141" i="27"/>
  <c r="S140" i="27"/>
  <c r="Q140" i="27"/>
  <c r="O140" i="27"/>
  <c r="M140" i="27"/>
  <c r="K140" i="27"/>
  <c r="I140" i="27"/>
  <c r="G140" i="27"/>
  <c r="E140" i="27"/>
  <c r="S135" i="27"/>
  <c r="Q135" i="27"/>
  <c r="O135" i="27"/>
  <c r="M135" i="27"/>
  <c r="K135" i="27"/>
  <c r="I135" i="27"/>
  <c r="G135" i="27"/>
  <c r="E135" i="27"/>
  <c r="S134" i="27"/>
  <c r="Q134" i="27"/>
  <c r="O134" i="27"/>
  <c r="M134" i="27"/>
  <c r="K134" i="27"/>
  <c r="I134" i="27"/>
  <c r="G134" i="27"/>
  <c r="E134" i="27"/>
  <c r="S133" i="27"/>
  <c r="Q133" i="27"/>
  <c r="O133" i="27"/>
  <c r="M133" i="27"/>
  <c r="K133" i="27"/>
  <c r="I133" i="27"/>
  <c r="G133" i="27"/>
  <c r="E133" i="27"/>
  <c r="S132" i="27"/>
  <c r="Q132" i="27"/>
  <c r="O132" i="27"/>
  <c r="M132" i="27"/>
  <c r="K132" i="27"/>
  <c r="I132" i="27"/>
  <c r="G132" i="27"/>
  <c r="E132" i="27"/>
  <c r="S129" i="27"/>
  <c r="Q129" i="27"/>
  <c r="O129" i="27"/>
  <c r="M129" i="27"/>
  <c r="K129" i="27"/>
  <c r="I129" i="27"/>
  <c r="G129" i="27"/>
  <c r="E129" i="27"/>
  <c r="S128" i="27"/>
  <c r="Q128" i="27"/>
  <c r="O128" i="27"/>
  <c r="M128" i="27"/>
  <c r="K128" i="27"/>
  <c r="I128" i="27"/>
  <c r="G128" i="27"/>
  <c r="E128" i="27"/>
  <c r="S127" i="27"/>
  <c r="Q127" i="27"/>
  <c r="O127" i="27"/>
  <c r="M127" i="27"/>
  <c r="K127" i="27"/>
  <c r="I127" i="27"/>
  <c r="G127" i="27"/>
  <c r="E127" i="27"/>
  <c r="S126" i="27"/>
  <c r="Q126" i="27"/>
  <c r="O126" i="27"/>
  <c r="M126" i="27"/>
  <c r="K126" i="27"/>
  <c r="I126" i="27"/>
  <c r="G126" i="27"/>
  <c r="E126" i="27"/>
  <c r="S125" i="27"/>
  <c r="Q125" i="27"/>
  <c r="O125" i="27"/>
  <c r="M125" i="27"/>
  <c r="K125" i="27"/>
  <c r="I125" i="27"/>
  <c r="G125" i="27"/>
  <c r="E125" i="27"/>
  <c r="S124" i="27"/>
  <c r="Q124" i="27"/>
  <c r="O124" i="27"/>
  <c r="M124" i="27"/>
  <c r="K124" i="27"/>
  <c r="I124" i="27"/>
  <c r="G124" i="27"/>
  <c r="E124" i="27"/>
  <c r="S123" i="27"/>
  <c r="Q123" i="27"/>
  <c r="O123" i="27"/>
  <c r="M123" i="27"/>
  <c r="K123" i="27"/>
  <c r="I123" i="27"/>
  <c r="G123" i="27"/>
  <c r="E123" i="27"/>
  <c r="S122" i="27"/>
  <c r="Q122" i="27"/>
  <c r="O122" i="27"/>
  <c r="M122" i="27"/>
  <c r="K122" i="27"/>
  <c r="I122" i="27"/>
  <c r="G122" i="27"/>
  <c r="E122" i="27"/>
  <c r="S119" i="27"/>
  <c r="Q119" i="27"/>
  <c r="O119" i="27"/>
  <c r="M119" i="27"/>
  <c r="K119" i="27"/>
  <c r="I119" i="27"/>
  <c r="G119" i="27"/>
  <c r="E119" i="27"/>
  <c r="S118" i="27"/>
  <c r="Q118" i="27"/>
  <c r="O118" i="27"/>
  <c r="M118" i="27"/>
  <c r="K118" i="27"/>
  <c r="I118" i="27"/>
  <c r="G118" i="27"/>
  <c r="E118" i="27"/>
  <c r="S117" i="27"/>
  <c r="Q117" i="27"/>
  <c r="O117" i="27"/>
  <c r="M117" i="27"/>
  <c r="K117" i="27"/>
  <c r="I117" i="27"/>
  <c r="G117" i="27"/>
  <c r="E117" i="27"/>
  <c r="S116" i="27"/>
  <c r="Q116" i="27"/>
  <c r="O116" i="27"/>
  <c r="M116" i="27"/>
  <c r="K116" i="27"/>
  <c r="I116" i="27"/>
  <c r="G116" i="27"/>
  <c r="E116" i="27"/>
  <c r="S115" i="27"/>
  <c r="Q115" i="27"/>
  <c r="O115" i="27"/>
  <c r="M115" i="27"/>
  <c r="K115" i="27"/>
  <c r="I115" i="27"/>
  <c r="G115" i="27"/>
  <c r="E115" i="27"/>
  <c r="S114" i="27"/>
  <c r="Q114" i="27"/>
  <c r="O114" i="27"/>
  <c r="M114" i="27"/>
  <c r="K114" i="27"/>
  <c r="I114" i="27"/>
  <c r="G114" i="27"/>
  <c r="E114" i="27"/>
  <c r="S106" i="27"/>
  <c r="Q106" i="27"/>
  <c r="O106" i="27"/>
  <c r="M106" i="27"/>
  <c r="K106" i="27"/>
  <c r="I106" i="27"/>
  <c r="G106" i="27"/>
  <c r="E106" i="27"/>
  <c r="S105" i="27"/>
  <c r="Q105" i="27"/>
  <c r="O105" i="27"/>
  <c r="M105" i="27"/>
  <c r="K105" i="27"/>
  <c r="I105" i="27"/>
  <c r="G105" i="27"/>
  <c r="E105" i="27"/>
  <c r="S104" i="27"/>
  <c r="Q104" i="27"/>
  <c r="O104" i="27"/>
  <c r="M104" i="27"/>
  <c r="K104" i="27"/>
  <c r="I104" i="27"/>
  <c r="G104" i="27"/>
  <c r="E104" i="27"/>
  <c r="S103" i="27"/>
  <c r="Q103" i="27"/>
  <c r="O103" i="27"/>
  <c r="M103" i="27"/>
  <c r="K103" i="27"/>
  <c r="I103" i="27"/>
  <c r="G103" i="27"/>
  <c r="E103" i="27"/>
  <c r="S102" i="27"/>
  <c r="Q102" i="27"/>
  <c r="O102" i="27"/>
  <c r="M102" i="27"/>
  <c r="K102" i="27"/>
  <c r="I102" i="27"/>
  <c r="G102" i="27"/>
  <c r="E102" i="27"/>
  <c r="S101" i="27"/>
  <c r="Q101" i="27"/>
  <c r="O101" i="27"/>
  <c r="M101" i="27"/>
  <c r="K101" i="27"/>
  <c r="I101" i="27"/>
  <c r="G101" i="27"/>
  <c r="E101" i="27"/>
  <c r="S100" i="27"/>
  <c r="Q100" i="27"/>
  <c r="O100" i="27"/>
  <c r="M100" i="27"/>
  <c r="K100" i="27"/>
  <c r="I100" i="27"/>
  <c r="G100" i="27"/>
  <c r="E100" i="27"/>
  <c r="S97" i="27"/>
  <c r="Q97" i="27"/>
  <c r="O97" i="27"/>
  <c r="M97" i="27"/>
  <c r="K97" i="27"/>
  <c r="I97" i="27"/>
  <c r="G97" i="27"/>
  <c r="E97" i="27"/>
  <c r="S96" i="27"/>
  <c r="Q96" i="27"/>
  <c r="O96" i="27"/>
  <c r="M96" i="27"/>
  <c r="K96" i="27"/>
  <c r="I96" i="27"/>
  <c r="G96" i="27"/>
  <c r="E96" i="27"/>
  <c r="S95" i="27"/>
  <c r="Q95" i="27"/>
  <c r="O95" i="27"/>
  <c r="M95" i="27"/>
  <c r="K95" i="27"/>
  <c r="I95" i="27"/>
  <c r="G95" i="27"/>
  <c r="E95" i="27"/>
  <c r="S94" i="27"/>
  <c r="Q94" i="27"/>
  <c r="O94" i="27"/>
  <c r="M94" i="27"/>
  <c r="K94" i="27"/>
  <c r="I94" i="27"/>
  <c r="G94" i="27"/>
  <c r="E94" i="27"/>
  <c r="S93" i="27"/>
  <c r="Q93" i="27"/>
  <c r="O93" i="27"/>
  <c r="M93" i="27"/>
  <c r="K93" i="27"/>
  <c r="I93" i="27"/>
  <c r="G93" i="27"/>
  <c r="E93" i="27"/>
  <c r="S92" i="27"/>
  <c r="Q92" i="27"/>
  <c r="O92" i="27"/>
  <c r="M92" i="27"/>
  <c r="K92" i="27"/>
  <c r="I92" i="27"/>
  <c r="G92" i="27"/>
  <c r="E92" i="27"/>
  <c r="S91" i="27"/>
  <c r="Q91" i="27"/>
  <c r="O91" i="27"/>
  <c r="M91" i="27"/>
  <c r="K91" i="27"/>
  <c r="I91" i="27"/>
  <c r="G91" i="27"/>
  <c r="E91" i="27"/>
  <c r="S90" i="27"/>
  <c r="Q90" i="27"/>
  <c r="O90" i="27"/>
  <c r="M90" i="27"/>
  <c r="K90" i="27"/>
  <c r="I90" i="27"/>
  <c r="G90" i="27"/>
  <c r="E90" i="27"/>
  <c r="S89" i="27"/>
  <c r="Q89" i="27"/>
  <c r="O89" i="27"/>
  <c r="M89" i="27"/>
  <c r="K89" i="27"/>
  <c r="I89" i="27"/>
  <c r="G89" i="27"/>
  <c r="E89" i="27"/>
  <c r="S88" i="27"/>
  <c r="Q88" i="27"/>
  <c r="O88" i="27"/>
  <c r="M88" i="27"/>
  <c r="K88" i="27"/>
  <c r="I88" i="27"/>
  <c r="G88" i="27"/>
  <c r="E88" i="27"/>
  <c r="S87" i="27"/>
  <c r="Q87" i="27"/>
  <c r="O87" i="27"/>
  <c r="M87" i="27"/>
  <c r="K87" i="27"/>
  <c r="I87" i="27"/>
  <c r="G87" i="27"/>
  <c r="E87" i="27"/>
  <c r="S86" i="27"/>
  <c r="Q86" i="27"/>
  <c r="O86" i="27"/>
  <c r="M86" i="27"/>
  <c r="K86" i="27"/>
  <c r="I86" i="27"/>
  <c r="G86" i="27"/>
  <c r="E86" i="27"/>
  <c r="S85" i="27"/>
  <c r="Q85" i="27"/>
  <c r="O85" i="27"/>
  <c r="M85" i="27"/>
  <c r="K85" i="27"/>
  <c r="I85" i="27"/>
  <c r="G85" i="27"/>
  <c r="E85" i="27"/>
  <c r="S80" i="27"/>
  <c r="Q80" i="27"/>
  <c r="O80" i="27"/>
  <c r="M80" i="27"/>
  <c r="K80" i="27"/>
  <c r="I80" i="27"/>
  <c r="G80" i="27"/>
  <c r="E80" i="27"/>
  <c r="S79" i="27"/>
  <c r="Q79" i="27"/>
  <c r="O79" i="27"/>
  <c r="M79" i="27"/>
  <c r="K79" i="27"/>
  <c r="I79" i="27"/>
  <c r="G79" i="27"/>
  <c r="E79" i="27"/>
  <c r="S78" i="27"/>
  <c r="Q78" i="27"/>
  <c r="O78" i="27"/>
  <c r="M78" i="27"/>
  <c r="K78" i="27"/>
  <c r="I78" i="27"/>
  <c r="G78" i="27"/>
  <c r="E78" i="27"/>
  <c r="S77" i="27"/>
  <c r="Q77" i="27"/>
  <c r="O77" i="27"/>
  <c r="M77" i="27"/>
  <c r="K77" i="27"/>
  <c r="I77" i="27"/>
  <c r="G77" i="27"/>
  <c r="E77" i="27"/>
  <c r="S76" i="27"/>
  <c r="Q76" i="27"/>
  <c r="O76" i="27"/>
  <c r="M76" i="27"/>
  <c r="K76" i="27"/>
  <c r="I76" i="27"/>
  <c r="G76" i="27"/>
  <c r="E76" i="27"/>
  <c r="S75" i="27"/>
  <c r="Q75" i="27"/>
  <c r="O75" i="27"/>
  <c r="M75" i="27"/>
  <c r="K75" i="27"/>
  <c r="I75" i="27"/>
  <c r="G75" i="27"/>
  <c r="E75" i="27"/>
  <c r="S74" i="27"/>
  <c r="Q74" i="27"/>
  <c r="O74" i="27"/>
  <c r="M74" i="27"/>
  <c r="K74" i="27"/>
  <c r="I74" i="27"/>
  <c r="G74" i="27"/>
  <c r="E74" i="27"/>
  <c r="S73" i="27"/>
  <c r="Q73" i="27"/>
  <c r="O73" i="27"/>
  <c r="M73" i="27"/>
  <c r="K73" i="27"/>
  <c r="I73" i="27"/>
  <c r="G73" i="27"/>
  <c r="E73" i="27"/>
  <c r="S72" i="27"/>
  <c r="Q72" i="27"/>
  <c r="O72" i="27"/>
  <c r="M72" i="27"/>
  <c r="K72" i="27"/>
  <c r="I72" i="27"/>
  <c r="G72" i="27"/>
  <c r="E72" i="27"/>
  <c r="S71" i="27"/>
  <c r="Q71" i="27"/>
  <c r="O71" i="27"/>
  <c r="M71" i="27"/>
  <c r="K71" i="27"/>
  <c r="I71" i="27"/>
  <c r="G71" i="27"/>
  <c r="E71" i="27"/>
  <c r="S70" i="27"/>
  <c r="Q70" i="27"/>
  <c r="O70" i="27"/>
  <c r="M70" i="27"/>
  <c r="K70" i="27"/>
  <c r="I70" i="27"/>
  <c r="G70" i="27"/>
  <c r="E70" i="27"/>
  <c r="S66" i="27"/>
  <c r="Q66" i="27"/>
  <c r="O66" i="27"/>
  <c r="M66" i="27"/>
  <c r="K66" i="27"/>
  <c r="I66" i="27"/>
  <c r="G66" i="27"/>
  <c r="E66" i="27"/>
  <c r="S65" i="27"/>
  <c r="Q65" i="27"/>
  <c r="O65" i="27"/>
  <c r="M65" i="27"/>
  <c r="K65" i="27"/>
  <c r="I65" i="27"/>
  <c r="G65" i="27"/>
  <c r="E65" i="27"/>
  <c r="S64" i="27"/>
  <c r="Q64" i="27"/>
  <c r="O64" i="27"/>
  <c r="M64" i="27"/>
  <c r="K64" i="27"/>
  <c r="I64" i="27"/>
  <c r="G64" i="27"/>
  <c r="E64" i="27"/>
  <c r="S57" i="27"/>
  <c r="Q57" i="27"/>
  <c r="O57" i="27"/>
  <c r="M57" i="27"/>
  <c r="K57" i="27"/>
  <c r="I57" i="27"/>
  <c r="G57" i="27"/>
  <c r="E57" i="27"/>
  <c r="S56" i="27"/>
  <c r="Q56" i="27"/>
  <c r="O56" i="27"/>
  <c r="M56" i="27"/>
  <c r="K56" i="27"/>
  <c r="I56" i="27"/>
  <c r="G56" i="27"/>
  <c r="E56" i="27"/>
  <c r="S55" i="27"/>
  <c r="Q55" i="27"/>
  <c r="O55" i="27"/>
  <c r="M55" i="27"/>
  <c r="K55" i="27"/>
  <c r="I55" i="27"/>
  <c r="G55" i="27"/>
  <c r="E55" i="27"/>
  <c r="S54" i="27"/>
  <c r="Q54" i="27"/>
  <c r="O54" i="27"/>
  <c r="M54" i="27"/>
  <c r="K54" i="27"/>
  <c r="I54" i="27"/>
  <c r="G54" i="27"/>
  <c r="E54" i="27"/>
  <c r="S53" i="27"/>
  <c r="Q53" i="27"/>
  <c r="O53" i="27"/>
  <c r="M53" i="27"/>
  <c r="K53" i="27"/>
  <c r="I53" i="27"/>
  <c r="G53" i="27"/>
  <c r="E53" i="27"/>
  <c r="S52" i="27"/>
  <c r="Q52" i="27"/>
  <c r="O52" i="27"/>
  <c r="M52" i="27"/>
  <c r="K52" i="27"/>
  <c r="I52" i="27"/>
  <c r="G52" i="27"/>
  <c r="E52" i="27"/>
  <c r="S51" i="27"/>
  <c r="Q51" i="27"/>
  <c r="O51" i="27"/>
  <c r="M51" i="27"/>
  <c r="K51" i="27"/>
  <c r="I51" i="27"/>
  <c r="G51" i="27"/>
  <c r="E51" i="27"/>
  <c r="S50" i="27"/>
  <c r="Q50" i="27"/>
  <c r="O50" i="27"/>
  <c r="M50" i="27"/>
  <c r="K50" i="27"/>
  <c r="I50" i="27"/>
  <c r="G50" i="27"/>
  <c r="E50" i="27"/>
  <c r="S49" i="27"/>
  <c r="Q49" i="27"/>
  <c r="O49" i="27"/>
  <c r="M49" i="27"/>
  <c r="K49" i="27"/>
  <c r="I49" i="27"/>
  <c r="G49" i="27"/>
  <c r="E49" i="27"/>
  <c r="S48" i="27"/>
  <c r="Q48" i="27"/>
  <c r="O48" i="27"/>
  <c r="M48" i="27"/>
  <c r="K48" i="27"/>
  <c r="I48" i="27"/>
  <c r="G48" i="27"/>
  <c r="E48" i="27"/>
  <c r="S47" i="27"/>
  <c r="Q47" i="27"/>
  <c r="O47" i="27"/>
  <c r="M47" i="27"/>
  <c r="K47" i="27"/>
  <c r="I47" i="27"/>
  <c r="G47" i="27"/>
  <c r="E47" i="27"/>
  <c r="S46" i="27"/>
  <c r="Q46" i="27"/>
  <c r="O46" i="27"/>
  <c r="M46" i="27"/>
  <c r="K46" i="27"/>
  <c r="I46" i="27"/>
  <c r="G46" i="27"/>
  <c r="E46" i="27"/>
  <c r="S45" i="27"/>
  <c r="Q45" i="27"/>
  <c r="O45" i="27"/>
  <c r="M45" i="27"/>
  <c r="K45" i="27"/>
  <c r="I45" i="27"/>
  <c r="G45" i="27"/>
  <c r="E45" i="27"/>
  <c r="S44" i="27"/>
  <c r="Q44" i="27"/>
  <c r="O44" i="27"/>
  <c r="M44" i="27"/>
  <c r="K44" i="27"/>
  <c r="I44" i="27"/>
  <c r="G44" i="27"/>
  <c r="E44" i="27"/>
  <c r="S40" i="27"/>
  <c r="Q40" i="27"/>
  <c r="O40" i="27"/>
  <c r="M40" i="27"/>
  <c r="K40" i="27"/>
  <c r="I40" i="27"/>
  <c r="G40" i="27"/>
  <c r="E40" i="27"/>
  <c r="S39" i="27"/>
  <c r="Q39" i="27"/>
  <c r="O39" i="27"/>
  <c r="M39" i="27"/>
  <c r="K39" i="27"/>
  <c r="I39" i="27"/>
  <c r="G39" i="27"/>
  <c r="E39" i="27"/>
  <c r="S38" i="27"/>
  <c r="Q38" i="27"/>
  <c r="O38" i="27"/>
  <c r="M38" i="27"/>
  <c r="K38" i="27"/>
  <c r="I38" i="27"/>
  <c r="G38" i="27"/>
  <c r="E38" i="27"/>
  <c r="S37" i="27"/>
  <c r="Q37" i="27"/>
  <c r="O37" i="27"/>
  <c r="M37" i="27"/>
  <c r="K37" i="27"/>
  <c r="I37" i="27"/>
  <c r="G37" i="27"/>
  <c r="E37" i="27"/>
  <c r="S33" i="27"/>
  <c r="Q33" i="27"/>
  <c r="O33" i="27"/>
  <c r="M33" i="27"/>
  <c r="K33" i="27"/>
  <c r="I33" i="27"/>
  <c r="G33" i="27"/>
  <c r="E33" i="27"/>
  <c r="S32" i="27"/>
  <c r="Q32" i="27"/>
  <c r="O32" i="27"/>
  <c r="M32" i="27"/>
  <c r="K32" i="27"/>
  <c r="I32" i="27"/>
  <c r="G32" i="27"/>
  <c r="E32" i="27"/>
  <c r="S31" i="27"/>
  <c r="Q31" i="27"/>
  <c r="O31" i="27"/>
  <c r="M31" i="27"/>
  <c r="K31" i="27"/>
  <c r="I31" i="27"/>
  <c r="G31" i="27"/>
  <c r="E31" i="27"/>
  <c r="S30" i="27"/>
  <c r="Q30" i="27"/>
  <c r="O30" i="27"/>
  <c r="M30" i="27"/>
  <c r="K30" i="27"/>
  <c r="I30" i="27"/>
  <c r="G30" i="27"/>
  <c r="E30" i="27"/>
  <c r="S29" i="27"/>
  <c r="Q29" i="27"/>
  <c r="O29" i="27"/>
  <c r="M29" i="27"/>
  <c r="K29" i="27"/>
  <c r="I29" i="27"/>
  <c r="G29" i="27"/>
  <c r="E29" i="27"/>
  <c r="S28" i="27"/>
  <c r="Q28" i="27"/>
  <c r="O28" i="27"/>
  <c r="M28" i="27"/>
  <c r="K28" i="27"/>
  <c r="I28" i="27"/>
  <c r="G28" i="27"/>
  <c r="E28" i="27"/>
  <c r="S27" i="27"/>
  <c r="Q27" i="27"/>
  <c r="O27" i="27"/>
  <c r="M27" i="27"/>
  <c r="K27" i="27"/>
  <c r="I27" i="27"/>
  <c r="G27" i="27"/>
  <c r="E27" i="27"/>
  <c r="S26" i="27"/>
  <c r="Q26" i="27"/>
  <c r="O26" i="27"/>
  <c r="M26" i="27"/>
  <c r="K26" i="27"/>
  <c r="I26" i="27"/>
  <c r="G26" i="27"/>
  <c r="E26" i="27"/>
  <c r="S25" i="27"/>
  <c r="Q25" i="27"/>
  <c r="O25" i="27"/>
  <c r="M25" i="27"/>
  <c r="K25" i="27"/>
  <c r="I25" i="27"/>
  <c r="G25" i="27"/>
  <c r="E25" i="27"/>
  <c r="S24" i="27"/>
  <c r="Q24" i="27"/>
  <c r="O24" i="27"/>
  <c r="M24" i="27"/>
  <c r="K24" i="27"/>
  <c r="I24" i="27"/>
  <c r="G24" i="27"/>
  <c r="E24" i="27"/>
  <c r="S23" i="27"/>
  <c r="Q23" i="27"/>
  <c r="O23" i="27"/>
  <c r="M23" i="27"/>
  <c r="K23" i="27"/>
  <c r="I23" i="27"/>
  <c r="G23" i="27"/>
  <c r="E23" i="27"/>
  <c r="S22" i="27"/>
  <c r="Q22" i="27"/>
  <c r="O22" i="27"/>
  <c r="M22" i="27"/>
  <c r="K22" i="27"/>
  <c r="I22" i="27"/>
  <c r="G22" i="27"/>
  <c r="E22" i="27"/>
  <c r="S21" i="27"/>
  <c r="Q21" i="27"/>
  <c r="O21" i="27"/>
  <c r="M21" i="27"/>
  <c r="K21" i="27"/>
  <c r="I21" i="27"/>
  <c r="G21" i="27"/>
  <c r="E21" i="27"/>
  <c r="S20" i="27"/>
  <c r="Q20" i="27"/>
  <c r="O20" i="27"/>
  <c r="M20" i="27"/>
  <c r="K20" i="27"/>
  <c r="I20" i="27"/>
  <c r="G20" i="27"/>
  <c r="E20" i="27"/>
  <c r="S19" i="27"/>
  <c r="Q19" i="27"/>
  <c r="O19" i="27"/>
  <c r="M19" i="27"/>
  <c r="K19" i="27"/>
  <c r="I19" i="27"/>
  <c r="G19" i="27"/>
  <c r="E19" i="27"/>
  <c r="S18" i="27"/>
  <c r="Q18" i="27"/>
  <c r="O18" i="27"/>
  <c r="M18" i="27"/>
  <c r="K18" i="27"/>
  <c r="I18" i="27"/>
  <c r="G18" i="27"/>
  <c r="E18" i="27"/>
  <c r="S17" i="27"/>
  <c r="Q17" i="27"/>
  <c r="O17" i="27"/>
  <c r="M17" i="27"/>
  <c r="K17" i="27"/>
  <c r="I17" i="27"/>
  <c r="G17" i="27"/>
  <c r="E17" i="27"/>
  <c r="S16" i="27"/>
  <c r="Q16" i="27"/>
  <c r="O16" i="27"/>
  <c r="M16" i="27"/>
  <c r="K16" i="27"/>
  <c r="I16" i="27"/>
  <c r="G16" i="27"/>
  <c r="E16" i="27"/>
  <c r="S15" i="27"/>
  <c r="Q15" i="27"/>
  <c r="O15" i="27"/>
  <c r="M15" i="27"/>
  <c r="K15" i="27"/>
  <c r="I15" i="27"/>
  <c r="G15" i="27"/>
  <c r="E15" i="27"/>
  <c r="S14" i="27"/>
  <c r="Q14" i="27"/>
  <c r="O14" i="27"/>
  <c r="M14" i="27"/>
  <c r="K14" i="27"/>
  <c r="I14" i="27"/>
  <c r="G14" i="27"/>
  <c r="E14" i="27"/>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P305" i="22"/>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S305" i="22" l="1"/>
  <c r="V305" i="22"/>
  <c r="S133" i="22"/>
  <c r="Y133" i="22"/>
  <c r="V160" i="22"/>
  <c r="V187" i="22"/>
  <c r="V214" i="22"/>
  <c r="S187" i="22"/>
  <c r="S214" i="22"/>
  <c r="S160" i="22"/>
  <c r="Y245" i="22"/>
  <c r="Y198"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N16" i="27" l="1"/>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C361" i="21" l="1"/>
  <c r="D361" i="21" s="1"/>
  <c r="C360" i="21"/>
  <c r="D360" i="21" s="1"/>
  <c r="C348" i="21"/>
  <c r="D348" i="21" s="1"/>
  <c r="C333" i="21"/>
  <c r="D333" i="21" s="1"/>
  <c r="G6" i="9" l="1"/>
  <c r="G5" i="9"/>
  <c r="U2" i="9" l="1"/>
  <c r="S8" i="9" l="1"/>
  <c r="AF362" i="21"/>
  <c r="AC368" i="21"/>
  <c r="AC362" i="21"/>
  <c r="T4" i="9"/>
  <c r="W4" i="9" s="1"/>
  <c r="V4" i="9" l="1"/>
  <c r="U4" i="9"/>
  <c r="U5" i="9" s="1"/>
  <c r="B2" i="23" l="1"/>
  <c r="B4" i="23" s="1"/>
  <c r="A5" i="27" s="1"/>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F362" i="22" l="1"/>
  <c r="D362" i="22"/>
  <c r="A363" i="22"/>
  <c r="A364" i="22"/>
  <c r="A365" i="22"/>
  <c r="A366" i="22"/>
  <c r="A367" i="22"/>
  <c r="A368" i="22"/>
  <c r="B362"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48" i="22"/>
  <c r="F216" i="22"/>
  <c r="F217" i="22"/>
  <c r="F218" i="22"/>
  <c r="F219" i="22"/>
  <c r="F220" i="22"/>
  <c r="F221" i="22"/>
  <c r="F222" i="22"/>
  <c r="F236" i="22"/>
  <c r="F239" i="22"/>
  <c r="F258" i="22"/>
  <c r="F267" i="22"/>
  <c r="F268" i="22"/>
  <c r="F269" i="22"/>
  <c r="F293" i="22"/>
  <c r="F294" i="22"/>
  <c r="F295" i="22"/>
  <c r="F298" i="22"/>
  <c r="F299" i="22"/>
  <c r="F300" i="22"/>
  <c r="D148" i="22"/>
  <c r="D216" i="22"/>
  <c r="D217" i="22"/>
  <c r="D218" i="22"/>
  <c r="D219" i="22"/>
  <c r="D220" i="22"/>
  <c r="D221" i="22"/>
  <c r="D222" i="22"/>
  <c r="D236" i="22"/>
  <c r="D239" i="22"/>
  <c r="D258" i="22"/>
  <c r="D267" i="22"/>
  <c r="D268" i="22"/>
  <c r="D269" i="22"/>
  <c r="D293" i="22"/>
  <c r="D294" i="22"/>
  <c r="D295" i="22"/>
  <c r="D298" i="22"/>
  <c r="D299" i="22"/>
  <c r="D300" i="22"/>
  <c r="E300" i="22" l="1"/>
  <c r="U300" i="22"/>
  <c r="E299" i="22"/>
  <c r="U299" i="22"/>
  <c r="E298" i="22"/>
  <c r="U298" i="22"/>
  <c r="E295" i="22"/>
  <c r="U295" i="22"/>
  <c r="E294" i="22"/>
  <c r="U294" i="22"/>
  <c r="E293" i="22"/>
  <c r="U293" i="22"/>
  <c r="E269" i="22"/>
  <c r="U269" i="22"/>
  <c r="E268" i="22"/>
  <c r="U268" i="22"/>
  <c r="E267" i="22"/>
  <c r="U267" i="22"/>
  <c r="E258" i="22"/>
  <c r="U258" i="22"/>
  <c r="E239" i="22"/>
  <c r="U239" i="22"/>
  <c r="E236" i="22"/>
  <c r="U236" i="22"/>
  <c r="E222" i="22"/>
  <c r="U222" i="22"/>
  <c r="E221" i="22"/>
  <c r="U221" i="22"/>
  <c r="E220" i="22"/>
  <c r="U220" i="22"/>
  <c r="E219" i="22"/>
  <c r="U219" i="22"/>
  <c r="E218" i="22"/>
  <c r="U218" i="22"/>
  <c r="E217" i="22"/>
  <c r="U217" i="22"/>
  <c r="E216" i="22"/>
  <c r="U216" i="22"/>
  <c r="E148" i="22"/>
  <c r="U148" i="22"/>
  <c r="G300" i="22"/>
  <c r="X300" i="22"/>
  <c r="G299" i="22"/>
  <c r="X299" i="22"/>
  <c r="G298" i="22"/>
  <c r="X298" i="22"/>
  <c r="G295" i="22"/>
  <c r="X295" i="22"/>
  <c r="G294" i="22"/>
  <c r="X294" i="22"/>
  <c r="G293" i="22"/>
  <c r="X293" i="22"/>
  <c r="G269" i="22"/>
  <c r="X269" i="22"/>
  <c r="G268" i="22"/>
  <c r="X268" i="22"/>
  <c r="G267" i="22"/>
  <c r="X267" i="22"/>
  <c r="G258" i="22"/>
  <c r="X258" i="22"/>
  <c r="G239" i="22"/>
  <c r="X239" i="22"/>
  <c r="G236" i="22"/>
  <c r="X236" i="22"/>
  <c r="G222" i="22"/>
  <c r="X222" i="22"/>
  <c r="G221" i="22"/>
  <c r="X221" i="22"/>
  <c r="G220" i="22"/>
  <c r="X220" i="22"/>
  <c r="G219" i="22"/>
  <c r="X219" i="22"/>
  <c r="G218" i="22"/>
  <c r="X218" i="22"/>
  <c r="G217" i="22"/>
  <c r="X217" i="22"/>
  <c r="AM216" i="22"/>
  <c r="AN216" i="22" s="1"/>
  <c r="X216" i="22"/>
  <c r="G148" i="22"/>
  <c r="X148" i="22"/>
  <c r="C362" i="22"/>
  <c r="R362" i="22"/>
  <c r="E362" i="22"/>
  <c r="U362" i="22"/>
  <c r="G362" i="22"/>
  <c r="X362" i="22"/>
  <c r="G216" i="22"/>
  <c r="AM294" i="22"/>
  <c r="AN294" i="22" s="1"/>
  <c r="AK258" i="22"/>
  <c r="AL258" i="22" s="1"/>
  <c r="AM293" i="22"/>
  <c r="AN293" i="22" s="1"/>
  <c r="AM148" i="22"/>
  <c r="AN148" i="22" s="1"/>
  <c r="AK222" i="22"/>
  <c r="AL222" i="22" s="1"/>
  <c r="AM269" i="22"/>
  <c r="AN269" i="22" s="1"/>
  <c r="AK221" i="22"/>
  <c r="AL221" i="22" s="1"/>
  <c r="AK220" i="22"/>
  <c r="AL220" i="22" s="1"/>
  <c r="AM268" i="22"/>
  <c r="AN268" i="22" s="1"/>
  <c r="AK219" i="22"/>
  <c r="AL219" i="22" s="1"/>
  <c r="AK218" i="22"/>
  <c r="AL218" i="22" s="1"/>
  <c r="AM267" i="22"/>
  <c r="AN267" i="22" s="1"/>
  <c r="AK217" i="22"/>
  <c r="AL217" i="22" s="1"/>
  <c r="AK216" i="22"/>
  <c r="AL216" i="22" s="1"/>
  <c r="AK148" i="22"/>
  <c r="AL148" i="22" s="1"/>
  <c r="AM222" i="22"/>
  <c r="AN222" i="22" s="1"/>
  <c r="AM221" i="22"/>
  <c r="AN221" i="22" s="1"/>
  <c r="AM220" i="22"/>
  <c r="AN220" i="22" s="1"/>
  <c r="AI362" i="22"/>
  <c r="AJ362" i="22" s="1"/>
  <c r="AK239" i="22"/>
  <c r="AL239" i="22" s="1"/>
  <c r="AM219" i="22"/>
  <c r="AN219" i="22" s="1"/>
  <c r="AM300" i="22"/>
  <c r="AN300" i="22" s="1"/>
  <c r="AM239" i="22"/>
  <c r="AN239" i="22" s="1"/>
  <c r="AK269" i="22"/>
  <c r="AL269" i="22" s="1"/>
  <c r="AM218" i="22"/>
  <c r="AN218" i="22" s="1"/>
  <c r="AK300" i="22"/>
  <c r="AL300" i="22" s="1"/>
  <c r="AK268" i="22"/>
  <c r="AL268" i="22" s="1"/>
  <c r="AK236" i="22"/>
  <c r="AL236" i="22" s="1"/>
  <c r="AM299" i="22"/>
  <c r="AN299" i="22" s="1"/>
  <c r="AM217" i="22"/>
  <c r="AN217" i="22" s="1"/>
  <c r="AK299" i="22"/>
  <c r="AL299" i="22" s="1"/>
  <c r="AK267" i="22"/>
  <c r="AL267" i="22" s="1"/>
  <c r="AM362" i="22"/>
  <c r="AN362" i="22" s="1"/>
  <c r="AM258" i="22"/>
  <c r="AN258" i="22" s="1"/>
  <c r="AK298" i="22"/>
  <c r="AL298" i="22" s="1"/>
  <c r="AM298" i="22"/>
  <c r="AN298" i="22" s="1"/>
  <c r="AM236" i="22"/>
  <c r="AN236" i="22" s="1"/>
  <c r="AK362" i="22"/>
  <c r="AL362" i="22" s="1"/>
  <c r="AK295" i="22"/>
  <c r="AL295" i="22" s="1"/>
  <c r="AK294" i="22"/>
  <c r="AL294" i="22" s="1"/>
  <c r="AK293" i="22"/>
  <c r="AL293" i="22" s="1"/>
  <c r="AM295" i="22"/>
  <c r="AN295" i="22" s="1"/>
  <c r="AF369" i="21"/>
  <c r="C248" i="21"/>
  <c r="E193" i="21"/>
  <c r="B193" i="22" s="1"/>
  <c r="E192" i="21"/>
  <c r="B192" i="22" s="1"/>
  <c r="E188" i="21"/>
  <c r="B188" i="22" s="1"/>
  <c r="E187" i="21"/>
  <c r="B187" i="22" s="1"/>
  <c r="E183" i="21"/>
  <c r="B183" i="22" s="1"/>
  <c r="C143" i="21"/>
  <c r="C144" i="21"/>
  <c r="C145" i="21"/>
  <c r="C146" i="21"/>
  <c r="C126" i="21"/>
  <c r="D126" i="21" s="1"/>
  <c r="C127" i="21"/>
  <c r="D127" i="21" s="1"/>
  <c r="D131" i="21" s="1"/>
  <c r="C128" i="21"/>
  <c r="C129" i="21"/>
  <c r="C130" i="21"/>
  <c r="D130" i="21" s="1"/>
  <c r="C131" i="21"/>
  <c r="C125" i="21"/>
  <c r="D125" i="21" s="1"/>
  <c r="J120" i="21"/>
  <c r="C136" i="21"/>
  <c r="D136" i="21" s="1"/>
  <c r="C137" i="21"/>
  <c r="D137" i="21" s="1"/>
  <c r="C138" i="21"/>
  <c r="D138" i="21" s="1"/>
  <c r="C139" i="21"/>
  <c r="D139" i="21" s="1"/>
  <c r="D142" i="21" s="1"/>
  <c r="C140" i="21"/>
  <c r="D140" i="21" s="1"/>
  <c r="C141" i="21"/>
  <c r="D141" i="21" s="1"/>
  <c r="H129" i="21" l="1"/>
  <c r="P129" i="21" s="1"/>
  <c r="D129" i="21"/>
  <c r="H128" i="21"/>
  <c r="P128" i="21" s="1"/>
  <c r="D128" i="21"/>
  <c r="D145" i="21"/>
  <c r="J145" i="21"/>
  <c r="R145" i="21" s="1"/>
  <c r="I145" i="21"/>
  <c r="H145" i="21"/>
  <c r="P145" i="21" s="1"/>
  <c r="G145" i="21"/>
  <c r="F145" i="21"/>
  <c r="N145" i="21" s="1"/>
  <c r="E145" i="21"/>
  <c r="I144" i="21"/>
  <c r="D144" i="21"/>
  <c r="D146" i="21" s="1"/>
  <c r="D148" i="21" s="1"/>
  <c r="J144" i="21"/>
  <c r="R144" i="21" s="1"/>
  <c r="E143" i="21"/>
  <c r="D143" i="21"/>
  <c r="J143" i="21"/>
  <c r="R143" i="21" s="1"/>
  <c r="I143" i="21"/>
  <c r="H143" i="21"/>
  <c r="G143" i="21"/>
  <c r="F143" i="21"/>
  <c r="N143" i="21" s="1"/>
  <c r="C183" i="22"/>
  <c r="R183" i="22"/>
  <c r="C187" i="22"/>
  <c r="R187" i="22"/>
  <c r="C188" i="22"/>
  <c r="R188" i="22"/>
  <c r="C192" i="22"/>
  <c r="R192" i="22"/>
  <c r="C193" i="22"/>
  <c r="R193" i="22"/>
  <c r="Q144" i="21"/>
  <c r="AG144" i="21" s="1"/>
  <c r="F144" i="22"/>
  <c r="X144" i="22" s="1"/>
  <c r="M143" i="21"/>
  <c r="AA143" i="21" s="1"/>
  <c r="B143" i="22"/>
  <c r="R143" i="22" s="1"/>
  <c r="M145" i="21"/>
  <c r="AA145" i="21" s="1"/>
  <c r="Z145" i="21" s="1"/>
  <c r="B145" i="22"/>
  <c r="R145" i="22" s="1"/>
  <c r="O145" i="21"/>
  <c r="AD145" i="21" s="1"/>
  <c r="AC145" i="21" s="1"/>
  <c r="D145" i="22"/>
  <c r="U145" i="22" s="1"/>
  <c r="Q143" i="21"/>
  <c r="AG146" i="21" s="1"/>
  <c r="I146" i="21" s="1"/>
  <c r="F143" i="22"/>
  <c r="X143" i="22" s="1"/>
  <c r="Q145" i="21"/>
  <c r="AG145" i="21" s="1"/>
  <c r="AF145" i="21" s="1"/>
  <c r="F145" i="22"/>
  <c r="X145" i="22" s="1"/>
  <c r="O143" i="21"/>
  <c r="AD146" i="21" s="1"/>
  <c r="D143" i="22"/>
  <c r="U143" i="22" s="1"/>
  <c r="AF144" i="21"/>
  <c r="AI193" i="22"/>
  <c r="AJ193" i="22" s="1"/>
  <c r="AI192" i="22"/>
  <c r="AJ192" i="22" s="1"/>
  <c r="AI183" i="22"/>
  <c r="AJ183" i="22" s="1"/>
  <c r="AI187" i="22"/>
  <c r="AJ187" i="22" s="1"/>
  <c r="AI188" i="22"/>
  <c r="AJ188" i="22" s="1"/>
  <c r="E144" i="21"/>
  <c r="G144" i="21"/>
  <c r="H144" i="21"/>
  <c r="P144" i="21" s="1"/>
  <c r="F144" i="21"/>
  <c r="N144" i="21" s="1"/>
  <c r="AA146" i="2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D134" i="21" s="1"/>
  <c r="C117" i="21"/>
  <c r="D117" i="21" s="1"/>
  <c r="C118" i="21"/>
  <c r="D118" i="21" s="1"/>
  <c r="C119" i="21"/>
  <c r="D119" i="21" s="1"/>
  <c r="C115" i="21"/>
  <c r="F115" i="21" l="1"/>
  <c r="N115" i="21" s="1"/>
  <c r="D115" i="21"/>
  <c r="D123" i="21"/>
  <c r="D120" i="21"/>
  <c r="G146" i="21"/>
  <c r="AG143" i="21"/>
  <c r="AD143" i="21"/>
  <c r="AC143" i="21" s="1"/>
  <c r="O129" i="21"/>
  <c r="AD129" i="21" s="1"/>
  <c r="D129" i="22"/>
  <c r="U129" i="22" s="1"/>
  <c r="Q137" i="21"/>
  <c r="AG137" i="21" s="1"/>
  <c r="AF137" i="21" s="1"/>
  <c r="F137" i="22"/>
  <c r="X137" i="22" s="1"/>
  <c r="M127" i="21"/>
  <c r="AA127" i="21" s="1"/>
  <c r="Z127" i="21" s="1"/>
  <c r="B127" i="22"/>
  <c r="R127" i="22" s="1"/>
  <c r="M140" i="21"/>
  <c r="AA140" i="21" s="1"/>
  <c r="Z140" i="21" s="1"/>
  <c r="B140" i="22"/>
  <c r="R140" i="22" s="1"/>
  <c r="C145" i="22"/>
  <c r="AI145" i="22"/>
  <c r="AJ145" i="22" s="1"/>
  <c r="M128" i="21"/>
  <c r="AA128" i="21" s="1"/>
  <c r="Z128" i="21" s="1"/>
  <c r="B128" i="22"/>
  <c r="R128" i="22" s="1"/>
  <c r="Q128" i="21"/>
  <c r="AG128" i="21" s="1"/>
  <c r="AF128" i="21" s="1"/>
  <c r="F128" i="22"/>
  <c r="X128" i="22" s="1"/>
  <c r="Q126" i="21"/>
  <c r="AG126" i="21" s="1"/>
  <c r="AF126" i="21" s="1"/>
  <c r="F126" i="22"/>
  <c r="X126" i="22" s="1"/>
  <c r="Q140" i="21"/>
  <c r="AG140" i="21" s="1"/>
  <c r="AF140" i="21" s="1"/>
  <c r="F140" i="22"/>
  <c r="X140" i="22" s="1"/>
  <c r="O128" i="21"/>
  <c r="AD128" i="21" s="1"/>
  <c r="AC128" i="21" s="1"/>
  <c r="D128" i="22"/>
  <c r="U128" i="22" s="1"/>
  <c r="G143" i="22"/>
  <c r="AM143" i="22"/>
  <c r="AN143" i="22" s="1"/>
  <c r="M144" i="21"/>
  <c r="AA144" i="21" s="1"/>
  <c r="Z144" i="21" s="1"/>
  <c r="B144" i="22"/>
  <c r="R144" i="22" s="1"/>
  <c r="O130" i="21"/>
  <c r="AD130" i="21" s="1"/>
  <c r="D130" i="22"/>
  <c r="U130" i="22" s="1"/>
  <c r="E145" i="22"/>
  <c r="AK145" i="22"/>
  <c r="AL145" i="22" s="1"/>
  <c r="M136" i="21"/>
  <c r="B136" i="22"/>
  <c r="R136" i="22" s="1"/>
  <c r="O125" i="21"/>
  <c r="AD131" i="21" s="1"/>
  <c r="G131" i="21" s="1"/>
  <c r="D125" i="22"/>
  <c r="U125" i="22" s="1"/>
  <c r="Q141" i="21"/>
  <c r="AG141" i="21" s="1"/>
  <c r="F141" i="22"/>
  <c r="X141" i="22" s="1"/>
  <c r="O141" i="21"/>
  <c r="D141" i="22"/>
  <c r="U141" i="22" s="1"/>
  <c r="E143" i="22"/>
  <c r="AK143" i="22"/>
  <c r="AL143" i="22" s="1"/>
  <c r="Q129" i="21"/>
  <c r="AG129" i="21" s="1"/>
  <c r="AF129" i="21" s="1"/>
  <c r="F129" i="22"/>
  <c r="X129" i="22" s="1"/>
  <c r="M130" i="21"/>
  <c r="AA130" i="21" s="1"/>
  <c r="Z130" i="21" s="1"/>
  <c r="B130" i="22"/>
  <c r="R130" i="22" s="1"/>
  <c r="Q138" i="21"/>
  <c r="AG138" i="21" s="1"/>
  <c r="AF138" i="21" s="1"/>
  <c r="F138" i="22"/>
  <c r="X138" i="22" s="1"/>
  <c r="M137" i="21"/>
  <c r="AA137" i="21" s="1"/>
  <c r="Z137" i="21" s="1"/>
  <c r="B137" i="22"/>
  <c r="R137" i="22" s="1"/>
  <c r="M141" i="21"/>
  <c r="AA141" i="21" s="1"/>
  <c r="Z141" i="21" s="1"/>
  <c r="B141" i="22"/>
  <c r="R141" i="22" s="1"/>
  <c r="Q125" i="21"/>
  <c r="AG125" i="21" s="1"/>
  <c r="F125" i="22"/>
  <c r="X125" i="22" s="1"/>
  <c r="M125" i="21"/>
  <c r="AA131" i="21" s="1"/>
  <c r="E131" i="21" s="1"/>
  <c r="B125" i="22"/>
  <c r="R125" i="22" s="1"/>
  <c r="C143" i="22"/>
  <c r="AI143" i="22"/>
  <c r="AJ143" i="22" s="1"/>
  <c r="Q136" i="21"/>
  <c r="AG136" i="21" s="1"/>
  <c r="AF136" i="21" s="1"/>
  <c r="F136" i="22"/>
  <c r="X136" i="22" s="1"/>
  <c r="M126" i="21"/>
  <c r="AA126" i="21" s="1"/>
  <c r="Z126" i="21" s="1"/>
  <c r="B126" i="22"/>
  <c r="R126" i="22" s="1"/>
  <c r="M129" i="21"/>
  <c r="AA129" i="21" s="1"/>
  <c r="Z129" i="21" s="1"/>
  <c r="B129" i="22"/>
  <c r="R129" i="22" s="1"/>
  <c r="O136" i="21"/>
  <c r="D136" i="22"/>
  <c r="U136" i="22" s="1"/>
  <c r="O137" i="21"/>
  <c r="AD137" i="21" s="1"/>
  <c r="D137" i="22"/>
  <c r="U137" i="22" s="1"/>
  <c r="O138" i="21"/>
  <c r="D138" i="22"/>
  <c r="U138" i="22" s="1"/>
  <c r="Q127" i="21"/>
  <c r="AG127" i="21" s="1"/>
  <c r="AF127" i="21" s="1"/>
  <c r="F127" i="22"/>
  <c r="X127" i="22" s="1"/>
  <c r="O127" i="21"/>
  <c r="AD127" i="21" s="1"/>
  <c r="AC127" i="21" s="1"/>
  <c r="D127" i="22"/>
  <c r="U127" i="22" s="1"/>
  <c r="E146" i="21"/>
  <c r="Q139" i="21"/>
  <c r="AG139" i="21" s="1"/>
  <c r="AF139" i="21" s="1"/>
  <c r="F139" i="22"/>
  <c r="X139" i="22" s="1"/>
  <c r="O139" i="21"/>
  <c r="AD139" i="21" s="1"/>
  <c r="D139" i="22"/>
  <c r="U139" i="22" s="1"/>
  <c r="G144" i="22"/>
  <c r="AM144" i="22"/>
  <c r="AN144" i="22" s="1"/>
  <c r="O126" i="21"/>
  <c r="AD126" i="21" s="1"/>
  <c r="AC126" i="21" s="1"/>
  <c r="D126" i="22"/>
  <c r="U126" i="22" s="1"/>
  <c r="O144" i="21"/>
  <c r="AD144" i="21" s="1"/>
  <c r="AC144" i="21" s="1"/>
  <c r="D144" i="22"/>
  <c r="U144" i="22" s="1"/>
  <c r="M138" i="21"/>
  <c r="AA138" i="21" s="1"/>
  <c r="Z138" i="21" s="1"/>
  <c r="B138" i="22"/>
  <c r="R138" i="22" s="1"/>
  <c r="M139" i="21"/>
  <c r="AA139" i="21" s="1"/>
  <c r="Z139" i="21" s="1"/>
  <c r="B139" i="22"/>
  <c r="R139" i="22" s="1"/>
  <c r="Q130" i="21"/>
  <c r="AG130" i="21" s="1"/>
  <c r="AF130" i="21" s="1"/>
  <c r="F130" i="22"/>
  <c r="X130" i="22" s="1"/>
  <c r="O140" i="21"/>
  <c r="AD140" i="21" s="1"/>
  <c r="D140" i="22"/>
  <c r="U140" i="22" s="1"/>
  <c r="H146" i="21"/>
  <c r="G145" i="22"/>
  <c r="AM145" i="22"/>
  <c r="AN145" i="22" s="1"/>
  <c r="AC130" i="21"/>
  <c r="AF143" i="21"/>
  <c r="AF146" i="21" s="1"/>
  <c r="M146" i="22" s="1"/>
  <c r="W146" i="22" s="1"/>
  <c r="AC129" i="21"/>
  <c r="Z143" i="21"/>
  <c r="AF141" i="21"/>
  <c r="F146" i="22"/>
  <c r="X146" i="22" s="1"/>
  <c r="D146" i="22"/>
  <c r="U146" i="22" s="1"/>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AC146" i="21" l="1"/>
  <c r="K146" i="22" s="1"/>
  <c r="T146" i="22" s="1"/>
  <c r="AA125" i="21"/>
  <c r="Z125" i="21" s="1"/>
  <c r="E140" i="22"/>
  <c r="AK140" i="22"/>
  <c r="AL140" i="22" s="1"/>
  <c r="M118" i="21"/>
  <c r="AA118" i="21" s="1"/>
  <c r="B118" i="22"/>
  <c r="R118" i="22" s="1"/>
  <c r="O134" i="21"/>
  <c r="AD134" i="21" s="1"/>
  <c r="AC134" i="21" s="1"/>
  <c r="D134" i="22"/>
  <c r="U134" i="22" s="1"/>
  <c r="G126" i="22"/>
  <c r="AM126" i="22"/>
  <c r="AN126" i="22" s="1"/>
  <c r="M134" i="21"/>
  <c r="AA134" i="21" s="1"/>
  <c r="B134" i="22"/>
  <c r="R134" i="22" s="1"/>
  <c r="C138" i="22"/>
  <c r="AI138" i="22"/>
  <c r="AJ138" i="22" s="1"/>
  <c r="E144" i="22"/>
  <c r="AK144" i="22"/>
  <c r="AL144" i="22" s="1"/>
  <c r="C128" i="22"/>
  <c r="AI128" i="22"/>
  <c r="AJ128" i="22" s="1"/>
  <c r="AD136" i="21"/>
  <c r="AC136" i="21" s="1"/>
  <c r="AD142" i="21"/>
  <c r="G142" i="21" s="1"/>
  <c r="D142" i="22" s="1"/>
  <c r="U142" i="22" s="1"/>
  <c r="Q115" i="21"/>
  <c r="AG115" i="21" s="1"/>
  <c r="AF115" i="21" s="1"/>
  <c r="F115" i="22"/>
  <c r="X115" i="22" s="1"/>
  <c r="Q134" i="21"/>
  <c r="AG134" i="21" s="1"/>
  <c r="AF134" i="21" s="1"/>
  <c r="F134" i="22"/>
  <c r="X134" i="22" s="1"/>
  <c r="C125" i="22"/>
  <c r="AI125" i="22"/>
  <c r="AJ125" i="22" s="1"/>
  <c r="G140" i="22"/>
  <c r="AM140" i="22"/>
  <c r="AN140" i="22" s="1"/>
  <c r="O115" i="21"/>
  <c r="AD115" i="21" s="1"/>
  <c r="AC115" i="21" s="1"/>
  <c r="D115" i="22"/>
  <c r="U115" i="22" s="1"/>
  <c r="C130" i="22"/>
  <c r="AI130" i="22"/>
  <c r="AJ130" i="22" s="1"/>
  <c r="C139" i="22"/>
  <c r="AI139" i="22"/>
  <c r="AJ139" i="22" s="1"/>
  <c r="E126" i="22"/>
  <c r="AK126" i="22"/>
  <c r="AL126" i="22" s="1"/>
  <c r="AA136" i="21"/>
  <c r="Z136" i="21" s="1"/>
  <c r="AA142" i="21"/>
  <c r="E142" i="21" s="1"/>
  <c r="B142" i="22" s="1"/>
  <c r="R142" i="22" s="1"/>
  <c r="E130" i="22"/>
  <c r="AK130" i="22"/>
  <c r="AL130" i="22" s="1"/>
  <c r="AG142" i="21"/>
  <c r="I142" i="21" s="1"/>
  <c r="Q119" i="21"/>
  <c r="AG119" i="21" s="1"/>
  <c r="F119" i="22"/>
  <c r="X119" i="22" s="1"/>
  <c r="G129" i="22"/>
  <c r="AM129" i="22"/>
  <c r="AN129" i="22" s="1"/>
  <c r="C140" i="22"/>
  <c r="AI140" i="22"/>
  <c r="AJ140" i="22" s="1"/>
  <c r="C129" i="22"/>
  <c r="AI129" i="22"/>
  <c r="AJ129" i="22" s="1"/>
  <c r="C144" i="22"/>
  <c r="AI144" i="22"/>
  <c r="AJ144" i="22" s="1"/>
  <c r="G128" i="22"/>
  <c r="AM128" i="22"/>
  <c r="AN128" i="22" s="1"/>
  <c r="O118" i="21"/>
  <c r="AD118" i="21" s="1"/>
  <c r="AC118" i="21" s="1"/>
  <c r="D118" i="22"/>
  <c r="U118" i="22" s="1"/>
  <c r="AG131" i="21"/>
  <c r="I131" i="21" s="1"/>
  <c r="Q131" i="21" s="1"/>
  <c r="E127" i="22"/>
  <c r="AK127" i="22"/>
  <c r="AL127" i="22" s="1"/>
  <c r="C127" i="22"/>
  <c r="AI127" i="22"/>
  <c r="AJ127" i="22" s="1"/>
  <c r="E137" i="22"/>
  <c r="AK137" i="22"/>
  <c r="AL137" i="22" s="1"/>
  <c r="E136" i="22"/>
  <c r="AK136" i="22"/>
  <c r="AL136" i="22" s="1"/>
  <c r="M115" i="21"/>
  <c r="AA115" i="21" s="1"/>
  <c r="Z115" i="21" s="1"/>
  <c r="B115" i="22"/>
  <c r="R115" i="22" s="1"/>
  <c r="E139" i="22"/>
  <c r="AK139" i="22"/>
  <c r="AL139" i="22" s="1"/>
  <c r="O119" i="21"/>
  <c r="AD119" i="21" s="1"/>
  <c r="D119" i="22"/>
  <c r="U119" i="22" s="1"/>
  <c r="Q117" i="21"/>
  <c r="F117" i="22"/>
  <c r="X117" i="22" s="1"/>
  <c r="Z142" i="21"/>
  <c r="I142" i="22" s="1"/>
  <c r="Q142" i="22" s="1"/>
  <c r="E128" i="22"/>
  <c r="AK128" i="22"/>
  <c r="AL128" i="22" s="1"/>
  <c r="M119" i="21"/>
  <c r="AA119" i="21" s="1"/>
  <c r="Z119" i="21" s="1"/>
  <c r="B119" i="22"/>
  <c r="R119" i="22" s="1"/>
  <c r="G127" i="22"/>
  <c r="AM127" i="22"/>
  <c r="AN127" i="22" s="1"/>
  <c r="E141" i="22"/>
  <c r="AK141" i="22"/>
  <c r="AL141" i="22" s="1"/>
  <c r="G137" i="22"/>
  <c r="AM137" i="22"/>
  <c r="AN137" i="22" s="1"/>
  <c r="Z146" i="21"/>
  <c r="I146" i="22" s="1"/>
  <c r="Q146" i="22" s="1"/>
  <c r="G130" i="22"/>
  <c r="AM130" i="22"/>
  <c r="AN130" i="22" s="1"/>
  <c r="C141" i="22"/>
  <c r="AI141" i="22"/>
  <c r="AJ141" i="22" s="1"/>
  <c r="C137" i="22"/>
  <c r="AI137" i="22"/>
  <c r="AJ137" i="22" s="1"/>
  <c r="G138" i="22"/>
  <c r="AM138" i="22"/>
  <c r="AN138" i="22" s="1"/>
  <c r="M117" i="21"/>
  <c r="AA117" i="21" s="1"/>
  <c r="B117" i="22"/>
  <c r="R117" i="22" s="1"/>
  <c r="AD125" i="21"/>
  <c r="AC125" i="21" s="1"/>
  <c r="AC131" i="21" s="1"/>
  <c r="K131" i="22" s="1"/>
  <c r="T131" i="22" s="1"/>
  <c r="O117" i="21"/>
  <c r="AD120" i="21" s="1"/>
  <c r="G120" i="21" s="1"/>
  <c r="D117" i="22"/>
  <c r="U117" i="22" s="1"/>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X118" i="22" s="1"/>
  <c r="AF146" i="22"/>
  <c r="AB146" i="22"/>
  <c r="V146" i="22"/>
  <c r="AE146" i="22"/>
  <c r="AA146" i="22"/>
  <c r="S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F119" i="21"/>
  <c r="Z134" i="21"/>
  <c r="G146" i="22"/>
  <c r="AM146" i="22"/>
  <c r="AN146" i="22" s="1"/>
  <c r="F142" i="22"/>
  <c r="X142" i="22" s="1"/>
  <c r="C142" i="22"/>
  <c r="AI142" i="22"/>
  <c r="AJ142" i="22" s="1"/>
  <c r="D131" i="22"/>
  <c r="U131" i="22" s="1"/>
  <c r="M131" i="21"/>
  <c r="B131" i="22"/>
  <c r="R131" i="22" s="1"/>
  <c r="Z131" i="21"/>
  <c r="I131" i="22" s="1"/>
  <c r="Q131" i="22" s="1"/>
  <c r="E146" i="22"/>
  <c r="AK146" i="22"/>
  <c r="AL146" i="22" s="1"/>
  <c r="O131" i="21"/>
  <c r="P117" i="21"/>
  <c r="H120" i="21"/>
  <c r="N117" i="21"/>
  <c r="F120" i="21"/>
  <c r="AG120" i="21"/>
  <c r="I120" i="21" s="1"/>
  <c r="AG117" i="21"/>
  <c r="F131" i="22" l="1"/>
  <c r="X131" i="22" s="1"/>
  <c r="E117" i="22"/>
  <c r="AK117" i="22"/>
  <c r="AL117" i="22" s="1"/>
  <c r="C117" i="22"/>
  <c r="AI117" i="22"/>
  <c r="AJ117" i="22" s="1"/>
  <c r="G134" i="22"/>
  <c r="AM134" i="22"/>
  <c r="AN134" i="22" s="1"/>
  <c r="AD117" i="2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R120" i="22" s="1"/>
  <c r="E119" i="22"/>
  <c r="AK119" i="22"/>
  <c r="AL119" i="22" s="1"/>
  <c r="C118" i="22"/>
  <c r="AI118" i="22"/>
  <c r="AJ118" i="22" s="1"/>
  <c r="C115" i="22"/>
  <c r="AI115" i="22"/>
  <c r="AJ115" i="22" s="1"/>
  <c r="AC142" i="21"/>
  <c r="K142" i="22" s="1"/>
  <c r="T142" i="22" s="1"/>
  <c r="AF142" i="22" s="1"/>
  <c r="E118" i="22"/>
  <c r="AK118" i="22"/>
  <c r="AL118" i="22" s="1"/>
  <c r="AF131" i="22"/>
  <c r="AB131" i="22"/>
  <c r="V131" i="22"/>
  <c r="AC142" i="22"/>
  <c r="AG142" i="22"/>
  <c r="Y142" i="22"/>
  <c r="AE131" i="22"/>
  <c r="AA131" i="22"/>
  <c r="S131" i="22"/>
  <c r="AG131" i="22"/>
  <c r="AC131" i="22"/>
  <c r="Y131" i="22"/>
  <c r="AF117" i="21"/>
  <c r="AC117" i="21"/>
  <c r="AC120" i="21" s="1"/>
  <c r="K120" i="22" s="1"/>
  <c r="T120" i="22" s="1"/>
  <c r="Z117" i="21"/>
  <c r="AF120" i="21"/>
  <c r="M120" i="22" s="1"/>
  <c r="W120" i="22" s="1"/>
  <c r="F120" i="22"/>
  <c r="X120" i="22" s="1"/>
  <c r="C131" i="22"/>
  <c r="AI131" i="22"/>
  <c r="AJ131" i="22" s="1"/>
  <c r="D120" i="22"/>
  <c r="U120" i="22" s="1"/>
  <c r="Z120" i="21"/>
  <c r="I120" i="22" s="1"/>
  <c r="Q120" i="22" s="1"/>
  <c r="E131" i="22"/>
  <c r="AK131" i="22"/>
  <c r="AL131" i="22" s="1"/>
  <c r="G131" i="22"/>
  <c r="AM131" i="22"/>
  <c r="AN131" i="22" s="1"/>
  <c r="E142" i="22"/>
  <c r="AK142" i="22"/>
  <c r="AL142" i="22" s="1"/>
  <c r="G142" i="22"/>
  <c r="AM142" i="22"/>
  <c r="AN142" i="22" s="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P142" i="21"/>
  <c r="P146" i="21"/>
  <c r="P148" i="21"/>
  <c r="P216" i="21"/>
  <c r="P217" i="21"/>
  <c r="P218" i="21"/>
  <c r="P219" i="21"/>
  <c r="P220" i="21"/>
  <c r="P221" i="21"/>
  <c r="P222" i="21"/>
  <c r="P236" i="21"/>
  <c r="P239" i="21"/>
  <c r="P258" i="21"/>
  <c r="P267" i="21"/>
  <c r="P268" i="21"/>
  <c r="P269" i="21"/>
  <c r="P293" i="21"/>
  <c r="P294" i="21"/>
  <c r="P295" i="21"/>
  <c r="P298" i="21"/>
  <c r="P299" i="21"/>
  <c r="P300"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M362" i="21"/>
  <c r="Z362" i="21" s="1"/>
  <c r="V142" i="22" l="1"/>
  <c r="AB142" i="22"/>
  <c r="AF120" i="22"/>
  <c r="AB120" i="22"/>
  <c r="V120" i="22"/>
  <c r="AG120" i="22"/>
  <c r="AC120" i="22"/>
  <c r="Y120" i="22"/>
  <c r="AE120" i="22"/>
  <c r="AA120" i="22"/>
  <c r="S120" i="22"/>
  <c r="AI120" i="22"/>
  <c r="AJ120" i="22" s="1"/>
  <c r="C120" i="22"/>
  <c r="G120" i="22"/>
  <c r="AM120" i="22"/>
  <c r="AN120" i="22" s="1"/>
  <c r="E120" i="22"/>
  <c r="AK120" i="22"/>
  <c r="AL120" i="22" s="1"/>
  <c r="Z369" i="21" l="1"/>
  <c r="A7" i="22"/>
  <c r="E84" i="21"/>
  <c r="E124" i="21"/>
  <c r="E212" i="21"/>
  <c r="E245" i="21"/>
  <c r="E249" i="21"/>
  <c r="E270" i="21"/>
  <c r="E272" i="21"/>
  <c r="E273" i="21"/>
  <c r="E283" i="21"/>
  <c r="E284" i="21"/>
  <c r="E301" i="21"/>
  <c r="E307" i="21"/>
  <c r="B270" i="22" l="1"/>
  <c r="R270" i="22" s="1"/>
  <c r="B283" i="22"/>
  <c r="R283" i="22" s="1"/>
  <c r="B272" i="22"/>
  <c r="R272" i="22" s="1"/>
  <c r="M245" i="21"/>
  <c r="B245" i="22"/>
  <c r="R245" i="22" s="1"/>
  <c r="B124" i="22"/>
  <c r="R124" i="22" s="1"/>
  <c r="B84" i="22"/>
  <c r="R84" i="22" s="1"/>
  <c r="M249" i="21"/>
  <c r="B249" i="22"/>
  <c r="R249" i="22" s="1"/>
  <c r="B212" i="22"/>
  <c r="R212" i="22" s="1"/>
  <c r="B301" i="22"/>
  <c r="R301" i="22" s="1"/>
  <c r="B273" i="22"/>
  <c r="R273" i="22" s="1"/>
  <c r="B307" i="22"/>
  <c r="R307" i="22" s="1"/>
  <c r="B284" i="22"/>
  <c r="R284" i="22" s="1"/>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C363" i="21" l="1"/>
  <c r="C364" i="21"/>
  <c r="C365" i="21"/>
  <c r="C366" i="21"/>
  <c r="C367" i="21"/>
  <c r="C368" i="21"/>
  <c r="D368" i="21" l="1"/>
  <c r="J368" i="21"/>
  <c r="R368" i="21" s="1"/>
  <c r="H368" i="21"/>
  <c r="P368" i="21" s="1"/>
  <c r="F368" i="21"/>
  <c r="N368" i="21" s="1"/>
  <c r="I368" i="21"/>
  <c r="G368" i="21"/>
  <c r="D368" i="22" s="1"/>
  <c r="E368" i="21"/>
  <c r="D367" i="21"/>
  <c r="J367" i="21"/>
  <c r="R367" i="21" s="1"/>
  <c r="H367" i="21"/>
  <c r="P367" i="21" s="1"/>
  <c r="F367" i="21"/>
  <c r="N367" i="21" s="1"/>
  <c r="I367" i="21"/>
  <c r="G367" i="21"/>
  <c r="E367" i="21"/>
  <c r="D366" i="21"/>
  <c r="J366" i="21"/>
  <c r="R366" i="21" s="1"/>
  <c r="H366" i="21"/>
  <c r="P366" i="21" s="1"/>
  <c r="F366" i="21"/>
  <c r="N366" i="21" s="1"/>
  <c r="I366" i="21"/>
  <c r="G366" i="21"/>
  <c r="E366" i="21"/>
  <c r="D365" i="21"/>
  <c r="J365" i="21"/>
  <c r="R365" i="21" s="1"/>
  <c r="H365" i="21"/>
  <c r="P365" i="21" s="1"/>
  <c r="F365" i="21"/>
  <c r="N365" i="21" s="1"/>
  <c r="I365" i="21"/>
  <c r="G365" i="21"/>
  <c r="E365" i="21"/>
  <c r="D364" i="21"/>
  <c r="J364" i="21"/>
  <c r="R364" i="21" s="1"/>
  <c r="H364" i="21"/>
  <c r="P364" i="21" s="1"/>
  <c r="F364" i="21"/>
  <c r="N364" i="21" s="1"/>
  <c r="I364" i="21"/>
  <c r="G364" i="21"/>
  <c r="E364" i="21"/>
  <c r="D363" i="21"/>
  <c r="J363" i="21"/>
  <c r="R363" i="21" s="1"/>
  <c r="H363" i="21"/>
  <c r="P363" i="21" s="1"/>
  <c r="F363" i="21"/>
  <c r="N363" i="21" s="1"/>
  <c r="I363" i="21"/>
  <c r="G363" i="21"/>
  <c r="E363" i="21"/>
  <c r="C362" i="21"/>
  <c r="C326" i="21"/>
  <c r="C325" i="21"/>
  <c r="C324" i="21"/>
  <c r="C300" i="21"/>
  <c r="D300" i="21" s="1"/>
  <c r="C299" i="21"/>
  <c r="D299" i="21" s="1"/>
  <c r="C298" i="21"/>
  <c r="D298" i="21" s="1"/>
  <c r="C295" i="21"/>
  <c r="D295" i="21" s="1"/>
  <c r="C294" i="21"/>
  <c r="D294" i="21" s="1"/>
  <c r="C293" i="21"/>
  <c r="D293" i="21" s="1"/>
  <c r="C269" i="21"/>
  <c r="D269" i="21" s="1"/>
  <c r="C268" i="21"/>
  <c r="D268" i="21" s="1"/>
  <c r="C267" i="21"/>
  <c r="D267" i="21" s="1"/>
  <c r="A314" i="12" s="1"/>
  <c r="C258" i="21"/>
  <c r="D258" i="21" s="1"/>
  <c r="C239" i="21"/>
  <c r="D239" i="21" s="1"/>
  <c r="C236" i="21"/>
  <c r="D236" i="21" s="1"/>
  <c r="C222" i="21"/>
  <c r="D222" i="21" s="1"/>
  <c r="C221" i="21"/>
  <c r="D221" i="21" s="1"/>
  <c r="C220" i="21"/>
  <c r="D220" i="21" s="1"/>
  <c r="C219" i="21"/>
  <c r="D219" i="21" s="1"/>
  <c r="C218" i="21"/>
  <c r="D218" i="21" s="1"/>
  <c r="C217" i="21"/>
  <c r="D217" i="21" s="1"/>
  <c r="C216" i="21"/>
  <c r="D216" i="21" s="1"/>
  <c r="C135" i="21"/>
  <c r="C148" i="21"/>
  <c r="C142" i="21"/>
  <c r="C123" i="21"/>
  <c r="C121" i="21"/>
  <c r="D121" i="21" s="1"/>
  <c r="C120" i="21"/>
  <c r="C116" i="21"/>
  <c r="C112" i="21"/>
  <c r="C22" i="21"/>
  <c r="F22" i="21" l="1"/>
  <c r="N22" i="21" s="1"/>
  <c r="E22" i="21"/>
  <c r="G22" i="21"/>
  <c r="H22" i="21"/>
  <c r="I22" i="21"/>
  <c r="D22" i="21"/>
  <c r="D324" i="21"/>
  <c r="J324" i="21"/>
  <c r="R324" i="21" s="1"/>
  <c r="I324" i="21"/>
  <c r="H324" i="21"/>
  <c r="P324" i="21" s="1"/>
  <c r="G324" i="21"/>
  <c r="F324" i="21"/>
  <c r="D325" i="21"/>
  <c r="J325" i="21"/>
  <c r="R325" i="21" s="1"/>
  <c r="I325" i="21"/>
  <c r="H325" i="21"/>
  <c r="P325" i="21" s="1"/>
  <c r="G325" i="21"/>
  <c r="F325" i="21"/>
  <c r="D326" i="21"/>
  <c r="J326" i="21"/>
  <c r="R326" i="21" s="1"/>
  <c r="I326" i="21"/>
  <c r="H326" i="21"/>
  <c r="P326" i="21" s="1"/>
  <c r="G326" i="21"/>
  <c r="F326" i="21"/>
  <c r="D362" i="21"/>
  <c r="F362" i="21"/>
  <c r="B363" i="22"/>
  <c r="M363" i="21"/>
  <c r="Z363" i="21" s="1"/>
  <c r="D363" i="22"/>
  <c r="O363" i="21"/>
  <c r="AC363" i="21" s="1"/>
  <c r="F363" i="22"/>
  <c r="Q363" i="21"/>
  <c r="AF363" i="21" s="1"/>
  <c r="B364" i="22"/>
  <c r="M364" i="21"/>
  <c r="Z364" i="21" s="1"/>
  <c r="D364" i="22"/>
  <c r="O364" i="21"/>
  <c r="AC364" i="21" s="1"/>
  <c r="F364" i="22"/>
  <c r="Q364" i="21"/>
  <c r="AF364" i="21" s="1"/>
  <c r="B365" i="22"/>
  <c r="M365" i="21"/>
  <c r="Z365" i="21" s="1"/>
  <c r="D365" i="22"/>
  <c r="O365" i="21"/>
  <c r="AC365" i="21" s="1"/>
  <c r="F365" i="22"/>
  <c r="Q365" i="21"/>
  <c r="AF365" i="21" s="1"/>
  <c r="B366" i="22"/>
  <c r="M366" i="21"/>
  <c r="Z366" i="21" s="1"/>
  <c r="D366" i="22"/>
  <c r="O366" i="21"/>
  <c r="AC366" i="21" s="1"/>
  <c r="F366" i="22"/>
  <c r="Q366" i="21"/>
  <c r="AF366" i="21" s="1"/>
  <c r="B367" i="22"/>
  <c r="M367" i="21"/>
  <c r="Z367" i="21" s="1"/>
  <c r="D367" i="22"/>
  <c r="O367" i="21"/>
  <c r="AC367" i="21" s="1"/>
  <c r="F367" i="22"/>
  <c r="Q367" i="21"/>
  <c r="AF367" i="21" s="1"/>
  <c r="B368" i="22"/>
  <c r="M368" i="21"/>
  <c r="Z368" i="21" s="1"/>
  <c r="E368" i="22"/>
  <c r="U368" i="22"/>
  <c r="AK368" i="22"/>
  <c r="AL368" i="22" s="1"/>
  <c r="F368" i="22"/>
  <c r="Q368" i="21"/>
  <c r="AF368" i="21"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F121" i="21"/>
  <c r="E121" i="21"/>
  <c r="F148" i="21"/>
  <c r="E148" i="21"/>
  <c r="M142" i="21"/>
  <c r="G368" i="22" l="1"/>
  <c r="X368" i="22"/>
  <c r="AM368" i="22"/>
  <c r="AN368" i="22" s="1"/>
  <c r="C368" i="22"/>
  <c r="R368" i="22"/>
  <c r="AI368" i="22"/>
  <c r="AJ368" i="22" s="1"/>
  <c r="G367" i="22"/>
  <c r="X367" i="22"/>
  <c r="AM367" i="22"/>
  <c r="AN367" i="22" s="1"/>
  <c r="E367" i="22"/>
  <c r="U367" i="22"/>
  <c r="AK367" i="22"/>
  <c r="AL367" i="22" s="1"/>
  <c r="C367" i="22"/>
  <c r="R367" i="22"/>
  <c r="AI367" i="22"/>
  <c r="AJ367" i="22" s="1"/>
  <c r="G366" i="22"/>
  <c r="X366" i="22"/>
  <c r="AM366" i="22"/>
  <c r="AN366" i="22" s="1"/>
  <c r="E366" i="22"/>
  <c r="U366" i="22"/>
  <c r="AK366" i="22"/>
  <c r="AL366" i="22" s="1"/>
  <c r="C366" i="22"/>
  <c r="R366" i="22"/>
  <c r="AI366" i="22"/>
  <c r="AJ366" i="22" s="1"/>
  <c r="G365" i="22"/>
  <c r="X365" i="22"/>
  <c r="AM365" i="22"/>
  <c r="AN365" i="22" s="1"/>
  <c r="E365" i="22"/>
  <c r="U365" i="22"/>
  <c r="AK365" i="22"/>
  <c r="AL365" i="22" s="1"/>
  <c r="C365" i="22"/>
  <c r="R365" i="22"/>
  <c r="AI365" i="22"/>
  <c r="AJ365" i="22" s="1"/>
  <c r="G364" i="22"/>
  <c r="X364" i="22"/>
  <c r="AM364" i="22"/>
  <c r="AN364" i="22" s="1"/>
  <c r="E364" i="22"/>
  <c r="U364" i="22"/>
  <c r="AK364" i="22"/>
  <c r="AL364" i="22" s="1"/>
  <c r="C364" i="22"/>
  <c r="R364" i="22"/>
  <c r="AI364" i="22"/>
  <c r="AJ364" i="22" s="1"/>
  <c r="G363" i="22"/>
  <c r="X363" i="22"/>
  <c r="AM363" i="22"/>
  <c r="AN363" i="22" s="1"/>
  <c r="E363" i="22"/>
  <c r="U363" i="22"/>
  <c r="AK363" i="22"/>
  <c r="AL363" i="22" s="1"/>
  <c r="C363" i="22"/>
  <c r="R363" i="22"/>
  <c r="AI363" i="22"/>
  <c r="AJ363" i="22" s="1"/>
  <c r="N362" i="21"/>
  <c r="AV362" i="21"/>
  <c r="I362" i="22" s="1"/>
  <c r="Q362" i="22" s="1"/>
  <c r="A425" i="28"/>
  <c r="A427" i="12"/>
  <c r="D326" i="22"/>
  <c r="O326" i="21"/>
  <c r="AC326" i="21" s="1"/>
  <c r="F326" i="22"/>
  <c r="Q326" i="21"/>
  <c r="AF326" i="21" s="1"/>
  <c r="D325" i="22"/>
  <c r="O325" i="21"/>
  <c r="AC325" i="21" s="1"/>
  <c r="F325" i="22"/>
  <c r="Q325" i="21"/>
  <c r="AF325" i="21" s="1"/>
  <c r="D324" i="22"/>
  <c r="O324" i="21"/>
  <c r="AC324" i="21" s="1"/>
  <c r="F324" i="22"/>
  <c r="Q324" i="21"/>
  <c r="AF324" i="21" s="1"/>
  <c r="F22" i="22"/>
  <c r="Q22" i="21"/>
  <c r="D22" i="22"/>
  <c r="O22" i="21"/>
  <c r="B22" i="22"/>
  <c r="M22" i="21"/>
  <c r="Z22" i="21" s="1"/>
  <c r="M258" i="21"/>
  <c r="B258" i="22"/>
  <c r="R258" i="22" s="1"/>
  <c r="M294" i="21"/>
  <c r="B294" i="22"/>
  <c r="R294" i="22" s="1"/>
  <c r="M300" i="21"/>
  <c r="Z300" i="21" s="1"/>
  <c r="B300" i="22"/>
  <c r="R300" i="22" s="1"/>
  <c r="M121" i="21"/>
  <c r="Z121" i="21" s="1"/>
  <c r="B121" i="22"/>
  <c r="R121" i="22" s="1"/>
  <c r="M236" i="21"/>
  <c r="Z236" i="21" s="1"/>
  <c r="B236" i="22"/>
  <c r="R236" i="22" s="1"/>
  <c r="O121" i="21"/>
  <c r="AC121" i="21" s="1"/>
  <c r="D121" i="22"/>
  <c r="U121" i="22" s="1"/>
  <c r="M269" i="21"/>
  <c r="Z269" i="21" s="1"/>
  <c r="B269" i="22"/>
  <c r="R269" i="22" s="1"/>
  <c r="M324" i="21"/>
  <c r="B324" i="22"/>
  <c r="R324" i="22" s="1"/>
  <c r="M293" i="21"/>
  <c r="Z293" i="21" s="1"/>
  <c r="B293" i="22"/>
  <c r="R293" i="22" s="1"/>
  <c r="M298" i="21"/>
  <c r="B298" i="22"/>
  <c r="R298" i="22" s="1"/>
  <c r="M326" i="21"/>
  <c r="Z326" i="21" s="1"/>
  <c r="B326" i="22"/>
  <c r="R326" i="22" s="1"/>
  <c r="M295" i="21"/>
  <c r="Z295" i="21" s="1"/>
  <c r="B295" i="22"/>
  <c r="R295" i="22" s="1"/>
  <c r="Q121" i="21"/>
  <c r="AF121" i="21" s="1"/>
  <c r="F121" i="22"/>
  <c r="X121" i="22" s="1"/>
  <c r="M218" i="21"/>
  <c r="Z218" i="21" s="1"/>
  <c r="B218" i="22"/>
  <c r="R218" i="22" s="1"/>
  <c r="M220" i="21"/>
  <c r="Z220" i="21" s="1"/>
  <c r="B220" i="22"/>
  <c r="R220" i="22" s="1"/>
  <c r="M148" i="21"/>
  <c r="Z148" i="21" s="1"/>
  <c r="B148" i="22"/>
  <c r="R148" i="22" s="1"/>
  <c r="M299" i="21"/>
  <c r="B299" i="22"/>
  <c r="R299" i="22" s="1"/>
  <c r="M268" i="21"/>
  <c r="Z268" i="21" s="1"/>
  <c r="B268" i="22"/>
  <c r="R268" i="22" s="1"/>
  <c r="M239" i="21"/>
  <c r="Z239" i="21" s="1"/>
  <c r="B239" i="22"/>
  <c r="R239" i="22" s="1"/>
  <c r="M219" i="21"/>
  <c r="Z219" i="21" s="1"/>
  <c r="B219" i="22"/>
  <c r="R219" i="22" s="1"/>
  <c r="M325" i="21"/>
  <c r="Z325" i="21" s="1"/>
  <c r="B325" i="22"/>
  <c r="R325" i="22" s="1"/>
  <c r="M222" i="21"/>
  <c r="Z222" i="21" s="1"/>
  <c r="B222" i="22"/>
  <c r="R222" i="22" s="1"/>
  <c r="M217" i="21"/>
  <c r="Z217" i="21" s="1"/>
  <c r="B217" i="22"/>
  <c r="R217" i="22" s="1"/>
  <c r="M267" i="21"/>
  <c r="B267" i="22"/>
  <c r="R267" i="22" s="1"/>
  <c r="M221" i="21"/>
  <c r="Z221" i="21" s="1"/>
  <c r="B221" i="22"/>
  <c r="R221" i="22" s="1"/>
  <c r="M216" i="21"/>
  <c r="Z216" i="21" s="1"/>
  <c r="B216" i="22"/>
  <c r="R216" i="22" s="1"/>
  <c r="Z258" i="21"/>
  <c r="Z324" i="21"/>
  <c r="Z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C22" i="22" l="1"/>
  <c r="AI22" i="22"/>
  <c r="E22" i="22"/>
  <c r="AK22" i="22"/>
  <c r="AM22" i="22"/>
  <c r="G324" i="22"/>
  <c r="X324" i="22"/>
  <c r="AM324" i="22"/>
  <c r="AN324" i="22" s="1"/>
  <c r="E324" i="22"/>
  <c r="U324" i="22"/>
  <c r="AK324" i="22"/>
  <c r="AL324" i="22" s="1"/>
  <c r="G325" i="22"/>
  <c r="X325" i="22"/>
  <c r="AM325" i="22"/>
  <c r="AN325" i="22" s="1"/>
  <c r="E325" i="22"/>
  <c r="U325" i="22"/>
  <c r="AK325" i="22"/>
  <c r="AL325" i="22" s="1"/>
  <c r="G326" i="22"/>
  <c r="X326" i="22"/>
  <c r="AM326" i="22"/>
  <c r="AN326" i="22" s="1"/>
  <c r="E326" i="22"/>
  <c r="U326" i="22"/>
  <c r="AK326" i="22"/>
  <c r="AL326" i="22" s="1"/>
  <c r="AE362" i="22"/>
  <c r="AA362" i="22"/>
  <c r="S362" i="22"/>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C217" i="22"/>
  <c r="AI217" i="22"/>
  <c r="AJ217" i="22" s="1"/>
  <c r="C222" i="22"/>
  <c r="AI222" i="22"/>
  <c r="AJ222" i="22" s="1"/>
  <c r="C121" i="22"/>
  <c r="AI121" i="22"/>
  <c r="AJ121" i="22" s="1"/>
  <c r="C326" i="22"/>
  <c r="AI326" i="22"/>
  <c r="AJ326" i="22" s="1"/>
  <c r="C293" i="22"/>
  <c r="AI293" i="22"/>
  <c r="AJ293" i="22" s="1"/>
  <c r="C268" i="22"/>
  <c r="AI268" i="22"/>
  <c r="AJ268" i="22" s="1"/>
  <c r="C294" i="22"/>
  <c r="AI294" i="22"/>
  <c r="AJ294" i="22" s="1"/>
  <c r="C325" i="22"/>
  <c r="AI325" i="22"/>
  <c r="AJ325" i="22" s="1"/>
  <c r="C300" i="22"/>
  <c r="AI300" i="22"/>
  <c r="AJ300" i="22" s="1"/>
  <c r="Z267" i="2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C239" i="22"/>
  <c r="AI239" i="22"/>
  <c r="AJ239" i="22" s="1"/>
  <c r="F2" i="22"/>
  <c r="G4" i="22" l="1"/>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AQ84" i="22"/>
  <c r="D110" i="28" s="1"/>
  <c r="BC366" i="22"/>
  <c r="V430" i="28" s="1"/>
  <c r="AQ294" i="22"/>
  <c r="D346" i="28" s="1"/>
  <c r="AQ293" i="22"/>
  <c r="D345" i="28" s="1"/>
  <c r="AQ326" i="22"/>
  <c r="D386" i="28" s="1"/>
  <c r="AW294" i="22"/>
  <c r="M346" i="28" s="1"/>
  <c r="BC143" i="22"/>
  <c r="V175" i="28" s="1"/>
  <c r="BC300" i="22"/>
  <c r="V352" i="28" s="1"/>
  <c r="BC140" i="22"/>
  <c r="V170" i="28" s="1"/>
  <c r="BC138" i="22"/>
  <c r="V168" i="28" s="1"/>
  <c r="AW144" i="22"/>
  <c r="M176" i="28" s="1"/>
  <c r="AW293" i="22"/>
  <c r="M345" i="28" s="1"/>
  <c r="AQ245" i="22"/>
  <c r="D285" i="28" s="1"/>
  <c r="BC117" i="22"/>
  <c r="V145" i="28" s="1"/>
  <c r="BC268" i="22"/>
  <c r="V314" i="28" s="1"/>
  <c r="BC136" i="22"/>
  <c r="V166" i="28" s="1"/>
  <c r="AQ273" i="22"/>
  <c r="D321" i="28" s="1"/>
  <c r="AQ272" i="22"/>
  <c r="D320" i="28" s="1"/>
  <c r="AW119" i="22"/>
  <c r="M147" i="28" s="1"/>
  <c r="AW143" i="22"/>
  <c r="M175" i="28" s="1"/>
  <c r="BC367" i="22"/>
  <c r="V431" i="28" s="1"/>
  <c r="BC217" i="22"/>
  <c r="V253" i="28" s="1"/>
  <c r="BC128" i="22"/>
  <c r="V158" i="28" s="1"/>
  <c r="AQ239" i="22"/>
  <c r="D277" i="28" s="1"/>
  <c r="AQ324" i="22"/>
  <c r="D384" i="28" s="1"/>
  <c r="AQ121" i="22"/>
  <c r="D149" i="28" s="1"/>
  <c r="AW364" i="22"/>
  <c r="M428" i="28" s="1"/>
  <c r="AW118" i="22"/>
  <c r="M146" i="28" s="1"/>
  <c r="AW148" i="22"/>
  <c r="M180" i="28" s="1"/>
  <c r="BC299" i="22"/>
  <c r="V351" i="28" s="1"/>
  <c r="AW136" i="22"/>
  <c r="M166" i="28" s="1"/>
  <c r="BC365" i="22"/>
  <c r="V429" i="28" s="1"/>
  <c r="AQ212" i="22"/>
  <c r="D246" i="28" s="1"/>
  <c r="AQ141" i="22"/>
  <c r="D171" i="28" s="1"/>
  <c r="AQ140" i="22"/>
  <c r="D170" i="28" s="1"/>
  <c r="AW145" i="22"/>
  <c r="M177" i="28" s="1"/>
  <c r="AW324" i="22"/>
  <c r="M384" i="28" s="1"/>
  <c r="AQ130" i="22"/>
  <c r="D160" i="28" s="1"/>
  <c r="AQ368" i="22"/>
  <c r="D432" i="28" s="1"/>
  <c r="BC120" i="22"/>
  <c r="V148" i="28" s="1"/>
  <c r="AW219" i="22"/>
  <c r="M255" i="28" s="1"/>
  <c r="BC222" i="22"/>
  <c r="V258" i="28" s="1"/>
  <c r="AW146" i="22"/>
  <c r="M178" i="28" s="1"/>
  <c r="AW120" i="22"/>
  <c r="M148" i="28" s="1"/>
  <c r="BC368" i="22"/>
  <c r="V432" i="28" s="1"/>
  <c r="AW125" i="22"/>
  <c r="M155" i="28" s="1"/>
  <c r="AQ142" i="22"/>
  <c r="D172" i="28" s="1"/>
  <c r="AQ139" i="22"/>
  <c r="D169" i="28" s="1"/>
  <c r="AQ138" i="22"/>
  <c r="D168" i="28" s="1"/>
  <c r="AW121" i="22"/>
  <c r="M149" i="28" s="1"/>
  <c r="AW142" i="22"/>
  <c r="M172" i="28" s="1"/>
  <c r="AQ115" i="22"/>
  <c r="D143" i="28" s="1"/>
  <c r="BC267" i="22"/>
  <c r="V313" i="28" s="1"/>
  <c r="BC364" i="22"/>
  <c r="V428" i="28" s="1"/>
  <c r="AQ136" i="22"/>
  <c r="D166" i="28" s="1"/>
  <c r="AW141" i="22"/>
  <c r="M171" i="28" s="1"/>
  <c r="AW7" i="22"/>
  <c r="BC7" i="22"/>
  <c r="BC144" i="22"/>
  <c r="V176" i="28" s="1"/>
  <c r="BC258" i="22"/>
  <c r="V300" i="28" s="1"/>
  <c r="BC125" i="22"/>
  <c r="V155" i="28" s="1"/>
  <c r="BC145" i="22"/>
  <c r="V177" i="28" s="1"/>
  <c r="AW300" i="22"/>
  <c r="M352" i="28" s="1"/>
  <c r="BC362" i="22"/>
  <c r="V426" i="28" s="1"/>
  <c r="AQ131" i="22"/>
  <c r="D161" i="28" s="1"/>
  <c r="AW267" i="22"/>
  <c r="M313" i="28" s="1"/>
  <c r="BC293" i="22"/>
  <c r="V345" i="28" s="1"/>
  <c r="AW325" i="22"/>
  <c r="M385" i="28" s="1"/>
  <c r="BC216" i="22"/>
  <c r="V252" i="28" s="1"/>
  <c r="BC236" i="22"/>
  <c r="V274" i="28" s="1"/>
  <c r="AW134" i="22"/>
  <c r="M164" i="28" s="1"/>
  <c r="AQ134" i="22"/>
  <c r="D164" i="28" s="1"/>
  <c r="AW139" i="22"/>
  <c r="M169" i="28" s="1"/>
  <c r="AQ295" i="22"/>
  <c r="D347" i="28" s="1"/>
  <c r="AQ192" i="22"/>
  <c r="D226" i="28" s="1"/>
  <c r="AW138" i="22"/>
  <c r="M168" i="28" s="1"/>
  <c r="AQ120" i="22"/>
  <c r="D148" i="28" s="1"/>
  <c r="AQ258" i="22"/>
  <c r="D300" i="28" s="1"/>
  <c r="AW368" i="22"/>
  <c r="M432" i="28" s="1"/>
  <c r="AQ307" i="22"/>
  <c r="D361" i="28" s="1"/>
  <c r="BC141" i="22"/>
  <c r="V171" i="28" s="1"/>
  <c r="AQ7" i="22"/>
  <c r="AQ283" i="22"/>
  <c r="D335" i="28" s="1"/>
  <c r="BC148" i="22"/>
  <c r="V180" i="28" s="1"/>
  <c r="AW299" i="22"/>
  <c r="M351" i="28" s="1"/>
  <c r="BC325" i="22"/>
  <c r="V385" i="28" s="1"/>
  <c r="AQ188" i="22"/>
  <c r="D220" i="28" s="1"/>
  <c r="AW326" i="22"/>
  <c r="M386" i="28" s="1"/>
  <c r="AW217" i="22"/>
  <c r="M253" i="28" s="1"/>
  <c r="AQ269" i="22"/>
  <c r="D315" i="28" s="1"/>
  <c r="AQ222" i="22"/>
  <c r="D258" i="28" s="1"/>
  <c r="AW239" i="22"/>
  <c r="M277" i="28" s="1"/>
  <c r="AW258" i="22"/>
  <c r="M300" i="28" s="1"/>
  <c r="AW367" i="22"/>
  <c r="M431" i="28" s="1"/>
  <c r="AQ219" i="22"/>
  <c r="D255" i="28" s="1"/>
  <c r="AW221" i="22"/>
  <c r="M257" i="28" s="1"/>
  <c r="AW127" i="22"/>
  <c r="M157" i="28" s="1"/>
  <c r="BC218" i="22"/>
  <c r="V254" i="28" s="1"/>
  <c r="BC146" i="22"/>
  <c r="V178" i="28" s="1"/>
  <c r="BC295" i="22"/>
  <c r="V347" i="28" s="1"/>
  <c r="AQ284" i="22"/>
  <c r="D336" i="28" s="1"/>
  <c r="AQ218" i="22"/>
  <c r="D254" i="28" s="1"/>
  <c r="AQ249" i="22"/>
  <c r="D289" i="28" s="1"/>
  <c r="AW268" i="22"/>
  <c r="M314" i="28" s="1"/>
  <c r="AQ124" i="22"/>
  <c r="D154" i="28" s="1"/>
  <c r="AQ217" i="22"/>
  <c r="D253" i="28" s="1"/>
  <c r="AW218" i="22"/>
  <c r="M254" i="28" s="1"/>
  <c r="AW363" i="22"/>
  <c r="M427" i="28" s="1"/>
  <c r="AW128" i="22"/>
  <c r="M158" i="28" s="1"/>
  <c r="BC126" i="22"/>
  <c r="V156" i="28" s="1"/>
  <c r="AW366" i="22"/>
  <c r="M430" i="28" s="1"/>
  <c r="AQ221" i="22"/>
  <c r="D257" i="28" s="1"/>
  <c r="AQ220" i="22"/>
  <c r="D256" i="28" s="1"/>
  <c r="AQ148" i="22"/>
  <c r="D180" i="28" s="1"/>
  <c r="AQ183" i="22"/>
  <c r="D215" i="28" s="1"/>
  <c r="AQ216" i="22"/>
  <c r="D252" i="28" s="1"/>
  <c r="BC118" i="22"/>
  <c r="V146" i="28" s="1"/>
  <c r="AW269" i="22"/>
  <c r="M315" i="28" s="1"/>
  <c r="AW126" i="22"/>
  <c r="M156" i="28" s="1"/>
  <c r="BC127" i="22"/>
  <c r="V157" i="28" s="1"/>
  <c r="AW115" i="22"/>
  <c r="M143" i="28" s="1"/>
  <c r="AQ137" i="22"/>
  <c r="D167" i="28" s="1"/>
  <c r="AW362" i="22"/>
  <c r="M426" i="28" s="1"/>
  <c r="AQ187" i="22"/>
  <c r="D219" i="28" s="1"/>
  <c r="BC134" i="22"/>
  <c r="V164" i="28" s="1"/>
  <c r="AQ143" i="22"/>
  <c r="D175" i="28" s="1"/>
  <c r="BC115" i="22"/>
  <c r="V143" i="28" s="1"/>
  <c r="BC142" i="22"/>
  <c r="V172" i="28" s="1"/>
  <c r="BC121" i="22"/>
  <c r="V149" i="28" s="1"/>
  <c r="AQ301" i="22"/>
  <c r="D353" i="28" s="1"/>
  <c r="AW216" i="22"/>
  <c r="M252" i="28" s="1"/>
  <c r="BC119" i="22"/>
  <c r="V147" i="28" s="1"/>
  <c r="AQ117" i="22"/>
  <c r="D145" i="28" s="1"/>
  <c r="BC131" i="22"/>
  <c r="V161" i="28" s="1"/>
  <c r="AQ144" i="22"/>
  <c r="D176" i="28" s="1"/>
  <c r="AQ119" i="22"/>
  <c r="D147" i="28" s="1"/>
  <c r="AQ125" i="22"/>
  <c r="D155" i="28" s="1"/>
  <c r="AQ118" i="22"/>
  <c r="D146" i="28" s="1"/>
  <c r="AW298" i="22"/>
  <c r="M350" i="28" s="1"/>
  <c r="AQ363" i="22"/>
  <c r="D427" i="28" s="1"/>
  <c r="AQ362" i="22"/>
  <c r="D426" i="28" s="1"/>
  <c r="BC220" i="22"/>
  <c r="V256" i="28" s="1"/>
  <c r="BC219" i="22"/>
  <c r="V255" i="28" s="1"/>
  <c r="AQ364" i="22"/>
  <c r="D428" i="28" s="1"/>
  <c r="AQ268" i="22"/>
  <c r="D314" i="28" s="1"/>
  <c r="BC269" i="22"/>
  <c r="V315"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367" i="22"/>
  <c r="D431" i="28" s="1"/>
  <c r="AW222" i="22"/>
  <c r="M258" i="28" s="1"/>
  <c r="BC221" i="22"/>
  <c r="V257" i="28" s="1"/>
  <c r="BC129" i="22"/>
  <c r="V159" i="28" s="1"/>
  <c r="AQ366" i="22"/>
  <c r="D430" i="28" s="1"/>
  <c r="AQ365" i="22"/>
  <c r="D429" i="28" s="1"/>
  <c r="AQ300" i="22"/>
  <c r="D352" i="28" s="1"/>
  <c r="AQ267" i="22"/>
  <c r="D313" i="28" s="1"/>
  <c r="AW130" i="22"/>
  <c r="M160" i="28" s="1"/>
  <c r="BC137" i="22"/>
  <c r="V167" i="28" s="1"/>
  <c r="AW117" i="22"/>
  <c r="M145" i="28" s="1"/>
  <c r="AW131" i="22"/>
  <c r="M161" i="28" s="1"/>
  <c r="BC130" i="22"/>
  <c r="V160" i="28" s="1"/>
  <c r="AQ236" i="22"/>
  <c r="D274" i="28" s="1"/>
  <c r="AQ270" i="22"/>
  <c r="D318" i="28" s="1"/>
  <c r="BC326" i="22"/>
  <c r="V386" i="28" s="1"/>
  <c r="AW220" i="22"/>
  <c r="M256" i="28" s="1"/>
  <c r="BC294" i="22"/>
  <c r="V346" i="28" s="1"/>
  <c r="AW129" i="22"/>
  <c r="M159" i="28" s="1"/>
  <c r="AQ193" i="22"/>
  <c r="D227" i="28" s="1"/>
  <c r="AQ128" i="22"/>
  <c r="D158" i="28" s="1"/>
  <c r="AQ127" i="22"/>
  <c r="D157" i="28" s="1"/>
  <c r="AQ126" i="22"/>
  <c r="D156" i="28" s="1"/>
  <c r="BC363" i="22"/>
  <c r="V427" i="28" s="1"/>
  <c r="AW236" i="22"/>
  <c r="M274" i="28" s="1"/>
  <c r="AQ129" i="22"/>
  <c r="D159" i="28" s="1"/>
  <c r="AW295" i="22"/>
  <c r="M347" i="28" s="1"/>
  <c r="BC139" i="22"/>
  <c r="V169" i="28" s="1"/>
  <c r="AJ4" i="22"/>
  <c r="AQ4" i="22"/>
  <c r="AR4" i="22"/>
  <c r="AS4" i="22"/>
  <c r="AW4" i="22"/>
  <c r="AY4" i="22"/>
  <c r="AX4" i="22"/>
  <c r="BC4" i="22"/>
  <c r="BE4" i="22"/>
  <c r="BD4" i="22"/>
  <c r="L162" i="12" l="1"/>
  <c r="L352" i="12"/>
  <c r="T174" i="12"/>
  <c r="D255" i="12"/>
  <c r="D338" i="12"/>
  <c r="D257" i="12"/>
  <c r="T315" i="12"/>
  <c r="T260" i="12"/>
  <c r="T173" i="12"/>
  <c r="L148" i="12"/>
  <c r="D112" i="12"/>
  <c r="D145" i="12"/>
  <c r="L177" i="12"/>
  <c r="L315" i="12"/>
  <c r="L257" i="12"/>
  <c r="L176" i="12"/>
  <c r="D169" i="12"/>
  <c r="T348" i="12"/>
  <c r="D315" i="12"/>
  <c r="L42" i="12"/>
  <c r="L145" i="12"/>
  <c r="D172" i="12"/>
  <c r="T168" i="12"/>
  <c r="D229" i="12"/>
  <c r="L432" i="12"/>
  <c r="L258" i="12"/>
  <c r="D354" i="12"/>
  <c r="T349" i="12"/>
  <c r="D363" i="12"/>
  <c r="D163" i="12"/>
  <c r="D173" i="12"/>
  <c r="T25" i="12"/>
  <c r="V23" i="28"/>
  <c r="L174" i="12"/>
  <c r="D248" i="12"/>
  <c r="L169" i="12"/>
  <c r="T175" i="12"/>
  <c r="D353" i="12"/>
  <c r="D316" i="12"/>
  <c r="T159" i="12"/>
  <c r="T160" i="12"/>
  <c r="D176" i="12"/>
  <c r="D433" i="12"/>
  <c r="L25" i="12"/>
  <c r="M23" i="28"/>
  <c r="D148" i="12"/>
  <c r="L158" i="12"/>
  <c r="T178" i="12"/>
  <c r="L348" i="12"/>
  <c r="D387" i="12"/>
  <c r="T151" i="12"/>
  <c r="T161" i="12"/>
  <c r="T166" i="12"/>
  <c r="L316" i="12"/>
  <c r="D317" i="12"/>
  <c r="T150" i="12"/>
  <c r="D25" i="12"/>
  <c r="D23" i="28"/>
  <c r="T162" i="12"/>
  <c r="D228" i="12"/>
  <c r="T256" i="12"/>
  <c r="L255" i="12"/>
  <c r="L173" i="12"/>
  <c r="D388" i="12"/>
  <c r="L428" i="12"/>
  <c r="L163" i="12"/>
  <c r="T259" i="12"/>
  <c r="T279" i="12"/>
  <c r="T158" i="12"/>
  <c r="D349" i="12"/>
  <c r="D168" i="12"/>
  <c r="T255" i="12"/>
  <c r="D430" i="12"/>
  <c r="D428" i="12"/>
  <c r="D147" i="12"/>
  <c r="T145" i="12"/>
  <c r="L302" i="12"/>
  <c r="L171" i="12"/>
  <c r="T433" i="12"/>
  <c r="L180" i="12"/>
  <c r="D431" i="12"/>
  <c r="T428" i="12"/>
  <c r="D429" i="12"/>
  <c r="L159" i="12"/>
  <c r="L388" i="12"/>
  <c r="L151" i="12"/>
  <c r="D434" i="12"/>
  <c r="L175" i="12"/>
  <c r="T171" i="12"/>
  <c r="D170" i="12"/>
  <c r="L430" i="12"/>
  <c r="T163" i="12"/>
  <c r="L279" i="12"/>
  <c r="D222" i="12"/>
  <c r="D166" i="12"/>
  <c r="L354" i="12"/>
  <c r="D171" i="12"/>
  <c r="D162" i="12"/>
  <c r="L149" i="12"/>
  <c r="T316" i="12"/>
  <c r="L433" i="12"/>
  <c r="D347" i="12"/>
  <c r="D352" i="12"/>
  <c r="L166" i="12"/>
  <c r="D174" i="12"/>
  <c r="T434" i="12"/>
  <c r="D156" i="12"/>
  <c r="T147" i="12"/>
  <c r="T148" i="12"/>
  <c r="T149" i="12"/>
  <c r="L431" i="12"/>
  <c r="T169" i="12"/>
  <c r="D149" i="12"/>
  <c r="L259" i="12"/>
  <c r="D260" i="12"/>
  <c r="T387" i="12"/>
  <c r="D287" i="12"/>
  <c r="L161" i="12"/>
  <c r="D158" i="12"/>
  <c r="L172" i="12"/>
  <c r="D221" i="12"/>
  <c r="L353" i="12"/>
  <c r="L434" i="12"/>
  <c r="L150" i="12"/>
  <c r="T431" i="12"/>
  <c r="D151" i="12"/>
  <c r="D322" i="12"/>
  <c r="L347" i="12"/>
  <c r="T354" i="12"/>
  <c r="L170" i="12"/>
  <c r="T429" i="12"/>
  <c r="D161" i="12"/>
  <c r="D159" i="12"/>
  <c r="T386" i="12"/>
  <c r="L254" i="12"/>
  <c r="T180" i="12"/>
  <c r="T276" i="12"/>
  <c r="L157" i="12"/>
  <c r="L168" i="12"/>
  <c r="D323" i="12"/>
  <c r="T170" i="12"/>
  <c r="L276" i="12"/>
  <c r="L317" i="12"/>
  <c r="D177" i="12"/>
  <c r="L160" i="12"/>
  <c r="D254" i="12"/>
  <c r="T254" i="12"/>
  <c r="L178" i="12"/>
  <c r="D279" i="12"/>
  <c r="T347" i="12"/>
  <c r="T317" i="12"/>
  <c r="D320" i="12"/>
  <c r="L260" i="12"/>
  <c r="D355" i="12"/>
  <c r="D217" i="12"/>
  <c r="D348" i="12"/>
  <c r="T257" i="12"/>
  <c r="D157" i="12"/>
  <c r="D180" i="12"/>
  <c r="T177" i="12"/>
  <c r="L386" i="12"/>
  <c r="T353" i="12"/>
  <c r="T172" i="12"/>
  <c r="T432" i="12"/>
  <c r="T352" i="12"/>
  <c r="D432" i="12"/>
  <c r="D258" i="12"/>
  <c r="L429" i="12"/>
  <c r="T157" i="12"/>
  <c r="T430" i="12"/>
  <c r="D386" i="12"/>
  <c r="L349" i="12"/>
  <c r="D160" i="12"/>
  <c r="D276" i="12"/>
  <c r="D259" i="12"/>
  <c r="L256" i="12"/>
  <c r="D291" i="12"/>
  <c r="D337" i="12"/>
  <c r="D302" i="12"/>
  <c r="L387" i="12"/>
  <c r="T302" i="12"/>
  <c r="D42" i="12"/>
  <c r="T258" i="12"/>
  <c r="L147" i="12"/>
  <c r="T388" i="12"/>
  <c r="D175" i="12"/>
  <c r="D256" i="12"/>
  <c r="D150" i="12"/>
  <c r="T176"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R267" i="22"/>
  <c r="H313" i="28" s="1"/>
  <c r="AX364" i="22"/>
  <c r="Q428" i="28" s="1"/>
  <c r="AV130" i="22"/>
  <c r="N160" i="28" s="1"/>
  <c r="AR192" i="22"/>
  <c r="H226" i="28" s="1"/>
  <c r="AV299" i="22"/>
  <c r="N351" i="28" s="1"/>
  <c r="AP269" i="22"/>
  <c r="E315" i="28" s="1"/>
  <c r="AV128" i="22"/>
  <c r="N158" i="28" s="1"/>
  <c r="AP121" i="22"/>
  <c r="E149" i="28" s="1"/>
  <c r="AP141" i="22"/>
  <c r="E171" i="28" s="1"/>
  <c r="AR188" i="22"/>
  <c r="H220" i="28" s="1"/>
  <c r="AX236" i="22"/>
  <c r="Q274" i="28" s="1"/>
  <c r="AX324" i="22"/>
  <c r="Q384" i="28" s="1"/>
  <c r="AX131" i="22"/>
  <c r="Q161" i="28" s="1"/>
  <c r="AR193" i="22"/>
  <c r="H227" i="28" s="1"/>
  <c r="AP270" i="22"/>
  <c r="E318" i="28" s="1"/>
  <c r="AP134" i="22"/>
  <c r="E164" i="28" s="1"/>
  <c r="AP125" i="22"/>
  <c r="E155" i="28" s="1"/>
  <c r="AP130" i="22"/>
  <c r="E160" i="28" s="1"/>
  <c r="AP245" i="22"/>
  <c r="E285" i="28" s="1"/>
  <c r="BD367" i="22"/>
  <c r="Z431" i="28" s="1"/>
  <c r="BB222" i="22"/>
  <c r="W258" i="28" s="1"/>
  <c r="BD145" i="22"/>
  <c r="Z177" i="28" s="1"/>
  <c r="BD119" i="22"/>
  <c r="Z147" i="28" s="1"/>
  <c r="AP84" i="22"/>
  <c r="E110" i="28" s="1"/>
  <c r="AR217" i="22"/>
  <c r="H253" i="28" s="1"/>
  <c r="AX300" i="22"/>
  <c r="Q352" i="28" s="1"/>
  <c r="AX139" i="22"/>
  <c r="Q169" i="28" s="1"/>
  <c r="AX295" i="22"/>
  <c r="Q347" i="28" s="1"/>
  <c r="AV239" i="22"/>
  <c r="N277" i="28" s="1"/>
  <c r="BB145" i="22"/>
  <c r="W177" i="28" s="1"/>
  <c r="AR84" i="22"/>
  <c r="H110" i="28" s="1"/>
  <c r="AX140" i="22"/>
  <c r="Q170" i="28" s="1"/>
  <c r="BB127" i="22"/>
  <c r="W157" i="28" s="1"/>
  <c r="AX258" i="22"/>
  <c r="Q300" i="28" s="1"/>
  <c r="AP148" i="22"/>
  <c r="E180" i="28" s="1"/>
  <c r="AP239" i="22"/>
  <c r="E277" i="28" s="1"/>
  <c r="AP131" i="22"/>
  <c r="E161" i="28" s="1"/>
  <c r="AR121" i="22"/>
  <c r="H149" i="28" s="1"/>
  <c r="AP118" i="22"/>
  <c r="E146"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BB269" i="22"/>
  <c r="W315" i="28" s="1"/>
  <c r="AV129" i="22"/>
  <c r="N159" i="28" s="1"/>
  <c r="AV326" i="22"/>
  <c r="N386" i="28" s="1"/>
  <c r="BB268" i="22"/>
  <c r="W314" i="28" s="1"/>
  <c r="BD134" i="22"/>
  <c r="Z164" i="28" s="1"/>
  <c r="AX118" i="22"/>
  <c r="Q146" i="28" s="1"/>
  <c r="BD293" i="22"/>
  <c r="Z345" i="28" s="1"/>
  <c r="AR212" i="22"/>
  <c r="H246" i="28" s="1"/>
  <c r="AR125" i="22"/>
  <c r="H155" i="28" s="1"/>
  <c r="AP366" i="22"/>
  <c r="E430" i="28" s="1"/>
  <c r="AX326" i="22"/>
  <c r="Q386" i="28" s="1"/>
  <c r="AV115" i="22"/>
  <c r="N143" i="28" s="1"/>
  <c r="AP325" i="22"/>
  <c r="E385" i="28" s="1"/>
  <c r="AX142" i="22"/>
  <c r="Q172" i="28" s="1"/>
  <c r="AV137" i="22"/>
  <c r="N167" i="28" s="1"/>
  <c r="AP183" i="22"/>
  <c r="E215" i="28" s="1"/>
  <c r="AX143" i="22"/>
  <c r="Q175" i="28" s="1"/>
  <c r="AX366" i="22"/>
  <c r="Q430" i="28" s="1"/>
  <c r="AX145" i="22"/>
  <c r="Q177" i="28" s="1"/>
  <c r="AP222" i="22"/>
  <c r="E258" i="28" s="1"/>
  <c r="AP212" i="22"/>
  <c r="E246" i="28" s="1"/>
  <c r="AR183" i="22"/>
  <c r="H215" i="28" s="1"/>
  <c r="AP294" i="22"/>
  <c r="E346" i="28" s="1"/>
  <c r="AR239" i="22"/>
  <c r="H277" i="28" s="1"/>
  <c r="AP367" i="22"/>
  <c r="E431" i="28" s="1"/>
  <c r="BB121" i="22"/>
  <c r="W149" i="28" s="1"/>
  <c r="BB267" i="22"/>
  <c r="W313" i="28" s="1"/>
  <c r="AX137" i="22"/>
  <c r="Q167" i="28" s="1"/>
  <c r="BB137" i="22"/>
  <c r="W167" i="28" s="1"/>
  <c r="AR139" i="22"/>
  <c r="H169" i="28" s="1"/>
  <c r="AR143" i="22"/>
  <c r="H175" i="28" s="1"/>
  <c r="AR124" i="22"/>
  <c r="H154" i="28" s="1"/>
  <c r="BB125" i="22"/>
  <c r="W155" i="28" s="1"/>
  <c r="BD269" i="22"/>
  <c r="Z315" i="28" s="1"/>
  <c r="AR362" i="22"/>
  <c r="H426" i="28" s="1"/>
  <c r="AX268" i="22"/>
  <c r="Q314" i="28" s="1"/>
  <c r="BD148" i="22"/>
  <c r="Z180" i="28" s="1"/>
  <c r="AR325" i="22"/>
  <c r="H385" i="28" s="1"/>
  <c r="AX129" i="22"/>
  <c r="Q159" i="28" s="1"/>
  <c r="BD146" i="22"/>
  <c r="Z178" i="28" s="1"/>
  <c r="AX141" i="22"/>
  <c r="Q171" i="28" s="1"/>
  <c r="AV216" i="22"/>
  <c r="N252" i="28" s="1"/>
  <c r="BD141" i="22"/>
  <c r="Z171" i="28" s="1"/>
  <c r="BD368" i="22"/>
  <c r="Z432" i="28" s="1"/>
  <c r="BB221" i="22"/>
  <c r="W257" i="28" s="1"/>
  <c r="BD362" i="22"/>
  <c r="Z426" i="28" s="1"/>
  <c r="AV269" i="22"/>
  <c r="N315" i="28" s="1"/>
  <c r="BD143" i="22"/>
  <c r="Z175" i="28" s="1"/>
  <c r="AX138" i="22"/>
  <c r="Q168" i="28" s="1"/>
  <c r="AR138" i="22"/>
  <c r="H168" i="28" s="1"/>
  <c r="BB300" i="22"/>
  <c r="W352" i="28" s="1"/>
  <c r="BB236" i="22"/>
  <c r="W274" i="28" s="1"/>
  <c r="AR126" i="22"/>
  <c r="H156" i="28" s="1"/>
  <c r="BB126" i="22"/>
  <c r="W156" i="28" s="1"/>
  <c r="AX325" i="22"/>
  <c r="Q385" i="28" s="1"/>
  <c r="AX136" i="22"/>
  <c r="Q166" i="28" s="1"/>
  <c r="AV140" i="22"/>
  <c r="N170" i="28" s="1"/>
  <c r="AR366" i="22"/>
  <c r="H430" i="28" s="1"/>
  <c r="AV126" i="22"/>
  <c r="N156" i="28" s="1"/>
  <c r="AR249" i="22"/>
  <c r="H289" i="28" s="1"/>
  <c r="BB146" i="22"/>
  <c r="W178" i="28" s="1"/>
  <c r="BB217" i="22"/>
  <c r="W253" i="28" s="1"/>
  <c r="BB218" i="22"/>
  <c r="W254" i="28" s="1"/>
  <c r="AX365" i="22"/>
  <c r="Q429" i="28" s="1"/>
  <c r="BB367" i="22"/>
  <c r="W431" i="28" s="1"/>
  <c r="AP138" i="22"/>
  <c r="E168" i="28" s="1"/>
  <c r="AR115" i="22"/>
  <c r="H143" i="28" s="1"/>
  <c r="BD366" i="22"/>
  <c r="Z430" i="28" s="1"/>
  <c r="BD121" i="22"/>
  <c r="Z149" i="28" s="1"/>
  <c r="AR363" i="22"/>
  <c r="H427" i="28" s="1"/>
  <c r="AV142" i="22"/>
  <c r="N172" i="28" s="1"/>
  <c r="AX218" i="22"/>
  <c r="Q254" i="28" s="1"/>
  <c r="BD294" i="22"/>
  <c r="Z346" i="28" s="1"/>
  <c r="BB368" i="22"/>
  <c r="W432" i="28" s="1"/>
  <c r="BB216" i="22"/>
  <c r="W252" i="28" s="1"/>
  <c r="BB258" i="22"/>
  <c r="W300" i="28" s="1"/>
  <c r="AX298" i="22"/>
  <c r="Q350" i="28" s="1"/>
  <c r="AV217" i="22"/>
  <c r="N253" i="28" s="1"/>
  <c r="AR293" i="22"/>
  <c r="H345" i="28" s="1"/>
  <c r="AR294" i="22"/>
  <c r="H346" i="28" s="1"/>
  <c r="AP136" i="22"/>
  <c r="E166" i="28" s="1"/>
  <c r="AP221" i="22"/>
  <c r="E257" i="28" s="1"/>
  <c r="AP307" i="22"/>
  <c r="E361" i="28" s="1"/>
  <c r="BD128" i="22"/>
  <c r="Z158" i="28" s="1"/>
  <c r="AR367" i="22"/>
  <c r="H431" i="28" s="1"/>
  <c r="BD326" i="22"/>
  <c r="Z386" i="28" s="1"/>
  <c r="BD295" i="22"/>
  <c r="Z347" i="28" s="1"/>
  <c r="BD136" i="22"/>
  <c r="Z166" i="28" s="1"/>
  <c r="BD365" i="22"/>
  <c r="Z429" i="28" s="1"/>
  <c r="BB239" i="22"/>
  <c r="W277" i="28" s="1"/>
  <c r="AR128" i="22"/>
  <c r="H158" i="28" s="1"/>
  <c r="AR187" i="22"/>
  <c r="H219" i="28" s="1"/>
  <c r="AP267" i="22"/>
  <c r="E313" i="28" s="1"/>
  <c r="AP249" i="22"/>
  <c r="E289" i="28" s="1"/>
  <c r="AP193" i="22"/>
  <c r="E227" i="28" s="1"/>
  <c r="AV218" i="22"/>
  <c r="N254" i="28" s="1"/>
  <c r="BD125" i="22"/>
  <c r="Z155" i="28" s="1"/>
  <c r="AV131" i="22"/>
  <c r="N161" i="28" s="1"/>
  <c r="BB120" i="22"/>
  <c r="W148" i="28" s="1"/>
  <c r="AP299" i="22"/>
  <c r="E351" i="28" s="1"/>
  <c r="AP272" i="22"/>
  <c r="E320" i="28" s="1"/>
  <c r="AP192" i="22"/>
  <c r="E226" i="28" s="1"/>
  <c r="AP127" i="22"/>
  <c r="E157" i="28" s="1"/>
  <c r="AP22" i="22"/>
  <c r="E40" i="28" s="1"/>
  <c r="BD217" i="22"/>
  <c r="Z253" i="28" s="1"/>
  <c r="BB324" i="22"/>
  <c r="W384" i="28" s="1"/>
  <c r="BD220" i="22"/>
  <c r="Z256" i="28" s="1"/>
  <c r="BB294" i="22"/>
  <c r="W346" i="28" s="1"/>
  <c r="BD129" i="22"/>
  <c r="Z159" i="28" s="1"/>
  <c r="BD137" i="22"/>
  <c r="Z167" i="28" s="1"/>
  <c r="BB128" i="22"/>
  <c r="W158" i="28" s="1"/>
  <c r="AR283" i="22"/>
  <c r="H335" i="28" s="1"/>
  <c r="AX239" i="22"/>
  <c r="Q277" i="28" s="1"/>
  <c r="BB138" i="22"/>
  <c r="W168" i="28" s="1"/>
  <c r="AP295" i="22"/>
  <c r="E347" i="28" s="1"/>
  <c r="AX120" i="22"/>
  <c r="Q148" i="28" s="1"/>
  <c r="AV220" i="22"/>
  <c r="N256" i="28" s="1"/>
  <c r="AX219" i="22"/>
  <c r="Q255" i="28" s="1"/>
  <c r="BD140" i="22"/>
  <c r="Z170" i="28" s="1"/>
  <c r="AV121" i="22"/>
  <c r="N149" i="28" s="1"/>
  <c r="BB139" i="22"/>
  <c r="W169" i="28" s="1"/>
  <c r="BB140" i="22"/>
  <c r="W170" i="28" s="1"/>
  <c r="AP298" i="22"/>
  <c r="E350" i="28" s="1"/>
  <c r="AP363" i="22"/>
  <c r="E427" i="28" s="1"/>
  <c r="AP117" i="22"/>
  <c r="E145" i="28" s="1"/>
  <c r="AP300" i="22"/>
  <c r="E352" i="28" s="1"/>
  <c r="BB115" i="22"/>
  <c r="W143" i="28" s="1"/>
  <c r="BD221" i="22"/>
  <c r="Z257" i="28" s="1"/>
  <c r="AV236" i="22"/>
  <c r="N274" i="28" s="1"/>
  <c r="BB326" i="22"/>
  <c r="W386" i="28" s="1"/>
  <c r="AV222" i="22"/>
  <c r="N258" i="28" s="1"/>
  <c r="AX220" i="22"/>
  <c r="Q256" i="28" s="1"/>
  <c r="BD139" i="22"/>
  <c r="Z169" i="28" s="1"/>
  <c r="AV119" i="22"/>
  <c r="N147" i="28" s="1"/>
  <c r="AV120" i="22"/>
  <c r="N148" i="28" s="1"/>
  <c r="AV146" i="22"/>
  <c r="N178"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BB117" i="22"/>
  <c r="W145" i="28" s="1"/>
  <c r="AV268" i="22"/>
  <c r="N314" i="28" s="1"/>
  <c r="AR144" i="22"/>
  <c r="H176" i="28" s="1"/>
  <c r="AX126" i="22"/>
  <c r="Q156" i="28" s="1"/>
  <c r="BD236" i="22"/>
  <c r="Z274" i="28" s="1"/>
  <c r="AR216" i="22"/>
  <c r="H252" i="28" s="1"/>
  <c r="AR130" i="22"/>
  <c r="H160" i="28" s="1"/>
  <c r="AX299" i="22"/>
  <c r="Q351" i="28" s="1"/>
  <c r="AX367" i="22"/>
  <c r="Q431" i="28" s="1"/>
  <c r="AP140" i="22"/>
  <c r="E170" i="28" s="1"/>
  <c r="AP142" i="22"/>
  <c r="E172" i="28" s="1"/>
  <c r="AP115" i="22"/>
  <c r="E143" i="28" s="1"/>
  <c r="AP216" i="22"/>
  <c r="E252" i="28" s="1"/>
  <c r="AP188" i="22"/>
  <c r="E220" i="28" s="1"/>
  <c r="AR137" i="22"/>
  <c r="H167" i="28" s="1"/>
  <c r="AR140" i="22"/>
  <c r="H170" i="28" s="1"/>
  <c r="BB119" i="22"/>
  <c r="W147" i="28" s="1"/>
  <c r="BD138" i="22"/>
  <c r="Z168" i="28" s="1"/>
  <c r="BD268" i="22"/>
  <c r="Z314" i="28" s="1"/>
  <c r="AV118" i="22"/>
  <c r="N146" i="28" s="1"/>
  <c r="AR284" i="22"/>
  <c r="H336" i="28" s="1"/>
  <c r="AR218" i="22"/>
  <c r="H254" i="28" s="1"/>
  <c r="AV117" i="22"/>
  <c r="N145" i="28" s="1"/>
  <c r="AP283" i="22"/>
  <c r="E335" i="28" s="1"/>
  <c r="AP220" i="22"/>
  <c r="E256" i="28" s="1"/>
  <c r="AP365" i="22"/>
  <c r="E429" i="28" s="1"/>
  <c r="AX128" i="22"/>
  <c r="Q158" i="28" s="1"/>
  <c r="BB130" i="22"/>
  <c r="W160" i="28" s="1"/>
  <c r="AP143" i="22"/>
  <c r="E175" i="28" s="1"/>
  <c r="AV300" i="22"/>
  <c r="N352" i="28" s="1"/>
  <c r="AR145" i="22"/>
  <c r="H177" i="28" s="1"/>
  <c r="AX221" i="22"/>
  <c r="Q257" i="28" s="1"/>
  <c r="BD267" i="22"/>
  <c r="Z313" i="28" s="1"/>
  <c r="BD300" i="22"/>
  <c r="Z352" i="28" s="1"/>
  <c r="AV143" i="22"/>
  <c r="N175" i="28" s="1"/>
  <c r="AR131" i="22"/>
  <c r="H161" i="28" s="1"/>
  <c r="BB362" i="22"/>
  <c r="W426" i="28" s="1"/>
  <c r="BB363" i="22"/>
  <c r="W427" i="28" s="1"/>
  <c r="BB298" i="22"/>
  <c r="W350" i="28" s="1"/>
  <c r="BB366" i="22"/>
  <c r="W430" i="28" s="1"/>
  <c r="AP236" i="22"/>
  <c r="E274" i="28" s="1"/>
  <c r="AP301" i="22"/>
  <c r="E353" i="28" s="1"/>
  <c r="AP268" i="22"/>
  <c r="E314" i="28" s="1"/>
  <c r="AP258" i="22"/>
  <c r="E300" i="28" s="1"/>
  <c r="AP218" i="22"/>
  <c r="E254" i="28" s="1"/>
  <c r="AR368" i="22"/>
  <c r="H432" i="28" s="1"/>
  <c r="AR141" i="22"/>
  <c r="H171" i="28" s="1"/>
  <c r="AX222" i="22"/>
  <c r="Q258" i="28" s="1"/>
  <c r="BD299" i="22"/>
  <c r="Z351" i="28" s="1"/>
  <c r="AX362" i="22"/>
  <c r="Q426" i="28" s="1"/>
  <c r="AV367" i="22"/>
  <c r="N431" i="28" s="1"/>
  <c r="AV258" i="22"/>
  <c r="N300" i="28" s="1"/>
  <c r="AR219" i="22"/>
  <c r="H255" i="28" s="1"/>
  <c r="AV293" i="22"/>
  <c r="N345" i="28" s="1"/>
  <c r="BB364" i="22"/>
  <c r="W428" i="28" s="1"/>
  <c r="AP364" i="22"/>
  <c r="E428" i="28" s="1"/>
  <c r="AP129" i="22"/>
  <c r="E159" i="28" s="1"/>
  <c r="AP284" i="22"/>
  <c r="E336" i="28" s="1"/>
  <c r="AV364" i="22"/>
  <c r="N428" i="28" s="1"/>
  <c r="AR273" i="22"/>
  <c r="H321" i="28" s="1"/>
  <c r="BD298" i="22"/>
  <c r="Z350" i="28" s="1"/>
  <c r="AV362" i="22"/>
  <c r="N426" i="28" s="1"/>
  <c r="AX115" i="22"/>
  <c r="Q143" i="28" s="1"/>
  <c r="AR236" i="22"/>
  <c r="H274" i="28" s="1"/>
  <c r="AR272" i="22"/>
  <c r="H320" i="28" s="1"/>
  <c r="BD364" i="22"/>
  <c r="Z428" i="28" s="1"/>
  <c r="BD142" i="22"/>
  <c r="Z172" i="28" s="1"/>
  <c r="BB299" i="22"/>
  <c r="W351" i="28" s="1"/>
  <c r="AV365" i="22"/>
  <c r="N429" i="28" s="1"/>
  <c r="AV324" i="22"/>
  <c r="N384" i="28" s="1"/>
  <c r="BB129" i="22"/>
  <c r="W159" i="28" s="1"/>
  <c r="AR221" i="22"/>
  <c r="H257" i="28" s="1"/>
  <c r="AR134" i="22"/>
  <c r="H164" i="28" s="1"/>
  <c r="AV134" i="22"/>
  <c r="N164" i="28" s="1"/>
  <c r="AP145" i="22"/>
  <c r="E177" i="28" s="1"/>
  <c r="AP324" i="22"/>
  <c r="E384" i="28" s="1"/>
  <c r="AP293" i="22"/>
  <c r="E345" i="28" s="1"/>
  <c r="AR300" i="22"/>
  <c r="H352" i="28" s="1"/>
  <c r="AR269" i="22"/>
  <c r="H315" i="28" s="1"/>
  <c r="AX144" i="22"/>
  <c r="Q176" i="28" s="1"/>
  <c r="AR268" i="22"/>
  <c r="H314" i="28" s="1"/>
  <c r="AX119" i="22"/>
  <c r="Q147" i="28" s="1"/>
  <c r="AX127" i="22"/>
  <c r="Q157" i="28" s="1"/>
  <c r="BD363" i="22"/>
  <c r="Z427" i="28" s="1"/>
  <c r="BB365" i="22"/>
  <c r="W429" i="28" s="1"/>
  <c r="AV366" i="22"/>
  <c r="N430" i="28" s="1"/>
  <c r="AV368" i="22"/>
  <c r="N432" i="28" s="1"/>
  <c r="AR220" i="22"/>
  <c r="H256" i="28" s="1"/>
  <c r="AR222" i="22"/>
  <c r="H258" i="28" s="1"/>
  <c r="BB220" i="22"/>
  <c r="W256" i="28" s="1"/>
  <c r="AP217" i="22"/>
  <c r="E253" i="28" s="1"/>
  <c r="BB143" i="22"/>
  <c r="W175" i="28" s="1"/>
  <c r="BD115" i="22"/>
  <c r="Z143" i="28" s="1"/>
  <c r="AV139" i="22"/>
  <c r="N169" i="28" s="1"/>
  <c r="AX148" i="22"/>
  <c r="Q180" i="28" s="1"/>
  <c r="AR364" i="22"/>
  <c r="H428" i="28" s="1"/>
  <c r="AR301" i="22"/>
  <c r="H353" i="28" s="1"/>
  <c r="AV125" i="22"/>
  <c r="N155" i="28" s="1"/>
  <c r="AV141" i="22"/>
  <c r="N171" i="28" s="1"/>
  <c r="BD130" i="22"/>
  <c r="Z160" i="28" s="1"/>
  <c r="BD126" i="22"/>
  <c r="Z156" i="28" s="1"/>
  <c r="AR365" i="22"/>
  <c r="H429" i="28" s="1"/>
  <c r="AX216" i="22"/>
  <c r="Q252" i="28" s="1"/>
  <c r="BD218" i="22"/>
  <c r="Z254" i="28" s="1"/>
  <c r="BB293" i="22"/>
  <c r="W345" i="28" s="1"/>
  <c r="BB22" i="22"/>
  <c r="W40" i="28" s="1"/>
  <c r="BD131" i="22"/>
  <c r="Z161" i="28" s="1"/>
  <c r="AX368" i="22"/>
  <c r="Q432" i="28" s="1"/>
  <c r="AV219" i="22"/>
  <c r="N255" i="28" s="1"/>
  <c r="BD127" i="22"/>
  <c r="Z157" i="28" s="1"/>
  <c r="BB295" i="22"/>
  <c r="W347" i="28" s="1"/>
  <c r="BD219" i="22"/>
  <c r="Z255" i="28" s="1"/>
  <c r="BB325" i="22"/>
  <c r="W385" i="28" s="1"/>
  <c r="BD222" i="22"/>
  <c r="Z258" i="28" s="1"/>
  <c r="BD258" i="22"/>
  <c r="Z300" i="28" s="1"/>
  <c r="AV221" i="22"/>
  <c r="N257"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148" i="22"/>
  <c r="W180" i="28" s="1"/>
  <c r="AR142" i="22"/>
  <c r="H172" i="28" s="1"/>
  <c r="AX294" i="22"/>
  <c r="Q346" i="28" s="1"/>
  <c r="AX363" i="22"/>
  <c r="Q427" i="28" s="1"/>
  <c r="AX146" i="22"/>
  <c r="Q178" i="28" s="1"/>
  <c r="AP219" i="22"/>
  <c r="E255" i="28" s="1"/>
  <c r="AP139" i="22"/>
  <c r="E169" i="28" s="1"/>
  <c r="AV127" i="22"/>
  <c r="N157" i="28" s="1"/>
  <c r="BD239" i="22"/>
  <c r="Z277" i="28" s="1"/>
  <c r="BD216" i="22"/>
  <c r="Z252" i="28" s="1"/>
  <c r="AR117" i="22"/>
  <c r="H145" i="28" s="1"/>
  <c r="AR307" i="22"/>
  <c r="H361" i="28" s="1"/>
  <c r="BD144" i="22"/>
  <c r="Z176" i="28" s="1"/>
  <c r="BD120" i="22"/>
  <c r="Z148" i="28" s="1"/>
  <c r="BD118" i="22"/>
  <c r="Z146" i="28" s="1"/>
  <c r="AX130" i="22"/>
  <c r="Q160" i="28" s="1"/>
  <c r="AX269" i="22"/>
  <c r="Q315" i="28" s="1"/>
  <c r="BB142" i="22"/>
  <c r="W172" i="28" s="1"/>
  <c r="AR299" i="22"/>
  <c r="H351" i="28" s="1"/>
  <c r="BF293" i="22" l="1"/>
  <c r="AA345" i="28" s="1"/>
  <c r="AC345" i="28" s="1"/>
  <c r="BF216" i="22"/>
  <c r="AA252" i="28" s="1"/>
  <c r="AC252" i="28" s="1"/>
  <c r="E256" i="12"/>
  <c r="AZ299" i="22"/>
  <c r="R351" i="28" s="1"/>
  <c r="T351" i="28" s="1"/>
  <c r="BF140" i="22"/>
  <c r="AA170" i="28" s="1"/>
  <c r="AC170" i="28" s="1"/>
  <c r="BF217" i="22"/>
  <c r="AA253" i="28" s="1"/>
  <c r="AC253" i="28" s="1"/>
  <c r="M158" i="12"/>
  <c r="U158" i="12"/>
  <c r="BF368" i="22"/>
  <c r="AA432" i="28" s="1"/>
  <c r="AC432" i="28" s="1"/>
  <c r="U317" i="12"/>
  <c r="M42" i="12"/>
  <c r="BF121" i="22"/>
  <c r="AA149" i="28" s="1"/>
  <c r="AC149" i="28" s="1"/>
  <c r="E432" i="12"/>
  <c r="BF134" i="22"/>
  <c r="AA164" i="28" s="1"/>
  <c r="AC164" i="28" s="1"/>
  <c r="AZ139" i="22"/>
  <c r="R169" i="28" s="1"/>
  <c r="T169" i="28" s="1"/>
  <c r="E173" i="12"/>
  <c r="M162" i="12"/>
  <c r="U173" i="12"/>
  <c r="U147" i="12"/>
  <c r="AZ300" i="22"/>
  <c r="R352" i="28" s="1"/>
  <c r="T352" i="28" s="1"/>
  <c r="E176" i="12"/>
  <c r="AZ367" i="22"/>
  <c r="R431" i="28" s="1"/>
  <c r="T431" i="28" s="1"/>
  <c r="U169" i="12"/>
  <c r="AZ148" i="22"/>
  <c r="R180" i="28" s="1"/>
  <c r="T180" i="28" s="1"/>
  <c r="E302" i="12"/>
  <c r="AZ130" i="22"/>
  <c r="R160" i="28" s="1"/>
  <c r="T160" i="28" s="1"/>
  <c r="BF131" i="22"/>
  <c r="AA161" i="28" s="1"/>
  <c r="AC161" i="28" s="1"/>
  <c r="BF300" i="22"/>
  <c r="AA352" i="28" s="1"/>
  <c r="AC352" i="28" s="1"/>
  <c r="M260" i="12"/>
  <c r="E363" i="12"/>
  <c r="BF366" i="22"/>
  <c r="AA430" i="28" s="1"/>
  <c r="AC430" i="28" s="1"/>
  <c r="E148" i="12"/>
  <c r="E166" i="12"/>
  <c r="M432" i="12"/>
  <c r="E352" i="12"/>
  <c r="E159" i="12"/>
  <c r="BF258" i="22"/>
  <c r="AA300" i="28" s="1"/>
  <c r="AC300" i="28" s="1"/>
  <c r="BF130" i="22"/>
  <c r="AA160" i="28" s="1"/>
  <c r="AC160" i="28" s="1"/>
  <c r="M171" i="12"/>
  <c r="U431" i="12"/>
  <c r="M386" i="12"/>
  <c r="M428" i="12"/>
  <c r="M347" i="12"/>
  <c r="E316" i="12"/>
  <c r="BF267" i="22"/>
  <c r="AA313" i="28" s="1"/>
  <c r="AC313" i="28" s="1"/>
  <c r="E229" i="12"/>
  <c r="M317" i="12"/>
  <c r="U302" i="12"/>
  <c r="M172" i="12"/>
  <c r="E151" i="12"/>
  <c r="E221" i="12"/>
  <c r="AZ129" i="22"/>
  <c r="R159" i="28" s="1"/>
  <c r="T159" i="28" s="1"/>
  <c r="AZ121" i="22"/>
  <c r="R149" i="28" s="1"/>
  <c r="T149" i="28" s="1"/>
  <c r="E160" i="12"/>
  <c r="E157" i="12"/>
  <c r="AZ294" i="22"/>
  <c r="R346" i="28" s="1"/>
  <c r="T346" i="28" s="1"/>
  <c r="U161" i="12"/>
  <c r="BF363" i="22"/>
  <c r="AA427" i="28" s="1"/>
  <c r="AC427" i="28" s="1"/>
  <c r="E431" i="12"/>
  <c r="M173" i="12"/>
  <c r="U257" i="12"/>
  <c r="U172" i="12"/>
  <c r="E353" i="12"/>
  <c r="U434" i="12"/>
  <c r="AZ142" i="22"/>
  <c r="R172" i="28" s="1"/>
  <c r="T172" i="28" s="1"/>
  <c r="E112" i="12"/>
  <c r="AZ131" i="22"/>
  <c r="R161" i="28" s="1"/>
  <c r="T161" i="28" s="1"/>
  <c r="E175" i="12"/>
  <c r="AZ326" i="22"/>
  <c r="R386" i="28" s="1"/>
  <c r="T386" i="28" s="1"/>
  <c r="AZ115" i="22"/>
  <c r="R143" i="28" s="1"/>
  <c r="T143" i="28" s="1"/>
  <c r="U42" i="12"/>
  <c r="M431" i="12"/>
  <c r="U352" i="12"/>
  <c r="AZ221" i="22"/>
  <c r="R257" i="28" s="1"/>
  <c r="T257" i="28" s="1"/>
  <c r="M276" i="12"/>
  <c r="U171" i="12"/>
  <c r="E315" i="12"/>
  <c r="AZ140" i="22"/>
  <c r="R170" i="28" s="1"/>
  <c r="T170" i="28" s="1"/>
  <c r="AZ324" i="22"/>
  <c r="R384" i="28" s="1"/>
  <c r="T384" i="28" s="1"/>
  <c r="AZ364" i="22"/>
  <c r="R428" i="28" s="1"/>
  <c r="T428" i="28" s="1"/>
  <c r="M147" i="12"/>
  <c r="U432" i="12"/>
  <c r="U254" i="12"/>
  <c r="BF222" i="22"/>
  <c r="AA258" i="28" s="1"/>
  <c r="AC258" i="28" s="1"/>
  <c r="BF115" i="22"/>
  <c r="AA143" i="28" s="1"/>
  <c r="AC143" i="28" s="1"/>
  <c r="AZ127" i="22"/>
  <c r="R157" i="28" s="1"/>
  <c r="T157" i="28" s="1"/>
  <c r="U353" i="12"/>
  <c r="E349" i="12"/>
  <c r="BF137" i="22"/>
  <c r="AA167" i="28" s="1"/>
  <c r="AC167" i="28" s="1"/>
  <c r="BF136" i="22"/>
  <c r="AA166" i="28" s="1"/>
  <c r="AC166" i="28" s="1"/>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BF148" i="22"/>
  <c r="AA180" i="28" s="1"/>
  <c r="AC180" i="28" s="1"/>
  <c r="E149" i="12"/>
  <c r="BF118" i="22"/>
  <c r="AA146" i="28" s="1"/>
  <c r="AC146" i="28" s="1"/>
  <c r="U163" i="12"/>
  <c r="E257" i="12"/>
  <c r="M315" i="12"/>
  <c r="U347" i="12"/>
  <c r="U175" i="12"/>
  <c r="E386" i="12"/>
  <c r="BF142" i="22"/>
  <c r="AA172" i="28" s="1"/>
  <c r="AC172" i="28" s="1"/>
  <c r="BF298" i="22"/>
  <c r="AA350" i="28" s="1"/>
  <c r="AC350" i="28" s="1"/>
  <c r="U428" i="12"/>
  <c r="E258" i="12"/>
  <c r="E254" i="12"/>
  <c r="BF326" i="22"/>
  <c r="AA386" i="28" s="1"/>
  <c r="AC386" i="28" s="1"/>
  <c r="U276" i="12"/>
  <c r="U259" i="12"/>
  <c r="AZ267" i="22"/>
  <c r="R313" i="28" s="1"/>
  <c r="T313" i="28" s="1"/>
  <c r="AZ220" i="22"/>
  <c r="R256" i="28" s="1"/>
  <c r="T256" i="28" s="1"/>
  <c r="BF364" i="22"/>
  <c r="AA428" i="28" s="1"/>
  <c r="AC428" i="28" s="1"/>
  <c r="M176" i="12"/>
  <c r="E168" i="12"/>
  <c r="M254" i="12"/>
  <c r="U316" i="12"/>
  <c r="AZ134" i="22"/>
  <c r="R164" i="28" s="1"/>
  <c r="T164" i="28" s="1"/>
  <c r="BF120" i="22"/>
  <c r="AA148" i="28" s="1"/>
  <c r="AC148" i="28" s="1"/>
  <c r="E255" i="12"/>
  <c r="E337" i="12"/>
  <c r="M148" i="12"/>
  <c r="E145" i="12"/>
  <c r="E150" i="12"/>
  <c r="U256" i="12"/>
  <c r="AZ268" i="22"/>
  <c r="R314" i="28" s="1"/>
  <c r="T314" i="28" s="1"/>
  <c r="M388" i="12"/>
  <c r="AZ293" i="22"/>
  <c r="R345" i="28" s="1"/>
  <c r="T345" i="28" s="1"/>
  <c r="BF117" i="22"/>
  <c r="AA145" i="28" s="1"/>
  <c r="AC145" i="28" s="1"/>
  <c r="M160" i="12"/>
  <c r="BF126" i="22"/>
  <c r="AA156" i="28" s="1"/>
  <c r="AC156" i="28" s="1"/>
  <c r="M433" i="12"/>
  <c r="U255" i="12"/>
  <c r="AZ137" i="22"/>
  <c r="R167" i="28" s="1"/>
  <c r="T167" i="28" s="1"/>
  <c r="E169" i="12"/>
  <c r="E355" i="12"/>
  <c r="BF362" i="22"/>
  <c r="AA426" i="28" s="1"/>
  <c r="AC426" i="28" s="1"/>
  <c r="M430" i="12"/>
  <c r="M178" i="12"/>
  <c r="U178" i="12"/>
  <c r="E163" i="12"/>
  <c r="AZ136" i="22"/>
  <c r="R166" i="28" s="1"/>
  <c r="T166" i="28" s="1"/>
  <c r="AZ146" i="22"/>
  <c r="R178" i="28" s="1"/>
  <c r="T178" i="28" s="1"/>
  <c r="E161" i="12"/>
  <c r="E248" i="12"/>
  <c r="E279" i="12"/>
  <c r="M434" i="12"/>
  <c r="E42" i="12"/>
  <c r="E228" i="12"/>
  <c r="U349" i="12"/>
  <c r="E172" i="12"/>
  <c r="M354" i="12"/>
  <c r="E428" i="12"/>
  <c r="U348" i="12"/>
  <c r="M174" i="12"/>
  <c r="AZ325" i="22"/>
  <c r="R385" i="28" s="1"/>
  <c r="T385" i="28" s="1"/>
  <c r="E260" i="12"/>
  <c r="U177" i="12"/>
  <c r="BF145" i="22"/>
  <c r="AA177" i="28" s="1"/>
  <c r="AC177" i="28" s="1"/>
  <c r="E158" i="12"/>
  <c r="E348" i="12"/>
  <c r="U258" i="12"/>
  <c r="BF268" i="22"/>
  <c r="AA314" i="28" s="1"/>
  <c r="AC314" i="28" s="1"/>
  <c r="E174" i="12"/>
  <c r="U170" i="12"/>
  <c r="BF128" i="22"/>
  <c r="AA158" i="28" s="1"/>
  <c r="AC158" i="28" s="1"/>
  <c r="M157" i="12"/>
  <c r="AZ126" i="22"/>
  <c r="R156" i="28" s="1"/>
  <c r="T156" i="28" s="1"/>
  <c r="E156" i="12"/>
  <c r="M149" i="12"/>
  <c r="M163" i="12"/>
  <c r="U151" i="12"/>
  <c r="E388" i="12"/>
  <c r="E317" i="12"/>
  <c r="M257" i="12"/>
  <c r="AZ219" i="22"/>
  <c r="R255" i="28" s="1"/>
  <c r="T255" i="28" s="1"/>
  <c r="E276" i="12"/>
  <c r="E322" i="12"/>
  <c r="BF219" i="22"/>
  <c r="AA255" i="28" s="1"/>
  <c r="AC255" i="28" s="1"/>
  <c r="AZ362" i="22"/>
  <c r="R426" i="28" s="1"/>
  <c r="T426" i="28" s="1"/>
  <c r="BF218" i="22"/>
  <c r="AA254" i="28" s="1"/>
  <c r="AC254" i="28" s="1"/>
  <c r="AZ269" i="22"/>
  <c r="R315" i="28" s="1"/>
  <c r="T315" i="28" s="1"/>
  <c r="AZ117" i="22"/>
  <c r="R145" i="28" s="1"/>
  <c r="T145" i="28" s="1"/>
  <c r="M259" i="12"/>
  <c r="M166" i="12"/>
  <c r="AZ125" i="22"/>
  <c r="R155" i="28" s="1"/>
  <c r="T155" i="28" s="1"/>
  <c r="AZ145" i="22"/>
  <c r="R177" i="28" s="1"/>
  <c r="T177" i="28" s="1"/>
  <c r="M170" i="12"/>
  <c r="E180" i="12"/>
  <c r="M279" i="12"/>
  <c r="U260" i="12"/>
  <c r="M348" i="12"/>
  <c r="M168" i="12"/>
  <c r="U430" i="12"/>
  <c r="M175" i="12"/>
  <c r="E347" i="12"/>
  <c r="BF138" i="22"/>
  <c r="AA168" i="28" s="1"/>
  <c r="AC168" i="28" s="1"/>
  <c r="E434" i="12"/>
  <c r="E170" i="12"/>
  <c r="E387" i="12"/>
  <c r="U148" i="12"/>
  <c r="U166" i="12"/>
  <c r="BF367" i="22"/>
  <c r="AA431" i="28" s="1"/>
  <c r="AC431" i="28" s="1"/>
  <c r="E147" i="12"/>
  <c r="M169" i="12"/>
  <c r="M316" i="12"/>
  <c r="U388" i="12"/>
  <c r="M302" i="12"/>
  <c r="BF294" i="22"/>
  <c r="AA346" i="28" s="1"/>
  <c r="AC346" i="28" s="1"/>
  <c r="E177" i="12"/>
  <c r="E323" i="12"/>
  <c r="E354" i="12"/>
  <c r="BF127" i="22"/>
  <c r="AA157" i="28" s="1"/>
  <c r="AC157" i="28" s="1"/>
  <c r="E430" i="12"/>
  <c r="BF299" i="22"/>
  <c r="AA351" i="28" s="1"/>
  <c r="AC351" i="28" s="1"/>
  <c r="M151" i="12"/>
  <c r="AZ120" i="22"/>
  <c r="R148" i="28" s="1"/>
  <c r="T148" i="28" s="1"/>
  <c r="BF125" i="22"/>
  <c r="AA155" i="28" s="1"/>
  <c r="AC155" i="28" s="1"/>
  <c r="E433" i="12"/>
  <c r="AZ366" i="22"/>
  <c r="R430" i="28" s="1"/>
  <c r="T430" i="28" s="1"/>
  <c r="E320" i="12"/>
  <c r="U176" i="12"/>
  <c r="M161" i="12"/>
  <c r="BF239" i="22"/>
  <c r="AA277" i="28" s="1"/>
  <c r="AC277" i="28" s="1"/>
  <c r="U279" i="12"/>
  <c r="M159" i="12"/>
  <c r="U162" i="12"/>
  <c r="BF365" i="22"/>
  <c r="AA429" i="28" s="1"/>
  <c r="AC429" i="28" s="1"/>
  <c r="E259" i="12"/>
  <c r="M352" i="12"/>
  <c r="U168" i="12"/>
  <c r="U174" i="12"/>
  <c r="M258" i="12"/>
  <c r="AZ119" i="22"/>
  <c r="R147" i="28" s="1"/>
  <c r="T147" i="28" s="1"/>
  <c r="AZ218" i="22"/>
  <c r="R254" i="28" s="1"/>
  <c r="T254" i="28" s="1"/>
  <c r="AZ216" i="22"/>
  <c r="R252" i="28" s="1"/>
  <c r="T252" i="28" s="1"/>
  <c r="BF220" i="22"/>
  <c r="AA256" i="28" s="1"/>
  <c r="AC256" i="28" s="1"/>
  <c r="M255" i="12"/>
  <c r="M353" i="12"/>
  <c r="BF325" i="22"/>
  <c r="AA385" i="28" s="1"/>
  <c r="AC385" i="28" s="1"/>
  <c r="AZ144" i="22"/>
  <c r="R176" i="28" s="1"/>
  <c r="T176" i="28" s="1"/>
  <c r="U160" i="12"/>
  <c r="BF324" i="22"/>
  <c r="AA384" i="28" s="1"/>
  <c r="AC384" i="28" s="1"/>
  <c r="U354" i="12"/>
  <c r="BF236" i="22"/>
  <c r="AA274" i="28" s="1"/>
  <c r="AC274" i="28" s="1"/>
  <c r="E338" i="12"/>
  <c r="BF119" i="22"/>
  <c r="AA147" i="28" s="1"/>
  <c r="AC147" i="28" s="1"/>
  <c r="M429" i="12"/>
  <c r="U149" i="12"/>
  <c r="BF139" i="22"/>
  <c r="AA169" i="28" s="1"/>
  <c r="AC169" i="28" s="1"/>
  <c r="U386" i="12"/>
  <c r="U433" i="12"/>
  <c r="AZ138" i="22"/>
  <c r="R168" i="28" s="1"/>
  <c r="T168" i="28" s="1"/>
  <c r="AZ141" i="22"/>
  <c r="R171" i="28" s="1"/>
  <c r="T171" i="28" s="1"/>
  <c r="BF269" i="22"/>
  <c r="AA315" i="28" s="1"/>
  <c r="AC315" i="28" s="1"/>
  <c r="AZ258" i="22"/>
  <c r="R300" i="28" s="1"/>
  <c r="T300" i="28" s="1"/>
  <c r="AZ295" i="22"/>
  <c r="R347" i="28" s="1"/>
  <c r="T347" i="28" s="1"/>
  <c r="M349" i="12"/>
  <c r="AZ363" i="22"/>
  <c r="R427" i="28" s="1"/>
  <c r="T427" i="28" s="1"/>
  <c r="AZ368" i="22"/>
  <c r="R432" i="28" s="1"/>
  <c r="T432" i="28" s="1"/>
  <c r="M387" i="12"/>
  <c r="E291" i="12"/>
  <c r="BF144" i="22"/>
  <c r="AA176" i="28" s="1"/>
  <c r="AC176" i="28" s="1"/>
  <c r="U180" i="12"/>
  <c r="AZ222" i="22"/>
  <c r="R258" i="28" s="1"/>
  <c r="T258" i="28" s="1"/>
  <c r="AZ239" i="22"/>
  <c r="R277" i="28" s="1"/>
  <c r="T277" i="28" s="1"/>
  <c r="AZ298" i="22"/>
  <c r="R350" i="28" s="1"/>
  <c r="T350" i="28" s="1"/>
  <c r="BF143" i="22"/>
  <c r="AA175" i="28" s="1"/>
  <c r="AC175" i="28" s="1"/>
  <c r="BF146" i="22"/>
  <c r="AA178" i="28" s="1"/>
  <c r="AC178" i="28" s="1"/>
  <c r="U157" i="12"/>
  <c r="AZ143" i="22"/>
  <c r="R175" i="28" s="1"/>
  <c r="T175" i="28" s="1"/>
  <c r="M145" i="12"/>
  <c r="E287" i="12"/>
  <c r="AZ217" i="22"/>
  <c r="R253" i="28" s="1"/>
  <c r="T253" i="28" s="1"/>
  <c r="AZ118" i="22"/>
  <c r="R146" i="28" s="1"/>
  <c r="T146" i="28" s="1"/>
  <c r="E429" i="12"/>
  <c r="U145" i="12"/>
  <c r="U150" i="12"/>
  <c r="M150" i="12"/>
  <c r="BF129" i="22"/>
  <c r="AA159" i="28" s="1"/>
  <c r="AC159" i="28" s="1"/>
  <c r="U315" i="12"/>
  <c r="M256" i="12"/>
  <c r="AZ365" i="22"/>
  <c r="R429" i="28" s="1"/>
  <c r="T429" i="28" s="1"/>
  <c r="E217" i="12"/>
  <c r="M180" i="12"/>
  <c r="U159" i="12"/>
  <c r="E162" i="12"/>
  <c r="AU221" i="22"/>
  <c r="J257" i="28" s="1"/>
  <c r="AT221" i="22"/>
  <c r="I257" i="28" s="1"/>
  <c r="K257" i="28" s="1"/>
  <c r="AT236" i="22"/>
  <c r="I274" i="28" s="1"/>
  <c r="K274" i="28" s="1"/>
  <c r="AU236" i="22"/>
  <c r="J274" i="28" s="1"/>
  <c r="AU283" i="22"/>
  <c r="J335" i="28" s="1"/>
  <c r="AT283" i="22"/>
  <c r="I335" i="28" s="1"/>
  <c r="K335" i="28" s="1"/>
  <c r="AT258" i="22"/>
  <c r="I300" i="28" s="1"/>
  <c r="K300" i="28" s="1"/>
  <c r="AU258" i="22"/>
  <c r="J300" i="28" s="1"/>
  <c r="AU120" i="22"/>
  <c r="J148" i="28" s="1"/>
  <c r="AT120" i="22"/>
  <c r="I148" i="28" s="1"/>
  <c r="K14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U127" i="22"/>
  <c r="J157" i="28" s="1"/>
  <c r="AT127" i="22"/>
  <c r="I157" i="28" s="1"/>
  <c r="K157" i="28" s="1"/>
  <c r="AU362" i="22"/>
  <c r="J426" i="28" s="1"/>
  <c r="AT362" i="22"/>
  <c r="I426" i="28" s="1"/>
  <c r="K426"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G221" i="22"/>
  <c r="AB257" i="28" s="1"/>
  <c r="BA221" i="22"/>
  <c r="S257" i="28" s="1"/>
  <c r="BA236" i="22"/>
  <c r="S274" i="28" s="1"/>
  <c r="BG236" i="22"/>
  <c r="AB274" i="28" s="1"/>
  <c r="BG283" i="22"/>
  <c r="AB335" i="28" s="1"/>
  <c r="BA283" i="22"/>
  <c r="S335" i="28" s="1"/>
  <c r="BA258" i="22"/>
  <c r="S300" i="28" s="1"/>
  <c r="BG258" i="22"/>
  <c r="AB300" i="28" s="1"/>
  <c r="BG120" i="22"/>
  <c r="AB148" i="28" s="1"/>
  <c r="BA120" i="22"/>
  <c r="S14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A295" i="22"/>
  <c r="S347" i="28" s="1"/>
  <c r="BG295" i="22"/>
  <c r="AB347"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124" i="22"/>
  <c r="G154" i="28" s="1"/>
  <c r="H156" i="12"/>
  <c r="BE218" i="22"/>
  <c r="Y254" i="28" s="1"/>
  <c r="X256"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67" i="22"/>
  <c r="G431" i="28" s="1"/>
  <c r="H433" i="12"/>
  <c r="BE118" i="22"/>
  <c r="Y146" i="28" s="1"/>
  <c r="X148" i="12"/>
  <c r="BE120" i="22"/>
  <c r="Y148" i="28" s="1"/>
  <c r="X150" i="12"/>
  <c r="BE127" i="22"/>
  <c r="Y157" i="28" s="1"/>
  <c r="X159" i="12"/>
  <c r="BE144" i="22"/>
  <c r="Y176" i="28" s="1"/>
  <c r="X176" i="12"/>
  <c r="AS295" i="22"/>
  <c r="G347" i="28" s="1"/>
  <c r="H349" i="12"/>
  <c r="AY127" i="22"/>
  <c r="P157" i="28" s="1"/>
  <c r="P159" i="12"/>
  <c r="AS300" i="22"/>
  <c r="G352" i="28" s="1"/>
  <c r="H354" i="12"/>
  <c r="AS299" i="22"/>
  <c r="G351" i="28" s="1"/>
  <c r="H353" i="12"/>
  <c r="AY217" i="22"/>
  <c r="P253" i="28" s="1"/>
  <c r="P255" i="12"/>
  <c r="AS128" i="22"/>
  <c r="G158" i="28" s="1"/>
  <c r="H160" i="12"/>
  <c r="AY298" i="22"/>
  <c r="P350" i="28" s="1"/>
  <c r="P352" i="12"/>
  <c r="AY267" i="22"/>
  <c r="P313" i="28" s="1"/>
  <c r="P315" i="12"/>
  <c r="AY140" i="22"/>
  <c r="P170" i="28" s="1"/>
  <c r="P172" i="12"/>
  <c r="AY142" i="22"/>
  <c r="P172" i="28" s="1"/>
  <c r="P174" i="12"/>
  <c r="AY294" i="22"/>
  <c r="P346" i="28" s="1"/>
  <c r="P348"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AS294" i="22"/>
  <c r="G346" i="28" s="1"/>
  <c r="H348"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S239" i="22"/>
  <c r="G277" i="28" s="1"/>
  <c r="H279" i="12"/>
  <c r="AY324" i="22"/>
  <c r="P384" i="28" s="1"/>
  <c r="P386" i="12"/>
  <c r="AY117" i="22"/>
  <c r="P145" i="28" s="1"/>
  <c r="P147" i="12"/>
  <c r="AS298" i="22"/>
  <c r="G350" i="28" s="1"/>
  <c r="H352" i="12"/>
  <c r="AY218" i="22"/>
  <c r="P254" i="28" s="1"/>
  <c r="P256" i="12"/>
  <c r="AY129" i="22"/>
  <c r="P159" i="28" s="1"/>
  <c r="P161" i="12"/>
  <c r="AS301" i="22"/>
  <c r="G353" i="28" s="1"/>
  <c r="H355" i="12"/>
  <c r="AS364" i="22"/>
  <c r="G428" i="28" s="1"/>
  <c r="H430" i="12"/>
  <c r="AS219" i="22"/>
  <c r="G255" i="28" s="1"/>
  <c r="H257" i="12"/>
  <c r="AY128" i="22"/>
  <c r="P158" i="28" s="1"/>
  <c r="P160" i="12"/>
  <c r="AY325" i="22"/>
  <c r="P385" i="28" s="1"/>
  <c r="P387" i="12"/>
  <c r="AY236" i="22"/>
  <c r="P274" i="28" s="1"/>
  <c r="P276" i="12"/>
  <c r="AY121" i="22"/>
  <c r="P149" i="28" s="1"/>
  <c r="P151" i="12"/>
  <c r="AS131" i="22"/>
  <c r="G161" i="28" s="1"/>
  <c r="H163" i="12"/>
  <c r="AY146" i="22"/>
  <c r="P178" i="28" s="1"/>
  <c r="P178" i="12"/>
  <c r="AY299" i="22"/>
  <c r="P351" i="28" s="1"/>
  <c r="P353" i="12"/>
  <c r="AY368" i="22"/>
  <c r="P432" i="28" s="1"/>
  <c r="P434" i="12"/>
  <c r="BE142" i="22"/>
  <c r="Y172" i="28" s="1"/>
  <c r="X174" i="12"/>
  <c r="BE258" i="22"/>
  <c r="Y300" i="28" s="1"/>
  <c r="X302" i="12"/>
  <c r="BE364" i="22"/>
  <c r="Y428" i="28" s="1"/>
  <c r="X430"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Y268" i="22"/>
  <c r="P314" i="28" s="1"/>
  <c r="P316" i="12"/>
  <c r="BE119" i="22"/>
  <c r="Y147" i="28" s="1"/>
  <c r="X149" i="12"/>
  <c r="AS267" i="22"/>
  <c r="G313" i="28" s="1"/>
  <c r="H315" i="12"/>
  <c r="AS273" i="22"/>
  <c r="G321" i="28" s="1"/>
  <c r="H323"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AS366" i="22"/>
  <c r="G430" i="28" s="1"/>
  <c r="H432" i="12"/>
  <c r="AS362" i="22"/>
  <c r="G426" i="28" s="1"/>
  <c r="H428" i="12"/>
  <c r="AY118" i="22"/>
  <c r="P146" i="28" s="1"/>
  <c r="P148" i="12"/>
  <c r="AY258" i="22"/>
  <c r="P300" i="28" s="1"/>
  <c r="P302" i="12"/>
  <c r="BE367" i="22"/>
  <c r="Y431" i="28" s="1"/>
  <c r="X433"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AS129" i="22"/>
  <c r="G159" i="28" s="1"/>
  <c r="H161" i="12"/>
  <c r="BE326" i="22"/>
  <c r="Y386" i="28" s="1"/>
  <c r="X388" i="12"/>
  <c r="BE143" i="22"/>
  <c r="Y175" i="28" s="1"/>
  <c r="X175" i="12"/>
  <c r="AY295" i="22"/>
  <c r="P347" i="28" s="1"/>
  <c r="P349" i="12"/>
  <c r="AY144" i="22"/>
  <c r="P176" i="28" s="1"/>
  <c r="P176" i="12"/>
  <c r="BE146" i="22"/>
  <c r="Y178" i="28" s="1"/>
  <c r="X178" i="12"/>
  <c r="AS136" i="22"/>
  <c r="G166" i="28" s="1"/>
  <c r="H168" i="12"/>
  <c r="BE140" i="22"/>
  <c r="Y170" i="28" s="1"/>
  <c r="X172" i="12"/>
  <c r="AS126" i="22"/>
  <c r="G156" i="28" s="1"/>
  <c r="H158" i="12"/>
  <c r="AS125" i="22"/>
  <c r="G155" i="28" s="1"/>
  <c r="H157" i="12"/>
  <c r="AS270" i="22"/>
  <c r="G318" i="28" s="1"/>
  <c r="H320" i="12"/>
  <c r="BE219" i="22"/>
  <c r="Y255" i="28" s="1"/>
  <c r="X257" i="12"/>
  <c r="AY239" i="22"/>
  <c r="P277" i="28" s="1"/>
  <c r="P279" i="12"/>
  <c r="AS127" i="22"/>
  <c r="G157" i="28" s="1"/>
  <c r="H159" i="12"/>
  <c r="AY130" i="22"/>
  <c r="P160" i="28" s="1"/>
  <c r="P162" i="12"/>
  <c r="AY219" i="22"/>
  <c r="P255" i="28" s="1"/>
  <c r="P257" i="12"/>
  <c r="AS284" i="22"/>
  <c r="G336" i="28" s="1"/>
  <c r="H338" i="12"/>
  <c r="BE216" i="22"/>
  <c r="Y252" i="28" s="1"/>
  <c r="X254" i="12"/>
  <c r="AS142" i="22"/>
  <c r="G172" i="28" s="1"/>
  <c r="H174" i="12"/>
  <c r="AY148" i="22"/>
  <c r="P180" i="28" s="1"/>
  <c r="P180" i="12"/>
  <c r="AS368" i="22"/>
  <c r="G432" i="28" s="1"/>
  <c r="H434" i="12"/>
  <c r="AS283" i="22"/>
  <c r="G335" i="28" s="1"/>
  <c r="H337" i="12"/>
  <c r="BE220" i="22"/>
  <c r="Y256" i="28" s="1"/>
  <c r="X258" i="12"/>
  <c r="AY141" i="22"/>
  <c r="P171" i="28" s="1"/>
  <c r="P173" i="12"/>
  <c r="AS183" i="22"/>
  <c r="G215" i="28" s="1"/>
  <c r="H217" i="12"/>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C335" i="21"/>
  <c r="D335" i="21" s="1"/>
  <c r="C334" i="21"/>
  <c r="C332" i="21"/>
  <c r="C331" i="21"/>
  <c r="D331" i="21" s="1"/>
  <c r="C330" i="21"/>
  <c r="C329" i="21"/>
  <c r="C328" i="21"/>
  <c r="D328" i="21" s="1"/>
  <c r="C327" i="21"/>
  <c r="D327" i="21" s="1"/>
  <c r="C323" i="21"/>
  <c r="C322" i="21"/>
  <c r="D322" i="21" s="1"/>
  <c r="C321" i="21"/>
  <c r="C320" i="21"/>
  <c r="D320" i="21" s="1"/>
  <c r="C319" i="21"/>
  <c r="D319" i="21" s="1"/>
  <c r="C318" i="21"/>
  <c r="D318" i="21" s="1"/>
  <c r="C317" i="21"/>
  <c r="D317" i="21" s="1"/>
  <c r="A376" i="28" s="1"/>
  <c r="C316" i="21"/>
  <c r="D316" i="21" s="1"/>
  <c r="C315" i="21"/>
  <c r="D315" i="21" s="1"/>
  <c r="C314" i="21"/>
  <c r="D314" i="21" s="1"/>
  <c r="C313" i="21"/>
  <c r="C312" i="21"/>
  <c r="C311" i="21"/>
  <c r="D311" i="21" s="1"/>
  <c r="C310" i="21"/>
  <c r="D310" i="21" s="1"/>
  <c r="C309" i="21"/>
  <c r="D309" i="21" s="1"/>
  <c r="C308" i="21"/>
  <c r="D308" i="21" s="1"/>
  <c r="J307" i="21"/>
  <c r="I307" i="21"/>
  <c r="H307" i="21"/>
  <c r="G307" i="21"/>
  <c r="F307" i="21"/>
  <c r="C307" i="21"/>
  <c r="D307" i="21" s="1"/>
  <c r="M307" i="21" s="1"/>
  <c r="C306" i="21"/>
  <c r="C305" i="21"/>
  <c r="D305" i="21" s="1"/>
  <c r="C304" i="21"/>
  <c r="D304" i="21" s="1"/>
  <c r="C303" i="21"/>
  <c r="C302" i="21"/>
  <c r="J301" i="21"/>
  <c r="I301" i="21"/>
  <c r="H301" i="21"/>
  <c r="G301" i="21"/>
  <c r="F301" i="21"/>
  <c r="C301" i="21"/>
  <c r="D301" i="21" s="1"/>
  <c r="M301" i="21" s="1"/>
  <c r="C297" i="21"/>
  <c r="C296" i="21"/>
  <c r="D296" i="21" s="1"/>
  <c r="C292" i="21"/>
  <c r="D292" i="21" s="1"/>
  <c r="C291" i="21"/>
  <c r="C290" i="21"/>
  <c r="D290" i="21" s="1"/>
  <c r="C289" i="21"/>
  <c r="D289" i="21" s="1"/>
  <c r="C288" i="21"/>
  <c r="D288" i="21" s="1"/>
  <c r="C287" i="21"/>
  <c r="D287" i="21" s="1"/>
  <c r="C286" i="21"/>
  <c r="D286" i="21" s="1"/>
  <c r="C285" i="21"/>
  <c r="D285" i="21" s="1"/>
  <c r="J284" i="21"/>
  <c r="I284" i="21"/>
  <c r="H284" i="21"/>
  <c r="G284" i="21"/>
  <c r="F284" i="21"/>
  <c r="C284" i="21"/>
  <c r="D284" i="21" s="1"/>
  <c r="M284" i="21" s="1"/>
  <c r="J283" i="21"/>
  <c r="I283" i="21"/>
  <c r="H283" i="21"/>
  <c r="G283" i="21"/>
  <c r="F283" i="21"/>
  <c r="C283" i="21"/>
  <c r="D283" i="21" s="1"/>
  <c r="M283" i="21" s="1"/>
  <c r="C282" i="21"/>
  <c r="D282" i="21" s="1"/>
  <c r="C281" i="21"/>
  <c r="D281" i="21" s="1"/>
  <c r="C280" i="21"/>
  <c r="D280" i="21" s="1"/>
  <c r="C279" i="21"/>
  <c r="D279" i="21" s="1"/>
  <c r="C278" i="21"/>
  <c r="C277" i="21"/>
  <c r="D277" i="21" s="1"/>
  <c r="C276" i="21"/>
  <c r="D276" i="21" s="1"/>
  <c r="C275" i="21"/>
  <c r="C274" i="21"/>
  <c r="D274" i="21" s="1"/>
  <c r="J273" i="21"/>
  <c r="I273" i="21"/>
  <c r="H273" i="21"/>
  <c r="G273" i="21"/>
  <c r="F273" i="21"/>
  <c r="C273" i="21"/>
  <c r="D273" i="21" s="1"/>
  <c r="J272" i="21"/>
  <c r="I272" i="21"/>
  <c r="H272" i="21"/>
  <c r="G272" i="21"/>
  <c r="F272" i="21"/>
  <c r="C272" i="21"/>
  <c r="D272" i="21" s="1"/>
  <c r="M272" i="21" s="1"/>
  <c r="C271" i="21"/>
  <c r="D271" i="21" s="1"/>
  <c r="J270" i="21"/>
  <c r="I270" i="21"/>
  <c r="H270" i="21"/>
  <c r="G270" i="21"/>
  <c r="F270" i="21"/>
  <c r="C270" i="21"/>
  <c r="D270" i="21" s="1"/>
  <c r="C266" i="21"/>
  <c r="D266" i="21" s="1"/>
  <c r="C265" i="21"/>
  <c r="D265" i="21" s="1"/>
  <c r="C264" i="21"/>
  <c r="C263" i="21"/>
  <c r="D263" i="21" s="1"/>
  <c r="C262" i="21"/>
  <c r="D262" i="21" s="1"/>
  <c r="C261" i="21"/>
  <c r="D261" i="21" s="1"/>
  <c r="C260" i="21"/>
  <c r="D260" i="21" s="1"/>
  <c r="C259" i="21"/>
  <c r="D259" i="21" s="1"/>
  <c r="C257" i="21"/>
  <c r="D257" i="21" s="1"/>
  <c r="C256" i="21"/>
  <c r="D256" i="21" s="1"/>
  <c r="C255" i="21"/>
  <c r="D255" i="21" s="1"/>
  <c r="C254" i="21"/>
  <c r="D254" i="21" s="1"/>
  <c r="C253" i="21"/>
  <c r="D253" i="21" s="1"/>
  <c r="C252" i="21"/>
  <c r="D252" i="21" s="1"/>
  <c r="C251" i="21"/>
  <c r="D251" i="21" s="1"/>
  <c r="C250" i="21"/>
  <c r="D250" i="21" s="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D238" i="21" s="1"/>
  <c r="C237" i="21"/>
  <c r="D237" i="21" s="1"/>
  <c r="C235" i="21"/>
  <c r="D235" i="21" s="1"/>
  <c r="C234" i="21"/>
  <c r="C233" i="21"/>
  <c r="D233" i="21" s="1"/>
  <c r="C232" i="21"/>
  <c r="C231" i="21"/>
  <c r="D231" i="21" s="1"/>
  <c r="C230" i="21"/>
  <c r="D230" i="21" s="1"/>
  <c r="C229" i="21"/>
  <c r="D229" i="21" s="1"/>
  <c r="C228" i="21"/>
  <c r="D228" i="21" s="1"/>
  <c r="C227" i="21"/>
  <c r="D227" i="21" s="1"/>
  <c r="C226" i="21"/>
  <c r="D226" i="21" s="1"/>
  <c r="C225" i="21"/>
  <c r="D225" i="21" s="1"/>
  <c r="C224" i="21"/>
  <c r="D224" i="21" s="1"/>
  <c r="C223" i="21"/>
  <c r="D223" i="21" s="1"/>
  <c r="C215" i="21"/>
  <c r="D215" i="21" s="1"/>
  <c r="C214" i="21"/>
  <c r="D214" i="21" s="1"/>
  <c r="C213" i="21"/>
  <c r="D213" i="21" s="1"/>
  <c r="A250" i="12" s="1"/>
  <c r="J212" i="21"/>
  <c r="I212" i="21"/>
  <c r="H212" i="21"/>
  <c r="G212" i="21"/>
  <c r="F212" i="21"/>
  <c r="C212" i="21"/>
  <c r="D212" i="21" s="1"/>
  <c r="M212" i="21" s="1"/>
  <c r="C211" i="21"/>
  <c r="C210" i="21"/>
  <c r="D210" i="21" s="1"/>
  <c r="C209" i="21"/>
  <c r="D209" i="21" s="1"/>
  <c r="C208" i="21"/>
  <c r="C207" i="21"/>
  <c r="D207" i="21" s="1"/>
  <c r="C206" i="21"/>
  <c r="D206" i="21" s="1"/>
  <c r="C205" i="21"/>
  <c r="C204" i="21"/>
  <c r="D204" i="21" s="1"/>
  <c r="C203" i="21"/>
  <c r="D203" i="21" s="1"/>
  <c r="C202" i="21"/>
  <c r="D202" i="21" s="1"/>
  <c r="C201" i="21"/>
  <c r="C200" i="21"/>
  <c r="D200" i="21" s="1"/>
  <c r="C199" i="21"/>
  <c r="C198" i="21"/>
  <c r="C197" i="21"/>
  <c r="D197" i="21" s="1"/>
  <c r="C196" i="21"/>
  <c r="D196" i="21" s="1"/>
  <c r="C195" i="21"/>
  <c r="D195" i="21" s="1"/>
  <c r="C194" i="21"/>
  <c r="E194" i="21" s="1"/>
  <c r="J193" i="21"/>
  <c r="I193" i="21"/>
  <c r="H193" i="21"/>
  <c r="G193" i="21"/>
  <c r="F193" i="21"/>
  <c r="C193" i="21"/>
  <c r="J192" i="21"/>
  <c r="I192" i="21"/>
  <c r="H192" i="21"/>
  <c r="G192" i="21"/>
  <c r="F192" i="21"/>
  <c r="C192" i="21"/>
  <c r="C191" i="21"/>
  <c r="D191" i="21" s="1"/>
  <c r="C190" i="21"/>
  <c r="C189" i="21"/>
  <c r="D189" i="21" s="1"/>
  <c r="J188" i="21"/>
  <c r="I188" i="21"/>
  <c r="H188" i="21"/>
  <c r="G188" i="21"/>
  <c r="F188" i="21"/>
  <c r="C188" i="21"/>
  <c r="J187" i="21"/>
  <c r="I187" i="21"/>
  <c r="H187" i="21"/>
  <c r="G187" i="21"/>
  <c r="F187" i="21"/>
  <c r="C187" i="21"/>
  <c r="C186" i="21"/>
  <c r="D186" i="21" s="1"/>
  <c r="C185" i="21"/>
  <c r="D185" i="21" s="1"/>
  <c r="C184" i="21"/>
  <c r="D184" i="21" s="1"/>
  <c r="J183" i="21"/>
  <c r="I183" i="21"/>
  <c r="H183" i="21"/>
  <c r="G183" i="21"/>
  <c r="F183" i="21"/>
  <c r="C183" i="21"/>
  <c r="C182" i="21"/>
  <c r="D182" i="21" s="1"/>
  <c r="C181" i="21"/>
  <c r="C180" i="21"/>
  <c r="D180" i="21" s="1"/>
  <c r="C179" i="21"/>
  <c r="D179" i="21" s="1"/>
  <c r="C178" i="21"/>
  <c r="C177" i="21"/>
  <c r="D177" i="21" s="1"/>
  <c r="C176" i="21"/>
  <c r="D176" i="21" s="1"/>
  <c r="D178" i="21" s="1"/>
  <c r="C175" i="21"/>
  <c r="C174" i="21"/>
  <c r="D174" i="21" s="1"/>
  <c r="C173" i="21"/>
  <c r="D173" i="21" s="1"/>
  <c r="C172" i="21"/>
  <c r="D172" i="21" s="1"/>
  <c r="C171" i="21"/>
  <c r="D171" i="21" s="1"/>
  <c r="C170" i="21"/>
  <c r="D170" i="21" s="1"/>
  <c r="C169" i="21"/>
  <c r="C168" i="21"/>
  <c r="D168" i="21" s="1"/>
  <c r="C167" i="21"/>
  <c r="D167" i="21" s="1"/>
  <c r="C166" i="21"/>
  <c r="C165" i="21"/>
  <c r="D165" i="21" s="1"/>
  <c r="D169" i="21" s="1"/>
  <c r="C164" i="21"/>
  <c r="C163" i="21"/>
  <c r="C162" i="21"/>
  <c r="C161" i="21"/>
  <c r="D161" i="21" s="1"/>
  <c r="C160" i="21"/>
  <c r="C159" i="21"/>
  <c r="D159" i="21" s="1"/>
  <c r="C158" i="21"/>
  <c r="C157" i="21"/>
  <c r="C156" i="21"/>
  <c r="D156" i="21" s="1"/>
  <c r="D157" i="21" s="1"/>
  <c r="D158" i="21" s="1"/>
  <c r="C155" i="21"/>
  <c r="C154" i="21"/>
  <c r="C153" i="21"/>
  <c r="D153" i="21" s="1"/>
  <c r="D154" i="21" s="1"/>
  <c r="C152" i="21"/>
  <c r="D152" i="21" s="1"/>
  <c r="C151" i="21"/>
  <c r="C150" i="21"/>
  <c r="D150" i="21" s="1"/>
  <c r="D151" i="21" s="1"/>
  <c r="C149" i="21"/>
  <c r="C147" i="21"/>
  <c r="D147" i="21" s="1"/>
  <c r="C133" i="21"/>
  <c r="D133" i="21" s="1"/>
  <c r="D135" i="21" s="1"/>
  <c r="C132" i="21"/>
  <c r="D132" i="21" s="1"/>
  <c r="J124" i="21"/>
  <c r="I124" i="21"/>
  <c r="H124" i="21"/>
  <c r="G124" i="21"/>
  <c r="F124" i="21"/>
  <c r="C124" i="21"/>
  <c r="D124" i="21" s="1"/>
  <c r="C122" i="21"/>
  <c r="D122" i="21" s="1"/>
  <c r="A153" i="28" s="1"/>
  <c r="C114" i="21"/>
  <c r="D114" i="21" s="1"/>
  <c r="D116" i="21" s="1"/>
  <c r="C113" i="21"/>
  <c r="D113" i="21" s="1"/>
  <c r="C111" i="21"/>
  <c r="D111" i="21" s="1"/>
  <c r="C110" i="21"/>
  <c r="D110" i="21" s="1"/>
  <c r="C109" i="21"/>
  <c r="C108" i="21"/>
  <c r="D108" i="21" s="1"/>
  <c r="C107" i="21"/>
  <c r="D107" i="21" s="1"/>
  <c r="C106" i="21"/>
  <c r="D106" i="21" s="1"/>
  <c r="C105" i="21"/>
  <c r="D105" i="21" s="1"/>
  <c r="C104" i="21"/>
  <c r="D104" i="21" s="1"/>
  <c r="C103" i="21"/>
  <c r="D103" i="21" s="1"/>
  <c r="C102" i="21"/>
  <c r="D102" i="21" s="1"/>
  <c r="C101" i="21"/>
  <c r="C100" i="21"/>
  <c r="D100" i="21" s="1"/>
  <c r="C99" i="21"/>
  <c r="D99" i="21" s="1"/>
  <c r="C98" i="21"/>
  <c r="D98" i="21" s="1"/>
  <c r="C97" i="21"/>
  <c r="C96" i="21"/>
  <c r="C95" i="21"/>
  <c r="D95" i="21" s="1"/>
  <c r="C94" i="21"/>
  <c r="D94" i="21" s="1"/>
  <c r="C93" i="21"/>
  <c r="D93" i="21" s="1"/>
  <c r="C92" i="21"/>
  <c r="D92" i="21" s="1"/>
  <c r="C91" i="21"/>
  <c r="D91" i="21" s="1"/>
  <c r="C90" i="21"/>
  <c r="C89" i="21"/>
  <c r="D89" i="21" s="1"/>
  <c r="C88" i="21"/>
  <c r="D88" i="21" s="1"/>
  <c r="C87" i="21"/>
  <c r="D87" i="21" s="1"/>
  <c r="C86" i="21"/>
  <c r="C85" i="21"/>
  <c r="D85" i="21" s="1"/>
  <c r="J84" i="21"/>
  <c r="I84" i="21"/>
  <c r="H84" i="21"/>
  <c r="G84" i="21"/>
  <c r="F84" i="21"/>
  <c r="C84" i="21"/>
  <c r="D84" i="21" s="1"/>
  <c r="M84" i="21" s="1"/>
  <c r="C83" i="21"/>
  <c r="D83" i="21" s="1"/>
  <c r="C82" i="21"/>
  <c r="C81" i="21"/>
  <c r="D81" i="21" s="1"/>
  <c r="C80" i="21"/>
  <c r="D80" i="21" s="1"/>
  <c r="C79" i="21"/>
  <c r="C78" i="21"/>
  <c r="D78" i="21" s="1"/>
  <c r="C77" i="21"/>
  <c r="C76" i="21"/>
  <c r="D76" i="21" s="1"/>
  <c r="C75" i="21"/>
  <c r="C74" i="21"/>
  <c r="C73" i="21"/>
  <c r="D73" i="21" s="1"/>
  <c r="C72" i="21"/>
  <c r="D72" i="21" s="1"/>
  <c r="D74" i="21" s="1"/>
  <c r="C71" i="21"/>
  <c r="D71" i="21" s="1"/>
  <c r="C70" i="21"/>
  <c r="D70" i="21" s="1"/>
  <c r="C69" i="21"/>
  <c r="D69" i="21" s="1"/>
  <c r="C68" i="21"/>
  <c r="C67" i="21"/>
  <c r="D67" i="21" s="1"/>
  <c r="C66" i="21"/>
  <c r="C65" i="21"/>
  <c r="D65" i="21" s="1"/>
  <c r="C64" i="21"/>
  <c r="D64" i="21" s="1"/>
  <c r="C63" i="21"/>
  <c r="D63" i="21" s="1"/>
  <c r="C62" i="21"/>
  <c r="D62" i="21" s="1"/>
  <c r="C61" i="21"/>
  <c r="D61" i="21" s="1"/>
  <c r="C60" i="21"/>
  <c r="C59" i="21"/>
  <c r="D59" i="21" s="1"/>
  <c r="C58" i="21"/>
  <c r="C57" i="21"/>
  <c r="C56" i="21"/>
  <c r="C55" i="21"/>
  <c r="C54" i="21"/>
  <c r="C53" i="21"/>
  <c r="C52" i="21"/>
  <c r="C51" i="21"/>
  <c r="C50" i="21"/>
  <c r="C49" i="21"/>
  <c r="C48" i="21"/>
  <c r="C47" i="21"/>
  <c r="D47" i="21" s="1"/>
  <c r="C46" i="21"/>
  <c r="C45" i="21"/>
  <c r="D45" i="21" s="1"/>
  <c r="C44" i="21"/>
  <c r="C43" i="21"/>
  <c r="D43" i="21" s="1"/>
  <c r="C42" i="21"/>
  <c r="C41" i="21"/>
  <c r="C40" i="21"/>
  <c r="C39" i="21"/>
  <c r="C38" i="21"/>
  <c r="C37" i="21"/>
  <c r="C36" i="21"/>
  <c r="C35" i="21"/>
  <c r="C34" i="21"/>
  <c r="C33" i="21"/>
  <c r="C32" i="21"/>
  <c r="C31" i="21"/>
  <c r="C30" i="21"/>
  <c r="C29" i="21"/>
  <c r="C28" i="21"/>
  <c r="C27" i="21"/>
  <c r="C26" i="21"/>
  <c r="C25" i="21"/>
  <c r="C24" i="21"/>
  <c r="C23" i="21"/>
  <c r="C21" i="21"/>
  <c r="C20" i="21"/>
  <c r="C19" i="21"/>
  <c r="C18" i="21"/>
  <c r="C17" i="21"/>
  <c r="C16" i="21"/>
  <c r="C15" i="21"/>
  <c r="C14" i="21"/>
  <c r="C13" i="21"/>
  <c r="C12" i="21"/>
  <c r="C11" i="21"/>
  <c r="C10" i="21"/>
  <c r="D10" i="21" s="1"/>
  <c r="C9" i="21"/>
  <c r="C8" i="21"/>
  <c r="C7" i="21"/>
  <c r="D7" i="21" s="1"/>
  <c r="I4" i="21"/>
  <c r="G4" i="21"/>
  <c r="E4" i="21"/>
  <c r="D8" i="21" l="1"/>
  <c r="D27" i="9"/>
  <c r="H27" i="9"/>
  <c r="F27" i="9"/>
  <c r="G27" i="9"/>
  <c r="E27" i="9"/>
  <c r="C27" i="9"/>
  <c r="D9" i="21"/>
  <c r="G28" i="9"/>
  <c r="E28" i="9"/>
  <c r="C28" i="9"/>
  <c r="D28" i="9"/>
  <c r="H28" i="9"/>
  <c r="AS7" i="21" s="1"/>
  <c r="F28" i="9"/>
  <c r="AQ7" i="21" s="1"/>
  <c r="E11" i="21"/>
  <c r="B11" i="22" s="1"/>
  <c r="D11" i="21"/>
  <c r="F12" i="21"/>
  <c r="E12" i="21"/>
  <c r="B12" i="22" s="1"/>
  <c r="G12" i="21"/>
  <c r="D12" i="22" s="1"/>
  <c r="H12" i="21"/>
  <c r="I12" i="21"/>
  <c r="F12" i="22" s="1"/>
  <c r="D12" i="21"/>
  <c r="F13" i="21"/>
  <c r="E13" i="21"/>
  <c r="G13" i="21"/>
  <c r="D13" i="22" s="1"/>
  <c r="H13" i="21"/>
  <c r="I13" i="21"/>
  <c r="F13" i="22" s="1"/>
  <c r="D13" i="21"/>
  <c r="F14" i="21"/>
  <c r="E14" i="21"/>
  <c r="B14" i="22" s="1"/>
  <c r="G14" i="21"/>
  <c r="D14" i="22" s="1"/>
  <c r="H14" i="21"/>
  <c r="I14" i="21"/>
  <c r="F14" i="22" s="1"/>
  <c r="D14" i="21"/>
  <c r="F15" i="21"/>
  <c r="E15" i="21"/>
  <c r="B15" i="22" s="1"/>
  <c r="G15" i="21"/>
  <c r="D15" i="22" s="1"/>
  <c r="H15" i="21"/>
  <c r="I15" i="21"/>
  <c r="F15" i="22" s="1"/>
  <c r="D15" i="21"/>
  <c r="F16" i="21"/>
  <c r="N16" i="21" s="1"/>
  <c r="E16" i="21"/>
  <c r="G16" i="21"/>
  <c r="D16" i="22" s="1"/>
  <c r="H16" i="21"/>
  <c r="I16" i="21"/>
  <c r="F16" i="22" s="1"/>
  <c r="D16" i="21"/>
  <c r="F17" i="21"/>
  <c r="E17" i="21"/>
  <c r="B17" i="22" s="1"/>
  <c r="G17" i="21"/>
  <c r="D17" i="22" s="1"/>
  <c r="H17" i="21"/>
  <c r="I17" i="21"/>
  <c r="F17" i="22" s="1"/>
  <c r="D17" i="21"/>
  <c r="F18" i="21"/>
  <c r="N18" i="21" s="1"/>
  <c r="E18" i="21"/>
  <c r="B18" i="22" s="1"/>
  <c r="G18" i="21"/>
  <c r="H18" i="21"/>
  <c r="P18" i="21" s="1"/>
  <c r="I18" i="21"/>
  <c r="D18" i="21"/>
  <c r="J18" i="21"/>
  <c r="R18" i="21" s="1"/>
  <c r="F19" i="21"/>
  <c r="N19" i="21" s="1"/>
  <c r="E19" i="21"/>
  <c r="B19" i="22" s="1"/>
  <c r="G19" i="21"/>
  <c r="H19" i="21"/>
  <c r="P19" i="21" s="1"/>
  <c r="I19" i="21"/>
  <c r="D19" i="21"/>
  <c r="J19" i="21"/>
  <c r="R19" i="21" s="1"/>
  <c r="F20" i="21"/>
  <c r="E20" i="21"/>
  <c r="B20" i="22" s="1"/>
  <c r="G20" i="21"/>
  <c r="D20" i="22" s="1"/>
  <c r="H20" i="21"/>
  <c r="I20" i="21"/>
  <c r="F20" i="22" s="1"/>
  <c r="D20" i="21"/>
  <c r="F21" i="21"/>
  <c r="E21" i="21"/>
  <c r="D21" i="21"/>
  <c r="G21" i="21"/>
  <c r="H21" i="21"/>
  <c r="I21" i="21"/>
  <c r="F23" i="21"/>
  <c r="E23" i="21"/>
  <c r="B23" i="22" s="1"/>
  <c r="G23" i="21"/>
  <c r="D23" i="22" s="1"/>
  <c r="H23" i="21"/>
  <c r="I23" i="21"/>
  <c r="F23" i="22" s="1"/>
  <c r="D23" i="21"/>
  <c r="F24" i="21"/>
  <c r="E24" i="21"/>
  <c r="B24" i="22" s="1"/>
  <c r="G24" i="21"/>
  <c r="D24" i="22" s="1"/>
  <c r="H24" i="21"/>
  <c r="I24" i="21"/>
  <c r="F24" i="22" s="1"/>
  <c r="D24" i="21"/>
  <c r="F25" i="21"/>
  <c r="E25" i="21"/>
  <c r="B25" i="22" s="1"/>
  <c r="G25" i="21"/>
  <c r="D25" i="22" s="1"/>
  <c r="H25" i="21"/>
  <c r="I25" i="21"/>
  <c r="F25" i="22" s="1"/>
  <c r="D25" i="21"/>
  <c r="F26" i="21"/>
  <c r="E26" i="21"/>
  <c r="B26" i="22" s="1"/>
  <c r="G26" i="21"/>
  <c r="D26" i="22" s="1"/>
  <c r="H26" i="21"/>
  <c r="I26" i="21"/>
  <c r="F26" i="22" s="1"/>
  <c r="D26" i="21"/>
  <c r="F27" i="21"/>
  <c r="E27" i="21"/>
  <c r="B27" i="22" s="1"/>
  <c r="G27" i="21"/>
  <c r="D27" i="22" s="1"/>
  <c r="H27" i="21"/>
  <c r="I27" i="21"/>
  <c r="F27" i="22" s="1"/>
  <c r="D27" i="21"/>
  <c r="F28" i="21"/>
  <c r="E28" i="21"/>
  <c r="G28" i="21"/>
  <c r="D28" i="22" s="1"/>
  <c r="H28" i="21"/>
  <c r="I28" i="21"/>
  <c r="F28" i="22" s="1"/>
  <c r="D28" i="21"/>
  <c r="F29" i="21"/>
  <c r="E29" i="21"/>
  <c r="B29" i="22" s="1"/>
  <c r="G29" i="21"/>
  <c r="D29" i="22" s="1"/>
  <c r="H29" i="21"/>
  <c r="I29" i="21"/>
  <c r="F29" i="22" s="1"/>
  <c r="D29" i="21"/>
  <c r="F30" i="21"/>
  <c r="E30" i="21"/>
  <c r="B30" i="22" s="1"/>
  <c r="G30" i="21"/>
  <c r="D30" i="22" s="1"/>
  <c r="H30" i="21"/>
  <c r="I30" i="21"/>
  <c r="F30" i="22" s="1"/>
  <c r="D30" i="21"/>
  <c r="F31" i="21"/>
  <c r="E31" i="21"/>
  <c r="B31" i="22" s="1"/>
  <c r="G31" i="21"/>
  <c r="D31" i="22" s="1"/>
  <c r="H31" i="21"/>
  <c r="I31" i="21"/>
  <c r="F31" i="22" s="1"/>
  <c r="D31" i="21"/>
  <c r="F32" i="21"/>
  <c r="E32" i="21"/>
  <c r="B32" i="22" s="1"/>
  <c r="G32" i="21"/>
  <c r="D32" i="22" s="1"/>
  <c r="H32" i="21"/>
  <c r="I32" i="21"/>
  <c r="F32" i="22" s="1"/>
  <c r="D32" i="21"/>
  <c r="D33" i="21"/>
  <c r="E33" i="21"/>
  <c r="F33" i="21"/>
  <c r="N33" i="21" s="1"/>
  <c r="G33" i="21"/>
  <c r="H33" i="21"/>
  <c r="P33" i="21" s="1"/>
  <c r="I33" i="21"/>
  <c r="J33" i="21"/>
  <c r="R33" i="21" s="1"/>
  <c r="D34" i="21"/>
  <c r="D49" i="21" s="1"/>
  <c r="E34" i="21"/>
  <c r="F34" i="21"/>
  <c r="N34" i="21" s="1"/>
  <c r="G34" i="21"/>
  <c r="H34" i="21"/>
  <c r="I34" i="21"/>
  <c r="J34" i="21"/>
  <c r="R34" i="21" s="1"/>
  <c r="D35" i="21"/>
  <c r="E35" i="21"/>
  <c r="B35" i="22" s="1"/>
  <c r="F35" i="21"/>
  <c r="G35" i="21"/>
  <c r="D35" i="22" s="1"/>
  <c r="H35" i="21"/>
  <c r="I35" i="21"/>
  <c r="F35" i="22" s="1"/>
  <c r="J35" i="21"/>
  <c r="D36" i="21"/>
  <c r="E36" i="21"/>
  <c r="B36" i="22" s="1"/>
  <c r="F36" i="21"/>
  <c r="G36" i="21"/>
  <c r="D36" i="22" s="1"/>
  <c r="H36" i="21"/>
  <c r="I36" i="21"/>
  <c r="F36" i="22" s="1"/>
  <c r="J36" i="21"/>
  <c r="D37" i="21"/>
  <c r="E37" i="21"/>
  <c r="B37" i="22" s="1"/>
  <c r="F37" i="21"/>
  <c r="G37" i="21"/>
  <c r="D37" i="22" s="1"/>
  <c r="H37" i="21"/>
  <c r="I37" i="21"/>
  <c r="F37" i="22" s="1"/>
  <c r="J37" i="21"/>
  <c r="R37" i="21" s="1"/>
  <c r="D38" i="21"/>
  <c r="E38" i="21"/>
  <c r="B38" i="22" s="1"/>
  <c r="F38" i="21"/>
  <c r="G38" i="21"/>
  <c r="D38" i="22" s="1"/>
  <c r="H38" i="21"/>
  <c r="I38" i="21"/>
  <c r="F38" i="22" s="1"/>
  <c r="J38" i="21"/>
  <c r="R38" i="21" s="1"/>
  <c r="D39" i="21"/>
  <c r="E39" i="21"/>
  <c r="B39" i="22" s="1"/>
  <c r="F39" i="21"/>
  <c r="G39" i="21"/>
  <c r="D39" i="22" s="1"/>
  <c r="H39" i="21"/>
  <c r="P39" i="21" s="1"/>
  <c r="I39" i="21"/>
  <c r="F39" i="22" s="1"/>
  <c r="J39" i="21"/>
  <c r="D40" i="21"/>
  <c r="E40" i="21"/>
  <c r="B40" i="22" s="1"/>
  <c r="F40" i="21"/>
  <c r="G40" i="21"/>
  <c r="D40" i="22" s="1"/>
  <c r="H40" i="21"/>
  <c r="I40" i="21"/>
  <c r="F40" i="22" s="1"/>
  <c r="J40" i="21"/>
  <c r="R40" i="21" s="1"/>
  <c r="D41" i="21"/>
  <c r="E41" i="21"/>
  <c r="B41" i="22" s="1"/>
  <c r="F41" i="21"/>
  <c r="G41" i="21"/>
  <c r="D41" i="22" s="1"/>
  <c r="H41" i="21"/>
  <c r="I41" i="21"/>
  <c r="F41" i="22" s="1"/>
  <c r="J41" i="21"/>
  <c r="D42" i="21"/>
  <c r="E42" i="21"/>
  <c r="B42" i="22" s="1"/>
  <c r="F42" i="21"/>
  <c r="G42" i="21"/>
  <c r="D42" i="22" s="1"/>
  <c r="H42" i="21"/>
  <c r="I42" i="21"/>
  <c r="F42" i="22" s="1"/>
  <c r="J42" i="21"/>
  <c r="E44" i="21"/>
  <c r="D44" i="21"/>
  <c r="E46" i="21"/>
  <c r="D46" i="21"/>
  <c r="E48" i="21"/>
  <c r="D48" i="21"/>
  <c r="D50" i="21"/>
  <c r="E50" i="21"/>
  <c r="F50" i="21"/>
  <c r="G50" i="21"/>
  <c r="H50" i="21"/>
  <c r="I50" i="21"/>
  <c r="F50" i="22" s="1"/>
  <c r="J50" i="21"/>
  <c r="D51" i="21"/>
  <c r="D57" i="21" s="1"/>
  <c r="E51" i="21"/>
  <c r="F51" i="21"/>
  <c r="G51" i="21"/>
  <c r="H51" i="21"/>
  <c r="P51" i="21" s="1"/>
  <c r="I51" i="21"/>
  <c r="F51" i="22" s="1"/>
  <c r="J51" i="21"/>
  <c r="D52" i="21"/>
  <c r="E52" i="21"/>
  <c r="F52" i="21"/>
  <c r="G52" i="21"/>
  <c r="H52" i="21"/>
  <c r="P52" i="21" s="1"/>
  <c r="I52" i="21"/>
  <c r="F52" i="22" s="1"/>
  <c r="J52" i="21"/>
  <c r="D53" i="21"/>
  <c r="E53" i="21"/>
  <c r="F53" i="21"/>
  <c r="G53" i="21"/>
  <c r="H53" i="21"/>
  <c r="P53" i="21" s="1"/>
  <c r="I53" i="21"/>
  <c r="F53" i="22" s="1"/>
  <c r="J53" i="21"/>
  <c r="D54" i="21"/>
  <c r="E54" i="21"/>
  <c r="F54" i="21"/>
  <c r="G54" i="21"/>
  <c r="H54" i="21"/>
  <c r="P54" i="21" s="1"/>
  <c r="I54" i="21"/>
  <c r="F54" i="22" s="1"/>
  <c r="J54" i="21"/>
  <c r="D55" i="21"/>
  <c r="E55" i="21"/>
  <c r="F55" i="21"/>
  <c r="G55" i="21"/>
  <c r="H55" i="21"/>
  <c r="I55" i="21"/>
  <c r="F55" i="22" s="1"/>
  <c r="J55" i="21"/>
  <c r="D56" i="21"/>
  <c r="E56" i="21"/>
  <c r="F56" i="21"/>
  <c r="G56" i="21"/>
  <c r="H56" i="21"/>
  <c r="I56" i="21"/>
  <c r="F56" i="22" s="1"/>
  <c r="J56" i="21"/>
  <c r="D58" i="21"/>
  <c r="E58" i="21"/>
  <c r="E60" i="21"/>
  <c r="D60" i="21"/>
  <c r="E66" i="21"/>
  <c r="D66" i="21"/>
  <c r="E68" i="21"/>
  <c r="D68" i="21"/>
  <c r="E75" i="21"/>
  <c r="D75" i="21"/>
  <c r="E77" i="21"/>
  <c r="D77" i="21"/>
  <c r="D79" i="21" s="1"/>
  <c r="E82" i="21"/>
  <c r="D82" i="21"/>
  <c r="E86" i="21"/>
  <c r="D86" i="21"/>
  <c r="E90" i="21"/>
  <c r="D90" i="21"/>
  <c r="E96" i="21"/>
  <c r="D96" i="21"/>
  <c r="E97" i="21"/>
  <c r="D97" i="21"/>
  <c r="E101" i="21"/>
  <c r="D101" i="21"/>
  <c r="E109" i="21"/>
  <c r="D109" i="21"/>
  <c r="A155" i="12"/>
  <c r="M124" i="21"/>
  <c r="F149" i="21"/>
  <c r="D149" i="21"/>
  <c r="E155" i="21"/>
  <c r="D155" i="21"/>
  <c r="E160" i="21"/>
  <c r="D160" i="21"/>
  <c r="E163" i="21"/>
  <c r="D163" i="21"/>
  <c r="E164" i="21"/>
  <c r="D164" i="21"/>
  <c r="E166" i="21"/>
  <c r="D166" i="21"/>
  <c r="E175" i="21"/>
  <c r="D175" i="21"/>
  <c r="E181" i="21"/>
  <c r="D181" i="21"/>
  <c r="D183" i="21" s="1"/>
  <c r="M183" i="21"/>
  <c r="D187" i="21"/>
  <c r="D188" i="21"/>
  <c r="M188" i="21" s="1"/>
  <c r="E190" i="21"/>
  <c r="D190" i="21"/>
  <c r="D192" i="21"/>
  <c r="D193" i="21"/>
  <c r="M193" i="21" s="1"/>
  <c r="E198" i="21"/>
  <c r="D198" i="21"/>
  <c r="E199" i="21"/>
  <c r="D199" i="21"/>
  <c r="E201" i="21"/>
  <c r="D201" i="21"/>
  <c r="E205" i="21"/>
  <c r="D205" i="21"/>
  <c r="E208" i="21"/>
  <c r="D208" i="21"/>
  <c r="E211" i="21"/>
  <c r="D211" i="21"/>
  <c r="A248" i="28" s="1"/>
  <c r="E232" i="21"/>
  <c r="D232" i="21"/>
  <c r="E234" i="21"/>
  <c r="D234" i="21"/>
  <c r="A293" i="12"/>
  <c r="E264" i="21"/>
  <c r="D264" i="21"/>
  <c r="A319" i="12"/>
  <c r="M270" i="21"/>
  <c r="A317" i="28"/>
  <c r="A324" i="28"/>
  <c r="M273" i="21"/>
  <c r="E275" i="21"/>
  <c r="D275" i="21"/>
  <c r="E278" i="21"/>
  <c r="D278" i="21"/>
  <c r="E291" i="21"/>
  <c r="D291" i="21"/>
  <c r="E297" i="21"/>
  <c r="D297" i="21"/>
  <c r="E302" i="21"/>
  <c r="D302" i="21"/>
  <c r="E303" i="21"/>
  <c r="D303" i="21"/>
  <c r="E306" i="21"/>
  <c r="D306" i="21"/>
  <c r="E312" i="21"/>
  <c r="D312" i="21"/>
  <c r="E313" i="21"/>
  <c r="D313" i="21"/>
  <c r="E321" i="21"/>
  <c r="D321" i="21"/>
  <c r="E323" i="21"/>
  <c r="D323" i="21"/>
  <c r="A383" i="12" s="1"/>
  <c r="E329" i="21"/>
  <c r="D329" i="21"/>
  <c r="E330" i="21"/>
  <c r="D330" i="21"/>
  <c r="E332" i="21"/>
  <c r="D332" i="21"/>
  <c r="E334" i="21"/>
  <c r="D334" i="21"/>
  <c r="E336" i="21"/>
  <c r="D336" i="21"/>
  <c r="B243" i="22"/>
  <c r="R243" i="22" s="1"/>
  <c r="M244" i="21"/>
  <c r="Z244" i="21" s="1"/>
  <c r="B244" i="22"/>
  <c r="R244" i="22" s="1"/>
  <c r="M190" i="21"/>
  <c r="B190" i="22"/>
  <c r="R190" i="22" s="1"/>
  <c r="M60" i="21"/>
  <c r="B60" i="22"/>
  <c r="R60" i="22" s="1"/>
  <c r="M312" i="21"/>
  <c r="B312" i="22"/>
  <c r="R312" i="22" s="1"/>
  <c r="M208" i="21"/>
  <c r="B208" i="22"/>
  <c r="R208" i="22" s="1"/>
  <c r="M313" i="21"/>
  <c r="B313" i="22"/>
  <c r="R313" i="22" s="1"/>
  <c r="B248" i="22"/>
  <c r="B247" i="22"/>
  <c r="R247" i="22" s="1"/>
  <c r="M211" i="21"/>
  <c r="Z211" i="21" s="1"/>
  <c r="B211" i="22"/>
  <c r="R211" i="22" s="1"/>
  <c r="M306" i="21"/>
  <c r="Z306" i="21" s="1"/>
  <c r="B306" i="22"/>
  <c r="R306" i="22" s="1"/>
  <c r="M82" i="21"/>
  <c r="B82" i="22"/>
  <c r="R82" i="22" s="1"/>
  <c r="M109" i="21"/>
  <c r="B109" i="22"/>
  <c r="R109" i="22" s="1"/>
  <c r="M166" i="21"/>
  <c r="AA166" i="21" s="1"/>
  <c r="B166" i="22"/>
  <c r="R166" i="22" s="1"/>
  <c r="M205" i="21"/>
  <c r="Z205" i="21" s="1"/>
  <c r="B205" i="22"/>
  <c r="R205" i="22" s="1"/>
  <c r="M264" i="21"/>
  <c r="Z264" i="21" s="1"/>
  <c r="B264" i="22"/>
  <c r="R264" i="22" s="1"/>
  <c r="M86" i="21"/>
  <c r="B86" i="22"/>
  <c r="R86" i="22" s="1"/>
  <c r="M175" i="21"/>
  <c r="B175" i="22"/>
  <c r="R175" i="22" s="1"/>
  <c r="M66" i="21"/>
  <c r="B66" i="22"/>
  <c r="R66" i="22" s="1"/>
  <c r="N149" i="21"/>
  <c r="M291" i="21"/>
  <c r="B291" i="22"/>
  <c r="R291" i="22" s="1"/>
  <c r="M68" i="21"/>
  <c r="B68" i="22"/>
  <c r="R68" i="22" s="1"/>
  <c r="Z4" i="21"/>
  <c r="B6" i="22"/>
  <c r="M194" i="21"/>
  <c r="B194" i="22"/>
  <c r="R194" i="22" s="1"/>
  <c r="M323" i="21"/>
  <c r="B323" i="22"/>
  <c r="R323" i="22" s="1"/>
  <c r="M96" i="21"/>
  <c r="B96" i="22"/>
  <c r="R96" i="22" s="1"/>
  <c r="M155" i="21"/>
  <c r="AA157" i="21" s="1"/>
  <c r="B155" i="22"/>
  <c r="R155" i="22" s="1"/>
  <c r="M90" i="21"/>
  <c r="B90" i="22"/>
  <c r="R90" i="22" s="1"/>
  <c r="M275" i="21"/>
  <c r="Z275" i="21" s="1"/>
  <c r="B275" i="22"/>
  <c r="R275" i="22" s="1"/>
  <c r="M321" i="21"/>
  <c r="Z321" i="21" s="1"/>
  <c r="B321" i="22"/>
  <c r="R321" i="22" s="1"/>
  <c r="M297" i="21"/>
  <c r="Z297" i="21" s="1"/>
  <c r="B297" i="22"/>
  <c r="R297" i="22" s="1"/>
  <c r="AF4" i="21"/>
  <c r="F6" i="22"/>
  <c r="M101" i="21"/>
  <c r="B101" i="22"/>
  <c r="R101" i="22" s="1"/>
  <c r="B329" i="22"/>
  <c r="AA329" i="21"/>
  <c r="M75" i="21"/>
  <c r="B75" i="22"/>
  <c r="R75" i="22" s="1"/>
  <c r="M198" i="21"/>
  <c r="B198" i="22"/>
  <c r="R198" i="22" s="1"/>
  <c r="M232" i="21"/>
  <c r="B232" i="22"/>
  <c r="R232" i="22" s="1"/>
  <c r="B330" i="22"/>
  <c r="AA330" i="21"/>
  <c r="M97" i="21"/>
  <c r="B97" i="22"/>
  <c r="R97" i="22" s="1"/>
  <c r="M44" i="21"/>
  <c r="B44" i="22"/>
  <c r="R44" i="22" s="1"/>
  <c r="M160" i="21"/>
  <c r="B160" i="22"/>
  <c r="R160" i="22" s="1"/>
  <c r="M199" i="21"/>
  <c r="Z199" i="21" s="1"/>
  <c r="B199" i="22"/>
  <c r="R199" i="22" s="1"/>
  <c r="M278" i="21"/>
  <c r="Z278" i="21" s="1"/>
  <c r="B278" i="22"/>
  <c r="R278" i="22" s="1"/>
  <c r="AX4" i="21"/>
  <c r="D6" i="22"/>
  <c r="C11" i="22"/>
  <c r="AQ11" i="22" s="1"/>
  <c r="AI11" i="22"/>
  <c r="M77" i="21"/>
  <c r="AA77" i="21" s="1"/>
  <c r="B77" i="22"/>
  <c r="R77" i="22" s="1"/>
  <c r="M234" i="21"/>
  <c r="Z234" i="21" s="1"/>
  <c r="B234" i="22"/>
  <c r="R234" i="22" s="1"/>
  <c r="M302" i="21"/>
  <c r="Z302" i="21" s="1"/>
  <c r="B302" i="22"/>
  <c r="R302" i="22" s="1"/>
  <c r="B332" i="22"/>
  <c r="AA332" i="21"/>
  <c r="M181" i="21"/>
  <c r="B181" i="22"/>
  <c r="R181" i="22" s="1"/>
  <c r="M46" i="21"/>
  <c r="B46" i="22"/>
  <c r="R46" i="22" s="1"/>
  <c r="M201" i="21"/>
  <c r="B201" i="22"/>
  <c r="R201" i="22" s="1"/>
  <c r="M303" i="21"/>
  <c r="B303" i="22"/>
  <c r="R303" i="22" s="1"/>
  <c r="B334" i="22"/>
  <c r="AA334" i="21"/>
  <c r="M163" i="21"/>
  <c r="B163" i="22"/>
  <c r="R163" i="22" s="1"/>
  <c r="M48" i="21"/>
  <c r="B48" i="22"/>
  <c r="R48" i="22" s="1"/>
  <c r="M164" i="21"/>
  <c r="B164" i="22"/>
  <c r="R164" i="22" s="1"/>
  <c r="B336" i="22"/>
  <c r="AA336" i="21"/>
  <c r="Q171" i="12"/>
  <c r="Y151" i="12"/>
  <c r="Q161" i="12"/>
  <c r="Y174" i="12"/>
  <c r="Q254" i="12"/>
  <c r="Q147" i="12"/>
  <c r="Y428" i="12"/>
  <c r="Y148" i="12"/>
  <c r="Y176" i="12"/>
  <c r="Q158" i="12"/>
  <c r="Q177" i="12"/>
  <c r="AE386" i="12"/>
  <c r="Y352" i="12"/>
  <c r="Q163" i="12"/>
  <c r="Y163" i="12"/>
  <c r="Q168" i="12"/>
  <c r="Q279" i="12"/>
  <c r="Q347" i="12"/>
  <c r="Y169" i="12"/>
  <c r="Y170" i="12"/>
  <c r="Y260" i="12"/>
  <c r="Q149" i="12"/>
  <c r="Q180" i="12"/>
  <c r="Q178" i="12"/>
  <c r="Y316" i="12"/>
  <c r="Y347" i="12"/>
  <c r="AH156" i="28"/>
  <c r="Q353" i="12"/>
  <c r="Y431" i="12"/>
  <c r="Q315" i="12"/>
  <c r="Y145" i="12"/>
  <c r="Q151" i="12"/>
  <c r="Q316" i="12"/>
  <c r="Y256" i="12"/>
  <c r="Y349" i="12"/>
  <c r="Q433" i="12"/>
  <c r="AE428" i="12"/>
  <c r="Q260" i="12"/>
  <c r="Y257" i="12"/>
  <c r="Q386" i="12"/>
  <c r="Q160" i="12"/>
  <c r="Q430" i="12"/>
  <c r="Y149" i="12"/>
  <c r="Y258" i="12"/>
  <c r="Y434" i="12"/>
  <c r="Y147" i="12"/>
  <c r="Q174" i="12"/>
  <c r="AH432" i="28"/>
  <c r="AE434" i="12"/>
  <c r="AE387" i="12"/>
  <c r="Y315" i="12"/>
  <c r="AH253" i="28"/>
  <c r="AH176" i="28"/>
  <c r="J166" i="12"/>
  <c r="AH427" i="28"/>
  <c r="Q169" i="12"/>
  <c r="Q159" i="12"/>
  <c r="Q387" i="12"/>
  <c r="Y150" i="12"/>
  <c r="Y168" i="12"/>
  <c r="AE433" i="12"/>
  <c r="AH145" i="28"/>
  <c r="AE429" i="12"/>
  <c r="Y386" i="12"/>
  <c r="Q348" i="12"/>
  <c r="Q256" i="12"/>
  <c r="AE432" i="12"/>
  <c r="Q388" i="12"/>
  <c r="AE430" i="12"/>
  <c r="Q352" i="12"/>
  <c r="I162" i="12"/>
  <c r="AE431" i="12"/>
  <c r="Y160" i="12"/>
  <c r="AH170" i="28"/>
  <c r="Y387" i="12"/>
  <c r="J276" i="12"/>
  <c r="Y255" i="12"/>
  <c r="Q172" i="12"/>
  <c r="Y175" i="12"/>
  <c r="Y276" i="12"/>
  <c r="Q431" i="12"/>
  <c r="I353" i="12"/>
  <c r="Y430" i="12"/>
  <c r="AH40" i="28"/>
  <c r="I221" i="12"/>
  <c r="Q258" i="12"/>
  <c r="Y259" i="12"/>
  <c r="Q157" i="12"/>
  <c r="J145" i="12"/>
  <c r="Y172" i="12"/>
  <c r="Y302" i="12"/>
  <c r="Y432" i="12"/>
  <c r="Q148" i="12"/>
  <c r="AE354" i="12"/>
  <c r="AH160" i="28"/>
  <c r="Q317" i="12"/>
  <c r="J255" i="12"/>
  <c r="Y162" i="12"/>
  <c r="AH352" i="28"/>
  <c r="Q428" i="12"/>
  <c r="Y353" i="12"/>
  <c r="Y166" i="12"/>
  <c r="I260" i="12"/>
  <c r="Y348" i="12"/>
  <c r="J386" i="12"/>
  <c r="Y354" i="12"/>
  <c r="I174" i="12"/>
  <c r="Q255" i="12"/>
  <c r="AH149" i="28"/>
  <c r="AE352" i="12"/>
  <c r="AE353" i="12"/>
  <c r="J355" i="12"/>
  <c r="J156" i="12"/>
  <c r="J174" i="12"/>
  <c r="J353" i="12"/>
  <c r="AH252" i="28"/>
  <c r="Q432" i="12"/>
  <c r="Y429" i="12"/>
  <c r="Q354" i="12"/>
  <c r="Q173" i="12"/>
  <c r="AH180" i="28"/>
  <c r="AE388" i="12"/>
  <c r="I147" i="12"/>
  <c r="AH257" i="28"/>
  <c r="Y180" i="12"/>
  <c r="I259" i="12"/>
  <c r="Y388" i="12"/>
  <c r="AH159" i="28"/>
  <c r="Q434" i="12"/>
  <c r="Y254" i="12"/>
  <c r="Y171" i="12"/>
  <c r="Y317" i="12"/>
  <c r="Y157" i="12"/>
  <c r="I166" i="12"/>
  <c r="AH161" i="28"/>
  <c r="J147" i="12"/>
  <c r="Y173" i="12"/>
  <c r="Q259" i="12"/>
  <c r="Y279" i="12"/>
  <c r="Q150" i="12"/>
  <c r="I255" i="12"/>
  <c r="Q145" i="12"/>
  <c r="Q429" i="12"/>
  <c r="Q166" i="12"/>
  <c r="J256" i="12"/>
  <c r="Q276" i="12"/>
  <c r="Y433" i="12"/>
  <c r="AH345" i="28"/>
  <c r="AH258" i="28"/>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112" i="12"/>
  <c r="G149" i="12"/>
  <c r="G260" i="12"/>
  <c r="Z163" i="12"/>
  <c r="Z149" i="12"/>
  <c r="R148" i="12"/>
  <c r="Z279" i="12"/>
  <c r="I217" i="12"/>
  <c r="J429" i="12"/>
  <c r="I160" i="12"/>
  <c r="AH346" i="28"/>
  <c r="AH255" i="28"/>
  <c r="G431" i="12"/>
  <c r="G160" i="12"/>
  <c r="G349" i="12"/>
  <c r="W148" i="12"/>
  <c r="W255" i="12"/>
  <c r="R163" i="12"/>
  <c r="Z148" i="12"/>
  <c r="R279" i="12"/>
  <c r="R258" i="12"/>
  <c r="J177" i="12"/>
  <c r="J151" i="12"/>
  <c r="J354" i="12"/>
  <c r="J158" i="12"/>
  <c r="I150" i="12"/>
  <c r="AH277" i="28"/>
  <c r="W429" i="12"/>
  <c r="W434" i="12"/>
  <c r="Z161" i="12"/>
  <c r="Z258" i="12"/>
  <c r="I177" i="12"/>
  <c r="I151" i="12"/>
  <c r="I354" i="12"/>
  <c r="I158" i="12"/>
  <c r="J150" i="12"/>
  <c r="Z151"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O150" i="12"/>
  <c r="O147" i="12"/>
  <c r="O260" i="12"/>
  <c r="Q257" i="12"/>
  <c r="R322" i="12"/>
  <c r="Z248" i="12"/>
  <c r="Z145" i="12"/>
  <c r="Z162" i="12"/>
  <c r="R159" i="12"/>
  <c r="J170" i="12"/>
  <c r="J349" i="12"/>
  <c r="J433" i="12"/>
  <c r="J428" i="12"/>
  <c r="I387" i="12"/>
  <c r="I222" i="12"/>
  <c r="I432" i="12"/>
  <c r="J172" i="12"/>
  <c r="I302" i="12"/>
  <c r="G148" i="12"/>
  <c r="O432" i="12"/>
  <c r="W315" i="12"/>
  <c r="G353" i="12"/>
  <c r="Q170" i="12"/>
  <c r="Z322" i="12"/>
  <c r="R162" i="12"/>
  <c r="J291" i="12"/>
  <c r="I317" i="12"/>
  <c r="J430" i="12"/>
  <c r="W387" i="12"/>
  <c r="Z355" i="12"/>
  <c r="Z160" i="12"/>
  <c r="R337" i="12"/>
  <c r="I291" i="12"/>
  <c r="J317" i="12"/>
  <c r="I430" i="12"/>
  <c r="W145" i="12"/>
  <c r="W256" i="12"/>
  <c r="R355" i="12"/>
  <c r="Z229" i="12"/>
  <c r="R160" i="12"/>
  <c r="Z337" i="12"/>
  <c r="J348" i="12"/>
  <c r="J320" i="12"/>
  <c r="J148" i="12"/>
  <c r="AH148" i="28"/>
  <c r="AH430" i="28"/>
  <c r="Z174" i="12"/>
  <c r="Z428" i="12"/>
  <c r="Z429" i="12"/>
  <c r="R354" i="12"/>
  <c r="R229" i="12"/>
  <c r="I348" i="12"/>
  <c r="I320" i="12"/>
  <c r="I148" i="12"/>
  <c r="O255" i="12"/>
  <c r="O352" i="12"/>
  <c r="Z353" i="12"/>
  <c r="Z168" i="12"/>
  <c r="G147" i="12"/>
  <c r="W316" i="12"/>
  <c r="G433" i="12"/>
  <c r="R174" i="12"/>
  <c r="R428" i="12"/>
  <c r="R323" i="12"/>
  <c r="R429" i="12"/>
  <c r="Z354" i="12"/>
  <c r="Z228" i="12"/>
  <c r="I363" i="12"/>
  <c r="J431" i="12"/>
  <c r="I315" i="12"/>
  <c r="I175" i="12"/>
  <c r="J338" i="12"/>
  <c r="J168" i="12"/>
  <c r="I352" i="12"/>
  <c r="AH177" i="28"/>
  <c r="J160" i="12"/>
  <c r="G145" i="12"/>
  <c r="G434" i="12"/>
  <c r="W166" i="12"/>
  <c r="G386" i="12"/>
  <c r="G276" i="12"/>
  <c r="G259" i="12"/>
  <c r="G172" i="12"/>
  <c r="O434" i="12"/>
  <c r="G387" i="12"/>
  <c r="G347" i="12"/>
  <c r="Z323" i="12"/>
  <c r="R257" i="12"/>
  <c r="Z173" i="12"/>
  <c r="R228" i="12"/>
  <c r="Z172" i="12"/>
  <c r="J363" i="12"/>
  <c r="I431" i="12"/>
  <c r="J315" i="12"/>
  <c r="J175" i="12"/>
  <c r="I338" i="12"/>
  <c r="I168" i="12"/>
  <c r="J352" i="12"/>
  <c r="AH147" i="28"/>
  <c r="AH155" i="28"/>
  <c r="R149" i="12"/>
  <c r="G169" i="12"/>
  <c r="Z257" i="12"/>
  <c r="R173" i="12"/>
  <c r="R172" i="12"/>
  <c r="Z276" i="12"/>
  <c r="I258" i="12"/>
  <c r="I159" i="12"/>
  <c r="J176" i="12"/>
  <c r="J388" i="12"/>
  <c r="I229" i="12"/>
  <c r="I337" i="12"/>
  <c r="AH385" i="28"/>
  <c r="AH143" i="28"/>
  <c r="W259" i="12"/>
  <c r="G217" i="12"/>
  <c r="G322" i="12"/>
  <c r="G163" i="12"/>
  <c r="O168" i="12"/>
  <c r="R112" i="12"/>
  <c r="R147" i="12"/>
  <c r="R276" i="12"/>
  <c r="J258" i="12"/>
  <c r="J159" i="12"/>
  <c r="I176" i="12"/>
  <c r="I388" i="12"/>
  <c r="J229" i="12"/>
  <c r="J337" i="12"/>
  <c r="O386" i="12"/>
  <c r="W174" i="12"/>
  <c r="W149" i="12"/>
  <c r="W173" i="12"/>
  <c r="O172" i="12"/>
  <c r="W176" i="12"/>
  <c r="J260" i="12"/>
  <c r="Z112" i="12"/>
  <c r="Z147" i="12"/>
  <c r="R320" i="12"/>
  <c r="R259" i="12"/>
  <c r="Z347" i="12"/>
  <c r="AH347" i="28"/>
  <c r="W433" i="12"/>
  <c r="O258" i="12"/>
  <c r="O428" i="12"/>
  <c r="W353" i="12"/>
  <c r="W161" i="12"/>
  <c r="G388" i="12"/>
  <c r="O151" i="12"/>
  <c r="O161" i="12"/>
  <c r="G255" i="12"/>
  <c r="O177" i="12"/>
  <c r="O158" i="12"/>
  <c r="O429" i="12"/>
  <c r="W160" i="12"/>
  <c r="R363" i="12"/>
  <c r="Z320" i="12"/>
  <c r="R433" i="12"/>
  <c r="Z338" i="12"/>
  <c r="Z222" i="12"/>
  <c r="Z259" i="12"/>
  <c r="R347" i="12"/>
  <c r="I386" i="12"/>
  <c r="Z363" i="12"/>
  <c r="Z433" i="12"/>
  <c r="R338" i="12"/>
  <c r="R222" i="12"/>
  <c r="I163" i="12"/>
  <c r="J149" i="12"/>
  <c r="I257" i="12"/>
  <c r="AH384" i="28"/>
  <c r="I429" i="12"/>
  <c r="O173" i="12"/>
  <c r="O257" i="12"/>
  <c r="W175" i="12"/>
  <c r="G221" i="12"/>
  <c r="O166" i="12"/>
  <c r="O430" i="12"/>
  <c r="O353" i="12"/>
  <c r="O276" i="12"/>
  <c r="W157" i="12"/>
  <c r="R254" i="12"/>
  <c r="R287" i="12"/>
  <c r="J163" i="12"/>
  <c r="J257" i="12"/>
  <c r="R221" i="12"/>
  <c r="W168" i="12"/>
  <c r="G355" i="12"/>
  <c r="W159" i="12"/>
  <c r="Z254" i="12"/>
  <c r="Z158" i="12"/>
  <c r="Z386" i="12"/>
  <c r="Z287" i="12"/>
  <c r="I434" i="12"/>
  <c r="AH428" i="28"/>
  <c r="AH158" i="28"/>
  <c r="AH314" i="28"/>
  <c r="AH146" i="28"/>
  <c r="O162" i="12"/>
  <c r="O302" i="12"/>
  <c r="G258" i="12"/>
  <c r="O175" i="12"/>
  <c r="G279" i="12"/>
  <c r="O157" i="12"/>
  <c r="Z349" i="12"/>
  <c r="R175" i="12"/>
  <c r="R169" i="12"/>
  <c r="R158" i="12"/>
  <c r="R386" i="12"/>
  <c r="J434" i="12"/>
  <c r="J221" i="12"/>
  <c r="J162" i="12"/>
  <c r="I256" i="12"/>
  <c r="I287" i="12"/>
  <c r="I156" i="12"/>
  <c r="J259" i="12"/>
  <c r="AH300" i="28"/>
  <c r="R349" i="12"/>
  <c r="Z175" i="12"/>
  <c r="Z169" i="12"/>
  <c r="AH157" i="28"/>
  <c r="J169" i="12"/>
  <c r="R170" i="12"/>
  <c r="Z171" i="12"/>
  <c r="R315" i="12"/>
  <c r="R217" i="12"/>
  <c r="R256" i="12"/>
  <c r="Z432" i="12"/>
  <c r="Z156" i="12"/>
  <c r="R430" i="12"/>
  <c r="I322" i="12"/>
  <c r="AH315" i="28"/>
  <c r="AH426" i="28"/>
  <c r="R387" i="12"/>
  <c r="W432" i="12"/>
  <c r="G315" i="12"/>
  <c r="G162" i="12"/>
  <c r="W348" i="12"/>
  <c r="R432" i="12"/>
  <c r="O170" i="12"/>
  <c r="G302" i="12"/>
  <c r="O145" i="12"/>
  <c r="Q349" i="12"/>
  <c r="I169" i="12"/>
  <c r="Z170" i="12"/>
  <c r="R171" i="12"/>
  <c r="Z315" i="12"/>
  <c r="Z217" i="12"/>
  <c r="Z256" i="12"/>
  <c r="R156" i="12"/>
  <c r="I355" i="12"/>
  <c r="G254" i="12"/>
  <c r="O180" i="12"/>
  <c r="W172" i="12"/>
  <c r="W388" i="12"/>
  <c r="W260" i="12"/>
  <c r="G229" i="12"/>
  <c r="W180" i="12"/>
  <c r="O160" i="12"/>
  <c r="W279" i="12"/>
  <c r="O254" i="12"/>
  <c r="O354" i="12"/>
  <c r="Q302" i="12"/>
  <c r="R291" i="12"/>
  <c r="R180" i="12"/>
  <c r="W178" i="12"/>
  <c r="W150" i="12"/>
  <c r="G256" i="12"/>
  <c r="O279" i="12"/>
  <c r="G291" i="12"/>
  <c r="O316" i="12"/>
  <c r="G176" i="12"/>
  <c r="O348" i="12"/>
  <c r="G248" i="12"/>
  <c r="G156" i="12"/>
  <c r="Q175" i="12"/>
  <c r="Y159" i="12"/>
  <c r="Z291" i="12"/>
  <c r="Z388" i="12"/>
  <c r="Z180" i="12"/>
  <c r="I145" i="12"/>
  <c r="AH350" i="28"/>
  <c r="AH171" i="28"/>
  <c r="G151" i="12"/>
  <c r="Z150" i="12"/>
  <c r="R302" i="12"/>
  <c r="G338" i="12"/>
  <c r="W158" i="12"/>
  <c r="O148" i="12"/>
  <c r="G150" i="12"/>
  <c r="G175" i="12"/>
  <c r="W386" i="12"/>
  <c r="W170" i="12"/>
  <c r="G177" i="12"/>
  <c r="G180" i="12"/>
  <c r="Y161" i="12"/>
  <c r="Q176" i="12"/>
  <c r="Z348" i="12"/>
  <c r="R352" i="12"/>
  <c r="R388" i="12"/>
  <c r="R177" i="12"/>
  <c r="Z157" i="12"/>
  <c r="AH429" i="28"/>
  <c r="W349" i="12"/>
  <c r="I171" i="12"/>
  <c r="G222" i="12"/>
  <c r="Z430" i="12"/>
  <c r="G170" i="12"/>
  <c r="G317" i="12"/>
  <c r="G174" i="12"/>
  <c r="W347" i="12"/>
  <c r="G323" i="12"/>
  <c r="G354" i="12"/>
  <c r="Q162" i="12"/>
  <c r="Y158" i="12"/>
  <c r="R348" i="12"/>
  <c r="Z352" i="12"/>
  <c r="Z431" i="12"/>
  <c r="Z177" i="12"/>
  <c r="R157" i="12"/>
  <c r="R317" i="12"/>
  <c r="Z260" i="12"/>
  <c r="I173" i="12"/>
  <c r="J180" i="12"/>
  <c r="I254" i="12"/>
  <c r="J228" i="12"/>
  <c r="I279" i="12"/>
  <c r="AH168" i="28"/>
  <c r="AH254" i="28"/>
  <c r="G158" i="12"/>
  <c r="O315" i="12"/>
  <c r="O176" i="12"/>
  <c r="J322" i="12"/>
  <c r="W162" i="12"/>
  <c r="G159" i="12"/>
  <c r="W257" i="12"/>
  <c r="G171" i="12"/>
  <c r="G316" i="12"/>
  <c r="G428" i="12"/>
  <c r="G363" i="12"/>
  <c r="W352" i="12"/>
  <c r="W430" i="12"/>
  <c r="G257" i="12"/>
  <c r="O256" i="12"/>
  <c r="G287" i="12"/>
  <c r="G228" i="12"/>
  <c r="Y177" i="12"/>
  <c r="J287" i="12"/>
  <c r="R316" i="12"/>
  <c r="R431" i="12"/>
  <c r="R255" i="12"/>
  <c r="Z317" i="12"/>
  <c r="R260" i="12"/>
  <c r="J173" i="12"/>
  <c r="I180" i="12"/>
  <c r="J254" i="12"/>
  <c r="I228" i="12"/>
  <c r="J279" i="12"/>
  <c r="AH274" i="28"/>
  <c r="AH313" i="28"/>
  <c r="O433" i="12"/>
  <c r="W428" i="12"/>
  <c r="W171" i="12"/>
  <c r="W254" i="12"/>
  <c r="G157" i="12"/>
  <c r="G168" i="12"/>
  <c r="O259" i="12"/>
  <c r="O388" i="12"/>
  <c r="G173" i="12"/>
  <c r="O159" i="12"/>
  <c r="Z316" i="12"/>
  <c r="Z255" i="12"/>
  <c r="Z166" i="12"/>
  <c r="J112" i="12"/>
  <c r="I316" i="12"/>
  <c r="J347" i="12"/>
  <c r="I323" i="12"/>
  <c r="I157" i="12"/>
  <c r="J161" i="12"/>
  <c r="AH431" i="28"/>
  <c r="AH166" i="28"/>
  <c r="W177" i="12"/>
  <c r="G320" i="12"/>
  <c r="G166" i="12"/>
  <c r="W151" i="12"/>
  <c r="W169" i="12"/>
  <c r="G430" i="12"/>
  <c r="O163" i="12"/>
  <c r="W276" i="12"/>
  <c r="Z176" i="12"/>
  <c r="R151" i="12"/>
  <c r="R166" i="12"/>
  <c r="R150" i="12"/>
  <c r="I112" i="12"/>
  <c r="J316" i="12"/>
  <c r="I347" i="12"/>
  <c r="J323" i="12"/>
  <c r="J157" i="12"/>
  <c r="I161" i="12"/>
  <c r="AH167" i="28"/>
  <c r="AH351" i="28"/>
  <c r="Z303" i="21"/>
  <c r="Z312" i="21"/>
  <c r="Z291" i="21"/>
  <c r="Z313" i="21"/>
  <c r="Z323" i="21"/>
  <c r="Z60" i="21"/>
  <c r="Z181" i="21"/>
  <c r="Z86" i="21"/>
  <c r="Z68" i="21"/>
  <c r="Z175" i="21"/>
  <c r="Z90" i="21"/>
  <c r="Z190" i="21"/>
  <c r="Z163" i="21"/>
  <c r="Z66" i="21"/>
  <c r="Z101" i="21"/>
  <c r="AA160" i="21"/>
  <c r="Z48" i="21"/>
  <c r="Z164" i="21"/>
  <c r="Z198" i="21"/>
  <c r="Z96" i="21"/>
  <c r="Z82" i="21"/>
  <c r="Z97" i="21"/>
  <c r="Z201" i="21"/>
  <c r="Z208" i="21"/>
  <c r="Z194" i="21"/>
  <c r="Z232" i="21"/>
  <c r="Z44" i="21"/>
  <c r="Z46" i="21"/>
  <c r="P124" i="21"/>
  <c r="N270" i="21"/>
  <c r="Z270" i="21" s="1"/>
  <c r="R84" i="21"/>
  <c r="R270" i="21"/>
  <c r="Q284" i="21"/>
  <c r="F284" i="22"/>
  <c r="X284" i="22" s="1"/>
  <c r="O272" i="21"/>
  <c r="D272" i="22"/>
  <c r="U272" i="22" s="1"/>
  <c r="O307" i="21"/>
  <c r="D307" i="22"/>
  <c r="U307" i="22" s="1"/>
  <c r="Q272" i="21"/>
  <c r="F272" i="22"/>
  <c r="X272" i="22" s="1"/>
  <c r="O245" i="21"/>
  <c r="D245" i="22"/>
  <c r="U245" i="22" s="1"/>
  <c r="N212" i="21"/>
  <c r="Z212" i="21" s="1"/>
  <c r="N192" i="21"/>
  <c r="N272" i="21"/>
  <c r="Z272" i="21" s="1"/>
  <c r="Q307" i="21"/>
  <c r="F307" i="22"/>
  <c r="X307" i="22" s="1"/>
  <c r="O212" i="21"/>
  <c r="D212" i="22"/>
  <c r="U212" i="22" s="1"/>
  <c r="N183" i="21"/>
  <c r="Z183" i="21" s="1"/>
  <c r="Q283" i="21"/>
  <c r="F283" i="22"/>
  <c r="X283" i="22" s="1"/>
  <c r="R307" i="21"/>
  <c r="R283" i="21"/>
  <c r="P84" i="21"/>
  <c r="P270" i="21"/>
  <c r="O284" i="21"/>
  <c r="D284" i="22"/>
  <c r="U284" i="22" s="1"/>
  <c r="Q245" i="21"/>
  <c r="F245" i="22"/>
  <c r="X245" i="22" s="1"/>
  <c r="P212" i="21"/>
  <c r="Q270" i="21"/>
  <c r="F270" i="22"/>
  <c r="X270" i="22" s="1"/>
  <c r="R245" i="21"/>
  <c r="P249" i="21"/>
  <c r="P183" i="21"/>
  <c r="R183" i="21"/>
  <c r="N301" i="21"/>
  <c r="Z301" i="21" s="1"/>
  <c r="N84" i="21"/>
  <c r="Z84" i="21" s="1"/>
  <c r="O270" i="21"/>
  <c r="D270" i="22"/>
  <c r="U270" i="22" s="1"/>
  <c r="N284" i="21"/>
  <c r="Z284" i="21" s="1"/>
  <c r="P245" i="21"/>
  <c r="R284" i="21"/>
  <c r="Q193" i="21"/>
  <c r="F193" i="22"/>
  <c r="X193" i="22" s="1"/>
  <c r="R193" i="21"/>
  <c r="Q183" i="21"/>
  <c r="F183" i="22"/>
  <c r="X183" i="22" s="1"/>
  <c r="O301" i="21"/>
  <c r="D301" i="22"/>
  <c r="U301" i="22" s="1"/>
  <c r="N245" i="21"/>
  <c r="Z245" i="21" s="1"/>
  <c r="P284" i="21"/>
  <c r="P301" i="21"/>
  <c r="O124" i="21"/>
  <c r="D124" i="22"/>
  <c r="U124" i="22" s="1"/>
  <c r="R212" i="21"/>
  <c r="P193" i="21"/>
  <c r="O273" i="21"/>
  <c r="D273" i="22"/>
  <c r="U273" i="22" s="1"/>
  <c r="Q301" i="21"/>
  <c r="F301" i="22"/>
  <c r="X301" i="22" s="1"/>
  <c r="P272" i="21"/>
  <c r="O193" i="21"/>
  <c r="D193" i="22"/>
  <c r="U193" i="22" s="1"/>
  <c r="R301" i="21"/>
  <c r="O188" i="21"/>
  <c r="D188" i="22"/>
  <c r="U188" i="22" s="1"/>
  <c r="N187" i="21"/>
  <c r="Q212" i="21"/>
  <c r="F212" i="22"/>
  <c r="X212" i="22" s="1"/>
  <c r="R249" i="21"/>
  <c r="P273" i="21"/>
  <c r="R273" i="21"/>
  <c r="O187" i="21"/>
  <c r="D187" i="22"/>
  <c r="U187" i="22" s="1"/>
  <c r="P307" i="21"/>
  <c r="Q84" i="21"/>
  <c r="F84" i="22"/>
  <c r="X84" i="22" s="1"/>
  <c r="N193" i="21"/>
  <c r="Z193" i="21" s="1"/>
  <c r="P187" i="21"/>
  <c r="R124" i="21"/>
  <c r="P192" i="21"/>
  <c r="R272" i="21"/>
  <c r="O183" i="21"/>
  <c r="D183" i="22"/>
  <c r="U183" i="22" s="1"/>
  <c r="Q187" i="21"/>
  <c r="F187" i="22"/>
  <c r="X187" i="22" s="1"/>
  <c r="P283" i="21"/>
  <c r="O192" i="21"/>
  <c r="AC192" i="21" s="1"/>
  <c r="D192" i="22"/>
  <c r="U192" i="22" s="1"/>
  <c r="N273" i="21"/>
  <c r="Z273" i="21" s="1"/>
  <c r="R187" i="21"/>
  <c r="O84" i="21"/>
  <c r="AC84" i="21" s="1"/>
  <c r="D84" i="22"/>
  <c r="U84" i="22" s="1"/>
  <c r="R188" i="21"/>
  <c r="N124" i="21"/>
  <c r="Z124" i="21" s="1"/>
  <c r="R192" i="21"/>
  <c r="Q249" i="21"/>
  <c r="F249" i="22"/>
  <c r="X249" i="22" s="1"/>
  <c r="N283" i="21"/>
  <c r="Z283" i="21" s="1"/>
  <c r="P188" i="21"/>
  <c r="Q188" i="21"/>
  <c r="F188" i="22"/>
  <c r="X188" i="22" s="1"/>
  <c r="Q124" i="21"/>
  <c r="F124" i="22"/>
  <c r="X124" i="22" s="1"/>
  <c r="Q192" i="21"/>
  <c r="F192" i="22"/>
  <c r="X192" i="22" s="1"/>
  <c r="N249" i="21"/>
  <c r="Z249" i="21" s="1"/>
  <c r="O249" i="21"/>
  <c r="D249" i="22"/>
  <c r="U249" i="22" s="1"/>
  <c r="Q273" i="21"/>
  <c r="F273" i="22"/>
  <c r="X273" i="22" s="1"/>
  <c r="N188" i="21"/>
  <c r="O283" i="21"/>
  <c r="D283" i="22"/>
  <c r="U283" i="22" s="1"/>
  <c r="N307" i="21"/>
  <c r="Z307" i="21" s="1"/>
  <c r="I122" i="21"/>
  <c r="F122" i="22" s="1"/>
  <c r="X122" i="22" s="1"/>
  <c r="H122" i="21"/>
  <c r="P122" i="21" s="1"/>
  <c r="G122" i="21"/>
  <c r="D122" i="22" s="1"/>
  <c r="U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F113" i="21"/>
  <c r="E113" i="21"/>
  <c r="F114" i="21"/>
  <c r="N114" i="21" s="1"/>
  <c r="E114" i="21"/>
  <c r="B50" i="22"/>
  <c r="R50" i="22" s="1"/>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F246" i="21"/>
  <c r="G246" i="21"/>
  <c r="H246" i="21"/>
  <c r="P246" i="21" s="1"/>
  <c r="I246" i="21"/>
  <c r="D246" i="21"/>
  <c r="D247" i="21"/>
  <c r="M247" i="21" s="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X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H88" i="21"/>
  <c r="P88" i="21" s="1"/>
  <c r="G96" i="21"/>
  <c r="I11" i="21"/>
  <c r="F11" i="22" s="1"/>
  <c r="G46" i="21"/>
  <c r="F105" i="21"/>
  <c r="N105" i="21" s="1"/>
  <c r="G61" i="21"/>
  <c r="H67" i="21"/>
  <c r="P67" i="21" s="1"/>
  <c r="I106" i="21"/>
  <c r="G113" i="21"/>
  <c r="H106" i="21"/>
  <c r="P106" i="21" s="1"/>
  <c r="N15" i="21"/>
  <c r="N28" i="21"/>
  <c r="H61" i="21"/>
  <c r="P61" i="21" s="1"/>
  <c r="J67" i="21"/>
  <c r="R67" i="21" s="1"/>
  <c r="F87" i="21"/>
  <c r="N87" i="21" s="1"/>
  <c r="F94" i="21"/>
  <c r="N94" i="21" s="1"/>
  <c r="J106" i="21"/>
  <c r="R106" i="21" s="1"/>
  <c r="H113" i="21"/>
  <c r="J149" i="21"/>
  <c r="F159" i="21"/>
  <c r="F93" i="21"/>
  <c r="N93" i="21" s="1"/>
  <c r="O15" i="21"/>
  <c r="AC15" i="21" s="1"/>
  <c r="O28" i="21"/>
  <c r="N39" i="21"/>
  <c r="I61" i="21"/>
  <c r="G87" i="21"/>
  <c r="H94" i="21"/>
  <c r="P94" i="21" s="1"/>
  <c r="F100" i="21"/>
  <c r="N100" i="21" s="1"/>
  <c r="I113" i="21"/>
  <c r="G159" i="21"/>
  <c r="F168" i="21"/>
  <c r="N168" i="21" s="1"/>
  <c r="I87" i="21"/>
  <c r="J94" i="21"/>
  <c r="R94" i="21" s="1"/>
  <c r="H159" i="21"/>
  <c r="P159" i="21" s="1"/>
  <c r="G168" i="21"/>
  <c r="J13" i="21"/>
  <c r="R13" i="21" s="1"/>
  <c r="Q13" i="21"/>
  <c r="AF13" i="21" s="1"/>
  <c r="J78" i="21"/>
  <c r="R78" i="21" s="1"/>
  <c r="J113" i="21"/>
  <c r="Q15" i="21"/>
  <c r="AF15" i="21" s="1"/>
  <c r="Q28" i="2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J44" i="21"/>
  <c r="R44" i="21" s="1"/>
  <c r="Q56" i="21"/>
  <c r="I75" i="21"/>
  <c r="J97" i="21"/>
  <c r="R97" i="21" s="1"/>
  <c r="H104" i="21"/>
  <c r="P104" i="21" s="1"/>
  <c r="I153" i="21"/>
  <c r="I171" i="21"/>
  <c r="J102" i="21"/>
  <c r="R102" i="21" s="1"/>
  <c r="R56" i="21"/>
  <c r="J75" i="21"/>
  <c r="R75" i="21" s="1"/>
  <c r="I104" i="21"/>
  <c r="J153" i="21"/>
  <c r="R153" i="21" s="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AC22" i="21" s="1"/>
  <c r="O12" i="21"/>
  <c r="AC12" i="21" s="1"/>
  <c r="P55" i="2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AF32" i="21" s="1"/>
  <c r="R41" i="21"/>
  <c r="G82" i="21"/>
  <c r="F82" i="21"/>
  <c r="N82" i="21" s="1"/>
  <c r="J92" i="21"/>
  <c r="R92" i="21" s="1"/>
  <c r="J155" i="21"/>
  <c r="I155" i="21"/>
  <c r="H155" i="21"/>
  <c r="F155" i="21"/>
  <c r="J198" i="21"/>
  <c r="R198" i="21" s="1"/>
  <c r="P27" i="21"/>
  <c r="P37" i="21"/>
  <c r="O14" i="21"/>
  <c r="AC14" i="21" s="1"/>
  <c r="Q16" i="21"/>
  <c r="AF16" i="21" s="1"/>
  <c r="J29" i="21"/>
  <c r="R29" i="21" s="1"/>
  <c r="J45" i="21"/>
  <c r="R45" i="21" s="1"/>
  <c r="I48" i="21"/>
  <c r="F48" i="21"/>
  <c r="N48" i="21" s="1"/>
  <c r="G48" i="21"/>
  <c r="N31" i="21"/>
  <c r="P34" i="2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AF26" i="21" s="1"/>
  <c r="P31" i="21"/>
  <c r="P36" i="21"/>
  <c r="I7" i="21"/>
  <c r="F7" i="22" s="1"/>
  <c r="AM7" i="22" s="1"/>
  <c r="N13" i="2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O26" i="21"/>
  <c r="N23" i="21"/>
  <c r="O13" i="21"/>
  <c r="O23" i="2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M243" i="21" s="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X161" i="22" s="1"/>
  <c r="I207" i="21"/>
  <c r="H207" i="21"/>
  <c r="P207" i="21" s="1"/>
  <c r="F207" i="21"/>
  <c r="N207" i="21" s="1"/>
  <c r="J211" i="21"/>
  <c r="R211" i="21" s="1"/>
  <c r="J175" i="21"/>
  <c r="R175" i="21" s="1"/>
  <c r="I175" i="21"/>
  <c r="H175" i="21"/>
  <c r="P175" i="21" s="1"/>
  <c r="G175" i="21"/>
  <c r="P56" i="2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R22" i="21" l="1"/>
  <c r="AF22" i="21" s="1"/>
  <c r="G22" i="22"/>
  <c r="BC22" i="22" s="1"/>
  <c r="AC23" i="21"/>
  <c r="AC13" i="21"/>
  <c r="AC26" i="21"/>
  <c r="AC16" i="21"/>
  <c r="AC27" i="21"/>
  <c r="AF28" i="21"/>
  <c r="AC28" i="21"/>
  <c r="AF23" i="21"/>
  <c r="A291" i="28"/>
  <c r="M248" i="21"/>
  <c r="A390" i="12"/>
  <c r="A388" i="28"/>
  <c r="A378" i="12"/>
  <c r="A381" i="28"/>
  <c r="A369" i="12"/>
  <c r="A367" i="28"/>
  <c r="A362" i="12"/>
  <c r="A360" i="28"/>
  <c r="A330" i="12"/>
  <c r="A328" i="28"/>
  <c r="A326" i="12"/>
  <c r="A312" i="28"/>
  <c r="A302" i="28"/>
  <c r="A304" i="12"/>
  <c r="A271" i="12"/>
  <c r="A269" i="28"/>
  <c r="D194" i="21"/>
  <c r="M192" i="21"/>
  <c r="A224" i="12"/>
  <c r="A222" i="28"/>
  <c r="M187" i="21"/>
  <c r="D162" i="21"/>
  <c r="A174" i="28"/>
  <c r="A182" i="12"/>
  <c r="D112" i="21"/>
  <c r="A135" i="28"/>
  <c r="A137" i="12"/>
  <c r="A94" i="12"/>
  <c r="A92" i="28"/>
  <c r="B58" i="22"/>
  <c r="M58" i="21"/>
  <c r="Z58" i="21" s="1"/>
  <c r="A83" i="12"/>
  <c r="G56" i="22"/>
  <c r="BC56" i="22" s="1"/>
  <c r="X56" i="22"/>
  <c r="AM56" i="22"/>
  <c r="D56" i="22"/>
  <c r="O56" i="21"/>
  <c r="AD56" i="21" s="1"/>
  <c r="A81" i="28"/>
  <c r="G55" i="22"/>
  <c r="BC55" i="22" s="1"/>
  <c r="X55" i="22"/>
  <c r="AM55" i="22"/>
  <c r="D55" i="22"/>
  <c r="O55" i="21"/>
  <c r="AD55" i="21" s="1"/>
  <c r="G54" i="22"/>
  <c r="BC54" i="22" s="1"/>
  <c r="X54" i="22"/>
  <c r="AM54" i="22"/>
  <c r="D54" i="22"/>
  <c r="O54" i="21"/>
  <c r="AD54" i="21" s="1"/>
  <c r="G53" i="22"/>
  <c r="BC53" i="22" s="1"/>
  <c r="X53" i="22"/>
  <c r="AM53" i="22"/>
  <c r="D53" i="22"/>
  <c r="O53" i="21"/>
  <c r="AD53" i="21" s="1"/>
  <c r="G52" i="22"/>
  <c r="BC52" i="22" s="1"/>
  <c r="X52" i="22"/>
  <c r="AM52" i="22"/>
  <c r="D52" i="22"/>
  <c r="O52" i="21"/>
  <c r="AD52" i="21" s="1"/>
  <c r="G51" i="22"/>
  <c r="BC51" i="22" s="1"/>
  <c r="X51" i="22"/>
  <c r="AM51" i="22"/>
  <c r="D51" i="22"/>
  <c r="O51" i="21"/>
  <c r="AD51" i="21" s="1"/>
  <c r="J57" i="21"/>
  <c r="R57" i="21" s="1"/>
  <c r="G50" i="22"/>
  <c r="BC50" i="22" s="1"/>
  <c r="X50" i="22"/>
  <c r="AM50" i="22"/>
  <c r="H57" i="21"/>
  <c r="P57" i="21" s="1"/>
  <c r="P50" i="21"/>
  <c r="D50" i="22"/>
  <c r="O50" i="21"/>
  <c r="F57" i="21"/>
  <c r="A73" i="12"/>
  <c r="A71" i="28"/>
  <c r="G42" i="22"/>
  <c r="BC42" i="22" s="1"/>
  <c r="X42" i="22"/>
  <c r="AM42" i="22"/>
  <c r="E42" i="22"/>
  <c r="AW42" i="22" s="1"/>
  <c r="U42" i="22"/>
  <c r="AK42" i="22"/>
  <c r="C42" i="22"/>
  <c r="AQ42" i="22" s="1"/>
  <c r="R42" i="22"/>
  <c r="AI42" i="22"/>
  <c r="G41" i="22"/>
  <c r="BC41" i="22" s="1"/>
  <c r="X41" i="22"/>
  <c r="AM41" i="22"/>
  <c r="E41" i="22"/>
  <c r="AW41" i="22" s="1"/>
  <c r="U41" i="22"/>
  <c r="AK41" i="22"/>
  <c r="C41" i="22"/>
  <c r="AQ41" i="22" s="1"/>
  <c r="R41" i="22"/>
  <c r="AI41" i="22"/>
  <c r="G40" i="22"/>
  <c r="BC40" i="22" s="1"/>
  <c r="X40" i="22"/>
  <c r="AM40" i="22"/>
  <c r="E40" i="22"/>
  <c r="AW40" i="22" s="1"/>
  <c r="U40" i="22"/>
  <c r="AK40" i="22"/>
  <c r="C40" i="22"/>
  <c r="AQ40" i="22" s="1"/>
  <c r="R40" i="22"/>
  <c r="AI40" i="22"/>
  <c r="G39" i="22"/>
  <c r="BC39" i="22" s="1"/>
  <c r="X39" i="22"/>
  <c r="AM39" i="22"/>
  <c r="E39" i="22"/>
  <c r="AW39" i="22" s="1"/>
  <c r="U39" i="22"/>
  <c r="AK39" i="22"/>
  <c r="C39" i="22"/>
  <c r="AQ39" i="22" s="1"/>
  <c r="R39" i="22"/>
  <c r="AI39" i="22"/>
  <c r="G38" i="22"/>
  <c r="BC38" i="22" s="1"/>
  <c r="X38" i="22"/>
  <c r="AM38" i="22"/>
  <c r="E38" i="22"/>
  <c r="AW38" i="22" s="1"/>
  <c r="U38" i="22"/>
  <c r="AK38" i="22"/>
  <c r="C38" i="22"/>
  <c r="AQ38" i="22" s="1"/>
  <c r="R38" i="22"/>
  <c r="AI38" i="22"/>
  <c r="G37" i="22"/>
  <c r="BC37" i="22" s="1"/>
  <c r="X37" i="22"/>
  <c r="AM37" i="22"/>
  <c r="E37" i="22"/>
  <c r="AW37" i="22" s="1"/>
  <c r="U37" i="22"/>
  <c r="AK37" i="22"/>
  <c r="C37" i="22"/>
  <c r="AQ37" i="22" s="1"/>
  <c r="R37" i="22"/>
  <c r="AI37" i="22"/>
  <c r="G36" i="22"/>
  <c r="BC36" i="22" s="1"/>
  <c r="X36" i="22"/>
  <c r="AM36" i="22"/>
  <c r="E36" i="22"/>
  <c r="AW36" i="22" s="1"/>
  <c r="U36" i="22"/>
  <c r="AK36" i="22"/>
  <c r="C36" i="22"/>
  <c r="AQ36" i="22" s="1"/>
  <c r="R36" i="22"/>
  <c r="AI36" i="22"/>
  <c r="G35" i="22"/>
  <c r="BC35" i="22" s="1"/>
  <c r="X35" i="22"/>
  <c r="AM35" i="22"/>
  <c r="E35" i="22"/>
  <c r="AW35" i="22" s="1"/>
  <c r="U35" i="22"/>
  <c r="AK35" i="22"/>
  <c r="C35" i="22"/>
  <c r="AQ35" i="22" s="1"/>
  <c r="R35" i="22"/>
  <c r="AI35" i="22"/>
  <c r="F34" i="22"/>
  <c r="Q34" i="21"/>
  <c r="AG34" i="21" s="1"/>
  <c r="D34" i="22"/>
  <c r="O34" i="21"/>
  <c r="AD34" i="21" s="1"/>
  <c r="B34" i="22"/>
  <c r="M34" i="21"/>
  <c r="AA34" i="21" s="1"/>
  <c r="F33" i="22"/>
  <c r="Q33" i="21"/>
  <c r="AG33" i="21" s="1"/>
  <c r="D33" i="22"/>
  <c r="O33" i="21"/>
  <c r="AD33" i="21" s="1"/>
  <c r="B33" i="22"/>
  <c r="M33" i="21"/>
  <c r="AA33" i="21" s="1"/>
  <c r="G32" i="22"/>
  <c r="BC32" i="22" s="1"/>
  <c r="AM32" i="22"/>
  <c r="BB32" i="22" s="1"/>
  <c r="E32" i="22"/>
  <c r="AW32" i="22" s="1"/>
  <c r="AK32" i="22"/>
  <c r="AV32" i="22" s="1"/>
  <c r="C32" i="22"/>
  <c r="AQ32" i="22" s="1"/>
  <c r="AI32" i="22"/>
  <c r="AP32" i="22" s="1"/>
  <c r="A52" i="28"/>
  <c r="G31" i="22"/>
  <c r="BC31" i="22" s="1"/>
  <c r="X31" i="22"/>
  <c r="AM31" i="22"/>
  <c r="E31" i="22"/>
  <c r="AW31" i="22" s="1"/>
  <c r="U31" i="22"/>
  <c r="AK31" i="22"/>
  <c r="R31" i="22"/>
  <c r="C31" i="22"/>
  <c r="AQ31" i="22" s="1"/>
  <c r="AI31" i="22"/>
  <c r="G30" i="22"/>
  <c r="BC30" i="22" s="1"/>
  <c r="X30" i="22"/>
  <c r="AM30" i="22"/>
  <c r="E30" i="22"/>
  <c r="AW30" i="22" s="1"/>
  <c r="U30" i="22"/>
  <c r="AK30" i="22"/>
  <c r="C30" i="22"/>
  <c r="AQ30" i="22" s="1"/>
  <c r="R30" i="22"/>
  <c r="AI30" i="22"/>
  <c r="G29" i="22"/>
  <c r="BC29" i="22" s="1"/>
  <c r="X29" i="22"/>
  <c r="AM29" i="22"/>
  <c r="E29" i="22"/>
  <c r="AW29" i="22" s="1"/>
  <c r="U29" i="22"/>
  <c r="AK29" i="22"/>
  <c r="C29" i="22"/>
  <c r="AQ29" i="22" s="1"/>
  <c r="R29" i="22"/>
  <c r="AI29" i="22"/>
  <c r="G28" i="22"/>
  <c r="BC28" i="22" s="1"/>
  <c r="AM28" i="22"/>
  <c r="BB28" i="22" s="1"/>
  <c r="E28" i="22"/>
  <c r="AW28" i="22" s="1"/>
  <c r="AK28" i="22"/>
  <c r="AV28" i="22" s="1"/>
  <c r="B28" i="22"/>
  <c r="M28" i="21"/>
  <c r="G27" i="22"/>
  <c r="BC27" i="22" s="1"/>
  <c r="AM27" i="22"/>
  <c r="BB27" i="22" s="1"/>
  <c r="E27" i="22"/>
  <c r="AW27" i="22" s="1"/>
  <c r="AK27" i="22"/>
  <c r="AV27" i="22" s="1"/>
  <c r="C27" i="22"/>
  <c r="AQ27" i="22" s="1"/>
  <c r="AI27" i="22"/>
  <c r="AP27" i="22" s="1"/>
  <c r="G26" i="22"/>
  <c r="BC26" i="22" s="1"/>
  <c r="AM26" i="22"/>
  <c r="E26" i="22"/>
  <c r="AW26" i="22" s="1"/>
  <c r="AK26" i="22"/>
  <c r="C26" i="22"/>
  <c r="AQ26" i="22" s="1"/>
  <c r="AI26" i="22"/>
  <c r="G25" i="22"/>
  <c r="BC25" i="22" s="1"/>
  <c r="X25" i="22"/>
  <c r="AM25" i="22"/>
  <c r="E25" i="22"/>
  <c r="AW25" i="22" s="1"/>
  <c r="U25" i="22"/>
  <c r="AK25" i="22"/>
  <c r="C25" i="22"/>
  <c r="AQ25" i="22" s="1"/>
  <c r="R25" i="22"/>
  <c r="AI25" i="22"/>
  <c r="G24" i="22"/>
  <c r="BC24" i="22" s="1"/>
  <c r="X24" i="22"/>
  <c r="AM24" i="22"/>
  <c r="E24" i="22"/>
  <c r="AW24" i="22" s="1"/>
  <c r="U24" i="22"/>
  <c r="AK24" i="22"/>
  <c r="C24" i="22"/>
  <c r="AQ24" i="22" s="1"/>
  <c r="R24" i="22"/>
  <c r="AI24" i="22"/>
  <c r="G23" i="22"/>
  <c r="BC23" i="22" s="1"/>
  <c r="AM23" i="22"/>
  <c r="E23" i="22"/>
  <c r="AW23" i="22" s="1"/>
  <c r="AK23" i="22"/>
  <c r="C23" i="22"/>
  <c r="AQ23" i="22" s="1"/>
  <c r="AI23" i="22"/>
  <c r="F21" i="22"/>
  <c r="Q21" i="21"/>
  <c r="AF21" i="21" s="1"/>
  <c r="D21" i="22"/>
  <c r="O21" i="21"/>
  <c r="AC21" i="21" s="1"/>
  <c r="B21" i="22"/>
  <c r="M21" i="21"/>
  <c r="Z21" i="21" s="1"/>
  <c r="G20" i="22"/>
  <c r="BC20" i="22" s="1"/>
  <c r="X20" i="22"/>
  <c r="AM20" i="22"/>
  <c r="E20" i="22"/>
  <c r="AW20" i="22" s="1"/>
  <c r="U20" i="22"/>
  <c r="AK20" i="22"/>
  <c r="C20" i="22"/>
  <c r="AQ20" i="22" s="1"/>
  <c r="R20" i="22"/>
  <c r="AI20" i="22"/>
  <c r="F19" i="22"/>
  <c r="Q19" i="21"/>
  <c r="AF19" i="21" s="1"/>
  <c r="D19" i="22"/>
  <c r="O19" i="21"/>
  <c r="AC19" i="21" s="1"/>
  <c r="C19" i="22"/>
  <c r="AQ19" i="22" s="1"/>
  <c r="R19" i="22"/>
  <c r="AI19" i="22"/>
  <c r="F18" i="22"/>
  <c r="Q18" i="21"/>
  <c r="AF18" i="21" s="1"/>
  <c r="D18" i="22"/>
  <c r="O18" i="21"/>
  <c r="AC18" i="21" s="1"/>
  <c r="C18" i="22"/>
  <c r="AQ18" i="22" s="1"/>
  <c r="R18" i="22"/>
  <c r="AI18" i="22"/>
  <c r="G17" i="22"/>
  <c r="BC17" i="22" s="1"/>
  <c r="X17" i="22"/>
  <c r="AM17" i="22"/>
  <c r="BB17" i="22" s="1"/>
  <c r="E17" i="22"/>
  <c r="AW17" i="22" s="1"/>
  <c r="U17" i="22"/>
  <c r="AK17" i="22"/>
  <c r="AV17" i="22" s="1"/>
  <c r="C17" i="22"/>
  <c r="AQ17" i="22" s="1"/>
  <c r="R17" i="22"/>
  <c r="AI17" i="22"/>
  <c r="AP17" i="22" s="1"/>
  <c r="G16" i="22"/>
  <c r="BC16" i="22" s="1"/>
  <c r="AM16" i="22"/>
  <c r="BB16" i="22" s="1"/>
  <c r="E16" i="22"/>
  <c r="AW16" i="22" s="1"/>
  <c r="AK16" i="22"/>
  <c r="AV16" i="22" s="1"/>
  <c r="B16" i="22"/>
  <c r="M16" i="21"/>
  <c r="Z16" i="21" s="1"/>
  <c r="G15" i="22"/>
  <c r="BC15" i="22" s="1"/>
  <c r="X15" i="22"/>
  <c r="AM15" i="22"/>
  <c r="E15" i="22"/>
  <c r="AW15" i="22" s="1"/>
  <c r="U15" i="22"/>
  <c r="AK15" i="22"/>
  <c r="C15" i="22"/>
  <c r="AQ15" i="22" s="1"/>
  <c r="R15" i="22"/>
  <c r="AI15" i="22"/>
  <c r="AP15" i="22" s="1"/>
  <c r="G14" i="22"/>
  <c r="BC14" i="22" s="1"/>
  <c r="AM14" i="22"/>
  <c r="BB14" i="22" s="1"/>
  <c r="E14" i="22"/>
  <c r="AW14" i="22" s="1"/>
  <c r="AK14" i="22"/>
  <c r="AV14" i="22" s="1"/>
  <c r="C14" i="22"/>
  <c r="AQ14" i="22" s="1"/>
  <c r="AI14" i="22"/>
  <c r="AP14" i="22" s="1"/>
  <c r="G13" i="22"/>
  <c r="BC13" i="22" s="1"/>
  <c r="AM13" i="22"/>
  <c r="BB13" i="22" s="1"/>
  <c r="E13" i="22"/>
  <c r="AW13" i="22" s="1"/>
  <c r="AK13" i="22"/>
  <c r="AV13" i="22" s="1"/>
  <c r="B13" i="22"/>
  <c r="M13" i="21"/>
  <c r="A29" i="28"/>
  <c r="A31" i="12"/>
  <c r="G12" i="22"/>
  <c r="BC12" i="22" s="1"/>
  <c r="X12" i="22"/>
  <c r="AM12" i="22"/>
  <c r="BB12" i="22" s="1"/>
  <c r="E12" i="22"/>
  <c r="AW12" i="22" s="1"/>
  <c r="U12" i="22"/>
  <c r="AK12" i="22"/>
  <c r="AV12" i="22" s="1"/>
  <c r="C12" i="22"/>
  <c r="AQ12" i="22" s="1"/>
  <c r="R12" i="22"/>
  <c r="AI12" i="22"/>
  <c r="AP12" i="22" s="1"/>
  <c r="AO7" i="21"/>
  <c r="E9" i="21"/>
  <c r="B9" i="22" s="1"/>
  <c r="AI9" i="22" s="1"/>
  <c r="AQ9" i="21"/>
  <c r="AQ8" i="21"/>
  <c r="AQ6" i="21"/>
  <c r="AS9" i="21"/>
  <c r="AS6" i="21"/>
  <c r="AS8" i="21"/>
  <c r="AO9" i="21"/>
  <c r="AO8" i="21"/>
  <c r="AO6" i="21"/>
  <c r="E8" i="21"/>
  <c r="B8" i="22" s="1"/>
  <c r="AI8" i="22" s="1"/>
  <c r="AF272" i="21"/>
  <c r="AG54" i="21"/>
  <c r="AA155" i="21"/>
  <c r="Z155" i="21" s="1"/>
  <c r="Q122" i="21"/>
  <c r="AF122" i="21" s="1"/>
  <c r="AF212" i="21"/>
  <c r="AC270" i="21"/>
  <c r="O122" i="21"/>
  <c r="AC122" i="21" s="1"/>
  <c r="Q147" i="21"/>
  <c r="AF147" i="21" s="1"/>
  <c r="F147" i="22"/>
  <c r="X147" i="22" s="1"/>
  <c r="M305" i="21"/>
  <c r="B305" i="22"/>
  <c r="R305" i="22" s="1"/>
  <c r="M280" i="21"/>
  <c r="B280" i="22"/>
  <c r="R280" i="22" s="1"/>
  <c r="M289" i="21"/>
  <c r="B289" i="22"/>
  <c r="R289" i="22" s="1"/>
  <c r="M318" i="21"/>
  <c r="B318" i="22"/>
  <c r="R318" i="22" s="1"/>
  <c r="D345" i="22"/>
  <c r="AD345" i="21"/>
  <c r="F347" i="22"/>
  <c r="AG347" i="21"/>
  <c r="Q277" i="21"/>
  <c r="AF277" i="21" s="1"/>
  <c r="F277" i="22"/>
  <c r="X277" i="22" s="1"/>
  <c r="P327" i="21"/>
  <c r="H360" i="21" a="1"/>
  <c r="H360" i="21" s="1"/>
  <c r="Q72" i="21"/>
  <c r="AG74" i="21" s="1"/>
  <c r="I74" i="21" s="1"/>
  <c r="F72" i="22"/>
  <c r="X72" i="22" s="1"/>
  <c r="O254" i="21"/>
  <c r="AC254" i="21" s="1"/>
  <c r="D254" i="22"/>
  <c r="U254" i="22" s="1"/>
  <c r="O110" i="21"/>
  <c r="AD110" i="21" s="1"/>
  <c r="AC110" i="21" s="1"/>
  <c r="D110" i="22"/>
  <c r="U110" i="22" s="1"/>
  <c r="F151" i="21"/>
  <c r="N151" i="21" s="1"/>
  <c r="N323" i="21"/>
  <c r="AV323" i="21"/>
  <c r="I323" i="22" s="1"/>
  <c r="Q323" i="22" s="1"/>
  <c r="M290" i="21"/>
  <c r="Z290" i="21" s="1"/>
  <c r="B290" i="22"/>
  <c r="R290" i="22" s="1"/>
  <c r="C205" i="22"/>
  <c r="AQ205" i="22" s="1"/>
  <c r="AI205" i="22"/>
  <c r="C77" i="22"/>
  <c r="AQ77" i="22" s="1"/>
  <c r="AI77" i="22"/>
  <c r="C321" i="22"/>
  <c r="AQ321" i="22" s="1"/>
  <c r="AI321" i="22"/>
  <c r="O189" i="21"/>
  <c r="AC189" i="21" s="1"/>
  <c r="D189" i="22"/>
  <c r="U189" i="22" s="1"/>
  <c r="Q150" i="21"/>
  <c r="AG150" i="21" s="1"/>
  <c r="AF150" i="21" s="1"/>
  <c r="F150" i="22"/>
  <c r="X150" i="22" s="1"/>
  <c r="O275" i="21"/>
  <c r="AC275" i="21" s="1"/>
  <c r="D275" i="22"/>
  <c r="U275" i="22" s="1"/>
  <c r="O195" i="21"/>
  <c r="AC195" i="21" s="1"/>
  <c r="D195" i="22"/>
  <c r="U195" i="22" s="1"/>
  <c r="O255" i="21"/>
  <c r="AC255" i="21" s="1"/>
  <c r="D255" i="22"/>
  <c r="U255" i="22" s="1"/>
  <c r="Q303" i="21"/>
  <c r="AF303" i="21" s="1"/>
  <c r="F303" i="22"/>
  <c r="X303" i="22" s="1"/>
  <c r="N275" i="21"/>
  <c r="O266" i="21"/>
  <c r="AC266" i="21" s="1"/>
  <c r="D266" i="22"/>
  <c r="U266" i="22" s="1"/>
  <c r="Q65" i="21"/>
  <c r="AF65" i="21" s="1"/>
  <c r="F65" i="22"/>
  <c r="X65" i="22" s="1"/>
  <c r="N201" i="21"/>
  <c r="Q231" i="21"/>
  <c r="AF231" i="21" s="1"/>
  <c r="F231" i="22"/>
  <c r="X231" i="22" s="1"/>
  <c r="Q114" i="21"/>
  <c r="AG114" i="21" s="1"/>
  <c r="AF114" i="21" s="1"/>
  <c r="F114" i="22"/>
  <c r="X114" i="22" s="1"/>
  <c r="O315" i="21"/>
  <c r="AC315" i="21" s="1"/>
  <c r="D315" i="22"/>
  <c r="U315" i="22" s="1"/>
  <c r="O276" i="21"/>
  <c r="AC276" i="21" s="1"/>
  <c r="D276" i="22"/>
  <c r="U276" i="22" s="1"/>
  <c r="Q318" i="21"/>
  <c r="AF318" i="21" s="1"/>
  <c r="F318" i="22"/>
  <c r="X318" i="22" s="1"/>
  <c r="O303" i="21"/>
  <c r="AC303" i="21" s="1"/>
  <c r="D303" i="22"/>
  <c r="U303" i="22" s="1"/>
  <c r="O229" i="21"/>
  <c r="AC229" i="21" s="1"/>
  <c r="D229" i="22"/>
  <c r="U229" i="22" s="1"/>
  <c r="N232" i="21"/>
  <c r="Q257" i="21"/>
  <c r="AF257" i="21" s="1"/>
  <c r="F257" i="22"/>
  <c r="X257" i="22" s="1"/>
  <c r="O62" i="21"/>
  <c r="AD62" i="21" s="1"/>
  <c r="AC62" i="21" s="1"/>
  <c r="D62" i="22"/>
  <c r="U62" i="22" s="1"/>
  <c r="Q201" i="21"/>
  <c r="AF201" i="21" s="1"/>
  <c r="F201" i="22"/>
  <c r="X201" i="22" s="1"/>
  <c r="F330" i="22"/>
  <c r="AG330" i="21"/>
  <c r="O150" i="21"/>
  <c r="AD150" i="21" s="1"/>
  <c r="AC150" i="21" s="1"/>
  <c r="D150" i="22"/>
  <c r="U150" i="22" s="1"/>
  <c r="Q153" i="21"/>
  <c r="AG153" i="21" s="1"/>
  <c r="AF153" i="21" s="1"/>
  <c r="F153" i="22"/>
  <c r="X153" i="22" s="1"/>
  <c r="F334" i="22"/>
  <c r="AG334" i="21"/>
  <c r="M80" i="21"/>
  <c r="Z80" i="21" s="1"/>
  <c r="B80" i="22"/>
  <c r="R80" i="22" s="1"/>
  <c r="O320" i="21"/>
  <c r="AC320" i="21" s="1"/>
  <c r="D320" i="22"/>
  <c r="U320" i="22" s="1"/>
  <c r="D347" i="22"/>
  <c r="AD347" i="21"/>
  <c r="Q232" i="21"/>
  <c r="AF232" i="21" s="1"/>
  <c r="F232" i="22"/>
  <c r="X232" i="22" s="1"/>
  <c r="O227" i="21"/>
  <c r="AC227" i="21" s="1"/>
  <c r="D227" i="22"/>
  <c r="U227" i="22" s="1"/>
  <c r="Q190" i="21"/>
  <c r="AF190" i="21" s="1"/>
  <c r="F190" i="22"/>
  <c r="X190" i="22" s="1"/>
  <c r="Q189" i="21"/>
  <c r="AF189" i="21" s="1"/>
  <c r="F189" i="22"/>
  <c r="X189" i="22" s="1"/>
  <c r="Q208" i="21"/>
  <c r="AF208" i="21" s="1"/>
  <c r="F208" i="22"/>
  <c r="X208" i="22" s="1"/>
  <c r="Q111" i="21"/>
  <c r="AG111" i="21" s="1"/>
  <c r="AF111" i="21" s="1"/>
  <c r="F111" i="22"/>
  <c r="X111" i="22" s="1"/>
  <c r="M255" i="21"/>
  <c r="B255" i="22"/>
  <c r="R255" i="22" s="1"/>
  <c r="Q275" i="21"/>
  <c r="AF275" i="21" s="1"/>
  <c r="F275" i="22"/>
  <c r="X275" i="22" s="1"/>
  <c r="Q322" i="21"/>
  <c r="AF322" i="21" s="1"/>
  <c r="F322" i="22"/>
  <c r="X322" i="22" s="1"/>
  <c r="Q315" i="21"/>
  <c r="AF315" i="21" s="1"/>
  <c r="F315" i="22"/>
  <c r="X315" i="22" s="1"/>
  <c r="O213" i="21"/>
  <c r="AC213" i="21" s="1"/>
  <c r="D213" i="22"/>
  <c r="U213" i="22" s="1"/>
  <c r="O184" i="21"/>
  <c r="AC184" i="21" s="1"/>
  <c r="D184" i="22"/>
  <c r="U184" i="22" s="1"/>
  <c r="N244" i="21"/>
  <c r="M108" i="21"/>
  <c r="Z108" i="21" s="1"/>
  <c r="B108" i="22"/>
  <c r="R108" i="22" s="1"/>
  <c r="Q264" i="21"/>
  <c r="AF264" i="21" s="1"/>
  <c r="F264" i="22"/>
  <c r="X264" i="22" s="1"/>
  <c r="O206" i="21"/>
  <c r="AC206" i="21" s="1"/>
  <c r="D206" i="22"/>
  <c r="U206" i="22" s="1"/>
  <c r="AJ11" i="22"/>
  <c r="AR11" i="22" s="1"/>
  <c r="AP11" i="22"/>
  <c r="O232" i="21"/>
  <c r="AC232" i="21" s="1"/>
  <c r="D232" i="22"/>
  <c r="U232" i="22" s="1"/>
  <c r="Q62" i="21"/>
  <c r="F62" i="22"/>
  <c r="X62" i="22" s="1"/>
  <c r="Q227" i="21"/>
  <c r="AF227" i="21" s="1"/>
  <c r="F227" i="22"/>
  <c r="X227" i="22" s="1"/>
  <c r="O65" i="21"/>
  <c r="AC65" i="21" s="1"/>
  <c r="D65" i="22"/>
  <c r="U65" i="22" s="1"/>
  <c r="O208" i="21"/>
  <c r="AC208" i="21" s="1"/>
  <c r="D208" i="22"/>
  <c r="U208" i="22" s="1"/>
  <c r="O77" i="21"/>
  <c r="AD77" i="21" s="1"/>
  <c r="D77" i="22"/>
  <c r="U77" i="22" s="1"/>
  <c r="Q206" i="21"/>
  <c r="AF206" i="21" s="1"/>
  <c r="F206" i="22"/>
  <c r="X206" i="22" s="1"/>
  <c r="Q195" i="21"/>
  <c r="AF195" i="21" s="1"/>
  <c r="F195" i="22"/>
  <c r="X195" i="22" s="1"/>
  <c r="O263" i="21"/>
  <c r="AC263" i="21" s="1"/>
  <c r="D263" i="22"/>
  <c r="U263" i="22" s="1"/>
  <c r="O103" i="21"/>
  <c r="AC103" i="21" s="1"/>
  <c r="D103" i="22"/>
  <c r="U103" i="22" s="1"/>
  <c r="N321" i="21"/>
  <c r="O321" i="21"/>
  <c r="AC321" i="21" s="1"/>
  <c r="D321" i="22"/>
  <c r="U321" i="22" s="1"/>
  <c r="N194" i="21"/>
  <c r="G10" i="22"/>
  <c r="BC10" i="22" s="1"/>
  <c r="AM10" i="22"/>
  <c r="O175" i="21"/>
  <c r="AC175" i="21" s="1"/>
  <c r="D175" i="22"/>
  <c r="U175" i="22" s="1"/>
  <c r="O323" i="21"/>
  <c r="AC323" i="21" s="1"/>
  <c r="D323" i="22"/>
  <c r="U323" i="22" s="1"/>
  <c r="O314" i="21"/>
  <c r="AC314" i="21" s="1"/>
  <c r="D314" i="22"/>
  <c r="U314" i="22" s="1"/>
  <c r="O196" i="21"/>
  <c r="AC196" i="21" s="1"/>
  <c r="D196" i="22"/>
  <c r="U196" i="22" s="1"/>
  <c r="Q304" i="21"/>
  <c r="AF304" i="21" s="1"/>
  <c r="F304" i="22"/>
  <c r="X304" i="22" s="1"/>
  <c r="O209" i="21"/>
  <c r="AC209" i="21" s="1"/>
  <c r="D209" i="22"/>
  <c r="U209" i="22" s="1"/>
  <c r="Q321" i="21"/>
  <c r="AF321" i="21" s="1"/>
  <c r="F321" i="22"/>
  <c r="X321" i="22" s="1"/>
  <c r="O185" i="21"/>
  <c r="AC185" i="21" s="1"/>
  <c r="D185" i="22"/>
  <c r="U185" i="22" s="1"/>
  <c r="O225" i="21"/>
  <c r="AC225" i="21" s="1"/>
  <c r="D225" i="22"/>
  <c r="U225" i="22" s="1"/>
  <c r="O132" i="21"/>
  <c r="AC132" i="21" s="1"/>
  <c r="D132" i="22"/>
  <c r="U132" i="22" s="1"/>
  <c r="Q254" i="21"/>
  <c r="AF254" i="21" s="1"/>
  <c r="F254" i="22"/>
  <c r="X254" i="22" s="1"/>
  <c r="M107" i="21"/>
  <c r="Z107" i="21" s="1"/>
  <c r="B107" i="22"/>
  <c r="R107" i="22" s="1"/>
  <c r="Q162" i="21"/>
  <c r="F162" i="22"/>
  <c r="X162" i="22" s="1"/>
  <c r="O297" i="21"/>
  <c r="AC297" i="21" s="1"/>
  <c r="D297" i="22"/>
  <c r="U297" i="22" s="1"/>
  <c r="N297" i="21"/>
  <c r="O204" i="21"/>
  <c r="AC204" i="21" s="1"/>
  <c r="D204" i="22"/>
  <c r="U204" i="22" s="1"/>
  <c r="N247" i="21"/>
  <c r="Z247" i="21" s="1"/>
  <c r="Q175" i="21"/>
  <c r="AF175" i="21" s="1"/>
  <c r="F175" i="22"/>
  <c r="X175" i="22" s="1"/>
  <c r="Q335" i="21"/>
  <c r="AF335" i="21" s="1"/>
  <c r="F335" i="22"/>
  <c r="AG335" i="21"/>
  <c r="M224" i="21"/>
  <c r="B224" i="22"/>
  <c r="R224" i="22" s="1"/>
  <c r="N327" i="21"/>
  <c r="F360" i="21" a="1"/>
  <c r="F360" i="21" s="1"/>
  <c r="O274" i="21"/>
  <c r="AC274" i="21" s="1"/>
  <c r="D274" i="22"/>
  <c r="U274" i="22" s="1"/>
  <c r="Q252" i="21"/>
  <c r="AF252" i="21" s="1"/>
  <c r="F252" i="22"/>
  <c r="X252" i="22" s="1"/>
  <c r="N313" i="21"/>
  <c r="O186" i="21"/>
  <c r="AC186" i="21" s="1"/>
  <c r="D186" i="22"/>
  <c r="U186" i="22" s="1"/>
  <c r="Q185" i="21"/>
  <c r="AF185" i="21" s="1"/>
  <c r="F185" i="22"/>
  <c r="X185" i="22" s="1"/>
  <c r="N291" i="21"/>
  <c r="Q205" i="21"/>
  <c r="AF205" i="21" s="1"/>
  <c r="F205" i="22"/>
  <c r="X205" i="22" s="1"/>
  <c r="O158" i="21"/>
  <c r="AC158" i="21" s="1"/>
  <c r="D158" i="22"/>
  <c r="U158" i="22" s="1"/>
  <c r="N248" i="21"/>
  <c r="O242" i="21"/>
  <c r="AC242" i="21" s="1"/>
  <c r="D242" i="22"/>
  <c r="U242" i="22" s="1"/>
  <c r="O281" i="21"/>
  <c r="AC281" i="21" s="1"/>
  <c r="D281" i="22"/>
  <c r="U281" i="22" s="1"/>
  <c r="D337" i="22"/>
  <c r="AD337" i="21"/>
  <c r="Q89" i="21"/>
  <c r="AF89" i="21" s="1"/>
  <c r="F89" i="22"/>
  <c r="X89" i="22" s="1"/>
  <c r="Q288" i="21"/>
  <c r="AF288" i="21" s="1"/>
  <c r="F288" i="22"/>
  <c r="X288" i="22" s="1"/>
  <c r="O247" i="21"/>
  <c r="AC247" i="21" s="1"/>
  <c r="D247" i="22"/>
  <c r="U247" i="22" s="1"/>
  <c r="Q211" i="21"/>
  <c r="AF211" i="21" s="1"/>
  <c r="F211" i="22"/>
  <c r="X211" i="22" s="1"/>
  <c r="F342" i="22"/>
  <c r="AG342" i="21"/>
  <c r="D332" i="22"/>
  <c r="AD332" i="21"/>
  <c r="D342" i="22"/>
  <c r="AD342" i="21"/>
  <c r="F329" i="22"/>
  <c r="AG329" i="21"/>
  <c r="Q159" i="21"/>
  <c r="AG162" i="21" s="1"/>
  <c r="F159" i="22"/>
  <c r="X159" i="22" s="1"/>
  <c r="O94" i="21"/>
  <c r="AC94" i="21" s="1"/>
  <c r="D94" i="22"/>
  <c r="U94" i="22" s="1"/>
  <c r="C275" i="22"/>
  <c r="AQ275" i="22" s="1"/>
  <c r="AI275" i="22"/>
  <c r="Q279" i="21"/>
  <c r="AF279" i="21" s="1"/>
  <c r="F279" i="22"/>
  <c r="X279" i="22" s="1"/>
  <c r="O230" i="21"/>
  <c r="AC230" i="21" s="1"/>
  <c r="D230" i="22"/>
  <c r="U230" i="22" s="1"/>
  <c r="N242" i="21"/>
  <c r="N166" i="21"/>
  <c r="Q323" i="21"/>
  <c r="AF323" i="21" s="1"/>
  <c r="F323" i="22"/>
  <c r="X323" i="22" s="1"/>
  <c r="Q203" i="21"/>
  <c r="AF203" i="21" s="1"/>
  <c r="F203" i="22"/>
  <c r="X203" i="22" s="1"/>
  <c r="O235" i="21"/>
  <c r="AC235" i="21" s="1"/>
  <c r="D235" i="22"/>
  <c r="U235" i="22" s="1"/>
  <c r="Q172" i="21"/>
  <c r="AG172" i="21" s="1"/>
  <c r="AF172" i="21" s="1"/>
  <c r="F172" i="22"/>
  <c r="X172" i="22" s="1"/>
  <c r="F337" i="22"/>
  <c r="AG337" i="21"/>
  <c r="Q247" i="21"/>
  <c r="AF247" i="21" s="1"/>
  <c r="F247" i="22"/>
  <c r="X247" i="22" s="1"/>
  <c r="N264" i="21"/>
  <c r="Q313" i="21"/>
  <c r="AF313" i="21" s="1"/>
  <c r="F313" i="22"/>
  <c r="X313" i="22" s="1"/>
  <c r="D344" i="22"/>
  <c r="AD344" i="21"/>
  <c r="D346" i="22"/>
  <c r="AD346" i="21"/>
  <c r="A279" i="28"/>
  <c r="Q235" i="21"/>
  <c r="AF235" i="21" s="1"/>
  <c r="F235" i="22"/>
  <c r="X235" i="22" s="1"/>
  <c r="N86" i="21"/>
  <c r="AA86" i="21" s="1"/>
  <c r="Q225" i="21"/>
  <c r="AF225" i="21" s="1"/>
  <c r="F225" i="22"/>
  <c r="X225" i="22" s="1"/>
  <c r="R327" i="21"/>
  <c r="J360" i="21" a="1"/>
  <c r="J360" i="21" s="1"/>
  <c r="O251" i="21"/>
  <c r="AC251" i="21" s="1"/>
  <c r="D251" i="22"/>
  <c r="U251" i="22" s="1"/>
  <c r="Q191" i="21"/>
  <c r="AF191" i="21" s="1"/>
  <c r="F191" i="22"/>
  <c r="X191" i="22" s="1"/>
  <c r="O286" i="21"/>
  <c r="AC286" i="21" s="1"/>
  <c r="D286" i="22"/>
  <c r="U286" i="22" s="1"/>
  <c r="O279" i="21"/>
  <c r="AC279" i="21" s="1"/>
  <c r="D279" i="22"/>
  <c r="U279" i="22" s="1"/>
  <c r="AG346" i="21"/>
  <c r="F346" i="22"/>
  <c r="O308" i="21"/>
  <c r="AC308" i="21" s="1"/>
  <c r="D308" i="22"/>
  <c r="U308" i="22" s="1"/>
  <c r="O80" i="21"/>
  <c r="AC80" i="21" s="1"/>
  <c r="D80" i="22"/>
  <c r="U80" i="22" s="1"/>
  <c r="Q266" i="21"/>
  <c r="AF266" i="21" s="1"/>
  <c r="F266" i="22"/>
  <c r="X266" i="22" s="1"/>
  <c r="O259" i="21"/>
  <c r="AC259" i="21" s="1"/>
  <c r="D259" i="22"/>
  <c r="U259" i="22" s="1"/>
  <c r="M158" i="21"/>
  <c r="B158" i="22"/>
  <c r="R158" i="22" s="1"/>
  <c r="O244" i="21"/>
  <c r="AC244" i="21" s="1"/>
  <c r="D244" i="22"/>
  <c r="U244" i="22" s="1"/>
  <c r="C166" i="22"/>
  <c r="AQ166" i="22" s="1"/>
  <c r="AI166" i="22"/>
  <c r="N303" i="21"/>
  <c r="F332" i="22"/>
  <c r="AG332" i="21"/>
  <c r="O288" i="21"/>
  <c r="AC288" i="21" s="1"/>
  <c r="D288" i="22"/>
  <c r="U288" i="22" s="1"/>
  <c r="Q297" i="21"/>
  <c r="AF297" i="21" s="1"/>
  <c r="F297" i="22"/>
  <c r="X297" i="22" s="1"/>
  <c r="Q251" i="21"/>
  <c r="AF251" i="21" s="1"/>
  <c r="F251" i="22"/>
  <c r="X251" i="22" s="1"/>
  <c r="Q95" i="21"/>
  <c r="AF95" i="21" s="1"/>
  <c r="AG95" i="21" s="1"/>
  <c r="F95" i="22"/>
  <c r="X95" i="22" s="1"/>
  <c r="O335" i="21"/>
  <c r="AC335" i="21" s="1"/>
  <c r="AD335" i="21"/>
  <c r="D335" i="22"/>
  <c r="O304" i="21"/>
  <c r="AC304" i="21" s="1"/>
  <c r="D304" i="22"/>
  <c r="U304" i="22" s="1"/>
  <c r="O313" i="21"/>
  <c r="AC313" i="21" s="1"/>
  <c r="D313" i="22"/>
  <c r="U313" i="22" s="1"/>
  <c r="M238" i="21"/>
  <c r="Z238" i="21" s="1"/>
  <c r="B238" i="22"/>
  <c r="R238" i="22" s="1"/>
  <c r="B352" i="22"/>
  <c r="AA352" i="21"/>
  <c r="O75" i="21"/>
  <c r="D75" i="22"/>
  <c r="U75" i="22" s="1"/>
  <c r="M282" i="21"/>
  <c r="B282" i="22"/>
  <c r="R282" i="22" s="1"/>
  <c r="Q305" i="21"/>
  <c r="AF305" i="21" s="1"/>
  <c r="F305" i="22"/>
  <c r="X305" i="22" s="1"/>
  <c r="Q310" i="21"/>
  <c r="AF310" i="21" s="1"/>
  <c r="F310" i="22"/>
  <c r="X310" i="22" s="1"/>
  <c r="Q233" i="21"/>
  <c r="AF233" i="21" s="1"/>
  <c r="F233" i="22"/>
  <c r="X233" i="22" s="1"/>
  <c r="AD329" i="21"/>
  <c r="D329" i="22"/>
  <c r="Q274" i="21"/>
  <c r="AF274" i="21" s="1"/>
  <c r="F274" i="22"/>
  <c r="X274" i="22" s="1"/>
  <c r="D330" i="22"/>
  <c r="AD330" i="21"/>
  <c r="Q341" i="21"/>
  <c r="AF341" i="21" s="1"/>
  <c r="AH341" i="21"/>
  <c r="F341" i="22"/>
  <c r="X341" i="22" s="1"/>
  <c r="AG341" i="21"/>
  <c r="O358" i="21"/>
  <c r="AC358" i="21" s="1"/>
  <c r="AE358" i="21"/>
  <c r="AD358" i="21"/>
  <c r="D358" i="22"/>
  <c r="U358" i="22" s="1"/>
  <c r="Q132" i="21"/>
  <c r="AF132" i="21" s="1"/>
  <c r="F132" i="22"/>
  <c r="X132" i="22" s="1"/>
  <c r="Q278" i="21"/>
  <c r="AF278" i="21" s="1"/>
  <c r="F278" i="22"/>
  <c r="X278" i="22" s="1"/>
  <c r="P149" i="21"/>
  <c r="H151" i="21"/>
  <c r="AN7" i="22"/>
  <c r="BD7" i="22" s="1"/>
  <c r="BB7" i="22"/>
  <c r="P152" i="21"/>
  <c r="H154" i="21"/>
  <c r="Q78" i="21"/>
  <c r="AF78" i="21" s="1"/>
  <c r="F78" i="22"/>
  <c r="X78" i="22" s="1"/>
  <c r="O98" i="21"/>
  <c r="AC98" i="21" s="1"/>
  <c r="D98" i="22"/>
  <c r="U98" i="22" s="1"/>
  <c r="Q179" i="21"/>
  <c r="AF179" i="21" s="1"/>
  <c r="F179" i="22"/>
  <c r="X179" i="22" s="1"/>
  <c r="Q182" i="21"/>
  <c r="AF182" i="21" s="1"/>
  <c r="F182" i="22"/>
  <c r="X182" i="22" s="1"/>
  <c r="O182" i="21"/>
  <c r="AC182" i="21" s="1"/>
  <c r="D182" i="22"/>
  <c r="U182" i="22" s="1"/>
  <c r="O285" i="21"/>
  <c r="AC285" i="21" s="1"/>
  <c r="D285" i="22"/>
  <c r="U285" i="22" s="1"/>
  <c r="Q308" i="21"/>
  <c r="AF308" i="21" s="1"/>
  <c r="F308" i="22"/>
  <c r="X308" i="22" s="1"/>
  <c r="Q248" i="21"/>
  <c r="AF248" i="21" s="1"/>
  <c r="F248" i="22"/>
  <c r="O207" i="21"/>
  <c r="AC207" i="21" s="1"/>
  <c r="D207" i="22"/>
  <c r="U207" i="22" s="1"/>
  <c r="M165" i="21"/>
  <c r="B165" i="22"/>
  <c r="R165" i="22" s="1"/>
  <c r="M250" i="21"/>
  <c r="B250" i="22"/>
  <c r="R250" i="22" s="1"/>
  <c r="M309" i="21"/>
  <c r="B309" i="22"/>
  <c r="R309" i="22" s="1"/>
  <c r="M228" i="21"/>
  <c r="B228" i="22"/>
  <c r="R228" i="22" s="1"/>
  <c r="M176" i="21"/>
  <c r="AA176" i="21" s="1"/>
  <c r="Z176" i="21" s="1"/>
  <c r="B176" i="22"/>
  <c r="R176" i="22" s="1"/>
  <c r="O349" i="21"/>
  <c r="AC349" i="21" s="1"/>
  <c r="AE349" i="21"/>
  <c r="D349" i="22"/>
  <c r="AD349" i="21"/>
  <c r="AG352" i="21"/>
  <c r="F352" i="22"/>
  <c r="G168" i="22"/>
  <c r="BC168" i="22" s="1"/>
  <c r="AM168" i="22"/>
  <c r="M81" i="21"/>
  <c r="B81" i="22"/>
  <c r="R81" i="22" s="1"/>
  <c r="M168" i="21"/>
  <c r="AA168" i="21" s="1"/>
  <c r="B168" i="22"/>
  <c r="R168" i="22" s="1"/>
  <c r="Q165" i="21"/>
  <c r="AG165" i="21" s="1"/>
  <c r="F165" i="22"/>
  <c r="X165" i="22" s="1"/>
  <c r="O250" i="21"/>
  <c r="AC250" i="21" s="1"/>
  <c r="D250" i="22"/>
  <c r="U250" i="22" s="1"/>
  <c r="M85" i="21"/>
  <c r="Z85" i="21" s="1"/>
  <c r="B85" i="22"/>
  <c r="R85" i="22" s="1"/>
  <c r="M87" i="21"/>
  <c r="B87" i="22"/>
  <c r="R87" i="22" s="1"/>
  <c r="M296" i="21"/>
  <c r="B296" i="22"/>
  <c r="R296" i="22" s="1"/>
  <c r="M88" i="21"/>
  <c r="B88" i="22"/>
  <c r="R88" i="22" s="1"/>
  <c r="M341" i="21"/>
  <c r="AB341" i="21"/>
  <c r="B341" i="22"/>
  <c r="R341" i="22" s="1"/>
  <c r="AA341" i="21"/>
  <c r="Q349" i="21"/>
  <c r="AF349" i="21" s="1"/>
  <c r="AH349" i="21"/>
  <c r="AG349" i="21"/>
  <c r="F349" i="22"/>
  <c r="M357" i="21"/>
  <c r="AB357" i="21"/>
  <c r="B357" i="22"/>
  <c r="R357" i="22" s="1"/>
  <c r="AA357" i="21"/>
  <c r="Q170" i="21"/>
  <c r="AF170" i="21" s="1"/>
  <c r="F170" i="22"/>
  <c r="X170" i="22" s="1"/>
  <c r="Q196" i="21"/>
  <c r="AF196" i="21" s="1"/>
  <c r="F196" i="22"/>
  <c r="X196" i="22" s="1"/>
  <c r="O149" i="21"/>
  <c r="D149" i="22"/>
  <c r="U149" i="22" s="1"/>
  <c r="Q101" i="21"/>
  <c r="AF101" i="21" s="1"/>
  <c r="F101" i="22"/>
  <c r="X101" i="22" s="1"/>
  <c r="O166" i="21"/>
  <c r="AD166" i="21" s="1"/>
  <c r="AC166" i="21" s="1"/>
  <c r="D166" i="22"/>
  <c r="U166" i="22" s="1"/>
  <c r="Q171" i="21"/>
  <c r="AG171" i="21" s="1"/>
  <c r="AF171" i="21" s="1"/>
  <c r="AF173" i="21" s="1"/>
  <c r="M173" i="22" s="1"/>
  <c r="W173" i="22" s="1"/>
  <c r="F171" i="22"/>
  <c r="X171" i="22" s="1"/>
  <c r="Q64" i="21"/>
  <c r="AF64" i="21" s="1"/>
  <c r="F64" i="22"/>
  <c r="X64" i="22" s="1"/>
  <c r="O233" i="21"/>
  <c r="AC233" i="21" s="1"/>
  <c r="D233" i="22"/>
  <c r="U233" i="22" s="1"/>
  <c r="Q319" i="21"/>
  <c r="AF319" i="21" s="1"/>
  <c r="F319" i="22"/>
  <c r="X319" i="22" s="1"/>
  <c r="D343" i="22"/>
  <c r="AD343" i="21"/>
  <c r="Q263" i="21"/>
  <c r="AF263" i="21" s="1"/>
  <c r="F263" i="22"/>
  <c r="X263" i="22" s="1"/>
  <c r="O248" i="21"/>
  <c r="AC248" i="21" s="1"/>
  <c r="D248" i="22"/>
  <c r="M110" i="21"/>
  <c r="B110" i="22"/>
  <c r="R110" i="22" s="1"/>
  <c r="M69" i="21"/>
  <c r="Z69" i="21" s="1"/>
  <c r="AA69" i="21" s="1"/>
  <c r="B69" i="22"/>
  <c r="R69" i="22" s="1"/>
  <c r="Q85" i="21"/>
  <c r="AF85" i="21" s="1"/>
  <c r="F85" i="22"/>
  <c r="X85" i="22" s="1"/>
  <c r="O88" i="21"/>
  <c r="AC88" i="21" s="1"/>
  <c r="D88" i="22"/>
  <c r="U88" i="22" s="1"/>
  <c r="M61" i="21"/>
  <c r="B61" i="22"/>
  <c r="R61" i="22" s="1"/>
  <c r="O105" i="21"/>
  <c r="AC105" i="21" s="1"/>
  <c r="D105" i="22"/>
  <c r="U105" i="22" s="1"/>
  <c r="Q287" i="21"/>
  <c r="AF287" i="21" s="1"/>
  <c r="F287" i="22"/>
  <c r="X287" i="22" s="1"/>
  <c r="Q255" i="21"/>
  <c r="AF255" i="21" s="1"/>
  <c r="F255" i="22"/>
  <c r="X255" i="22" s="1"/>
  <c r="M150" i="21"/>
  <c r="B150" i="22"/>
  <c r="R150" i="22" s="1"/>
  <c r="M235" i="21"/>
  <c r="Z235" i="21" s="1"/>
  <c r="B235" i="22"/>
  <c r="R235" i="22" s="1"/>
  <c r="O289" i="21"/>
  <c r="AC289" i="21" s="1"/>
  <c r="D289" i="22"/>
  <c r="U289" i="22" s="1"/>
  <c r="M122" i="21"/>
  <c r="Z122" i="21" s="1"/>
  <c r="B122" i="22"/>
  <c r="R122" i="22" s="1"/>
  <c r="Q357" i="21"/>
  <c r="AF357" i="21" s="1"/>
  <c r="AH357" i="21"/>
  <c r="AG357" i="21"/>
  <c r="F357" i="22"/>
  <c r="X357" i="22" s="1"/>
  <c r="D29" i="12"/>
  <c r="D27" i="28"/>
  <c r="C109" i="22"/>
  <c r="AQ109" i="22" s="1"/>
  <c r="AI109" i="22"/>
  <c r="M349" i="21"/>
  <c r="AB349" i="21"/>
  <c r="B349" i="22"/>
  <c r="AA349" i="21"/>
  <c r="AD352" i="21"/>
  <c r="D352" i="22"/>
  <c r="C90" i="22"/>
  <c r="AQ90" i="22" s="1"/>
  <c r="AI90" i="22"/>
  <c r="Q75" i="21"/>
  <c r="F75" i="22"/>
  <c r="X75" i="22" s="1"/>
  <c r="Q96" i="21"/>
  <c r="AF96" i="21" s="1"/>
  <c r="F96" i="22"/>
  <c r="X96" i="22" s="1"/>
  <c r="O165" i="21"/>
  <c r="AD165" i="21" s="1"/>
  <c r="D165" i="22"/>
  <c r="U165" i="22" s="1"/>
  <c r="O317" i="21"/>
  <c r="AC317" i="21" s="1"/>
  <c r="D317" i="22"/>
  <c r="U317" i="22" s="1"/>
  <c r="O316" i="21"/>
  <c r="AC316" i="21" s="1"/>
  <c r="D316" i="22"/>
  <c r="U316" i="22" s="1"/>
  <c r="O257" i="21"/>
  <c r="AC257" i="21" s="1"/>
  <c r="D257" i="22"/>
  <c r="U257" i="22" s="1"/>
  <c r="Q285" i="21"/>
  <c r="AF285" i="21" s="1"/>
  <c r="F285" i="22"/>
  <c r="X285" i="22" s="1"/>
  <c r="M78" i="21"/>
  <c r="B78" i="22"/>
  <c r="R78" i="22" s="1"/>
  <c r="M180" i="21"/>
  <c r="B180" i="22"/>
  <c r="R180" i="22" s="1"/>
  <c r="M200" i="21"/>
  <c r="B200" i="22"/>
  <c r="R200" i="22" s="1"/>
  <c r="M67" i="21"/>
  <c r="B67" i="22"/>
  <c r="R67" i="22" s="1"/>
  <c r="M279" i="21"/>
  <c r="B279" i="22"/>
  <c r="R279" i="22" s="1"/>
  <c r="AA109" i="21"/>
  <c r="Z109" i="21" s="1"/>
  <c r="Q340" i="21"/>
  <c r="AF340" i="21" s="1"/>
  <c r="AH340" i="21"/>
  <c r="F340" i="22"/>
  <c r="X340" i="22" s="1"/>
  <c r="AG340" i="21"/>
  <c r="C82" i="22"/>
  <c r="AQ82" i="22" s="1"/>
  <c r="AI82" i="22"/>
  <c r="O60" i="21"/>
  <c r="AC60" i="21" s="1"/>
  <c r="D60" i="22"/>
  <c r="U60" i="22" s="1"/>
  <c r="N155" i="21"/>
  <c r="F157" i="21"/>
  <c r="E157" i="21"/>
  <c r="O133" i="21"/>
  <c r="AD135" i="21" s="1"/>
  <c r="G135" i="21" s="1"/>
  <c r="D133" i="22"/>
  <c r="U133" i="22" s="1"/>
  <c r="O69" i="21"/>
  <c r="AC69" i="21" s="1"/>
  <c r="D69" i="22"/>
  <c r="U69" i="22" s="1"/>
  <c r="O113" i="21"/>
  <c r="AD113" i="21" s="1"/>
  <c r="AC113" i="21" s="1"/>
  <c r="D113" i="22"/>
  <c r="U113" i="22" s="1"/>
  <c r="Q88" i="21"/>
  <c r="AF88" i="21" s="1"/>
  <c r="AG88" i="21" s="1"/>
  <c r="F88" i="22"/>
  <c r="X88" i="22" s="1"/>
  <c r="O287" i="21"/>
  <c r="AC287" i="21" s="1"/>
  <c r="D287" i="22"/>
  <c r="U287" i="22" s="1"/>
  <c r="O200" i="21"/>
  <c r="AC200" i="21" s="1"/>
  <c r="D200" i="22"/>
  <c r="U200" i="22" s="1"/>
  <c r="O78" i="21"/>
  <c r="AC78" i="21" s="1"/>
  <c r="D78" i="22"/>
  <c r="U78" i="22" s="1"/>
  <c r="O180" i="21"/>
  <c r="AC180" i="21" s="1"/>
  <c r="D180" i="22"/>
  <c r="U180" i="22" s="1"/>
  <c r="M47" i="21"/>
  <c r="B47" i="22"/>
  <c r="R47" i="22" s="1"/>
  <c r="M161" i="21"/>
  <c r="B161" i="22"/>
  <c r="R161" i="22" s="1"/>
  <c r="Q67" i="21"/>
  <c r="AF67" i="21" s="1"/>
  <c r="F67" i="22"/>
  <c r="X67" i="22" s="1"/>
  <c r="M262" i="21"/>
  <c r="B262" i="22"/>
  <c r="R262" i="22" s="1"/>
  <c r="M213" i="21"/>
  <c r="Z213" i="21" s="1"/>
  <c r="B213" i="22"/>
  <c r="R213" i="22" s="1"/>
  <c r="M182" i="21"/>
  <c r="B182" i="22"/>
  <c r="R182" i="22" s="1"/>
  <c r="AA112" i="21"/>
  <c r="E112" i="21" s="1"/>
  <c r="B335" i="22"/>
  <c r="AA335" i="21"/>
  <c r="O357" i="21"/>
  <c r="AC357" i="21" s="1"/>
  <c r="AE357" i="21"/>
  <c r="AD357" i="21"/>
  <c r="D357" i="22"/>
  <c r="U357" i="22" s="1"/>
  <c r="B350" i="22"/>
  <c r="AA350" i="21"/>
  <c r="C278" i="22"/>
  <c r="AQ278" i="22" s="1"/>
  <c r="AI278" i="22"/>
  <c r="C155" i="22"/>
  <c r="AQ155" i="22" s="1"/>
  <c r="AI155" i="22"/>
  <c r="O201" i="21"/>
  <c r="AC201" i="21" s="1"/>
  <c r="D201" i="22"/>
  <c r="U201" i="22" s="1"/>
  <c r="Q244" i="21"/>
  <c r="AF244" i="21" s="1"/>
  <c r="F244" i="22"/>
  <c r="X244" i="22" s="1"/>
  <c r="Q224" i="21"/>
  <c r="AF224" i="21" s="1"/>
  <c r="F224" i="22"/>
  <c r="X224" i="22" s="1"/>
  <c r="O58" i="21"/>
  <c r="AC58" i="21" s="1"/>
  <c r="D58" i="22"/>
  <c r="U58" i="22" s="1"/>
  <c r="P155" i="21"/>
  <c r="H157" i="21"/>
  <c r="Q106" i="21"/>
  <c r="AF106" i="21" s="1"/>
  <c r="F106" i="22"/>
  <c r="X106" i="22" s="1"/>
  <c r="Q286" i="21"/>
  <c r="AF286" i="21" s="1"/>
  <c r="F286" i="22"/>
  <c r="X286" i="22" s="1"/>
  <c r="O280" i="21"/>
  <c r="AC280" i="21" s="1"/>
  <c r="D280" i="22"/>
  <c r="U280" i="22" s="1"/>
  <c r="Q177" i="21"/>
  <c r="AG177" i="21" s="1"/>
  <c r="AF177" i="21" s="1"/>
  <c r="F177" i="22"/>
  <c r="X177" i="22" s="1"/>
  <c r="M277" i="21"/>
  <c r="B277" i="22"/>
  <c r="R277" i="22" s="1"/>
  <c r="M315" i="21"/>
  <c r="B315" i="22"/>
  <c r="R315" i="22" s="1"/>
  <c r="Q47" i="21"/>
  <c r="AF47" i="21" s="1"/>
  <c r="F47" i="22"/>
  <c r="X47" i="22" s="1"/>
  <c r="M288" i="21"/>
  <c r="Z288" i="21" s="1"/>
  <c r="B288" i="22"/>
  <c r="R288" i="22" s="1"/>
  <c r="M72" i="21"/>
  <c r="AA72" i="21" s="1"/>
  <c r="B72" i="22"/>
  <c r="R72" i="22" s="1"/>
  <c r="M340" i="21"/>
  <c r="Z340" i="21" s="1"/>
  <c r="AB340" i="21"/>
  <c r="B340" i="22"/>
  <c r="R340" i="22" s="1"/>
  <c r="AA340" i="21"/>
  <c r="AD350" i="21"/>
  <c r="D350" i="22"/>
  <c r="C306" i="22"/>
  <c r="AQ306" i="22" s="1"/>
  <c r="AI306" i="22"/>
  <c r="O86" i="21"/>
  <c r="AC86" i="21" s="1"/>
  <c r="D86" i="22"/>
  <c r="U86" i="22" s="1"/>
  <c r="Q43" i="21"/>
  <c r="AF43" i="21" s="1"/>
  <c r="F43" i="22"/>
  <c r="X43" i="22" s="1"/>
  <c r="Q155" i="21"/>
  <c r="F155" i="22"/>
  <c r="X155" i="22" s="1"/>
  <c r="AG51" i="21"/>
  <c r="O223" i="21"/>
  <c r="AC223" i="21" s="1"/>
  <c r="D223" i="22"/>
  <c r="U223" i="22" s="1"/>
  <c r="Q246" i="21"/>
  <c r="AF246" i="21" s="1"/>
  <c r="F246" i="22"/>
  <c r="X246" i="22" s="1"/>
  <c r="O277" i="21"/>
  <c r="AC277" i="21" s="1"/>
  <c r="D277" i="22"/>
  <c r="U277" i="22" s="1"/>
  <c r="M196" i="21"/>
  <c r="B196" i="22"/>
  <c r="R196" i="22" s="1"/>
  <c r="M203" i="21"/>
  <c r="B203" i="22"/>
  <c r="R203" i="22" s="1"/>
  <c r="M172" i="21"/>
  <c r="AA172" i="21" s="1"/>
  <c r="Z172" i="21" s="1"/>
  <c r="B172" i="22"/>
  <c r="R172" i="22" s="1"/>
  <c r="M93" i="21"/>
  <c r="Z93" i="21" s="1"/>
  <c r="B93" i="22"/>
  <c r="R93" i="22" s="1"/>
  <c r="M114" i="21"/>
  <c r="B114" i="22"/>
  <c r="R114" i="22" s="1"/>
  <c r="O340" i="21"/>
  <c r="AC340" i="21" s="1"/>
  <c r="AE340" i="21"/>
  <c r="D340" i="22"/>
  <c r="U340" i="22" s="1"/>
  <c r="AD340" i="21"/>
  <c r="AG356" i="21"/>
  <c r="F356" i="22"/>
  <c r="AG350" i="21"/>
  <c r="F350" i="22"/>
  <c r="C199" i="22"/>
  <c r="AQ199" i="22" s="1"/>
  <c r="AI199" i="22"/>
  <c r="C96" i="22"/>
  <c r="AQ96" i="22" s="1"/>
  <c r="AI96" i="22"/>
  <c r="O43" i="21"/>
  <c r="AC43" i="21" s="1"/>
  <c r="D43" i="22"/>
  <c r="U43" i="22" s="1"/>
  <c r="R155" i="21"/>
  <c r="J157" i="21"/>
  <c r="O97" i="21"/>
  <c r="AC97" i="21" s="1"/>
  <c r="D97" i="22"/>
  <c r="U97" i="22" s="1"/>
  <c r="O44" i="21"/>
  <c r="AC44" i="21" s="1"/>
  <c r="D44" i="22"/>
  <c r="U44" i="22" s="1"/>
  <c r="O61" i="21"/>
  <c r="AD61" i="21" s="1"/>
  <c r="AC61" i="21" s="1"/>
  <c r="D61" i="22"/>
  <c r="U61" i="22" s="1"/>
  <c r="Q100" i="21"/>
  <c r="AF100" i="21" s="1"/>
  <c r="F100" i="22"/>
  <c r="X100" i="22" s="1"/>
  <c r="Q250" i="21"/>
  <c r="AF250" i="21" s="1"/>
  <c r="F250" i="22"/>
  <c r="X250" i="22" s="1"/>
  <c r="O311" i="21"/>
  <c r="AC311" i="21" s="1"/>
  <c r="D311" i="22"/>
  <c r="U311" i="22" s="1"/>
  <c r="O253" i="21"/>
  <c r="AC253" i="21" s="1"/>
  <c r="D253" i="22"/>
  <c r="U253" i="22" s="1"/>
  <c r="Q289" i="21"/>
  <c r="AF289" i="21" s="1"/>
  <c r="F289" i="22"/>
  <c r="X289" i="22" s="1"/>
  <c r="O231" i="21"/>
  <c r="AC231" i="21" s="1"/>
  <c r="D231" i="22"/>
  <c r="U231" i="22" s="1"/>
  <c r="M186" i="21"/>
  <c r="B186" i="22"/>
  <c r="R186" i="22" s="1"/>
  <c r="M311" i="21"/>
  <c r="B311" i="22"/>
  <c r="R311" i="22" s="1"/>
  <c r="M65" i="21"/>
  <c r="B65" i="22"/>
  <c r="R65" i="22" s="1"/>
  <c r="O203" i="21"/>
  <c r="AC203" i="21" s="1"/>
  <c r="D203" i="22"/>
  <c r="U203" i="22" s="1"/>
  <c r="M95" i="21"/>
  <c r="B95" i="22"/>
  <c r="R95" i="22" s="1"/>
  <c r="O172" i="21"/>
  <c r="AD172" i="21" s="1"/>
  <c r="AC172" i="21" s="1"/>
  <c r="D172" i="22"/>
  <c r="U172" i="22" s="1"/>
  <c r="M149" i="21"/>
  <c r="AA149" i="21" s="1"/>
  <c r="B149" i="22"/>
  <c r="R149" i="22" s="1"/>
  <c r="M237" i="21"/>
  <c r="B237" i="22"/>
  <c r="R237" i="22" s="1"/>
  <c r="B356" i="22"/>
  <c r="AA356" i="21"/>
  <c r="C336" i="22"/>
  <c r="AQ336" i="22" s="1"/>
  <c r="AI336" i="22"/>
  <c r="AP336" i="22" s="1"/>
  <c r="A281" i="12"/>
  <c r="Q86" i="21"/>
  <c r="AF86" i="21" s="1"/>
  <c r="AG86" i="21" s="1"/>
  <c r="F86" i="22"/>
  <c r="X86" i="22" s="1"/>
  <c r="O92" i="21"/>
  <c r="AC92" i="21" s="1"/>
  <c r="D92" i="22"/>
  <c r="U92" i="22" s="1"/>
  <c r="Q91" i="21"/>
  <c r="AF91" i="21" s="1"/>
  <c r="AG91" i="21" s="1"/>
  <c r="F91" i="22"/>
  <c r="X91" i="22" s="1"/>
  <c r="E10" i="22"/>
  <c r="AW10" i="22" s="1"/>
  <c r="AK10" i="22"/>
  <c r="Q107" i="21"/>
  <c r="AF107" i="21" s="1"/>
  <c r="F107" i="22"/>
  <c r="X107" i="22" s="1"/>
  <c r="Q259" i="21"/>
  <c r="AF259" i="21" s="1"/>
  <c r="F259" i="22"/>
  <c r="X259" i="22" s="1"/>
  <c r="O214" i="21"/>
  <c r="AC214" i="21" s="1"/>
  <c r="D214" i="22"/>
  <c r="U214" i="22" s="1"/>
  <c r="O202" i="21"/>
  <c r="AC202" i="21" s="1"/>
  <c r="D202" i="22"/>
  <c r="U202" i="22" s="1"/>
  <c r="O246" i="21"/>
  <c r="AC246" i="21" s="1"/>
  <c r="D246" i="22"/>
  <c r="U246" i="22" s="1"/>
  <c r="Q186" i="21"/>
  <c r="AF186" i="21" s="1"/>
  <c r="F186" i="22"/>
  <c r="X186" i="22" s="1"/>
  <c r="M102" i="21"/>
  <c r="B102" i="22"/>
  <c r="R102" i="22" s="1"/>
  <c r="M105" i="21"/>
  <c r="B105" i="22"/>
  <c r="R105" i="22" s="1"/>
  <c r="M195" i="21"/>
  <c r="Z195" i="21" s="1"/>
  <c r="B195" i="22"/>
  <c r="R195" i="22" s="1"/>
  <c r="M229" i="21"/>
  <c r="B229" i="22"/>
  <c r="R229" i="22" s="1"/>
  <c r="M310" i="21"/>
  <c r="Z310" i="21" s="1"/>
  <c r="B310" i="22"/>
  <c r="R310" i="22" s="1"/>
  <c r="M113" i="21"/>
  <c r="B113" i="22"/>
  <c r="R113" i="22" s="1"/>
  <c r="O339" i="21"/>
  <c r="AC339" i="21" s="1"/>
  <c r="AE339" i="21"/>
  <c r="D339" i="22"/>
  <c r="U339" i="22" s="1"/>
  <c r="AD339" i="21"/>
  <c r="B346" i="22"/>
  <c r="AA346" i="21"/>
  <c r="C164" i="22"/>
  <c r="AQ164" i="22" s="1"/>
  <c r="AI164" i="22"/>
  <c r="C160" i="22"/>
  <c r="AQ160" i="22" s="1"/>
  <c r="AI160" i="22"/>
  <c r="C323" i="22"/>
  <c r="AQ323" i="22" s="1"/>
  <c r="AI323" i="22"/>
  <c r="Q82" i="21"/>
  <c r="AF82" i="21" s="1"/>
  <c r="F82" i="22"/>
  <c r="X82" i="22" s="1"/>
  <c r="O70" i="21"/>
  <c r="AC70" i="21" s="1"/>
  <c r="D70" i="22"/>
  <c r="U70" i="22" s="1"/>
  <c r="Q83" i="21"/>
  <c r="AF83" i="21" s="1"/>
  <c r="F83" i="22"/>
  <c r="X83" i="22" s="1"/>
  <c r="O46" i="21"/>
  <c r="AC46" i="21" s="1"/>
  <c r="D46" i="22"/>
  <c r="U46" i="22" s="1"/>
  <c r="O100" i="21"/>
  <c r="AC100" i="21" s="1"/>
  <c r="D100" i="22"/>
  <c r="U100" i="22" s="1"/>
  <c r="Q302" i="21"/>
  <c r="AF302" i="21" s="1"/>
  <c r="F302" i="22"/>
  <c r="X302" i="22" s="1"/>
  <c r="Q317" i="21"/>
  <c r="AF317" i="21" s="1"/>
  <c r="F317" i="22"/>
  <c r="X317" i="22" s="1"/>
  <c r="N246" i="21"/>
  <c r="M156" i="21"/>
  <c r="B156" i="22"/>
  <c r="R156" i="22" s="1"/>
  <c r="M191" i="21"/>
  <c r="B191" i="22"/>
  <c r="R191" i="22" s="1"/>
  <c r="M98" i="21"/>
  <c r="Z98" i="21" s="1"/>
  <c r="B98" i="22"/>
  <c r="R98" i="22" s="1"/>
  <c r="Q105" i="21"/>
  <c r="AF105" i="21" s="1"/>
  <c r="F105" i="22"/>
  <c r="X105" i="22" s="1"/>
  <c r="M308" i="21"/>
  <c r="Z308" i="21" s="1"/>
  <c r="B308" i="22"/>
  <c r="R308" i="22" s="1"/>
  <c r="M257" i="21"/>
  <c r="Z257" i="21" s="1"/>
  <c r="B257" i="22"/>
  <c r="R257" i="22" s="1"/>
  <c r="B344" i="22"/>
  <c r="AA344" i="21"/>
  <c r="B347" i="22"/>
  <c r="AA347" i="21"/>
  <c r="C211" i="22"/>
  <c r="AQ211" i="22" s="1"/>
  <c r="AI211" i="22"/>
  <c r="O47" i="21"/>
  <c r="AC47" i="21" s="1"/>
  <c r="D47" i="22"/>
  <c r="U47" i="22" s="1"/>
  <c r="O82" i="21"/>
  <c r="AC82" i="21" s="1"/>
  <c r="D82" i="22"/>
  <c r="U82" i="22" s="1"/>
  <c r="Q73" i="21"/>
  <c r="AG73" i="21" s="1"/>
  <c r="F73" i="22"/>
  <c r="X73" i="22" s="1"/>
  <c r="O168" i="21"/>
  <c r="AD168" i="21" s="1"/>
  <c r="D168" i="22"/>
  <c r="U168" i="22" s="1"/>
  <c r="G11" i="22"/>
  <c r="BC11" i="22" s="1"/>
  <c r="AM11" i="22"/>
  <c r="O162" i="21"/>
  <c r="D162" i="22"/>
  <c r="U162" i="22" s="1"/>
  <c r="Q265" i="21"/>
  <c r="AF265" i="21" s="1"/>
  <c r="F265" i="22"/>
  <c r="X265" i="22" s="1"/>
  <c r="AD328" i="21"/>
  <c r="D328" i="22"/>
  <c r="O174" i="21"/>
  <c r="AC174" i="21" s="1"/>
  <c r="D174" i="22"/>
  <c r="U174" i="22" s="1"/>
  <c r="M70" i="21"/>
  <c r="Z70" i="21" s="1"/>
  <c r="AA70" i="21" s="1"/>
  <c r="B70" i="22"/>
  <c r="R70" i="22" s="1"/>
  <c r="M184" i="21"/>
  <c r="Z184" i="21" s="1"/>
  <c r="B184" i="22"/>
  <c r="R184" i="22" s="1"/>
  <c r="M263" i="21"/>
  <c r="Z263" i="21" s="1"/>
  <c r="B263" i="22"/>
  <c r="R263" i="22" s="1"/>
  <c r="M153" i="21"/>
  <c r="AA153" i="21" s="1"/>
  <c r="Z153" i="21" s="1"/>
  <c r="B153" i="22"/>
  <c r="R153" i="22" s="1"/>
  <c r="M71" i="21"/>
  <c r="Z71" i="21" s="1"/>
  <c r="B71" i="22"/>
  <c r="R71" i="22" s="1"/>
  <c r="M173" i="21"/>
  <c r="B173" i="22"/>
  <c r="R173" i="22" s="1"/>
  <c r="Q339" i="21"/>
  <c r="AF339" i="21" s="1"/>
  <c r="AH339" i="21"/>
  <c r="F339" i="22"/>
  <c r="X339" i="22" s="1"/>
  <c r="AG339" i="21"/>
  <c r="F344" i="22"/>
  <c r="AG344" i="21"/>
  <c r="AD356" i="21"/>
  <c r="D356" i="22"/>
  <c r="E122" i="22"/>
  <c r="AW122" i="22" s="1"/>
  <c r="AK122" i="22"/>
  <c r="AC193" i="21"/>
  <c r="C48" i="22"/>
  <c r="AQ48" i="22" s="1"/>
  <c r="AI48" i="22"/>
  <c r="C44" i="22"/>
  <c r="AQ44" i="22" s="1"/>
  <c r="AI44" i="22"/>
  <c r="C194" i="22"/>
  <c r="AQ194" i="22" s="1"/>
  <c r="AI194" i="22"/>
  <c r="O155" i="21"/>
  <c r="AD157" i="21" s="1"/>
  <c r="G157" i="21" s="1"/>
  <c r="D155" i="22"/>
  <c r="U155" i="22" s="1"/>
  <c r="O99" i="21"/>
  <c r="AC99" i="21" s="1"/>
  <c r="D99" i="22"/>
  <c r="U99" i="22" s="1"/>
  <c r="O96" i="21"/>
  <c r="AC96" i="21" s="1"/>
  <c r="D96" i="22"/>
  <c r="U96" i="22" s="1"/>
  <c r="O177" i="21"/>
  <c r="AD177" i="21" s="1"/>
  <c r="AC177" i="21" s="1"/>
  <c r="D177" i="22"/>
  <c r="U177" i="22" s="1"/>
  <c r="M73" i="21"/>
  <c r="B73" i="22"/>
  <c r="R73" i="22" s="1"/>
  <c r="M59" i="21"/>
  <c r="B59" i="22"/>
  <c r="R59" i="22" s="1"/>
  <c r="M92" i="21"/>
  <c r="B92" i="22"/>
  <c r="R92" i="22" s="1"/>
  <c r="M233" i="21"/>
  <c r="B233" i="22"/>
  <c r="R233" i="22" s="1"/>
  <c r="O173" i="21"/>
  <c r="D173" i="22"/>
  <c r="U173" i="22" s="1"/>
  <c r="B331" i="22"/>
  <c r="AA331" i="21"/>
  <c r="M355" i="21"/>
  <c r="AB355" i="21"/>
  <c r="B355" i="22"/>
  <c r="R355" i="22" s="1"/>
  <c r="AA355" i="21"/>
  <c r="C247" i="22"/>
  <c r="AQ247" i="22" s="1"/>
  <c r="AI247" i="22"/>
  <c r="O205" i="21"/>
  <c r="AC205" i="21" s="1"/>
  <c r="D205" i="22"/>
  <c r="U205" i="22" s="1"/>
  <c r="O167" i="21"/>
  <c r="AD167" i="21" s="1"/>
  <c r="AC167" i="21" s="1"/>
  <c r="D167" i="22"/>
  <c r="U167" i="22" s="1"/>
  <c r="Q77" i="21"/>
  <c r="AG77" i="21" s="1"/>
  <c r="AF77" i="21" s="1"/>
  <c r="F77" i="22"/>
  <c r="X77" i="22" s="1"/>
  <c r="O104" i="21"/>
  <c r="AC104" i="21" s="1"/>
  <c r="D104" i="22"/>
  <c r="U104" i="22" s="1"/>
  <c r="O152" i="21"/>
  <c r="AD152" i="21" s="1"/>
  <c r="AC152" i="21" s="1"/>
  <c r="D152" i="22"/>
  <c r="U152" i="22" s="1"/>
  <c r="Q98" i="21"/>
  <c r="AF98" i="21" s="1"/>
  <c r="F98" i="22"/>
  <c r="X98" i="22" s="1"/>
  <c r="O176" i="21"/>
  <c r="AD178" i="21" s="1"/>
  <c r="D176" i="22"/>
  <c r="U176" i="22" s="1"/>
  <c r="O319" i="21"/>
  <c r="AC319" i="21" s="1"/>
  <c r="D319" i="22"/>
  <c r="U319" i="22" s="1"/>
  <c r="O256" i="21"/>
  <c r="AC256" i="21" s="1"/>
  <c r="D256" i="22"/>
  <c r="U256" i="22" s="1"/>
  <c r="N241" i="21"/>
  <c r="M227" i="21"/>
  <c r="B227" i="22"/>
  <c r="R227" i="22" s="1"/>
  <c r="O59" i="21"/>
  <c r="AC59" i="21" s="1"/>
  <c r="D59" i="22"/>
  <c r="U59" i="22" s="1"/>
  <c r="M43" i="21"/>
  <c r="B43" i="22"/>
  <c r="R43" i="22" s="1"/>
  <c r="M240" i="21"/>
  <c r="Z240" i="21" s="1"/>
  <c r="B240" i="22"/>
  <c r="R240" i="22" s="1"/>
  <c r="M304" i="21"/>
  <c r="Z304" i="21" s="1"/>
  <c r="B304" i="22"/>
  <c r="R304" i="22" s="1"/>
  <c r="M287" i="21"/>
  <c r="Z287" i="21" s="1"/>
  <c r="B287" i="22"/>
  <c r="R287" i="22" s="1"/>
  <c r="M314" i="21"/>
  <c r="Z314" i="21" s="1"/>
  <c r="B314" i="22"/>
  <c r="R314" i="22" s="1"/>
  <c r="E79" i="21"/>
  <c r="M339" i="21"/>
  <c r="Z339" i="21" s="1"/>
  <c r="AB339" i="21"/>
  <c r="B339" i="22"/>
  <c r="R339" i="22" s="1"/>
  <c r="AA339" i="21"/>
  <c r="D331" i="22"/>
  <c r="AD331" i="21"/>
  <c r="G122" i="22"/>
  <c r="BC122" i="22" s="1"/>
  <c r="AM122" i="22"/>
  <c r="C163" i="22"/>
  <c r="AQ163" i="22" s="1"/>
  <c r="AI163" i="22"/>
  <c r="C97" i="22"/>
  <c r="AQ97" i="22" s="1"/>
  <c r="AI97" i="22"/>
  <c r="O312" i="21"/>
  <c r="AC312" i="21" s="1"/>
  <c r="D312" i="22"/>
  <c r="U312" i="22" s="1"/>
  <c r="O85" i="21"/>
  <c r="AC85" i="21" s="1"/>
  <c r="D85" i="22"/>
  <c r="U85" i="22" s="1"/>
  <c r="O114" i="21"/>
  <c r="AD114" i="21" s="1"/>
  <c r="D114" i="22"/>
  <c r="U114" i="22" s="1"/>
  <c r="Q97" i="21"/>
  <c r="AF97" i="21" s="1"/>
  <c r="F97" i="22"/>
  <c r="X97" i="22" s="1"/>
  <c r="O102" i="21"/>
  <c r="AC102" i="21" s="1"/>
  <c r="D102" i="22"/>
  <c r="U102" i="22" s="1"/>
  <c r="Q87" i="21"/>
  <c r="AF87" i="21" s="1"/>
  <c r="F87" i="22"/>
  <c r="X87" i="22" s="1"/>
  <c r="Q320" i="21"/>
  <c r="AF320" i="21" s="1"/>
  <c r="F320" i="22"/>
  <c r="X320" i="22" s="1"/>
  <c r="N240" i="21"/>
  <c r="M197" i="21"/>
  <c r="Z197" i="21" s="1"/>
  <c r="B197" i="22"/>
  <c r="R197" i="22" s="1"/>
  <c r="M322" i="21"/>
  <c r="B322" i="22"/>
  <c r="R322" i="22" s="1"/>
  <c r="M147" i="21"/>
  <c r="Z147" i="21" s="1"/>
  <c r="B147" i="22"/>
  <c r="R147" i="22" s="1"/>
  <c r="M223" i="21"/>
  <c r="Z223" i="21" s="1"/>
  <c r="B223" i="22"/>
  <c r="R223" i="22" s="1"/>
  <c r="Q355" i="21"/>
  <c r="AF355" i="21" s="1"/>
  <c r="AH355" i="21"/>
  <c r="AG355" i="21"/>
  <c r="F355" i="22"/>
  <c r="X355" i="22" s="1"/>
  <c r="C248" i="22"/>
  <c r="AQ248" i="22" s="1"/>
  <c r="AI248" i="22"/>
  <c r="O71" i="21"/>
  <c r="AC71" i="21" s="1"/>
  <c r="AD71" i="21" s="1"/>
  <c r="D71" i="22"/>
  <c r="U71" i="22" s="1"/>
  <c r="Q312" i="21"/>
  <c r="AF312" i="21" s="1"/>
  <c r="F312" i="22"/>
  <c r="X312" i="22" s="1"/>
  <c r="O164" i="21"/>
  <c r="AC164" i="21" s="1"/>
  <c r="D164" i="22"/>
  <c r="U164" i="22" s="1"/>
  <c r="Q60" i="21"/>
  <c r="AF60" i="21" s="1"/>
  <c r="F60" i="22"/>
  <c r="X60" i="22" s="1"/>
  <c r="O163" i="21"/>
  <c r="AC163" i="21" s="1"/>
  <c r="D163" i="22"/>
  <c r="U163" i="22" s="1"/>
  <c r="O66" i="21"/>
  <c r="AC66" i="21" s="1"/>
  <c r="D66" i="22"/>
  <c r="U66" i="22" s="1"/>
  <c r="Q311" i="21"/>
  <c r="AF311" i="21" s="1"/>
  <c r="F311" i="22"/>
  <c r="X311" i="22" s="1"/>
  <c r="Q200" i="21"/>
  <c r="AF200" i="21" s="1"/>
  <c r="F200" i="22"/>
  <c r="X200" i="22" s="1"/>
  <c r="AJ7" i="22"/>
  <c r="AR7" i="22" s="1"/>
  <c r="AP7" i="22"/>
  <c r="M189" i="21"/>
  <c r="B189" i="22"/>
  <c r="R189" i="22" s="1"/>
  <c r="M253" i="21"/>
  <c r="Z253" i="21" s="1"/>
  <c r="B253" i="22"/>
  <c r="R253" i="22" s="1"/>
  <c r="M281" i="21"/>
  <c r="Z281" i="21" s="1"/>
  <c r="B281" i="22"/>
  <c r="R281" i="22" s="1"/>
  <c r="Q197" i="21"/>
  <c r="AF197" i="21" s="1"/>
  <c r="F197" i="22"/>
  <c r="X197" i="22" s="1"/>
  <c r="M286" i="21"/>
  <c r="Z286" i="21" s="1"/>
  <c r="B286" i="22"/>
  <c r="R286" i="22" s="1"/>
  <c r="B351" i="22"/>
  <c r="AA351" i="21"/>
  <c r="AF270" i="21"/>
  <c r="C68" i="22"/>
  <c r="AQ68" i="22" s="1"/>
  <c r="AI68" i="22"/>
  <c r="Z248" i="21"/>
  <c r="O291" i="21"/>
  <c r="AC291" i="21" s="1"/>
  <c r="D291" i="22"/>
  <c r="U291" i="22" s="1"/>
  <c r="O234" i="21"/>
  <c r="AC234" i="21" s="1"/>
  <c r="D234" i="22"/>
  <c r="U234" i="22" s="1"/>
  <c r="O159" i="21"/>
  <c r="D159" i="22"/>
  <c r="U159" i="22" s="1"/>
  <c r="E11" i="22"/>
  <c r="AW11" i="22" s="1"/>
  <c r="AK11" i="22"/>
  <c r="Q280" i="21"/>
  <c r="AF280" i="21" s="1"/>
  <c r="F280" i="22"/>
  <c r="X280" i="22" s="1"/>
  <c r="O228" i="21"/>
  <c r="AC228" i="21" s="1"/>
  <c r="D228" i="22"/>
  <c r="U228" i="22" s="1"/>
  <c r="O305" i="21"/>
  <c r="AC305" i="21" s="1"/>
  <c r="D305" i="22"/>
  <c r="U305" i="22" s="1"/>
  <c r="O240" i="21"/>
  <c r="AC240" i="21" s="1"/>
  <c r="D240" i="22"/>
  <c r="U240" i="22" s="1"/>
  <c r="AL7" i="22"/>
  <c r="AX7" i="22" s="1"/>
  <c r="AV7" i="22"/>
  <c r="M169" i="21"/>
  <c r="B169" i="22"/>
  <c r="R169" i="22" s="1"/>
  <c r="M265" i="21"/>
  <c r="Z265" i="21" s="1"/>
  <c r="B265" i="22"/>
  <c r="R265" i="22" s="1"/>
  <c r="Q253" i="21"/>
  <c r="AF253" i="21" s="1"/>
  <c r="F253" i="22"/>
  <c r="X253" i="22" s="1"/>
  <c r="Q281" i="21"/>
  <c r="AF281" i="21" s="1"/>
  <c r="F281" i="22"/>
  <c r="X281" i="22" s="1"/>
  <c r="M177" i="21"/>
  <c r="AA177" i="21" s="1"/>
  <c r="Z177" i="21" s="1"/>
  <c r="B177" i="22"/>
  <c r="R177" i="22" s="1"/>
  <c r="M317" i="21"/>
  <c r="Z317" i="21" s="1"/>
  <c r="B317" i="22"/>
  <c r="R317" i="22" s="1"/>
  <c r="M133" i="21"/>
  <c r="B133" i="22"/>
  <c r="R133" i="22" s="1"/>
  <c r="AG351" i="21"/>
  <c r="F351" i="22"/>
  <c r="B328" i="22"/>
  <c r="AA328" i="21"/>
  <c r="C334" i="22"/>
  <c r="AQ334" i="22" s="1"/>
  <c r="AI334" i="22"/>
  <c r="AP334" i="22" s="1"/>
  <c r="C330" i="22"/>
  <c r="AQ330" i="22" s="1"/>
  <c r="AI330" i="22"/>
  <c r="AP330" i="22" s="1"/>
  <c r="C313" i="22"/>
  <c r="AQ313" i="22" s="1"/>
  <c r="AI313" i="22"/>
  <c r="Q164" i="21"/>
  <c r="AF164" i="21" s="1"/>
  <c r="F164" i="22"/>
  <c r="X164" i="22" s="1"/>
  <c r="O109" i="21"/>
  <c r="AD112" i="21" s="1"/>
  <c r="G112" i="21" s="1"/>
  <c r="D109" i="22"/>
  <c r="U109" i="22" s="1"/>
  <c r="Q44" i="21"/>
  <c r="AF44" i="21" s="1"/>
  <c r="F44" i="22"/>
  <c r="X44" i="22" s="1"/>
  <c r="O63" i="21"/>
  <c r="AC63" i="21" s="1"/>
  <c r="D63" i="22"/>
  <c r="U63" i="22" s="1"/>
  <c r="Q113" i="21"/>
  <c r="AG116" i="21" s="1"/>
  <c r="I116" i="21" s="1"/>
  <c r="F113" i="22"/>
  <c r="X113" i="22" s="1"/>
  <c r="F331" i="22"/>
  <c r="AG331" i="21"/>
  <c r="Q309" i="21"/>
  <c r="AF309" i="21" s="1"/>
  <c r="F309" i="22"/>
  <c r="X309" i="22" s="1"/>
  <c r="O322" i="21"/>
  <c r="AC322" i="21" s="1"/>
  <c r="D322" i="22"/>
  <c r="U322" i="22" s="1"/>
  <c r="M63" i="21"/>
  <c r="Z63" i="21" s="1"/>
  <c r="B63" i="22"/>
  <c r="R63" i="22" s="1"/>
  <c r="M226" i="21"/>
  <c r="B226" i="22"/>
  <c r="R226" i="22" s="1"/>
  <c r="M256" i="21"/>
  <c r="Z256" i="21" s="1"/>
  <c r="B256" i="22"/>
  <c r="R256" i="22" s="1"/>
  <c r="M261" i="21"/>
  <c r="B261" i="22"/>
  <c r="R261" i="22" s="1"/>
  <c r="M178" i="21"/>
  <c r="B178" i="22"/>
  <c r="R178" i="22" s="1"/>
  <c r="AD351" i="21"/>
  <c r="D351" i="22"/>
  <c r="O355" i="21"/>
  <c r="AC355" i="21" s="1"/>
  <c r="AE355" i="21"/>
  <c r="AD355" i="21"/>
  <c r="D355" i="22"/>
  <c r="U355" i="22" s="1"/>
  <c r="C303" i="22"/>
  <c r="AQ303" i="22" s="1"/>
  <c r="AI303" i="22"/>
  <c r="C232" i="22"/>
  <c r="AQ232" i="22" s="1"/>
  <c r="AI232" i="22"/>
  <c r="C291" i="22"/>
  <c r="AQ291" i="22" s="1"/>
  <c r="AI291" i="22"/>
  <c r="O190" i="21"/>
  <c r="AC190" i="21" s="1"/>
  <c r="D190" i="22"/>
  <c r="U190" i="22" s="1"/>
  <c r="Q234" i="21"/>
  <c r="AF234" i="21" s="1"/>
  <c r="F234" i="22"/>
  <c r="X234" i="22" s="1"/>
  <c r="O95" i="21"/>
  <c r="AC95" i="21" s="1"/>
  <c r="AD95" i="21" s="1"/>
  <c r="D95" i="22"/>
  <c r="U95" i="22" s="1"/>
  <c r="Q109" i="21"/>
  <c r="AG112" i="21" s="1"/>
  <c r="I112" i="21" s="1"/>
  <c r="F109" i="22"/>
  <c r="X109" i="22" s="1"/>
  <c r="O72" i="21"/>
  <c r="AD72" i="21" s="1"/>
  <c r="D72" i="22"/>
  <c r="U72" i="22" s="1"/>
  <c r="Q261" i="21"/>
  <c r="AF261" i="21" s="1"/>
  <c r="F261" i="22"/>
  <c r="X261" i="22" s="1"/>
  <c r="Q282" i="21"/>
  <c r="AF282" i="21" s="1"/>
  <c r="F282" i="22"/>
  <c r="X282" i="22" s="1"/>
  <c r="M162" i="21"/>
  <c r="B162" i="22"/>
  <c r="R162" i="22" s="1"/>
  <c r="M242" i="21"/>
  <c r="Z242" i="21" s="1"/>
  <c r="B242" i="22"/>
  <c r="R242" i="22" s="1"/>
  <c r="O226" i="21"/>
  <c r="AC226" i="21" s="1"/>
  <c r="D226" i="22"/>
  <c r="U226" i="22" s="1"/>
  <c r="M246" i="21"/>
  <c r="Z246" i="21" s="1"/>
  <c r="B246" i="22"/>
  <c r="R246" i="22" s="1"/>
  <c r="M62" i="21"/>
  <c r="B62" i="22"/>
  <c r="R62" i="22" s="1"/>
  <c r="M327" i="21"/>
  <c r="AA327" i="21"/>
  <c r="B327" i="22"/>
  <c r="C208" i="22"/>
  <c r="AQ208" i="22" s="1"/>
  <c r="AI208" i="22"/>
  <c r="O191" i="21"/>
  <c r="AC191" i="21" s="1"/>
  <c r="D191" i="22"/>
  <c r="U191" i="22" s="1"/>
  <c r="D334" i="22"/>
  <c r="AD334" i="21"/>
  <c r="Q327" i="21"/>
  <c r="AG327" i="21"/>
  <c r="F327" i="22"/>
  <c r="Q226" i="21"/>
  <c r="AF226" i="21" s="1"/>
  <c r="F226" i="22"/>
  <c r="X226" i="22" s="1"/>
  <c r="Q291" i="21"/>
  <c r="AF291" i="21" s="1"/>
  <c r="F291" i="22"/>
  <c r="X291" i="22" s="1"/>
  <c r="Q243" i="21"/>
  <c r="AF243" i="21" s="1"/>
  <c r="F243" i="22"/>
  <c r="X243" i="22" s="1"/>
  <c r="O68" i="21"/>
  <c r="AC68" i="21" s="1"/>
  <c r="AD68" i="21" s="1"/>
  <c r="D68" i="22"/>
  <c r="U68" i="22" s="1"/>
  <c r="Q92" i="21"/>
  <c r="AF92" i="21" s="1"/>
  <c r="F92" i="22"/>
  <c r="X92" i="22" s="1"/>
  <c r="O45" i="21"/>
  <c r="AC45" i="21" s="1"/>
  <c r="D45" i="22"/>
  <c r="U45" i="22" s="1"/>
  <c r="Q176" i="21"/>
  <c r="F176" i="22"/>
  <c r="X176" i="22" s="1"/>
  <c r="Q237" i="21"/>
  <c r="AF237" i="21" s="1"/>
  <c r="F237" i="22"/>
  <c r="X237" i="22" s="1"/>
  <c r="Q194" i="21"/>
  <c r="AF194" i="21" s="1"/>
  <c r="F194" i="22"/>
  <c r="X194" i="22" s="1"/>
  <c r="Q210" i="21"/>
  <c r="AF210" i="21" s="1"/>
  <c r="F210" i="22"/>
  <c r="X210" i="22" s="1"/>
  <c r="Q241" i="21"/>
  <c r="AF241" i="21" s="1"/>
  <c r="F241" i="22"/>
  <c r="X241" i="22" s="1"/>
  <c r="M209" i="21"/>
  <c r="Z209" i="21" s="1"/>
  <c r="B209" i="22"/>
  <c r="R209" i="22" s="1"/>
  <c r="Q242" i="21"/>
  <c r="AF242" i="21" s="1"/>
  <c r="F242" i="22"/>
  <c r="X242" i="22" s="1"/>
  <c r="M215" i="21"/>
  <c r="B215" i="22"/>
  <c r="R215" i="22" s="1"/>
  <c r="M104" i="21"/>
  <c r="Z104" i="21" s="1"/>
  <c r="B104" i="22"/>
  <c r="R104" i="22" s="1"/>
  <c r="M202" i="21"/>
  <c r="Z202" i="21" s="1"/>
  <c r="B202" i="22"/>
  <c r="R202" i="22" s="1"/>
  <c r="AG62" i="21"/>
  <c r="AF62" i="21" s="1"/>
  <c r="O327" i="21"/>
  <c r="AC327" i="21" s="1"/>
  <c r="AD327" i="21"/>
  <c r="D327" i="22"/>
  <c r="Q354" i="21"/>
  <c r="AF354" i="21" s="1"/>
  <c r="AH354" i="21"/>
  <c r="AG354" i="21"/>
  <c r="F354" i="22"/>
  <c r="X354" i="22" s="1"/>
  <c r="C201" i="22"/>
  <c r="AQ201" i="22" s="1"/>
  <c r="AI201" i="22"/>
  <c r="C198" i="22"/>
  <c r="AQ198" i="22" s="1"/>
  <c r="AI198" i="22"/>
  <c r="O181" i="21"/>
  <c r="AC181" i="21" s="1"/>
  <c r="D181" i="22"/>
  <c r="U181" i="22" s="1"/>
  <c r="O156" i="21"/>
  <c r="AD156" i="21" s="1"/>
  <c r="AC156" i="21" s="1"/>
  <c r="D156" i="22"/>
  <c r="U156" i="22" s="1"/>
  <c r="N58" i="21"/>
  <c r="Q70" i="21"/>
  <c r="AF70" i="21" s="1"/>
  <c r="F70" i="22"/>
  <c r="X70" i="22" s="1"/>
  <c r="O73" i="21"/>
  <c r="AD73" i="21" s="1"/>
  <c r="AC73" i="21" s="1"/>
  <c r="D73" i="22"/>
  <c r="U73" i="22" s="1"/>
  <c r="Q133" i="21"/>
  <c r="F133" i="22"/>
  <c r="X133" i="22" s="1"/>
  <c r="O87" i="21"/>
  <c r="AC87" i="21" s="1"/>
  <c r="AD87" i="21" s="1"/>
  <c r="D87" i="22"/>
  <c r="U87" i="22" s="1"/>
  <c r="Q184" i="21"/>
  <c r="AF184" i="21" s="1"/>
  <c r="F184" i="22"/>
  <c r="X184" i="22" s="1"/>
  <c r="O237" i="21"/>
  <c r="AC237" i="21" s="1"/>
  <c r="D237" i="22"/>
  <c r="U237" i="22" s="1"/>
  <c r="Q180" i="21"/>
  <c r="AF180" i="21" s="1"/>
  <c r="F180" i="22"/>
  <c r="X180" i="22" s="1"/>
  <c r="O215" i="21"/>
  <c r="AC215" i="21" s="1"/>
  <c r="D215" i="22"/>
  <c r="U215" i="22" s="1"/>
  <c r="M106" i="21"/>
  <c r="B106" i="22"/>
  <c r="R106" i="22" s="1"/>
  <c r="M206" i="21"/>
  <c r="B206" i="22"/>
  <c r="R206" i="22" s="1"/>
  <c r="M179" i="21"/>
  <c r="Z179" i="21" s="1"/>
  <c r="B179" i="22"/>
  <c r="R179" i="22" s="1"/>
  <c r="M174" i="21"/>
  <c r="Z174" i="21" s="1"/>
  <c r="B174" i="22"/>
  <c r="R174" i="22" s="1"/>
  <c r="M91" i="21"/>
  <c r="B91" i="22"/>
  <c r="R91" i="22" s="1"/>
  <c r="M132" i="21"/>
  <c r="B132" i="22"/>
  <c r="R132" i="22" s="1"/>
  <c r="M359" i="21"/>
  <c r="AB359" i="21"/>
  <c r="B359" i="22"/>
  <c r="R359" i="22" s="1"/>
  <c r="AA359" i="21"/>
  <c r="C312" i="22"/>
  <c r="AQ312" i="22" s="1"/>
  <c r="AI312" i="22"/>
  <c r="O178" i="21"/>
  <c r="D178" i="22"/>
  <c r="U178" i="22" s="1"/>
  <c r="O199" i="21"/>
  <c r="AC199" i="21" s="1"/>
  <c r="D199" i="22"/>
  <c r="U199" i="22" s="1"/>
  <c r="Q207" i="21"/>
  <c r="AF207" i="21" s="1"/>
  <c r="F207" i="22"/>
  <c r="X207" i="22" s="1"/>
  <c r="O170" i="21"/>
  <c r="AC170" i="21" s="1"/>
  <c r="D170" i="22"/>
  <c r="U170" i="22" s="1"/>
  <c r="N243" i="21"/>
  <c r="Z243" i="21" s="1"/>
  <c r="N152" i="21"/>
  <c r="F154" i="21"/>
  <c r="Q61" i="21"/>
  <c r="AG61" i="21" s="1"/>
  <c r="AF61" i="21" s="1"/>
  <c r="F61" i="22"/>
  <c r="X61" i="22" s="1"/>
  <c r="O89" i="21"/>
  <c r="AC89" i="21" s="1"/>
  <c r="AD89" i="21" s="1"/>
  <c r="D89" i="22"/>
  <c r="U89" i="22" s="1"/>
  <c r="Q202" i="21"/>
  <c r="AF202" i="21" s="1"/>
  <c r="F202" i="22"/>
  <c r="X202" i="22" s="1"/>
  <c r="Q174" i="21"/>
  <c r="AF174" i="21" s="1"/>
  <c r="F174" i="22"/>
  <c r="X174" i="22" s="1"/>
  <c r="O282" i="21"/>
  <c r="AC282" i="21" s="1"/>
  <c r="D282" i="22"/>
  <c r="U282" i="22" s="1"/>
  <c r="O241" i="21"/>
  <c r="AC241" i="21" s="1"/>
  <c r="D241" i="22"/>
  <c r="U241" i="22" s="1"/>
  <c r="M170" i="21"/>
  <c r="B170" i="22"/>
  <c r="R170" i="22" s="1"/>
  <c r="M252" i="21"/>
  <c r="Z252" i="21" s="1"/>
  <c r="B252" i="22"/>
  <c r="R252" i="22" s="1"/>
  <c r="O179" i="21"/>
  <c r="AC179" i="21" s="1"/>
  <c r="D179" i="22"/>
  <c r="U179" i="22" s="1"/>
  <c r="M185" i="21"/>
  <c r="B185" i="22"/>
  <c r="R185" i="22" s="1"/>
  <c r="M159" i="21"/>
  <c r="AA162" i="21" s="1"/>
  <c r="B159" i="22"/>
  <c r="R159" i="22" s="1"/>
  <c r="O91" i="21"/>
  <c r="AC91" i="21" s="1"/>
  <c r="D91" i="22"/>
  <c r="U91" i="22" s="1"/>
  <c r="Q338" i="21"/>
  <c r="AF338" i="21" s="1"/>
  <c r="AH338" i="21"/>
  <c r="F338" i="22"/>
  <c r="X338" i="22" s="1"/>
  <c r="AG338" i="21"/>
  <c r="Q359" i="21"/>
  <c r="AF359" i="21" s="1"/>
  <c r="AH359" i="21"/>
  <c r="AG359" i="21"/>
  <c r="F359" i="22"/>
  <c r="X359" i="22" s="1"/>
  <c r="M354" i="21"/>
  <c r="Z354" i="21" s="1"/>
  <c r="AB354" i="21"/>
  <c r="B354" i="22"/>
  <c r="R354" i="22" s="1"/>
  <c r="AA354" i="21"/>
  <c r="C46" i="22"/>
  <c r="AQ46" i="22" s="1"/>
  <c r="AI46" i="22"/>
  <c r="C75" i="22"/>
  <c r="AQ75" i="22" s="1"/>
  <c r="AI75" i="22"/>
  <c r="G161" i="22"/>
  <c r="BC161" i="22" s="1"/>
  <c r="AM161" i="22"/>
  <c r="O90" i="21"/>
  <c r="AC90" i="21" s="1"/>
  <c r="D90" i="22"/>
  <c r="U90" i="22" s="1"/>
  <c r="O243" i="21"/>
  <c r="AC243" i="21" s="1"/>
  <c r="D243" i="22"/>
  <c r="U243" i="22" s="1"/>
  <c r="Q181" i="21"/>
  <c r="AF181" i="21" s="1"/>
  <c r="F181" i="22"/>
  <c r="X181" i="22" s="1"/>
  <c r="Q156" i="21"/>
  <c r="AG156" i="21" s="1"/>
  <c r="AF156" i="21" s="1"/>
  <c r="F156" i="22"/>
  <c r="X156" i="22" s="1"/>
  <c r="Q76" i="21"/>
  <c r="AG76" i="21" s="1"/>
  <c r="AF76" i="21" s="1"/>
  <c r="F76" i="22"/>
  <c r="X76" i="22" s="1"/>
  <c r="Q108" i="21"/>
  <c r="AF108" i="21" s="1"/>
  <c r="F108" i="22"/>
  <c r="X108" i="22" s="1"/>
  <c r="O111" i="21"/>
  <c r="AD111" i="21" s="1"/>
  <c r="AC111" i="21" s="1"/>
  <c r="D111" i="22"/>
  <c r="U111" i="22" s="1"/>
  <c r="O302" i="21"/>
  <c r="AC302" i="21" s="1"/>
  <c r="D302" i="22"/>
  <c r="U302" i="22" s="1"/>
  <c r="F343" i="22"/>
  <c r="AG343" i="21"/>
  <c r="F345" i="22"/>
  <c r="AG345" i="21"/>
  <c r="Q256" i="21"/>
  <c r="AF256" i="21" s="1"/>
  <c r="F256" i="22"/>
  <c r="X256" i="22" s="1"/>
  <c r="Q240" i="21"/>
  <c r="AF240" i="21" s="1"/>
  <c r="F240" i="22"/>
  <c r="X240" i="22" s="1"/>
  <c r="M167" i="21"/>
  <c r="B167" i="22"/>
  <c r="R167" i="22" s="1"/>
  <c r="M241" i="21"/>
  <c r="Z241" i="21" s="1"/>
  <c r="B241" i="22"/>
  <c r="R241" i="22" s="1"/>
  <c r="M230" i="21"/>
  <c r="B230" i="22"/>
  <c r="R230" i="22" s="1"/>
  <c r="M320" i="21"/>
  <c r="B320" i="22"/>
  <c r="R320" i="22" s="1"/>
  <c r="M64" i="21"/>
  <c r="Z64" i="21" s="1"/>
  <c r="B64" i="22"/>
  <c r="R64" i="22" s="1"/>
  <c r="B343" i="22"/>
  <c r="AA343" i="21"/>
  <c r="C66" i="22"/>
  <c r="AQ66" i="22" s="1"/>
  <c r="AI66" i="22"/>
  <c r="C60" i="22"/>
  <c r="AQ60" i="22" s="1"/>
  <c r="AI60" i="22"/>
  <c r="O252" i="21"/>
  <c r="AC252" i="21" s="1"/>
  <c r="D252" i="22"/>
  <c r="U252" i="22" s="1"/>
  <c r="Q178" i="21"/>
  <c r="F178" i="22"/>
  <c r="X178" i="22" s="1"/>
  <c r="O147" i="21"/>
  <c r="AC147" i="21" s="1"/>
  <c r="D147" i="22"/>
  <c r="U147" i="22" s="1"/>
  <c r="O81" i="21"/>
  <c r="AC81" i="21" s="1"/>
  <c r="D81" i="22"/>
  <c r="U81" i="22" s="1"/>
  <c r="Q160" i="21"/>
  <c r="AG160" i="21" s="1"/>
  <c r="AF160" i="21" s="1"/>
  <c r="F160" i="22"/>
  <c r="X160" i="22" s="1"/>
  <c r="O64" i="21"/>
  <c r="AC64" i="21" s="1"/>
  <c r="D64" i="22"/>
  <c r="U64" i="22" s="1"/>
  <c r="Q69" i="21"/>
  <c r="AF69" i="21" s="1"/>
  <c r="AG69" i="21" s="1"/>
  <c r="F69" i="22"/>
  <c r="X69" i="22" s="1"/>
  <c r="Q152" i="21"/>
  <c r="AG152" i="21" s="1"/>
  <c r="AF152" i="21" s="1"/>
  <c r="F152" i="22"/>
  <c r="X152" i="22" s="1"/>
  <c r="O161" i="21"/>
  <c r="AD161" i="21" s="1"/>
  <c r="D161" i="22"/>
  <c r="U161" i="22" s="1"/>
  <c r="O296" i="21"/>
  <c r="AC296" i="21" s="1"/>
  <c r="D296" i="22"/>
  <c r="U296" i="22" s="1"/>
  <c r="F336" i="22"/>
  <c r="AG336" i="21"/>
  <c r="Q223" i="21"/>
  <c r="AF223" i="21" s="1"/>
  <c r="F223" i="22"/>
  <c r="X223" i="22" s="1"/>
  <c r="Q314" i="21"/>
  <c r="AF314" i="21" s="1"/>
  <c r="F314" i="22"/>
  <c r="X314" i="22" s="1"/>
  <c r="M100" i="21"/>
  <c r="Z100" i="21" s="1"/>
  <c r="B100" i="22"/>
  <c r="R100" i="22" s="1"/>
  <c r="Q167" i="21"/>
  <c r="AG167" i="21" s="1"/>
  <c r="AF167" i="21" s="1"/>
  <c r="F167" i="22"/>
  <c r="X167" i="22" s="1"/>
  <c r="Q230" i="21"/>
  <c r="AF230" i="21" s="1"/>
  <c r="F230" i="22"/>
  <c r="X230" i="22" s="1"/>
  <c r="M45" i="21"/>
  <c r="Z45" i="21" s="1"/>
  <c r="B45" i="22"/>
  <c r="R45" i="22" s="1"/>
  <c r="M260" i="21"/>
  <c r="B260" i="22"/>
  <c r="R260" i="22" s="1"/>
  <c r="O338" i="21"/>
  <c r="AC338" i="21" s="1"/>
  <c r="AE338" i="21"/>
  <c r="AD338" i="21"/>
  <c r="D338" i="22"/>
  <c r="U338" i="22" s="1"/>
  <c r="O354" i="21"/>
  <c r="AC354" i="21" s="1"/>
  <c r="AE354" i="21"/>
  <c r="AD354" i="21"/>
  <c r="D354" i="22"/>
  <c r="U354" i="22" s="1"/>
  <c r="C181" i="22"/>
  <c r="AQ181" i="22" s="1"/>
  <c r="AI181" i="22"/>
  <c r="Q238" i="21"/>
  <c r="AF238" i="21" s="1"/>
  <c r="F238" i="22"/>
  <c r="X238" i="22" s="1"/>
  <c r="O261" i="21"/>
  <c r="AC261" i="21" s="1"/>
  <c r="D261" i="22"/>
  <c r="U261" i="22" s="1"/>
  <c r="Q110" i="21"/>
  <c r="AG110" i="21" s="1"/>
  <c r="AF110" i="21" s="1"/>
  <c r="F110" i="22"/>
  <c r="X110" i="22" s="1"/>
  <c r="Q90" i="21"/>
  <c r="AF90" i="21" s="1"/>
  <c r="F90" i="22"/>
  <c r="X90" i="22" s="1"/>
  <c r="Q93" i="21"/>
  <c r="AF93" i="21" s="1"/>
  <c r="F93" i="22"/>
  <c r="X93" i="22" s="1"/>
  <c r="Q68" i="21"/>
  <c r="AF68" i="21" s="1"/>
  <c r="F68" i="22"/>
  <c r="X68" i="22" s="1"/>
  <c r="AA61" i="21"/>
  <c r="Q59" i="21"/>
  <c r="AF59" i="21" s="1"/>
  <c r="F59" i="22"/>
  <c r="X59" i="22" s="1"/>
  <c r="Q102" i="21"/>
  <c r="AF102" i="21" s="1"/>
  <c r="F102" i="22"/>
  <c r="X102" i="22" s="1"/>
  <c r="Q316" i="21"/>
  <c r="AF316" i="21" s="1"/>
  <c r="F316" i="22"/>
  <c r="X316" i="22" s="1"/>
  <c r="O309" i="21"/>
  <c r="AC309" i="21" s="1"/>
  <c r="D309" i="22"/>
  <c r="U309" i="22" s="1"/>
  <c r="M210" i="21"/>
  <c r="Z210" i="21" s="1"/>
  <c r="B210" i="22"/>
  <c r="R210" i="22" s="1"/>
  <c r="M99" i="21"/>
  <c r="Z99" i="21" s="1"/>
  <c r="B99" i="22"/>
  <c r="R99" i="22" s="1"/>
  <c r="M83" i="21"/>
  <c r="Z83" i="21" s="1"/>
  <c r="B83" i="22"/>
  <c r="R83" i="22" s="1"/>
  <c r="M251" i="21"/>
  <c r="B251" i="22"/>
  <c r="R251" i="22" s="1"/>
  <c r="Q45" i="21"/>
  <c r="AF45" i="21" s="1"/>
  <c r="F45" i="22"/>
  <c r="X45" i="22" s="1"/>
  <c r="M152" i="21"/>
  <c r="AA152" i="21" s="1"/>
  <c r="Z152" i="21" s="1"/>
  <c r="B152" i="22"/>
  <c r="R152" i="22" s="1"/>
  <c r="M292" i="21"/>
  <c r="Z292" i="21" s="1"/>
  <c r="B292" i="22"/>
  <c r="R292" i="22" s="1"/>
  <c r="B342" i="22"/>
  <c r="AA342" i="21"/>
  <c r="M353" i="21"/>
  <c r="AB353" i="21"/>
  <c r="B353" i="22"/>
  <c r="R353" i="22" s="1"/>
  <c r="AA353" i="21"/>
  <c r="C329" i="22"/>
  <c r="AQ329" i="22" s="1"/>
  <c r="AI329" i="22"/>
  <c r="AP329" i="22" s="1"/>
  <c r="C175" i="22"/>
  <c r="AQ175" i="22" s="1"/>
  <c r="AI175" i="22"/>
  <c r="C190" i="22"/>
  <c r="AQ190" i="22" s="1"/>
  <c r="AI190" i="22"/>
  <c r="O290" i="21"/>
  <c r="AC290" i="21" s="1"/>
  <c r="D290" i="22"/>
  <c r="U290" i="22" s="1"/>
  <c r="Q209" i="21"/>
  <c r="AF209" i="21" s="1"/>
  <c r="F209" i="22"/>
  <c r="X209" i="22" s="1"/>
  <c r="O318" i="21"/>
  <c r="AC318" i="21" s="1"/>
  <c r="D318" i="22"/>
  <c r="U318" i="22" s="1"/>
  <c r="Q229" i="21"/>
  <c r="AF229" i="21" s="1"/>
  <c r="F229" i="22"/>
  <c r="X229" i="22" s="1"/>
  <c r="O264" i="21"/>
  <c r="AC264" i="21" s="1"/>
  <c r="D264" i="22"/>
  <c r="U264" i="22" s="1"/>
  <c r="Q199" i="21"/>
  <c r="AF199" i="21" s="1"/>
  <c r="F199" i="22"/>
  <c r="X199" i="22" s="1"/>
  <c r="Q103" i="21"/>
  <c r="AF103" i="21" s="1"/>
  <c r="F103" i="22"/>
  <c r="X103" i="22" s="1"/>
  <c r="Q81" i="21"/>
  <c r="AF81" i="21" s="1"/>
  <c r="F81" i="22"/>
  <c r="X81" i="22" s="1"/>
  <c r="O224" i="21"/>
  <c r="AC224" i="21" s="1"/>
  <c r="D224" i="22"/>
  <c r="U224" i="22" s="1"/>
  <c r="Q63" i="21"/>
  <c r="AF63" i="21" s="1"/>
  <c r="F63" i="22"/>
  <c r="X63" i="22" s="1"/>
  <c r="O107" i="21"/>
  <c r="AC107" i="21" s="1"/>
  <c r="D107" i="22"/>
  <c r="U107" i="22" s="1"/>
  <c r="O265" i="21"/>
  <c r="AC265" i="21" s="1"/>
  <c r="D265" i="22"/>
  <c r="U265" i="22" s="1"/>
  <c r="Q276" i="21"/>
  <c r="AF276" i="21" s="1"/>
  <c r="F276" i="22"/>
  <c r="X276" i="22" s="1"/>
  <c r="O210" i="21"/>
  <c r="AC210" i="21" s="1"/>
  <c r="D210" i="22"/>
  <c r="U210" i="22" s="1"/>
  <c r="Q99" i="21"/>
  <c r="AF99" i="21" s="1"/>
  <c r="F99" i="22"/>
  <c r="X99" i="22" s="1"/>
  <c r="M231" i="21"/>
  <c r="Z231" i="21" s="1"/>
  <c r="B231" i="22"/>
  <c r="R231" i="22" s="1"/>
  <c r="M214" i="21"/>
  <c r="Z214" i="21" s="1"/>
  <c r="B214" i="22"/>
  <c r="R214" i="22" s="1"/>
  <c r="O292" i="21"/>
  <c r="AC292" i="21" s="1"/>
  <c r="D292" i="22"/>
  <c r="U292" i="22" s="1"/>
  <c r="M338" i="21"/>
  <c r="Z338" i="21" s="1"/>
  <c r="AB338" i="21"/>
  <c r="B338" i="22"/>
  <c r="R338" i="22" s="1"/>
  <c r="AA338" i="21"/>
  <c r="O359" i="21"/>
  <c r="AC359" i="21" s="1"/>
  <c r="AE359" i="21"/>
  <c r="AD359" i="21"/>
  <c r="D359" i="22"/>
  <c r="U359" i="22" s="1"/>
  <c r="Q353" i="21"/>
  <c r="AF353" i="21" s="1"/>
  <c r="AH353" i="21"/>
  <c r="AG353" i="21"/>
  <c r="F353" i="22"/>
  <c r="X353" i="22" s="1"/>
  <c r="C101" i="22"/>
  <c r="AQ101" i="22" s="1"/>
  <c r="AI101" i="22"/>
  <c r="O310" i="21"/>
  <c r="AC310" i="21" s="1"/>
  <c r="D310" i="22"/>
  <c r="U310" i="22" s="1"/>
  <c r="Q71" i="21"/>
  <c r="AF71" i="21" s="1"/>
  <c r="F71" i="22"/>
  <c r="X71" i="22" s="1"/>
  <c r="Q158" i="21"/>
  <c r="AF158" i="21" s="1"/>
  <c r="F158" i="22"/>
  <c r="X158" i="22" s="1"/>
  <c r="O160" i="21"/>
  <c r="AD160" i="21" s="1"/>
  <c r="AC160" i="21" s="1"/>
  <c r="D160" i="22"/>
  <c r="U160" i="22" s="1"/>
  <c r="Q58" i="21"/>
  <c r="AF58" i="21" s="1"/>
  <c r="F58" i="22"/>
  <c r="X58" i="22" s="1"/>
  <c r="O198" i="21"/>
  <c r="AC198" i="21" s="1"/>
  <c r="D198" i="22"/>
  <c r="U198" i="22" s="1"/>
  <c r="O171" i="21"/>
  <c r="AD173" i="21" s="1"/>
  <c r="D171" i="22"/>
  <c r="U171" i="22" s="1"/>
  <c r="Q66" i="21"/>
  <c r="AF66" i="21" s="1"/>
  <c r="F66" i="22"/>
  <c r="X66" i="22" s="1"/>
  <c r="Q296" i="21"/>
  <c r="AF296" i="21" s="1"/>
  <c r="F296" i="22"/>
  <c r="X296" i="22" s="1"/>
  <c r="O262" i="21"/>
  <c r="AC262" i="21" s="1"/>
  <c r="D262" i="22"/>
  <c r="U262" i="22" s="1"/>
  <c r="M171" i="21"/>
  <c r="AA173" i="21" s="1"/>
  <c r="B171" i="22"/>
  <c r="R171" i="22" s="1"/>
  <c r="M89" i="21"/>
  <c r="Z89" i="21" s="1"/>
  <c r="AA89" i="21" s="1"/>
  <c r="B89" i="22"/>
  <c r="R89" i="22" s="1"/>
  <c r="M111" i="21"/>
  <c r="AA111" i="21" s="1"/>
  <c r="B111" i="22"/>
  <c r="R111" i="22" s="1"/>
  <c r="C10" i="22"/>
  <c r="AQ10" i="22" s="1"/>
  <c r="AI10" i="22"/>
  <c r="M94" i="21"/>
  <c r="B94" i="22"/>
  <c r="R94" i="22" s="1"/>
  <c r="M225" i="21"/>
  <c r="B225" i="22"/>
  <c r="R225" i="22" s="1"/>
  <c r="M285" i="21"/>
  <c r="Z285" i="21" s="1"/>
  <c r="B285" i="22"/>
  <c r="R285" i="22" s="1"/>
  <c r="B345" i="22"/>
  <c r="AA345" i="21"/>
  <c r="B337" i="22"/>
  <c r="AA337" i="21"/>
  <c r="C332" i="22"/>
  <c r="AQ332" i="22" s="1"/>
  <c r="AI332" i="22"/>
  <c r="AP332" i="22" s="1"/>
  <c r="C86" i="22"/>
  <c r="AQ86" i="22" s="1"/>
  <c r="AI86" i="22"/>
  <c r="C244" i="22"/>
  <c r="AQ244" i="22" s="1"/>
  <c r="AI244" i="22"/>
  <c r="Q290" i="21"/>
  <c r="AF290" i="21" s="1"/>
  <c r="F290" i="22"/>
  <c r="X290" i="22" s="1"/>
  <c r="O306" i="21"/>
  <c r="AC306" i="21" s="1"/>
  <c r="D306" i="22"/>
  <c r="U306" i="22" s="1"/>
  <c r="O260" i="21"/>
  <c r="AC260" i="21" s="1"/>
  <c r="D260" i="22"/>
  <c r="U260" i="22" s="1"/>
  <c r="Q292" i="21"/>
  <c r="AF292" i="21" s="1"/>
  <c r="F292" i="22"/>
  <c r="X292" i="22" s="1"/>
  <c r="O67" i="21"/>
  <c r="AC67" i="21" s="1"/>
  <c r="AD67" i="21" s="1"/>
  <c r="D67" i="22"/>
  <c r="U67" i="22" s="1"/>
  <c r="AG52" i="21"/>
  <c r="O48" i="21"/>
  <c r="AC48" i="21" s="1"/>
  <c r="D48" i="22"/>
  <c r="U48" i="22" s="1"/>
  <c r="Q163" i="21"/>
  <c r="AF163" i="21" s="1"/>
  <c r="F163" i="22"/>
  <c r="X163" i="22" s="1"/>
  <c r="R149" i="21"/>
  <c r="J151" i="21"/>
  <c r="R151" i="21" s="1"/>
  <c r="O108" i="21"/>
  <c r="AC108" i="21" s="1"/>
  <c r="D108" i="22"/>
  <c r="U108" i="22" s="1"/>
  <c r="R152" i="21"/>
  <c r="J154" i="21"/>
  <c r="Q215" i="21"/>
  <c r="AF215" i="21" s="1"/>
  <c r="F215" i="22"/>
  <c r="X215" i="22" s="1"/>
  <c r="Q213" i="21"/>
  <c r="AF213" i="21" s="1"/>
  <c r="F213" i="22"/>
  <c r="X213" i="22" s="1"/>
  <c r="F328" i="22"/>
  <c r="AG328" i="21"/>
  <c r="M266" i="21"/>
  <c r="Z266" i="21" s="1"/>
  <c r="B266" i="22"/>
  <c r="R266" i="22" s="1"/>
  <c r="Q94" i="21"/>
  <c r="AF94" i="21" s="1"/>
  <c r="F94" i="22"/>
  <c r="X94" i="22" s="1"/>
  <c r="M103" i="21"/>
  <c r="Z103" i="21" s="1"/>
  <c r="B103" i="22"/>
  <c r="R103" i="22" s="1"/>
  <c r="M276" i="21"/>
  <c r="B276" i="22"/>
  <c r="R276" i="22" s="1"/>
  <c r="M358" i="21"/>
  <c r="Z358" i="21" s="1"/>
  <c r="AB358" i="21"/>
  <c r="B358" i="22"/>
  <c r="R358" i="22" s="1"/>
  <c r="AA358" i="21"/>
  <c r="C302" i="22"/>
  <c r="AQ302" i="22" s="1"/>
  <c r="AI302" i="22"/>
  <c r="O238" i="21"/>
  <c r="AC238" i="21" s="1"/>
  <c r="D238" i="22"/>
  <c r="U238" i="22" s="1"/>
  <c r="Q260" i="21"/>
  <c r="AF260" i="21" s="1"/>
  <c r="F260" i="22"/>
  <c r="X260" i="22" s="1"/>
  <c r="O211" i="21"/>
  <c r="AC211" i="21" s="1"/>
  <c r="D211" i="22"/>
  <c r="U211" i="22" s="1"/>
  <c r="Q149" i="21"/>
  <c r="AG149" i="21" s="1"/>
  <c r="AF149" i="21" s="1"/>
  <c r="F149" i="22"/>
  <c r="X149" i="22" s="1"/>
  <c r="Q198" i="21"/>
  <c r="AF198" i="21" s="1"/>
  <c r="F198" i="22"/>
  <c r="X198" i="22" s="1"/>
  <c r="Q104" i="21"/>
  <c r="AF104" i="21" s="1"/>
  <c r="F104" i="22"/>
  <c r="X104" i="22" s="1"/>
  <c r="O153" i="21"/>
  <c r="AD153" i="21" s="1"/>
  <c r="AC153" i="21" s="1"/>
  <c r="D153" i="22"/>
  <c r="U153" i="22" s="1"/>
  <c r="Q46" i="21"/>
  <c r="AF46" i="21" s="1"/>
  <c r="F46" i="22"/>
  <c r="X46" i="22" s="1"/>
  <c r="AA62" i="21"/>
  <c r="Z62" i="21" s="1"/>
  <c r="Q80" i="21"/>
  <c r="AF80" i="21" s="1"/>
  <c r="F80" i="22"/>
  <c r="X80" i="22" s="1"/>
  <c r="AD336" i="21"/>
  <c r="D336" i="22"/>
  <c r="Q262" i="21"/>
  <c r="AF262" i="21" s="1"/>
  <c r="F262" i="22"/>
  <c r="X262" i="22" s="1"/>
  <c r="Q228" i="21"/>
  <c r="AF228" i="21" s="1"/>
  <c r="F228" i="22"/>
  <c r="X228" i="22" s="1"/>
  <c r="O194" i="21"/>
  <c r="AC194" i="21" s="1"/>
  <c r="D194" i="22"/>
  <c r="U194" i="22" s="1"/>
  <c r="M204" i="21"/>
  <c r="Z204" i="21" s="1"/>
  <c r="B204" i="22"/>
  <c r="R204" i="22" s="1"/>
  <c r="M274" i="21"/>
  <c r="Z274" i="21" s="1"/>
  <c r="B274" i="22"/>
  <c r="R274" i="22" s="1"/>
  <c r="M316" i="21"/>
  <c r="Z316" i="21" s="1"/>
  <c r="B316" i="22"/>
  <c r="R316" i="22" s="1"/>
  <c r="M319" i="21"/>
  <c r="Z319" i="21" s="1"/>
  <c r="B319" i="22"/>
  <c r="R319" i="22" s="1"/>
  <c r="M259" i="21"/>
  <c r="Z259" i="21" s="1"/>
  <c r="B259" i="22"/>
  <c r="R259" i="22" s="1"/>
  <c r="Q358" i="21"/>
  <c r="AF358" i="21" s="1"/>
  <c r="AH358" i="21"/>
  <c r="AG358" i="21"/>
  <c r="F358" i="22"/>
  <c r="X358" i="22" s="1"/>
  <c r="C264" i="22"/>
  <c r="AQ264" i="22" s="1"/>
  <c r="AI264" i="22"/>
  <c r="C243" i="22"/>
  <c r="AQ243" i="22" s="1"/>
  <c r="AI243" i="22"/>
  <c r="Q169" i="21"/>
  <c r="F169" i="22"/>
  <c r="X169" i="22" s="1"/>
  <c r="Q306" i="21"/>
  <c r="AF306" i="21" s="1"/>
  <c r="F306" i="22"/>
  <c r="X306" i="22" s="1"/>
  <c r="O83" i="21"/>
  <c r="AC83" i="21" s="1"/>
  <c r="D83" i="22"/>
  <c r="U83" i="22" s="1"/>
  <c r="O278" i="21"/>
  <c r="AC278" i="21" s="1"/>
  <c r="D278" i="22"/>
  <c r="U278" i="22" s="1"/>
  <c r="O93" i="21"/>
  <c r="AC93" i="21" s="1"/>
  <c r="D93" i="22"/>
  <c r="U93" i="22" s="1"/>
  <c r="Q48" i="21"/>
  <c r="AF48" i="21" s="1"/>
  <c r="F48" i="22"/>
  <c r="X48" i="22" s="1"/>
  <c r="O101" i="21"/>
  <c r="AC101" i="21" s="1"/>
  <c r="D101" i="22"/>
  <c r="U101" i="22" s="1"/>
  <c r="O76" i="21"/>
  <c r="AD76" i="21" s="1"/>
  <c r="AC76" i="21" s="1"/>
  <c r="D76" i="22"/>
  <c r="U76" i="22" s="1"/>
  <c r="Q166" i="21"/>
  <c r="AG166" i="21" s="1"/>
  <c r="AF166" i="21" s="1"/>
  <c r="F166" i="22"/>
  <c r="X166" i="22" s="1"/>
  <c r="O169" i="21"/>
  <c r="D169" i="22"/>
  <c r="U169" i="22" s="1"/>
  <c r="O106" i="21"/>
  <c r="AC106" i="21" s="1"/>
  <c r="D106" i="22"/>
  <c r="U106" i="22" s="1"/>
  <c r="O197" i="21"/>
  <c r="AC197" i="21" s="1"/>
  <c r="D197" i="22"/>
  <c r="U197" i="22" s="1"/>
  <c r="Q214" i="21"/>
  <c r="AF214" i="21" s="1"/>
  <c r="F214" i="22"/>
  <c r="X214" i="22" s="1"/>
  <c r="Q173" i="21"/>
  <c r="F173" i="22"/>
  <c r="X173" i="22" s="1"/>
  <c r="M207" i="21"/>
  <c r="B207" i="22"/>
  <c r="R207" i="22" s="1"/>
  <c r="Q204" i="21"/>
  <c r="AF204" i="21" s="1"/>
  <c r="F204" i="22"/>
  <c r="X204" i="22" s="1"/>
  <c r="M254" i="21"/>
  <c r="Z254" i="21" s="1"/>
  <c r="B254" i="22"/>
  <c r="R254" i="22" s="1"/>
  <c r="M76" i="21"/>
  <c r="AA76" i="21" s="1"/>
  <c r="B76" i="22"/>
  <c r="R76" i="22" s="1"/>
  <c r="O341" i="21"/>
  <c r="AC341" i="21" s="1"/>
  <c r="AE341" i="21"/>
  <c r="D341" i="22"/>
  <c r="U341" i="22" s="1"/>
  <c r="AD341" i="21"/>
  <c r="O353" i="21"/>
  <c r="AC353" i="21" s="1"/>
  <c r="AE353" i="21"/>
  <c r="AD353" i="21"/>
  <c r="D353" i="22"/>
  <c r="U353" i="22" s="1"/>
  <c r="C234" i="22"/>
  <c r="AQ234" i="22" s="1"/>
  <c r="AI234" i="22"/>
  <c r="C297" i="22"/>
  <c r="AQ297" i="22" s="1"/>
  <c r="AI297" i="22"/>
  <c r="AA90" i="21"/>
  <c r="AA68" i="21"/>
  <c r="AH312" i="28"/>
  <c r="AH425" i="28"/>
  <c r="AH424" i="28" s="1"/>
  <c r="AE427" i="12"/>
  <c r="AE426" i="12" s="1"/>
  <c r="AC114" i="21"/>
  <c r="Z75" i="21"/>
  <c r="Z77" i="21"/>
  <c r="AF73" i="21"/>
  <c r="Z160" i="21"/>
  <c r="AC77" i="21"/>
  <c r="AC161" i="21"/>
  <c r="AC168" i="21"/>
  <c r="Z166" i="21"/>
  <c r="Z322" i="21"/>
  <c r="AV322" i="21"/>
  <c r="Z355" i="21"/>
  <c r="Z261" i="21"/>
  <c r="Z327" i="21"/>
  <c r="Z320" i="21"/>
  <c r="Z359" i="21"/>
  <c r="Z332" i="21"/>
  <c r="Z353" i="21"/>
  <c r="Z334" i="21"/>
  <c r="AB334" i="21" s="1"/>
  <c r="Z309" i="21"/>
  <c r="Z336" i="21"/>
  <c r="AB336" i="21" s="1"/>
  <c r="Z296" i="21"/>
  <c r="Z260" i="21"/>
  <c r="M335" i="22"/>
  <c r="W335" i="22" s="1"/>
  <c r="Z330" i="21"/>
  <c r="AB330" i="21" s="1"/>
  <c r="Z255" i="21"/>
  <c r="Z305" i="21"/>
  <c r="Z280" i="21"/>
  <c r="Z289" i="21"/>
  <c r="Z318" i="21"/>
  <c r="Z311" i="21"/>
  <c r="Z329" i="21"/>
  <c r="AB329" i="21" s="1"/>
  <c r="Z282" i="21"/>
  <c r="Z341" i="21"/>
  <c r="Z357" i="21"/>
  <c r="Z279" i="21"/>
  <c r="Z262" i="21"/>
  <c r="Z349" i="21"/>
  <c r="Z277" i="21"/>
  <c r="Z315" i="21"/>
  <c r="Z250" i="21"/>
  <c r="AG155" i="21"/>
  <c r="AF155" i="21" s="1"/>
  <c r="AG157" i="21"/>
  <c r="I157" i="21" s="1"/>
  <c r="Z170" i="21"/>
  <c r="Z27" i="21"/>
  <c r="Z132" i="21"/>
  <c r="Z207" i="21"/>
  <c r="AD162" i="21"/>
  <c r="AD159" i="21"/>
  <c r="AA165" i="21"/>
  <c r="AA169" i="21"/>
  <c r="Z81" i="21"/>
  <c r="AA110" i="21"/>
  <c r="Z225" i="21"/>
  <c r="Z25" i="21"/>
  <c r="Z228" i="21"/>
  <c r="Z12" i="21"/>
  <c r="Z78" i="21"/>
  <c r="Z180" i="21"/>
  <c r="Z200" i="21"/>
  <c r="Z67" i="21"/>
  <c r="AA67" i="21" s="1"/>
  <c r="Z30" i="21"/>
  <c r="Z158" i="21"/>
  <c r="Z47" i="21"/>
  <c r="AA161" i="21"/>
  <c r="Z88" i="21"/>
  <c r="AA88" i="21" s="1"/>
  <c r="Z91" i="21"/>
  <c r="AA91" i="21" s="1"/>
  <c r="Z196" i="21"/>
  <c r="Z65" i="21"/>
  <c r="Z224" i="21"/>
  <c r="Z102" i="21"/>
  <c r="Z105" i="21"/>
  <c r="Z203" i="21"/>
  <c r="AA156" i="21"/>
  <c r="Z156" i="21" s="1"/>
  <c r="Z157" i="21" s="1"/>
  <c r="I157" i="22" s="1"/>
  <c r="Q157" i="22" s="1"/>
  <c r="Z191" i="21"/>
  <c r="Z182" i="21"/>
  <c r="Z24" i="21"/>
  <c r="Z185" i="21"/>
  <c r="AD151" i="21"/>
  <c r="G151" i="21" s="1"/>
  <c r="AD149" i="21"/>
  <c r="AC149" i="21" s="1"/>
  <c r="Z227" i="21"/>
  <c r="Z29" i="21"/>
  <c r="Z43" i="21"/>
  <c r="Z95" i="21"/>
  <c r="AA95" i="21" s="1"/>
  <c r="Z26" i="21"/>
  <c r="Z92" i="21"/>
  <c r="Z229" i="21"/>
  <c r="AG159" i="21"/>
  <c r="Z189" i="21"/>
  <c r="AG176" i="21"/>
  <c r="AF176" i="21" s="1"/>
  <c r="AF178" i="21" s="1"/>
  <c r="M178" i="22" s="1"/>
  <c r="W178" i="22" s="1"/>
  <c r="AG178" i="21"/>
  <c r="Z233" i="21"/>
  <c r="Z230" i="21"/>
  <c r="AC283" i="21"/>
  <c r="AC124" i="21"/>
  <c r="AF188" i="21"/>
  <c r="AC212" i="21"/>
  <c r="AC187" i="21"/>
  <c r="AF307" i="21"/>
  <c r="AG53" i="21"/>
  <c r="AG56" i="21"/>
  <c r="AG55" i="21"/>
  <c r="AG50" i="21"/>
  <c r="AF54" i="21" s="1"/>
  <c r="Z32" i="21"/>
  <c r="Z31" i="21"/>
  <c r="Z14" i="21"/>
  <c r="Z15" i="21"/>
  <c r="Z17" i="21"/>
  <c r="Z23" i="21"/>
  <c r="Z20" i="21"/>
  <c r="AC284" i="21"/>
  <c r="AF193" i="21"/>
  <c r="AC307" i="21"/>
  <c r="AC188" i="21"/>
  <c r="AC245" i="21"/>
  <c r="AF301" i="21"/>
  <c r="AC272" i="21"/>
  <c r="AC273" i="21"/>
  <c r="AF284" i="21"/>
  <c r="AF187" i="21"/>
  <c r="AF245" i="21"/>
  <c r="AF273" i="21"/>
  <c r="AC183" i="21"/>
  <c r="AC249" i="21"/>
  <c r="AF249" i="21"/>
  <c r="AF192" i="21"/>
  <c r="AC301" i="21"/>
  <c r="AF283" i="21"/>
  <c r="Z188" i="21"/>
  <c r="AF124" i="21"/>
  <c r="AF84" i="21"/>
  <c r="AF183" i="21"/>
  <c r="N52" i="21"/>
  <c r="M52" i="21"/>
  <c r="B52" i="22"/>
  <c r="R52" i="22" s="1"/>
  <c r="M51" i="21"/>
  <c r="B51" i="22"/>
  <c r="R51" i="22" s="1"/>
  <c r="N50" i="21"/>
  <c r="C50" i="22"/>
  <c r="AQ50" i="22" s="1"/>
  <c r="D72" i="28" s="1"/>
  <c r="AI50" i="22"/>
  <c r="N53" i="21"/>
  <c r="M54" i="21"/>
  <c r="B54" i="22"/>
  <c r="R54" i="22" s="1"/>
  <c r="M53" i="21"/>
  <c r="B53" i="22"/>
  <c r="R53" i="22" s="1"/>
  <c r="N51" i="21"/>
  <c r="N57" i="21"/>
  <c r="N54" i="21"/>
  <c r="N56" i="21"/>
  <c r="M56" i="21"/>
  <c r="B56" i="22"/>
  <c r="R56" i="22" s="1"/>
  <c r="N55" i="21"/>
  <c r="M55" i="21"/>
  <c r="B55" i="22"/>
  <c r="R55" i="22" s="1"/>
  <c r="M271" i="21"/>
  <c r="Z271" i="21" s="1"/>
  <c r="B271" i="22"/>
  <c r="R271" i="22" s="1"/>
  <c r="G283" i="22"/>
  <c r="BC283" i="22" s="1"/>
  <c r="V335" i="28" s="1"/>
  <c r="AM283" i="22"/>
  <c r="AN283" i="22" s="1"/>
  <c r="P271" i="21"/>
  <c r="E270" i="22"/>
  <c r="AW270" i="22" s="1"/>
  <c r="M318" i="28" s="1"/>
  <c r="AK270" i="22"/>
  <c r="AL270" i="22" s="1"/>
  <c r="G307" i="22"/>
  <c r="BC307" i="22" s="1"/>
  <c r="V361" i="28" s="1"/>
  <c r="AM307" i="22"/>
  <c r="AN307" i="22" s="1"/>
  <c r="G84" i="22"/>
  <c r="BC84" i="22" s="1"/>
  <c r="V110" i="28" s="1"/>
  <c r="AM84" i="22"/>
  <c r="AN84" i="22" s="1"/>
  <c r="G301" i="22"/>
  <c r="BC301" i="22" s="1"/>
  <c r="V353" i="28" s="1"/>
  <c r="AM301" i="22"/>
  <c r="AN301" i="22" s="1"/>
  <c r="E124" i="22"/>
  <c r="AW124" i="22" s="1"/>
  <c r="M154" i="28" s="1"/>
  <c r="AK124" i="22"/>
  <c r="AL124" i="22" s="1"/>
  <c r="E187" i="22"/>
  <c r="AW187" i="22" s="1"/>
  <c r="M219" i="28" s="1"/>
  <c r="AK187" i="22"/>
  <c r="AL187" i="22" s="1"/>
  <c r="E84" i="22"/>
  <c r="AW84" i="22" s="1"/>
  <c r="M110" i="28" s="1"/>
  <c r="AK84" i="22"/>
  <c r="AL84" i="22" s="1"/>
  <c r="E245" i="22"/>
  <c r="AW245" i="22" s="1"/>
  <c r="M285" i="28" s="1"/>
  <c r="AK245" i="22"/>
  <c r="AL245" i="22" s="1"/>
  <c r="E273" i="22"/>
  <c r="AW273" i="22" s="1"/>
  <c r="M321" i="28" s="1"/>
  <c r="AK273" i="22"/>
  <c r="AL273" i="22" s="1"/>
  <c r="G270" i="22"/>
  <c r="BC270" i="22" s="1"/>
  <c r="V318" i="28" s="1"/>
  <c r="AM270" i="22"/>
  <c r="AN270" i="22" s="1"/>
  <c r="G272" i="22"/>
  <c r="BC272" i="22" s="1"/>
  <c r="V320" i="28" s="1"/>
  <c r="AM272" i="22"/>
  <c r="AN272" i="22" s="1"/>
  <c r="E283" i="22"/>
  <c r="AW283" i="22" s="1"/>
  <c r="M335" i="28" s="1"/>
  <c r="AK283" i="22"/>
  <c r="AL283" i="22" s="1"/>
  <c r="E301" i="22"/>
  <c r="AW301" i="22" s="1"/>
  <c r="M353" i="28" s="1"/>
  <c r="AK301" i="22"/>
  <c r="AL301" i="22" s="1"/>
  <c r="E307" i="22"/>
  <c r="AW307" i="22" s="1"/>
  <c r="M361" i="28" s="1"/>
  <c r="AK307" i="22"/>
  <c r="AL307" i="22" s="1"/>
  <c r="G212" i="22"/>
  <c r="BC212" i="22" s="1"/>
  <c r="V246" i="28" s="1"/>
  <c r="AM212" i="22"/>
  <c r="AN212" i="22" s="1"/>
  <c r="G183" i="22"/>
  <c r="BC183" i="22" s="1"/>
  <c r="V215" i="28" s="1"/>
  <c r="AM183" i="22"/>
  <c r="AN183" i="22" s="1"/>
  <c r="G245" i="22"/>
  <c r="BC245" i="22" s="1"/>
  <c r="V285" i="28" s="1"/>
  <c r="AM245" i="22"/>
  <c r="AN245" i="22" s="1"/>
  <c r="E272" i="22"/>
  <c r="AW272" i="22" s="1"/>
  <c r="M320" i="28" s="1"/>
  <c r="AK272" i="22"/>
  <c r="AL272" i="22" s="1"/>
  <c r="G273" i="22"/>
  <c r="BC273" i="22" s="1"/>
  <c r="V321" i="28" s="1"/>
  <c r="AM273" i="22"/>
  <c r="AN273" i="22" s="1"/>
  <c r="E192" i="22"/>
  <c r="AW192" i="22" s="1"/>
  <c r="M226" i="28" s="1"/>
  <c r="AK192" i="22"/>
  <c r="AL192" i="22" s="1"/>
  <c r="R271" i="21"/>
  <c r="E284" i="22"/>
  <c r="AW284" i="22" s="1"/>
  <c r="M336" i="28" s="1"/>
  <c r="AK284" i="22"/>
  <c r="AL284" i="22" s="1"/>
  <c r="G284" i="22"/>
  <c r="BC284" i="22" s="1"/>
  <c r="V336" i="28" s="1"/>
  <c r="AM284" i="22"/>
  <c r="AN284" i="22" s="1"/>
  <c r="E249" i="22"/>
  <c r="AW249" i="22" s="1"/>
  <c r="M289" i="28" s="1"/>
  <c r="AK249" i="22"/>
  <c r="AL249" i="22" s="1"/>
  <c r="E188" i="22"/>
  <c r="AW188" i="22" s="1"/>
  <c r="M220" i="28" s="1"/>
  <c r="AK188" i="22"/>
  <c r="AL188" i="22" s="1"/>
  <c r="G193" i="22"/>
  <c r="BC193" i="22" s="1"/>
  <c r="V227" i="28" s="1"/>
  <c r="AM193" i="22"/>
  <c r="AN193" i="22" s="1"/>
  <c r="G249" i="22"/>
  <c r="BC249" i="22" s="1"/>
  <c r="V289" i="28" s="1"/>
  <c r="AM249" i="22"/>
  <c r="AN249" i="22" s="1"/>
  <c r="Q271" i="21"/>
  <c r="AF271" i="21" s="1"/>
  <c r="F271" i="22"/>
  <c r="X271" i="22" s="1"/>
  <c r="G187" i="22"/>
  <c r="BC187" i="22" s="1"/>
  <c r="V219" i="28" s="1"/>
  <c r="AM187" i="22"/>
  <c r="AN187" i="22" s="1"/>
  <c r="G192" i="22"/>
  <c r="BC192" i="22" s="1"/>
  <c r="V226" i="28" s="1"/>
  <c r="AM192" i="22"/>
  <c r="AN192" i="22" s="1"/>
  <c r="E183" i="22"/>
  <c r="AW183" i="22" s="1"/>
  <c r="M215" i="28" s="1"/>
  <c r="AK183" i="22"/>
  <c r="AL183" i="22" s="1"/>
  <c r="O271" i="21"/>
  <c r="AC271" i="21" s="1"/>
  <c r="D271" i="22"/>
  <c r="U271" i="22" s="1"/>
  <c r="N271" i="21"/>
  <c r="G124" i="22"/>
  <c r="BC124" i="22" s="1"/>
  <c r="V154" i="28" s="1"/>
  <c r="AM124" i="22"/>
  <c r="AN124" i="22" s="1"/>
  <c r="E193" i="22"/>
  <c r="AW193" i="22" s="1"/>
  <c r="M227" i="28" s="1"/>
  <c r="AK193" i="22"/>
  <c r="AL193" i="22" s="1"/>
  <c r="E212" i="22"/>
  <c r="AW212" i="22" s="1"/>
  <c r="M246" i="28" s="1"/>
  <c r="AK212" i="22"/>
  <c r="AL212" i="22" s="1"/>
  <c r="G188" i="22"/>
  <c r="BC188" i="22" s="1"/>
  <c r="V220" i="28" s="1"/>
  <c r="AM188" i="22"/>
  <c r="AN188" i="22" s="1"/>
  <c r="AG67" i="21"/>
  <c r="AG123" i="2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AG135" i="21"/>
  <c r="I135" i="21" s="1"/>
  <c r="AG133" i="21"/>
  <c r="O342" i="21"/>
  <c r="AC342" i="21" s="1"/>
  <c r="O345" i="21"/>
  <c r="AC345" i="21" s="1"/>
  <c r="M337" i="21"/>
  <c r="Q346" i="21"/>
  <c r="AF346" i="21" s="1"/>
  <c r="O346" i="21"/>
  <c r="AC346" i="21" s="1"/>
  <c r="O331" i="21"/>
  <c r="AC331" i="21" s="1"/>
  <c r="Q347" i="21"/>
  <c r="AF347" i="21" s="1"/>
  <c r="O347" i="21"/>
  <c r="AC347" i="21" s="1"/>
  <c r="M328" i="21"/>
  <c r="O344" i="21"/>
  <c r="AC344" i="21" s="1"/>
  <c r="AA113" i="21"/>
  <c r="AA116" i="21"/>
  <c r="Q330" i="21"/>
  <c r="AF330" i="21" s="1"/>
  <c r="Q334" i="21"/>
  <c r="AF334" i="21" s="1"/>
  <c r="AD88" i="21"/>
  <c r="M335" i="21"/>
  <c r="M352" i="21"/>
  <c r="AG90"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AG68" i="21"/>
  <c r="AD91" i="21"/>
  <c r="Q350" i="21"/>
  <c r="AF350" i="21" s="1"/>
  <c r="AG89" i="21"/>
  <c r="M347" i="21"/>
  <c r="O330" i="21"/>
  <c r="AC330" i="21" s="1"/>
  <c r="Q345" i="21"/>
  <c r="AF345" i="21" s="1"/>
  <c r="Q336" i="21"/>
  <c r="AF336" i="21" s="1"/>
  <c r="O40" i="21"/>
  <c r="AD40" i="21" s="1"/>
  <c r="Q40" i="21"/>
  <c r="AG40" i="21" s="1"/>
  <c r="M40" i="21"/>
  <c r="Q168" i="21"/>
  <c r="AG168" i="21" s="1"/>
  <c r="Q35" i="21"/>
  <c r="AG35" i="21" s="1"/>
  <c r="M35" i="21"/>
  <c r="O35" i="21"/>
  <c r="AD35" i="21" s="1"/>
  <c r="AG75" i="21"/>
  <c r="AG79" i="21"/>
  <c r="I79" i="21" s="1"/>
  <c r="AD75" i="21"/>
  <c r="AD79" i="21"/>
  <c r="G79" i="21" s="1"/>
  <c r="Q37" i="21"/>
  <c r="AG37" i="21" s="1"/>
  <c r="M37" i="21"/>
  <c r="O37" i="21"/>
  <c r="AD37" i="21" s="1"/>
  <c r="Q343" i="21"/>
  <c r="AF343" i="21" s="1"/>
  <c r="AD86" i="21"/>
  <c r="AG70" i="21"/>
  <c r="O336" i="21"/>
  <c r="AC336" i="21" s="1"/>
  <c r="Q328" i="21"/>
  <c r="AF328" i="21" s="1"/>
  <c r="O343" i="21"/>
  <c r="AC343" i="21" s="1"/>
  <c r="AG87" i="21"/>
  <c r="M19" i="21"/>
  <c r="M18" i="21"/>
  <c r="Q342" i="21"/>
  <c r="AF342" i="21" s="1"/>
  <c r="Q36" i="21"/>
  <c r="AG36" i="21" s="1"/>
  <c r="M36" i="21"/>
  <c r="O36" i="21"/>
  <c r="AD36" i="21" s="1"/>
  <c r="Q161" i="21"/>
  <c r="AG161" i="21" s="1"/>
  <c r="Q332" i="21"/>
  <c r="AF332" i="21" s="1"/>
  <c r="O41" i="21"/>
  <c r="AD41" i="21" s="1"/>
  <c r="Q41" i="21"/>
  <c r="AG41" i="21" s="1"/>
  <c r="M41" i="21"/>
  <c r="N150" i="21"/>
  <c r="N159" i="21"/>
  <c r="O329" i="21"/>
  <c r="AC329" i="21" s="1"/>
  <c r="M50" i="21"/>
  <c r="O328" i="21"/>
  <c r="AC328" i="21" s="1"/>
  <c r="AD90" i="21"/>
  <c r="O38" i="21"/>
  <c r="AD38" i="21" s="1"/>
  <c r="Q38" i="21"/>
  <c r="AG38" i="21" s="1"/>
  <c r="M38" i="21"/>
  <c r="O332" i="21"/>
  <c r="AC332" i="21" s="1"/>
  <c r="O337" i="21"/>
  <c r="AC337" i="21" s="1"/>
  <c r="N161" i="21"/>
  <c r="AG71" i="21"/>
  <c r="Q329" i="21"/>
  <c r="AF329" i="21" s="1"/>
  <c r="O42" i="21"/>
  <c r="AD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AD70" i="21"/>
  <c r="H333" i="21"/>
  <c r="J333" i="21"/>
  <c r="R333" i="21" s="1"/>
  <c r="R154" i="21"/>
  <c r="F348" i="21"/>
  <c r="J79" i="21"/>
  <c r="R79" i="21" s="1"/>
  <c r="G333" i="21"/>
  <c r="D333" i="22" s="1"/>
  <c r="P154" i="21"/>
  <c r="I333" i="21"/>
  <c r="F333" i="22" s="1"/>
  <c r="H348" i="21"/>
  <c r="A54" i="12"/>
  <c r="F79" i="21"/>
  <c r="N79" i="21" s="1"/>
  <c r="P157" i="21"/>
  <c r="R157" i="21"/>
  <c r="P151" i="21"/>
  <c r="H74" i="21"/>
  <c r="P74" i="21" s="1"/>
  <c r="F74" i="21"/>
  <c r="N74" i="21" s="1"/>
  <c r="G348" i="21"/>
  <c r="D348" i="22" s="1"/>
  <c r="J74" i="21"/>
  <c r="R74" i="21" s="1"/>
  <c r="I348" i="21"/>
  <c r="F348" i="22" s="1"/>
  <c r="J348" i="21"/>
  <c r="R348" i="21" s="1"/>
  <c r="J49" i="21"/>
  <c r="R49" i="21" s="1"/>
  <c r="H49" i="21"/>
  <c r="P49" i="21" s="1"/>
  <c r="H79" i="21"/>
  <c r="P79" i="21" s="1"/>
  <c r="J361" i="21"/>
  <c r="F333" i="21"/>
  <c r="F49" i="21"/>
  <c r="N49" i="21" s="1"/>
  <c r="AC42" i="21" l="1"/>
  <c r="AC38" i="21"/>
  <c r="AC41" i="21"/>
  <c r="AC36" i="21"/>
  <c r="AC37" i="21"/>
  <c r="AC35" i="21"/>
  <c r="AC40" i="21"/>
  <c r="AF52" i="21"/>
  <c r="AF51" i="21"/>
  <c r="X335" i="22"/>
  <c r="AC33" i="21"/>
  <c r="AC34" i="21"/>
  <c r="AF34" i="21"/>
  <c r="V40" i="28"/>
  <c r="T42" i="12"/>
  <c r="AC154" i="21"/>
  <c r="K154" i="22" s="1"/>
  <c r="T154" i="22" s="1"/>
  <c r="AJ8" i="22"/>
  <c r="AR8" i="22" s="1"/>
  <c r="AP8" i="22"/>
  <c r="AS337" i="21"/>
  <c r="AS361" i="21"/>
  <c r="AS345" i="21"/>
  <c r="AS359" i="21"/>
  <c r="AS342" i="21"/>
  <c r="AS344" i="21"/>
  <c r="AS334" i="21"/>
  <c r="AS332" i="21"/>
  <c r="AS348" i="21"/>
  <c r="AS333" i="21"/>
  <c r="AS346" i="21"/>
  <c r="AS327" i="21"/>
  <c r="AS329" i="21"/>
  <c r="AS353" i="21"/>
  <c r="AS347" i="21"/>
  <c r="AS341" i="21"/>
  <c r="AS339" i="21"/>
  <c r="AS340" i="21"/>
  <c r="AS354" i="21"/>
  <c r="AS358" i="21"/>
  <c r="AS336" i="21"/>
  <c r="AS356" i="21"/>
  <c r="AS351" i="21"/>
  <c r="AS349" i="21"/>
  <c r="AS343" i="21"/>
  <c r="AS357" i="21"/>
  <c r="AS352" i="21"/>
  <c r="AS335" i="21"/>
  <c r="AS350" i="21"/>
  <c r="AS49" i="21"/>
  <c r="AS360" i="21"/>
  <c r="AS355" i="21"/>
  <c r="AS328" i="21"/>
  <c r="AS338" i="21"/>
  <c r="AS331" i="21"/>
  <c r="AS330" i="21"/>
  <c r="AQ350" i="21"/>
  <c r="AQ346" i="21"/>
  <c r="AQ339" i="21"/>
  <c r="AQ358" i="21"/>
  <c r="AQ332" i="21"/>
  <c r="AQ349" i="21"/>
  <c r="AQ327" i="21"/>
  <c r="AQ352" i="21"/>
  <c r="AQ330" i="21"/>
  <c r="AQ340" i="21"/>
  <c r="AQ338" i="21"/>
  <c r="AQ343" i="21"/>
  <c r="AQ49" i="21"/>
  <c r="AQ341" i="21"/>
  <c r="AQ336" i="21"/>
  <c r="AQ351" i="21"/>
  <c r="AQ347" i="21"/>
  <c r="AQ361" i="21"/>
  <c r="AQ345" i="21"/>
  <c r="AQ329" i="21"/>
  <c r="AQ348" i="21"/>
  <c r="AQ356" i="21"/>
  <c r="AQ360" i="21"/>
  <c r="AQ359" i="21"/>
  <c r="AQ342" i="21"/>
  <c r="AQ335" i="21"/>
  <c r="AQ334" i="21"/>
  <c r="AQ355" i="21"/>
  <c r="AQ337" i="21"/>
  <c r="AQ333" i="21"/>
  <c r="AQ331" i="21"/>
  <c r="AQ357" i="21"/>
  <c r="AQ354" i="21"/>
  <c r="AQ344" i="21"/>
  <c r="AQ328" i="21"/>
  <c r="AQ353" i="21"/>
  <c r="AJ9" i="22"/>
  <c r="AR9" i="22" s="1"/>
  <c r="AP9" i="22"/>
  <c r="AO354" i="21"/>
  <c r="AO331" i="21"/>
  <c r="AO49" i="21"/>
  <c r="AO348" i="21"/>
  <c r="AO341" i="21"/>
  <c r="AV341" i="21" s="1"/>
  <c r="AO338" i="21"/>
  <c r="AO347" i="21"/>
  <c r="AO337" i="21"/>
  <c r="AO335" i="21"/>
  <c r="AO358" i="21"/>
  <c r="AO334" i="21"/>
  <c r="AV334" i="21" s="1"/>
  <c r="AO336" i="21"/>
  <c r="AV336" i="21" s="1"/>
  <c r="AO361" i="21"/>
  <c r="AO328" i="21"/>
  <c r="AO339" i="21"/>
  <c r="AO350" i="21"/>
  <c r="AO346" i="21"/>
  <c r="AO343" i="21"/>
  <c r="AO330" i="21"/>
  <c r="AV330" i="21" s="1"/>
  <c r="AO327" i="21"/>
  <c r="AV327" i="21" s="1"/>
  <c r="AO329" i="21"/>
  <c r="AV329" i="21" s="1"/>
  <c r="AO353" i="21"/>
  <c r="AV353" i="21" s="1"/>
  <c r="AO349" i="21"/>
  <c r="AV349" i="21" s="1"/>
  <c r="AO352" i="21"/>
  <c r="AO355" i="21"/>
  <c r="AV355" i="21" s="1"/>
  <c r="AO357" i="21"/>
  <c r="AV357" i="21" s="1"/>
  <c r="AO356" i="21"/>
  <c r="AO344" i="21"/>
  <c r="AO351" i="21"/>
  <c r="AO342" i="21"/>
  <c r="AO340" i="21"/>
  <c r="AO333" i="21"/>
  <c r="AO332" i="21"/>
  <c r="AV332" i="21" s="1"/>
  <c r="AO360" i="21"/>
  <c r="AO359" i="21"/>
  <c r="AV359" i="21" s="1"/>
  <c r="AO345" i="21"/>
  <c r="AO366" i="21"/>
  <c r="AV366" i="21" s="1"/>
  <c r="I366" i="22" s="1"/>
  <c r="Q366" i="22" s="1"/>
  <c r="AO367" i="21"/>
  <c r="AV367" i="21" s="1"/>
  <c r="I367" i="22" s="1"/>
  <c r="Q367" i="22" s="1"/>
  <c r="AO368" i="21"/>
  <c r="AV368" i="21" s="1"/>
  <c r="I368" i="22" s="1"/>
  <c r="Q368" i="22" s="1"/>
  <c r="AO136" i="21"/>
  <c r="AV136" i="21" s="1"/>
  <c r="I136" i="22" s="1"/>
  <c r="Q136" i="22" s="1"/>
  <c r="AO137" i="21"/>
  <c r="AV137" i="21" s="1"/>
  <c r="I137" i="22" s="1"/>
  <c r="Q137" i="22" s="1"/>
  <c r="AO138" i="21"/>
  <c r="AV138" i="21" s="1"/>
  <c r="I138" i="22" s="1"/>
  <c r="Q138" i="22" s="1"/>
  <c r="AO125" i="21"/>
  <c r="AV125" i="21" s="1"/>
  <c r="I125" i="22" s="1"/>
  <c r="Q125" i="22" s="1"/>
  <c r="AO363" i="21"/>
  <c r="AV363" i="21" s="1"/>
  <c r="I363" i="22" s="1"/>
  <c r="Q363" i="22" s="1"/>
  <c r="AO126" i="21"/>
  <c r="AV126" i="21" s="1"/>
  <c r="I126" i="22" s="1"/>
  <c r="Q126" i="22" s="1"/>
  <c r="AO127" i="21"/>
  <c r="AV127" i="21" s="1"/>
  <c r="I127" i="22" s="1"/>
  <c r="Q127" i="22" s="1"/>
  <c r="AO128" i="21"/>
  <c r="AV128" i="21" s="1"/>
  <c r="I128" i="22" s="1"/>
  <c r="Q128" i="22" s="1"/>
  <c r="AO139" i="21"/>
  <c r="AV139" i="21" s="1"/>
  <c r="I139" i="22" s="1"/>
  <c r="Q139" i="22" s="1"/>
  <c r="AO118" i="21"/>
  <c r="AV118" i="21" s="1"/>
  <c r="I118" i="22" s="1"/>
  <c r="Q118" i="22" s="1"/>
  <c r="AO129" i="21"/>
  <c r="AV129" i="21" s="1"/>
  <c r="I129" i="22" s="1"/>
  <c r="Q129" i="22" s="1"/>
  <c r="AO130" i="21"/>
  <c r="AV130" i="21" s="1"/>
  <c r="I130" i="22" s="1"/>
  <c r="Q130" i="22" s="1"/>
  <c r="AO131" i="21"/>
  <c r="AV131" i="21" s="1"/>
  <c r="AO115" i="21"/>
  <c r="AV115" i="21" s="1"/>
  <c r="I115" i="22" s="1"/>
  <c r="Q115" i="22" s="1"/>
  <c r="AO132" i="21"/>
  <c r="AV132" i="21" s="1"/>
  <c r="AO133" i="21"/>
  <c r="AV133" i="21" s="1"/>
  <c r="AO134" i="21"/>
  <c r="AV134" i="21" s="1"/>
  <c r="I134" i="22" s="1"/>
  <c r="Q134" i="22" s="1"/>
  <c r="AO135" i="21"/>
  <c r="AO116" i="21"/>
  <c r="AO140" i="21"/>
  <c r="AV140" i="21" s="1"/>
  <c r="I140" i="22" s="1"/>
  <c r="Q140" i="22" s="1"/>
  <c r="AO141" i="21"/>
  <c r="AV141" i="21" s="1"/>
  <c r="I141" i="22" s="1"/>
  <c r="Q141" i="22" s="1"/>
  <c r="AO144" i="21"/>
  <c r="AV144" i="21" s="1"/>
  <c r="I144" i="22" s="1"/>
  <c r="Q144" i="22" s="1"/>
  <c r="AO142" i="21"/>
  <c r="AV142" i="21" s="1"/>
  <c r="AO143" i="21"/>
  <c r="AV143" i="21" s="1"/>
  <c r="I143" i="22" s="1"/>
  <c r="Q143" i="22" s="1"/>
  <c r="AO145" i="21"/>
  <c r="AV145" i="21" s="1"/>
  <c r="I145" i="22" s="1"/>
  <c r="Q145" i="22" s="1"/>
  <c r="AO364" i="21"/>
  <c r="AV364" i="21" s="1"/>
  <c r="I364" i="22" s="1"/>
  <c r="Q364" i="22" s="1"/>
  <c r="AO119" i="21"/>
  <c r="AV119" i="21" s="1"/>
  <c r="I119" i="22" s="1"/>
  <c r="Q119" i="22" s="1"/>
  <c r="AO365" i="21"/>
  <c r="AV365" i="21" s="1"/>
  <c r="I365" i="22" s="1"/>
  <c r="Q365" i="22" s="1"/>
  <c r="AO117" i="21"/>
  <c r="AV117" i="21" s="1"/>
  <c r="I117" i="22" s="1"/>
  <c r="Q117" i="22" s="1"/>
  <c r="AO17" i="21"/>
  <c r="AV17" i="21" s="1"/>
  <c r="AO12" i="21"/>
  <c r="AV12" i="21" s="1"/>
  <c r="AO32" i="21"/>
  <c r="AV32" i="21" s="1"/>
  <c r="AO31" i="21"/>
  <c r="AV31" i="21" s="1"/>
  <c r="AO29" i="21"/>
  <c r="AV29" i="21" s="1"/>
  <c r="AO27" i="21"/>
  <c r="AV27" i="21" s="1"/>
  <c r="AO26" i="21"/>
  <c r="AV26" i="21" s="1"/>
  <c r="AO25" i="21"/>
  <c r="AV25" i="21" s="1"/>
  <c r="AO22" i="21"/>
  <c r="AV22" i="21" s="1"/>
  <c r="I22" i="22" s="1"/>
  <c r="AO14" i="21"/>
  <c r="AV14" i="21" s="1"/>
  <c r="AO48" i="21"/>
  <c r="AV48" i="21" s="1"/>
  <c r="I48" i="22" s="1"/>
  <c r="Q48" i="22" s="1"/>
  <c r="AO38" i="21"/>
  <c r="AO33" i="21"/>
  <c r="AV33" i="21" s="1"/>
  <c r="I33" i="22" s="1"/>
  <c r="Q33" i="22" s="1"/>
  <c r="AO39" i="21"/>
  <c r="AO34" i="21"/>
  <c r="AV34" i="21" s="1"/>
  <c r="I34" i="22" s="1"/>
  <c r="Q34" i="22" s="1"/>
  <c r="AO44" i="21"/>
  <c r="AV44" i="21" s="1"/>
  <c r="I44" i="22" s="1"/>
  <c r="Q44" i="22" s="1"/>
  <c r="AO35" i="21"/>
  <c r="AO46" i="21"/>
  <c r="AV46" i="21" s="1"/>
  <c r="I46" i="22" s="1"/>
  <c r="Q46" i="22" s="1"/>
  <c r="AO42" i="21"/>
  <c r="AO45" i="21"/>
  <c r="AO40" i="21"/>
  <c r="AO36" i="21"/>
  <c r="AO47" i="21"/>
  <c r="AV47" i="21" s="1"/>
  <c r="AO37" i="21"/>
  <c r="AO41" i="21"/>
  <c r="AO43" i="21"/>
  <c r="AV43" i="21" s="1"/>
  <c r="AO24" i="21"/>
  <c r="AV24" i="21" s="1"/>
  <c r="AO21" i="21"/>
  <c r="AV21" i="21" s="1"/>
  <c r="AO19" i="21"/>
  <c r="AO16" i="21"/>
  <c r="AV16" i="21" s="1"/>
  <c r="I16" i="22" s="1"/>
  <c r="Q16" i="22" s="1"/>
  <c r="AO30" i="21"/>
  <c r="AV30" i="21" s="1"/>
  <c r="AO28" i="21"/>
  <c r="AO23" i="21"/>
  <c r="AV23" i="21" s="1"/>
  <c r="AO20" i="21"/>
  <c r="AV20" i="21" s="1"/>
  <c r="AO18" i="21"/>
  <c r="AO15" i="21"/>
  <c r="AV15" i="21" s="1"/>
  <c r="AO54" i="21"/>
  <c r="AV54" i="21" s="1"/>
  <c r="AO86" i="21"/>
  <c r="AV86" i="21" s="1"/>
  <c r="I86" i="22" s="1"/>
  <c r="Q86" i="22" s="1"/>
  <c r="AO122" i="21"/>
  <c r="AO168" i="21"/>
  <c r="AO200" i="21"/>
  <c r="AV200" i="21" s="1"/>
  <c r="AO232" i="21"/>
  <c r="AV232" i="21" s="1"/>
  <c r="I232" i="22" s="1"/>
  <c r="Q232" i="22" s="1"/>
  <c r="AO264" i="21"/>
  <c r="AV264" i="21" s="1"/>
  <c r="I264" i="22" s="1"/>
  <c r="Q264" i="22" s="1"/>
  <c r="AO296" i="21"/>
  <c r="AV296" i="21" s="1"/>
  <c r="AO97" i="21"/>
  <c r="AV97" i="21" s="1"/>
  <c r="I97" i="22" s="1"/>
  <c r="Q97" i="22" s="1"/>
  <c r="AO69" i="21"/>
  <c r="AO279" i="21"/>
  <c r="AV279" i="21" s="1"/>
  <c r="AO71" i="21"/>
  <c r="AO106" i="21"/>
  <c r="AV106" i="21" s="1"/>
  <c r="AO223" i="21"/>
  <c r="AO80" i="21"/>
  <c r="AO292" i="21"/>
  <c r="AO324" i="21"/>
  <c r="AV324" i="21" s="1"/>
  <c r="I324" i="22" s="1"/>
  <c r="Q324" i="22" s="1"/>
  <c r="AO197" i="21"/>
  <c r="AO262" i="21"/>
  <c r="AV262" i="21" s="1"/>
  <c r="AO55" i="21"/>
  <c r="AO87" i="21"/>
  <c r="AV87" i="21" s="1"/>
  <c r="AO123" i="21"/>
  <c r="AO169" i="21"/>
  <c r="AV169" i="21" s="1"/>
  <c r="AO201" i="21"/>
  <c r="AV201" i="21" s="1"/>
  <c r="I201" i="22" s="1"/>
  <c r="Q201" i="22" s="1"/>
  <c r="AO233" i="21"/>
  <c r="AV233" i="21" s="1"/>
  <c r="AO265" i="21"/>
  <c r="AO297" i="21"/>
  <c r="AV297" i="21" s="1"/>
  <c r="I297" i="22" s="1"/>
  <c r="Q297" i="22" s="1"/>
  <c r="AO95" i="21"/>
  <c r="AV95" i="21" s="1"/>
  <c r="AO242" i="21"/>
  <c r="AO179" i="21"/>
  <c r="AO101" i="21"/>
  <c r="AV101" i="21" s="1"/>
  <c r="I101" i="22" s="1"/>
  <c r="Q101" i="22" s="1"/>
  <c r="AO247" i="21"/>
  <c r="AV247" i="21" s="1"/>
  <c r="I247" i="22" s="1"/>
  <c r="Q247" i="22" s="1"/>
  <c r="AO187" i="21"/>
  <c r="AO317" i="21"/>
  <c r="AO77" i="21"/>
  <c r="AV77" i="21" s="1"/>
  <c r="I77" i="22" s="1"/>
  <c r="Q77" i="22" s="1"/>
  <c r="AO56" i="21"/>
  <c r="AO88" i="21"/>
  <c r="AV88" i="21" s="1"/>
  <c r="AO124" i="21"/>
  <c r="AV124" i="21" s="1"/>
  <c r="I124" i="22" s="1"/>
  <c r="Q124" i="22" s="1"/>
  <c r="AO170" i="21"/>
  <c r="AV170" i="21" s="1"/>
  <c r="AO202" i="21"/>
  <c r="AO234" i="21"/>
  <c r="AV234" i="21" s="1"/>
  <c r="I234" i="22" s="1"/>
  <c r="Q234" i="22" s="1"/>
  <c r="AO266" i="21"/>
  <c r="AV266" i="21" s="1"/>
  <c r="AO298" i="21"/>
  <c r="AV298" i="21" s="1"/>
  <c r="I298" i="22" s="1"/>
  <c r="Q298" i="22" s="1"/>
  <c r="AO89" i="21"/>
  <c r="AO171" i="21"/>
  <c r="AO203" i="21"/>
  <c r="AV203" i="21" s="1"/>
  <c r="AO235" i="21"/>
  <c r="AO299" i="21"/>
  <c r="AV299" i="21" s="1"/>
  <c r="I299" i="22" s="1"/>
  <c r="Q299" i="22" s="1"/>
  <c r="AO268" i="21"/>
  <c r="AV268" i="21" s="1"/>
  <c r="I268" i="22" s="1"/>
  <c r="Q268" i="22" s="1"/>
  <c r="AO238" i="21"/>
  <c r="AO61" i="21"/>
  <c r="AV61" i="21" s="1"/>
  <c r="AO271" i="21"/>
  <c r="AO176" i="21"/>
  <c r="AO146" i="21"/>
  <c r="AO147" i="21"/>
  <c r="AO308" i="21"/>
  <c r="AO149" i="21"/>
  <c r="AO309" i="21"/>
  <c r="AV309" i="21" s="1"/>
  <c r="AO100" i="21"/>
  <c r="AO311" i="21"/>
  <c r="AV311" i="21" s="1"/>
  <c r="AO280" i="21"/>
  <c r="AV280" i="21" s="1"/>
  <c r="AO249" i="21"/>
  <c r="AV249" i="21" s="1"/>
  <c r="I249" i="22" s="1"/>
  <c r="Q249" i="22" s="1"/>
  <c r="AO104" i="21"/>
  <c r="AO315" i="21"/>
  <c r="AV315" i="21" s="1"/>
  <c r="AO156" i="21"/>
  <c r="AV156" i="21" s="1"/>
  <c r="AO159" i="21"/>
  <c r="AO320" i="21"/>
  <c r="AV320" i="21" s="1"/>
  <c r="AO321" i="21"/>
  <c r="AV321" i="21" s="1"/>
  <c r="I321" i="22" s="1"/>
  <c r="Q321" i="22" s="1"/>
  <c r="AO226" i="21"/>
  <c r="AV226" i="21" s="1"/>
  <c r="AO291" i="21"/>
  <c r="AV291" i="21" s="1"/>
  <c r="I291" i="22" s="1"/>
  <c r="Q291" i="22" s="1"/>
  <c r="AO53" i="21"/>
  <c r="AO57" i="21"/>
  <c r="AO267" i="21"/>
  <c r="AV267" i="21" s="1"/>
  <c r="I267" i="22" s="1"/>
  <c r="Q267" i="22" s="1"/>
  <c r="AO93" i="21"/>
  <c r="AO275" i="21"/>
  <c r="AV275" i="21" s="1"/>
  <c r="I275" i="22" s="1"/>
  <c r="Q275" i="22" s="1"/>
  <c r="AO180" i="21"/>
  <c r="AV180" i="21" s="1"/>
  <c r="AO181" i="21"/>
  <c r="AV181" i="21" s="1"/>
  <c r="I181" i="22" s="1"/>
  <c r="Q181" i="22" s="1"/>
  <c r="AO214" i="21"/>
  <c r="AO218" i="21"/>
  <c r="AV218" i="21" s="1"/>
  <c r="I218" i="22" s="1"/>
  <c r="Q218" i="22" s="1"/>
  <c r="AO283" i="21"/>
  <c r="AV283" i="21" s="1"/>
  <c r="I283" i="22" s="1"/>
  <c r="Q283" i="22" s="1"/>
  <c r="AO58" i="21"/>
  <c r="AV58" i="21" s="1"/>
  <c r="I58" i="22" s="1"/>
  <c r="Q58" i="22" s="1"/>
  <c r="AO90" i="21"/>
  <c r="AV90" i="21" s="1"/>
  <c r="I90" i="22" s="1"/>
  <c r="Q90" i="22" s="1"/>
  <c r="AO172" i="21"/>
  <c r="AO204" i="21"/>
  <c r="AO236" i="21"/>
  <c r="AV236" i="21" s="1"/>
  <c r="I236" i="22" s="1"/>
  <c r="Q236" i="22" s="1"/>
  <c r="AO300" i="21"/>
  <c r="AV300" i="21" s="1"/>
  <c r="I300" i="22" s="1"/>
  <c r="Q300" i="22" s="1"/>
  <c r="AO175" i="21"/>
  <c r="AV175" i="21" s="1"/>
  <c r="I175" i="22" s="1"/>
  <c r="Q175" i="22" s="1"/>
  <c r="AO304" i="21"/>
  <c r="AO177" i="21"/>
  <c r="AO306" i="21"/>
  <c r="AV306" i="21" s="1"/>
  <c r="I306" i="22" s="1"/>
  <c r="Q306" i="22" s="1"/>
  <c r="AO67" i="21"/>
  <c r="AV67" i="21" s="1"/>
  <c r="AO151" i="21"/>
  <c r="AO281" i="21"/>
  <c r="AO154" i="21"/>
  <c r="AO220" i="21"/>
  <c r="AV220" i="21" s="1"/>
  <c r="I220" i="22" s="1"/>
  <c r="Q220" i="22" s="1"/>
  <c r="AO76" i="21"/>
  <c r="AO112" i="21"/>
  <c r="AO59" i="21"/>
  <c r="AV59" i="21" s="1"/>
  <c r="AO91" i="21"/>
  <c r="AV91" i="21" s="1"/>
  <c r="AO173" i="21"/>
  <c r="AV173" i="21" s="1"/>
  <c r="AO205" i="21"/>
  <c r="AV205" i="21" s="1"/>
  <c r="I205" i="22" s="1"/>
  <c r="Q205" i="22" s="1"/>
  <c r="AO237" i="21"/>
  <c r="AV237" i="21" s="1"/>
  <c r="AO269" i="21"/>
  <c r="AV269" i="21" s="1"/>
  <c r="I269" i="22" s="1"/>
  <c r="Q269" i="22" s="1"/>
  <c r="AO301" i="21"/>
  <c r="AV301" i="21" s="1"/>
  <c r="I301" i="22" s="1"/>
  <c r="Q301" i="22" s="1"/>
  <c r="AO60" i="21"/>
  <c r="AV60" i="21" s="1"/>
  <c r="I60" i="22" s="1"/>
  <c r="Q60" i="22" s="1"/>
  <c r="AO92" i="21"/>
  <c r="AV92" i="21" s="1"/>
  <c r="AO174" i="21"/>
  <c r="AO206" i="21"/>
  <c r="AV206" i="21" s="1"/>
  <c r="AO270" i="21"/>
  <c r="AV270" i="21" s="1"/>
  <c r="I270" i="22" s="1"/>
  <c r="Q270" i="22" s="1"/>
  <c r="AO302" i="21"/>
  <c r="AV302" i="21" s="1"/>
  <c r="I302" i="22" s="1"/>
  <c r="Q302" i="22" s="1"/>
  <c r="AO207" i="21"/>
  <c r="AV207" i="21" s="1"/>
  <c r="AO239" i="21"/>
  <c r="AV239" i="21" s="1"/>
  <c r="I239" i="22" s="1"/>
  <c r="Q239" i="22" s="1"/>
  <c r="AO303" i="21"/>
  <c r="AV303" i="21" s="1"/>
  <c r="I303" i="22" s="1"/>
  <c r="Q303" i="22" s="1"/>
  <c r="AO62" i="21"/>
  <c r="AV62" i="21" s="1"/>
  <c r="AO94" i="21"/>
  <c r="AV94" i="21" s="1"/>
  <c r="AO208" i="21"/>
  <c r="AV208" i="21" s="1"/>
  <c r="I208" i="22" s="1"/>
  <c r="Q208" i="22" s="1"/>
  <c r="AO272" i="21"/>
  <c r="AV272" i="21" s="1"/>
  <c r="I272" i="22" s="1"/>
  <c r="Q272" i="22" s="1"/>
  <c r="AO63" i="21"/>
  <c r="AO209" i="21"/>
  <c r="AO273" i="21"/>
  <c r="AV273" i="21" s="1"/>
  <c r="I273" i="22" s="1"/>
  <c r="Q273" i="22" s="1"/>
  <c r="AO64" i="21"/>
  <c r="AO274" i="21"/>
  <c r="AO65" i="21"/>
  <c r="AV65" i="21" s="1"/>
  <c r="AO307" i="21"/>
  <c r="AV307" i="21" s="1"/>
  <c r="I307" i="22" s="1"/>
  <c r="Q307" i="22" s="1"/>
  <c r="AO98" i="21"/>
  <c r="AO99" i="21"/>
  <c r="AO68" i="21"/>
  <c r="AV68" i="21" s="1"/>
  <c r="I68" i="22" s="1"/>
  <c r="Q68" i="22" s="1"/>
  <c r="AO248" i="21"/>
  <c r="AV248" i="21" s="1"/>
  <c r="AO313" i="21"/>
  <c r="AV313" i="21" s="1"/>
  <c r="I313" i="22" s="1"/>
  <c r="Q313" i="22" s="1"/>
  <c r="AO186" i="21"/>
  <c r="AV186" i="21" s="1"/>
  <c r="AO219" i="21"/>
  <c r="AV219" i="21" s="1"/>
  <c r="I219" i="22" s="1"/>
  <c r="Q219" i="22" s="1"/>
  <c r="AO189" i="21"/>
  <c r="AV189" i="21" s="1"/>
  <c r="AO255" i="21"/>
  <c r="AV255" i="21" s="1"/>
  <c r="AO227" i="21"/>
  <c r="AV227" i="21" s="1"/>
  <c r="AO229" i="21"/>
  <c r="AV229" i="21" s="1"/>
  <c r="AO325" i="21"/>
  <c r="AV325" i="21" s="1"/>
  <c r="I325" i="22" s="1"/>
  <c r="Q325" i="22" s="1"/>
  <c r="AO52" i="21"/>
  <c r="AO198" i="21"/>
  <c r="AV198" i="21" s="1"/>
  <c r="I198" i="22" s="1"/>
  <c r="Q198" i="22" s="1"/>
  <c r="AO241" i="21"/>
  <c r="AO246" i="21"/>
  <c r="AO314" i="21"/>
  <c r="AV314" i="21" s="1"/>
  <c r="AO155" i="21"/>
  <c r="AV155" i="21" s="1"/>
  <c r="I155" i="22" s="1"/>
  <c r="Q155" i="22" s="1"/>
  <c r="AO190" i="21"/>
  <c r="AV190" i="21" s="1"/>
  <c r="I190" i="22" s="1"/>
  <c r="Q190" i="22" s="1"/>
  <c r="AO79" i="21"/>
  <c r="AO305" i="21"/>
  <c r="AV305" i="21" s="1"/>
  <c r="AO178" i="21"/>
  <c r="AV178" i="21" s="1"/>
  <c r="AO211" i="21"/>
  <c r="AV211" i="21" s="1"/>
  <c r="I211" i="22" s="1"/>
  <c r="Q211" i="22" s="1"/>
  <c r="AO244" i="21"/>
  <c r="AV244" i="21" s="1"/>
  <c r="I244" i="22" s="1"/>
  <c r="Q244" i="22" s="1"/>
  <c r="AO245" i="21"/>
  <c r="AV245" i="21" s="1"/>
  <c r="I245" i="22" s="1"/>
  <c r="Q245" i="22" s="1"/>
  <c r="AO182" i="21"/>
  <c r="AV182" i="21" s="1"/>
  <c r="AO216" i="21"/>
  <c r="AV216" i="21" s="1"/>
  <c r="I216" i="22" s="1"/>
  <c r="Q216" i="22" s="1"/>
  <c r="AO193" i="21"/>
  <c r="AV193" i="21" s="1"/>
  <c r="I193" i="22" s="1"/>
  <c r="Q193" i="22" s="1"/>
  <c r="AO240" i="21"/>
  <c r="AV240" i="21" s="1"/>
  <c r="I240" i="22" s="1"/>
  <c r="Q240" i="22" s="1"/>
  <c r="AO210" i="21"/>
  <c r="AO243" i="21"/>
  <c r="AV243" i="21" s="1"/>
  <c r="I243" i="22" s="1"/>
  <c r="Q243" i="22" s="1"/>
  <c r="AO212" i="21"/>
  <c r="AV212" i="21" s="1"/>
  <c r="I212" i="22" s="1"/>
  <c r="Q212" i="22" s="1"/>
  <c r="AO278" i="21"/>
  <c r="AV278" i="21" s="1"/>
  <c r="I278" i="22" s="1"/>
  <c r="Q278" i="22" s="1"/>
  <c r="AO312" i="21"/>
  <c r="AV312" i="21" s="1"/>
  <c r="I312" i="22" s="1"/>
  <c r="Q312" i="22" s="1"/>
  <c r="AO103" i="21"/>
  <c r="AO74" i="21"/>
  <c r="AO196" i="21"/>
  <c r="AV196" i="21" s="1"/>
  <c r="AO260" i="21"/>
  <c r="AV260" i="21" s="1"/>
  <c r="AO51" i="21"/>
  <c r="AV51" i="21" s="1"/>
  <c r="AO261" i="21"/>
  <c r="AV261" i="21" s="1"/>
  <c r="AO276" i="21"/>
  <c r="AV276" i="21" s="1"/>
  <c r="AO150" i="21"/>
  <c r="AV150" i="21" s="1"/>
  <c r="AO70" i="21"/>
  <c r="AO250" i="21"/>
  <c r="AV250" i="21" s="1"/>
  <c r="AO284" i="21"/>
  <c r="AV284" i="21" s="1"/>
  <c r="I284" i="22" s="1"/>
  <c r="Q284" i="22" s="1"/>
  <c r="AO285" i="21"/>
  <c r="AO109" i="21"/>
  <c r="AV109" i="21" s="1"/>
  <c r="AO194" i="21"/>
  <c r="AV194" i="21" s="1"/>
  <c r="I194" i="22" s="1"/>
  <c r="Q194" i="22" s="1"/>
  <c r="AO96" i="21"/>
  <c r="AV96" i="21" s="1"/>
  <c r="I96" i="22" s="1"/>
  <c r="Q96" i="22" s="1"/>
  <c r="AO148" i="21"/>
  <c r="AV148" i="21" s="1"/>
  <c r="I148" i="22" s="1"/>
  <c r="Q148" i="22" s="1"/>
  <c r="AO213" i="21"/>
  <c r="AO310" i="21"/>
  <c r="AO183" i="21"/>
  <c r="AV183" i="21" s="1"/>
  <c r="I183" i="22" s="1"/>
  <c r="Q183" i="22" s="1"/>
  <c r="AO185" i="21"/>
  <c r="AV185" i="21" s="1"/>
  <c r="AO282" i="21"/>
  <c r="AV282" i="21" s="1"/>
  <c r="AO251" i="21"/>
  <c r="AV251" i="21" s="1"/>
  <c r="AO75" i="21"/>
  <c r="AV75" i="21" s="1"/>
  <c r="I75" i="22" s="1"/>
  <c r="AO289" i="21"/>
  <c r="AV289" i="21" s="1"/>
  <c r="AO81" i="21"/>
  <c r="AV81" i="21" s="1"/>
  <c r="AO277" i="21"/>
  <c r="AV277" i="21" s="1"/>
  <c r="AO184" i="21"/>
  <c r="AO73" i="21"/>
  <c r="AV73" i="21" s="1"/>
  <c r="AO110" i="21"/>
  <c r="AV110" i="21" s="1"/>
  <c r="AO66" i="21"/>
  <c r="AV66" i="21" s="1"/>
  <c r="I66" i="22" s="1"/>
  <c r="Q66" i="22" s="1"/>
  <c r="AO102" i="21"/>
  <c r="AV102" i="21" s="1"/>
  <c r="AO72" i="21"/>
  <c r="AO157" i="21"/>
  <c r="AO78" i="21"/>
  <c r="AV78" i="21" s="1"/>
  <c r="AO163" i="21"/>
  <c r="AV163" i="21" s="1"/>
  <c r="I163" i="22" s="1"/>
  <c r="Q163" i="22" s="1"/>
  <c r="AO152" i="21"/>
  <c r="AO316" i="21"/>
  <c r="AO253" i="21"/>
  <c r="AO287" i="21"/>
  <c r="AO111" i="21"/>
  <c r="AO153" i="21"/>
  <c r="AO105" i="21"/>
  <c r="AV105" i="21" s="1"/>
  <c r="AO254" i="21"/>
  <c r="AO161" i="21"/>
  <c r="AV161" i="21" s="1"/>
  <c r="AO215" i="21"/>
  <c r="AV215" i="21" s="1"/>
  <c r="AO221" i="21"/>
  <c r="AV221" i="21" s="1"/>
  <c r="I221" i="22" s="1"/>
  <c r="Q221" i="22" s="1"/>
  <c r="AO286" i="21"/>
  <c r="AO224" i="21"/>
  <c r="AV224" i="21" s="1"/>
  <c r="AO162" i="21"/>
  <c r="AV162" i="21" s="1"/>
  <c r="AO165" i="21"/>
  <c r="AV165" i="21" s="1"/>
  <c r="AO120" i="21"/>
  <c r="AV120" i="21" s="1"/>
  <c r="AO263" i="21"/>
  <c r="AO188" i="21"/>
  <c r="AV188" i="21" s="1"/>
  <c r="I188" i="22" s="1"/>
  <c r="Q188" i="22" s="1"/>
  <c r="AO318" i="21"/>
  <c r="AV318" i="21" s="1"/>
  <c r="AO160" i="21"/>
  <c r="AV160" i="21" s="1"/>
  <c r="I160" i="22" s="1"/>
  <c r="Q160" i="22" s="1"/>
  <c r="AO228" i="21"/>
  <c r="AV228" i="21" s="1"/>
  <c r="AO83" i="21"/>
  <c r="AO85" i="21"/>
  <c r="AO217" i="21"/>
  <c r="AV217" i="21" s="1"/>
  <c r="I217" i="22" s="1"/>
  <c r="Q217" i="22" s="1"/>
  <c r="AO107" i="21"/>
  <c r="AO319" i="21"/>
  <c r="AO192" i="21"/>
  <c r="AO195" i="21"/>
  <c r="AO191" i="21"/>
  <c r="AV191" i="21" s="1"/>
  <c r="AO113" i="21"/>
  <c r="AV113" i="21" s="1"/>
  <c r="AO222" i="21"/>
  <c r="AV222" i="21" s="1"/>
  <c r="I222" i="22" s="1"/>
  <c r="Q222" i="22" s="1"/>
  <c r="AO290" i="21"/>
  <c r="AO252" i="21"/>
  <c r="AO158" i="21"/>
  <c r="AV158" i="21" s="1"/>
  <c r="AO288" i="21"/>
  <c r="AO257" i="21"/>
  <c r="AO258" i="21"/>
  <c r="AV258" i="21" s="1"/>
  <c r="I258" i="22" s="1"/>
  <c r="Q258" i="22" s="1"/>
  <c r="AO259" i="21"/>
  <c r="AO84" i="21"/>
  <c r="AV84" i="21" s="1"/>
  <c r="I84" i="22" s="1"/>
  <c r="Q84" i="22" s="1"/>
  <c r="AO231" i="21"/>
  <c r="AO108" i="21"/>
  <c r="AO256" i="21"/>
  <c r="AO326" i="21"/>
  <c r="AV326" i="21" s="1"/>
  <c r="I326" i="22" s="1"/>
  <c r="Q326" i="22" s="1"/>
  <c r="AO121" i="21"/>
  <c r="AV121" i="21" s="1"/>
  <c r="I121" i="22" s="1"/>
  <c r="Q121" i="22" s="1"/>
  <c r="AO225" i="21"/>
  <c r="AV225" i="21" s="1"/>
  <c r="AO166" i="21"/>
  <c r="AV166" i="21" s="1"/>
  <c r="I166" i="22" s="1"/>
  <c r="Q166" i="22" s="1"/>
  <c r="AO199" i="21"/>
  <c r="AV199" i="21" s="1"/>
  <c r="I199" i="22" s="1"/>
  <c r="Q199" i="22" s="1"/>
  <c r="AO293" i="21"/>
  <c r="AV293" i="21" s="1"/>
  <c r="I293" i="22" s="1"/>
  <c r="Q293" i="22" s="1"/>
  <c r="AO294" i="21"/>
  <c r="AV294" i="21" s="1"/>
  <c r="I294" i="22" s="1"/>
  <c r="Q294" i="22" s="1"/>
  <c r="AO167" i="21"/>
  <c r="AV167" i="21" s="1"/>
  <c r="AO50" i="21"/>
  <c r="AO82" i="21"/>
  <c r="AV82" i="21" s="1"/>
  <c r="I82" i="22" s="1"/>
  <c r="Q82" i="22" s="1"/>
  <c r="AO114" i="21"/>
  <c r="AV114" i="21" s="1"/>
  <c r="AO164" i="21"/>
  <c r="AV164" i="21" s="1"/>
  <c r="I164" i="22" s="1"/>
  <c r="Q164" i="22" s="1"/>
  <c r="AO230" i="21"/>
  <c r="AV230" i="21" s="1"/>
  <c r="AO295" i="21"/>
  <c r="AV295" i="21" s="1"/>
  <c r="I295" i="22" s="1"/>
  <c r="Q295" i="22" s="1"/>
  <c r="AO13" i="21"/>
  <c r="E32" i="12"/>
  <c r="E30" i="28"/>
  <c r="D32" i="12"/>
  <c r="D30" i="28"/>
  <c r="M32" i="12"/>
  <c r="N30" i="28"/>
  <c r="L32" i="12"/>
  <c r="M30" i="28"/>
  <c r="U32" i="12"/>
  <c r="W30" i="28"/>
  <c r="T32" i="12"/>
  <c r="V30" i="28"/>
  <c r="Z13" i="21"/>
  <c r="AV13" i="21"/>
  <c r="C13" i="22"/>
  <c r="AQ13" i="22" s="1"/>
  <c r="AI13" i="22"/>
  <c r="AP13" i="22" s="1"/>
  <c r="N31" i="28"/>
  <c r="M33" i="12"/>
  <c r="M31" i="28"/>
  <c r="L33" i="12"/>
  <c r="W31" i="28"/>
  <c r="U33" i="12"/>
  <c r="V31" i="28"/>
  <c r="T33" i="12"/>
  <c r="E32" i="28"/>
  <c r="E34" i="12"/>
  <c r="D32" i="28"/>
  <c r="D34" i="12"/>
  <c r="N32" i="28"/>
  <c r="M34" i="12"/>
  <c r="M32" i="28"/>
  <c r="L34" i="12"/>
  <c r="W32" i="28"/>
  <c r="U34" i="12"/>
  <c r="V32" i="28"/>
  <c r="T34" i="12"/>
  <c r="E33" i="28"/>
  <c r="E35" i="12"/>
  <c r="D33" i="28"/>
  <c r="D35" i="12"/>
  <c r="AL15" i="22"/>
  <c r="AX15" i="22" s="1"/>
  <c r="AV15" i="22"/>
  <c r="M33" i="28"/>
  <c r="L35" i="12"/>
  <c r="AN15" i="22"/>
  <c r="BD15" i="22" s="1"/>
  <c r="BB15" i="22"/>
  <c r="V33" i="28"/>
  <c r="T35" i="12"/>
  <c r="C16" i="22"/>
  <c r="AQ16" i="22" s="1"/>
  <c r="R16" i="22"/>
  <c r="AI16" i="22"/>
  <c r="N34" i="28"/>
  <c r="M36" i="12"/>
  <c r="M34" i="28"/>
  <c r="L36" i="12"/>
  <c r="W34" i="28"/>
  <c r="U36" i="12"/>
  <c r="V34" i="28"/>
  <c r="T36" i="12"/>
  <c r="E35" i="28"/>
  <c r="E37" i="12"/>
  <c r="D35" i="28"/>
  <c r="D37" i="12"/>
  <c r="N35" i="28"/>
  <c r="M37" i="12"/>
  <c r="M35" i="28"/>
  <c r="L37" i="12"/>
  <c r="W35" i="28"/>
  <c r="U37" i="12"/>
  <c r="V35" i="28"/>
  <c r="T37" i="12"/>
  <c r="AJ18" i="22"/>
  <c r="AR18" i="22" s="1"/>
  <c r="AP18" i="22"/>
  <c r="D36" i="28"/>
  <c r="D38" i="12"/>
  <c r="E18" i="22"/>
  <c r="AW18" i="22" s="1"/>
  <c r="U18" i="22"/>
  <c r="AK18" i="22"/>
  <c r="G18" i="22"/>
  <c r="BC18" i="22" s="1"/>
  <c r="X18" i="22"/>
  <c r="AM18" i="22"/>
  <c r="AJ19" i="22"/>
  <c r="AR19" i="22" s="1"/>
  <c r="AP19" i="22"/>
  <c r="D37" i="28"/>
  <c r="D39" i="12"/>
  <c r="E19" i="22"/>
  <c r="AW19" i="22" s="1"/>
  <c r="U19" i="22"/>
  <c r="AK19" i="22"/>
  <c r="G19" i="22"/>
  <c r="BC19" i="22" s="1"/>
  <c r="X19" i="22"/>
  <c r="AM19" i="22"/>
  <c r="AJ20" i="22"/>
  <c r="AR20" i="22" s="1"/>
  <c r="AP20" i="22"/>
  <c r="D38" i="28"/>
  <c r="D40" i="12"/>
  <c r="AL20" i="22"/>
  <c r="AX20" i="22" s="1"/>
  <c r="AV20" i="22"/>
  <c r="M38" i="28"/>
  <c r="L40" i="12"/>
  <c r="AN20" i="22"/>
  <c r="BD20" i="22" s="1"/>
  <c r="BB20" i="22"/>
  <c r="V38" i="28"/>
  <c r="T40" i="12"/>
  <c r="I21" i="22"/>
  <c r="C21" i="22"/>
  <c r="AQ21" i="22" s="1"/>
  <c r="AI21" i="22"/>
  <c r="AP21" i="22" s="1"/>
  <c r="E21" i="22"/>
  <c r="AW21" i="22" s="1"/>
  <c r="AK21" i="22"/>
  <c r="G21" i="22"/>
  <c r="BC21" i="22" s="1"/>
  <c r="AM21" i="22"/>
  <c r="AP23" i="22"/>
  <c r="D41" i="28"/>
  <c r="D43" i="12"/>
  <c r="AV23" i="22"/>
  <c r="M41" i="28"/>
  <c r="L43" i="12"/>
  <c r="BB23" i="22"/>
  <c r="V41" i="28"/>
  <c r="T43" i="12"/>
  <c r="AJ24" i="22"/>
  <c r="AR24" i="22" s="1"/>
  <c r="AP24" i="22"/>
  <c r="D42" i="28"/>
  <c r="D44" i="12"/>
  <c r="AL24" i="22"/>
  <c r="AX24" i="22" s="1"/>
  <c r="AV24" i="22"/>
  <c r="M42" i="28"/>
  <c r="L44" i="12"/>
  <c r="AN24" i="22"/>
  <c r="BD24" i="22" s="1"/>
  <c r="BB24" i="22"/>
  <c r="V42" i="28"/>
  <c r="T44" i="12"/>
  <c r="AJ25" i="22"/>
  <c r="AR25" i="22" s="1"/>
  <c r="AP25" i="22"/>
  <c r="D43" i="28"/>
  <c r="D45" i="12"/>
  <c r="AL25" i="22"/>
  <c r="AX25" i="22" s="1"/>
  <c r="AV25" i="22"/>
  <c r="M43" i="28"/>
  <c r="L45" i="12"/>
  <c r="AN25" i="22"/>
  <c r="BD25" i="22" s="1"/>
  <c r="BB25" i="22"/>
  <c r="V43" i="28"/>
  <c r="T45" i="12"/>
  <c r="AP26" i="22"/>
  <c r="D44" i="28"/>
  <c r="D46" i="12"/>
  <c r="AV26" i="22"/>
  <c r="M44" i="28"/>
  <c r="L46" i="12"/>
  <c r="BB26" i="22"/>
  <c r="V44" i="28"/>
  <c r="T46" i="12"/>
  <c r="E45" i="28"/>
  <c r="E47" i="12"/>
  <c r="D45" i="28"/>
  <c r="D47" i="12"/>
  <c r="N45" i="28"/>
  <c r="M47" i="12"/>
  <c r="M45" i="28"/>
  <c r="L47" i="12"/>
  <c r="W45" i="28"/>
  <c r="U47" i="12"/>
  <c r="V45" i="28"/>
  <c r="T47" i="12"/>
  <c r="Z28" i="21"/>
  <c r="AV28" i="21"/>
  <c r="C28" i="22"/>
  <c r="AQ28" i="22" s="1"/>
  <c r="AI28" i="22"/>
  <c r="AP28" i="22" s="1"/>
  <c r="N46" i="28"/>
  <c r="M48" i="12"/>
  <c r="M46" i="28"/>
  <c r="L48" i="12"/>
  <c r="W46" i="28"/>
  <c r="U48" i="12"/>
  <c r="V46" i="28"/>
  <c r="T48" i="12"/>
  <c r="AJ29" i="22"/>
  <c r="AR29" i="22" s="1"/>
  <c r="AP29" i="22"/>
  <c r="D47" i="28"/>
  <c r="D49" i="12"/>
  <c r="AL29" i="22"/>
  <c r="AX29" i="22" s="1"/>
  <c r="AV29" i="22"/>
  <c r="M47" i="28"/>
  <c r="L49" i="12"/>
  <c r="AN29" i="22"/>
  <c r="BD29" i="22" s="1"/>
  <c r="BB29" i="22"/>
  <c r="V47" i="28"/>
  <c r="T49" i="12"/>
  <c r="AJ30" i="22"/>
  <c r="AR30" i="22" s="1"/>
  <c r="AP30" i="22"/>
  <c r="D48" i="28"/>
  <c r="D50" i="12"/>
  <c r="AL30" i="22"/>
  <c r="AX30" i="22" s="1"/>
  <c r="AV30" i="22"/>
  <c r="M48" i="28"/>
  <c r="L50" i="12"/>
  <c r="AN30" i="22"/>
  <c r="BD30" i="22" s="1"/>
  <c r="BB30" i="22"/>
  <c r="V48" i="28"/>
  <c r="T50" i="12"/>
  <c r="AJ31" i="22"/>
  <c r="AR31" i="22" s="1"/>
  <c r="AP31" i="22"/>
  <c r="D49" i="28"/>
  <c r="D51" i="12"/>
  <c r="AL31" i="22"/>
  <c r="AX31" i="22" s="1"/>
  <c r="AV31" i="22"/>
  <c r="M49" i="28"/>
  <c r="L51" i="12"/>
  <c r="AN31" i="22"/>
  <c r="BD31" i="22" s="1"/>
  <c r="BB31" i="22"/>
  <c r="V49" i="28"/>
  <c r="T51" i="12"/>
  <c r="E50" i="28"/>
  <c r="E52" i="12"/>
  <c r="D50" i="28"/>
  <c r="D52" i="12"/>
  <c r="N50" i="28"/>
  <c r="M52" i="12"/>
  <c r="M50" i="28"/>
  <c r="L52" i="12"/>
  <c r="W50" i="28"/>
  <c r="U52" i="12"/>
  <c r="V50" i="28"/>
  <c r="T52" i="12"/>
  <c r="C33" i="22"/>
  <c r="AQ33" i="22" s="1"/>
  <c r="R33" i="22"/>
  <c r="AI33" i="22"/>
  <c r="E33" i="22"/>
  <c r="AW33" i="22" s="1"/>
  <c r="U33" i="22"/>
  <c r="AK33" i="22"/>
  <c r="G33" i="22"/>
  <c r="BC33" i="22" s="1"/>
  <c r="X33" i="22"/>
  <c r="AM33" i="22"/>
  <c r="C34" i="22"/>
  <c r="AQ34" i="22" s="1"/>
  <c r="R34" i="22"/>
  <c r="AI34" i="22"/>
  <c r="E34" i="22"/>
  <c r="AW34" i="22" s="1"/>
  <c r="U34" i="22"/>
  <c r="AK34" i="22"/>
  <c r="G34" i="22"/>
  <c r="BC34" i="22" s="1"/>
  <c r="X34" i="22"/>
  <c r="AM34" i="22"/>
  <c r="AP35" i="22"/>
  <c r="D55" i="28"/>
  <c r="D57" i="12"/>
  <c r="AV35" i="22"/>
  <c r="M55" i="28"/>
  <c r="L57" i="12"/>
  <c r="BB35" i="22"/>
  <c r="V55" i="28"/>
  <c r="T57" i="12"/>
  <c r="AP36" i="22"/>
  <c r="D56" i="28"/>
  <c r="D58" i="12"/>
  <c r="AV36" i="22"/>
  <c r="M56" i="28"/>
  <c r="L58" i="12"/>
  <c r="BB36" i="22"/>
  <c r="V56" i="28"/>
  <c r="T58" i="12"/>
  <c r="AP37" i="22"/>
  <c r="D57" i="28"/>
  <c r="D59" i="12"/>
  <c r="AV37" i="22"/>
  <c r="M57" i="28"/>
  <c r="L59" i="12"/>
  <c r="BB37" i="22"/>
  <c r="V57" i="28"/>
  <c r="T59" i="12"/>
  <c r="AP38" i="22"/>
  <c r="D58" i="28"/>
  <c r="D60" i="12"/>
  <c r="AV38" i="22"/>
  <c r="M58" i="28"/>
  <c r="L60" i="12"/>
  <c r="BB38" i="22"/>
  <c r="V58" i="28"/>
  <c r="T60" i="12"/>
  <c r="AP39" i="22"/>
  <c r="D59" i="28"/>
  <c r="D61" i="12"/>
  <c r="AV39" i="22"/>
  <c r="M59" i="28"/>
  <c r="L61" i="12"/>
  <c r="BB39" i="22"/>
  <c r="V59" i="28"/>
  <c r="T61" i="12"/>
  <c r="AP40" i="22"/>
  <c r="D60" i="28"/>
  <c r="D62" i="12"/>
  <c r="AV40" i="22"/>
  <c r="M60" i="28"/>
  <c r="L62" i="12"/>
  <c r="BB40" i="22"/>
  <c r="V60" i="28"/>
  <c r="T62" i="12"/>
  <c r="AP41" i="22"/>
  <c r="D61" i="28"/>
  <c r="D63" i="12"/>
  <c r="AV41" i="22"/>
  <c r="M61" i="28"/>
  <c r="L63" i="12"/>
  <c r="BB41" i="22"/>
  <c r="V61" i="28"/>
  <c r="T63" i="12"/>
  <c r="AP42" i="22"/>
  <c r="D62" i="28"/>
  <c r="D64" i="12"/>
  <c r="AV42" i="22"/>
  <c r="M62" i="28"/>
  <c r="L64" i="12"/>
  <c r="BB42" i="22"/>
  <c r="V62" i="28"/>
  <c r="T64" i="12"/>
  <c r="E50" i="22"/>
  <c r="AW50" i="22" s="1"/>
  <c r="U50" i="22"/>
  <c r="AK50" i="22"/>
  <c r="AD50" i="21"/>
  <c r="BB50" i="22"/>
  <c r="V72" i="28"/>
  <c r="T74" i="12"/>
  <c r="E51" i="22"/>
  <c r="AW51" i="22" s="1"/>
  <c r="U51" i="22"/>
  <c r="AK51" i="22"/>
  <c r="BB51" i="22"/>
  <c r="V73" i="28"/>
  <c r="T75" i="12"/>
  <c r="E52" i="22"/>
  <c r="AW52" i="22" s="1"/>
  <c r="U52" i="22"/>
  <c r="AK52" i="22"/>
  <c r="BB52" i="22"/>
  <c r="V74" i="28"/>
  <c r="T76" i="12"/>
  <c r="E53" i="22"/>
  <c r="AW53" i="22" s="1"/>
  <c r="U53" i="22"/>
  <c r="AK53" i="22"/>
  <c r="BB53" i="22"/>
  <c r="V75" i="28"/>
  <c r="T77" i="12"/>
  <c r="E54" i="22"/>
  <c r="AW54" i="22" s="1"/>
  <c r="U54" i="22"/>
  <c r="AK54" i="22"/>
  <c r="BB54" i="22"/>
  <c r="V76" i="28"/>
  <c r="T78" i="12"/>
  <c r="E55" i="22"/>
  <c r="AW55" i="22" s="1"/>
  <c r="U55" i="22"/>
  <c r="AK55" i="22"/>
  <c r="BB55" i="22"/>
  <c r="V77" i="28"/>
  <c r="T79" i="12"/>
  <c r="E56" i="22"/>
  <c r="AW56" i="22" s="1"/>
  <c r="U56" i="22"/>
  <c r="AK56" i="22"/>
  <c r="BB56" i="22"/>
  <c r="V78" i="28"/>
  <c r="T80" i="12"/>
  <c r="C58" i="22"/>
  <c r="AQ58" i="22" s="1"/>
  <c r="R58" i="22"/>
  <c r="AI58" i="22"/>
  <c r="AV187" i="21"/>
  <c r="Z187" i="21"/>
  <c r="I187" i="22" s="1"/>
  <c r="Q187" i="22" s="1"/>
  <c r="AV192" i="21"/>
  <c r="Z192" i="21"/>
  <c r="I192" i="22" s="1"/>
  <c r="Q192" i="22" s="1"/>
  <c r="AV159" i="21"/>
  <c r="AV103" i="21"/>
  <c r="AD109" i="21"/>
  <c r="Z276" i="21"/>
  <c r="AV292" i="21"/>
  <c r="AV195" i="21"/>
  <c r="AV64" i="21"/>
  <c r="AV197" i="21"/>
  <c r="AD171" i="21"/>
  <c r="AC171" i="21" s="1"/>
  <c r="AC173" i="21" s="1"/>
  <c r="K173" i="22" s="1"/>
  <c r="T173" i="22" s="1"/>
  <c r="AV213" i="21"/>
  <c r="Z237" i="21"/>
  <c r="AV98" i="21"/>
  <c r="AV231" i="21"/>
  <c r="AF154" i="21"/>
  <c r="M154" i="22" s="1"/>
  <c r="W154" i="22" s="1"/>
  <c r="AA56" i="21"/>
  <c r="AA154" i="21"/>
  <c r="E154" i="21" s="1"/>
  <c r="I109" i="22"/>
  <c r="AV256" i="21"/>
  <c r="AG113" i="21"/>
  <c r="AF113" i="21" s="1"/>
  <c r="AF116" i="21" s="1"/>
  <c r="M116" i="22" s="1"/>
  <c r="W116" i="22" s="1"/>
  <c r="AG116" i="22" s="1"/>
  <c r="AV147" i="21"/>
  <c r="AV310" i="21"/>
  <c r="AV253" i="21"/>
  <c r="AV242" i="21"/>
  <c r="I242" i="22" s="1"/>
  <c r="Q242" i="22" s="1"/>
  <c r="AA52" i="21"/>
  <c r="AE347" i="21"/>
  <c r="AE331" i="21"/>
  <c r="AA150" i="21"/>
  <c r="Z150" i="21" s="1"/>
  <c r="AE356" i="21"/>
  <c r="AV246" i="21"/>
  <c r="I246" i="22" s="1"/>
  <c r="Q246" i="22" s="1"/>
  <c r="AA246" i="22" s="1"/>
  <c r="AE344" i="21"/>
  <c r="AE346" i="21"/>
  <c r="AE352" i="21"/>
  <c r="AE345" i="21"/>
  <c r="AE343" i="21"/>
  <c r="AE342" i="21"/>
  <c r="AE350" i="21"/>
  <c r="AC151" i="21"/>
  <c r="K151" i="22" s="1"/>
  <c r="T151" i="22" s="1"/>
  <c r="AB151" i="22" s="1"/>
  <c r="AV104" i="21"/>
  <c r="I104" i="22" s="1"/>
  <c r="Q104" i="22" s="1"/>
  <c r="AE336" i="21"/>
  <c r="AD169" i="21"/>
  <c r="AV172" i="21"/>
  <c r="AV168" i="21"/>
  <c r="I168" i="22" s="1"/>
  <c r="Q168" i="22" s="1"/>
  <c r="AE337" i="21"/>
  <c r="AD155" i="21"/>
  <c r="AC155" i="21" s="1"/>
  <c r="AC157" i="21" s="1"/>
  <c r="K157" i="22" s="1"/>
  <c r="T157" i="22" s="1"/>
  <c r="AE351" i="21"/>
  <c r="AE330" i="21"/>
  <c r="AE332" i="21"/>
  <c r="AV107" i="21"/>
  <c r="AV214" i="21"/>
  <c r="I214" i="22" s="1"/>
  <c r="Q214" i="22" s="1"/>
  <c r="AD123" i="21"/>
  <c r="G123" i="21" s="1"/>
  <c r="AV319" i="21"/>
  <c r="Z94" i="21"/>
  <c r="I94" i="22" s="1"/>
  <c r="Q94" i="22" s="1"/>
  <c r="AV63" i="21"/>
  <c r="AV317" i="21"/>
  <c r="I317" i="22" s="1"/>
  <c r="Q317" i="22" s="1"/>
  <c r="AG154" i="21"/>
  <c r="I154" i="21" s="1"/>
  <c r="F154" i="22" s="1"/>
  <c r="AV69" i="21"/>
  <c r="AG72" i="21"/>
  <c r="I336" i="22"/>
  <c r="AJ336" i="22" s="1"/>
  <c r="Z226" i="21"/>
  <c r="AV100" i="21"/>
  <c r="AV176" i="21"/>
  <c r="AE327" i="21"/>
  <c r="AC360" i="21"/>
  <c r="AA178" i="21"/>
  <c r="AG169" i="21"/>
  <c r="AV259" i="21"/>
  <c r="AV238" i="21"/>
  <c r="AV80" i="21"/>
  <c r="I80" i="22" s="1"/>
  <c r="Q80" i="22" s="1"/>
  <c r="AD133" i="21"/>
  <c r="AV71" i="21"/>
  <c r="I71" i="22" s="1"/>
  <c r="Q71" i="22" s="1"/>
  <c r="AV89" i="21"/>
  <c r="AA133" i="21"/>
  <c r="AV179" i="21"/>
  <c r="AB327" i="21"/>
  <c r="I248" i="22"/>
  <c r="Q248" i="22" s="1"/>
  <c r="Z186" i="21"/>
  <c r="Z333" i="21"/>
  <c r="AA135" i="21"/>
  <c r="E135" i="21" s="1"/>
  <c r="B135" i="22" s="1"/>
  <c r="R135" i="22" s="1"/>
  <c r="AE329" i="21"/>
  <c r="AA167" i="21"/>
  <c r="Z59" i="21"/>
  <c r="I59" i="22" s="1"/>
  <c r="Q59" i="22" s="1"/>
  <c r="Z106" i="21"/>
  <c r="AE334" i="21"/>
  <c r="AH356" i="21"/>
  <c r="AA123" i="21"/>
  <c r="E123" i="21" s="1"/>
  <c r="AA114" i="21"/>
  <c r="Z114" i="21" s="1"/>
  <c r="AE328" i="21"/>
  <c r="Z215" i="21"/>
  <c r="AV149" i="21"/>
  <c r="I149" i="22" s="1"/>
  <c r="AV223" i="21"/>
  <c r="AF157" i="21"/>
  <c r="M157" i="22" s="1"/>
  <c r="W157" i="22" s="1"/>
  <c r="Z206" i="21"/>
  <c r="Z251" i="21"/>
  <c r="I251" i="22" s="1"/>
  <c r="Q251" i="22" s="1"/>
  <c r="AV209" i="21"/>
  <c r="AA151" i="21"/>
  <c r="E151" i="21" s="1"/>
  <c r="B151" i="22" s="1"/>
  <c r="AV111" i="21"/>
  <c r="I111" i="22" s="1"/>
  <c r="Q111" i="22" s="1"/>
  <c r="AV45" i="21"/>
  <c r="I45" i="22" s="1"/>
  <c r="Q45" i="22" s="1"/>
  <c r="AB332" i="21"/>
  <c r="AA53" i="21"/>
  <c r="AV108" i="21"/>
  <c r="I108" i="22" s="1"/>
  <c r="Q108" i="22" s="1"/>
  <c r="AV354" i="21"/>
  <c r="AV210" i="21"/>
  <c r="I210" i="22" s="1"/>
  <c r="Q210" i="22" s="1"/>
  <c r="AH337" i="21"/>
  <c r="AH332" i="21"/>
  <c r="AA159" i="21"/>
  <c r="AV76" i="21"/>
  <c r="I76" i="22" s="1"/>
  <c r="AV152" i="21"/>
  <c r="I152" i="22" s="1"/>
  <c r="Q152" i="22" s="1"/>
  <c r="AV252" i="21"/>
  <c r="I252" i="22" s="1"/>
  <c r="Q252" i="22" s="1"/>
  <c r="P360" i="21"/>
  <c r="AG63" i="21"/>
  <c r="AD63" i="21"/>
  <c r="C257" i="22"/>
  <c r="AQ257" i="22" s="1"/>
  <c r="AI257" i="22"/>
  <c r="E175" i="22"/>
  <c r="AW175" i="22" s="1"/>
  <c r="AK175" i="22"/>
  <c r="C70" i="22"/>
  <c r="AQ70" i="22" s="1"/>
  <c r="AI70" i="22"/>
  <c r="AV263" i="2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D168" i="22" s="1"/>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D122" i="22" s="1"/>
  <c r="BB122" i="22"/>
  <c r="C108" i="22"/>
  <c r="AQ108" i="22" s="1"/>
  <c r="AI108" i="22"/>
  <c r="C80" i="22"/>
  <c r="AQ80" i="22" s="1"/>
  <c r="AI80" i="22"/>
  <c r="AD116" i="21"/>
  <c r="G116" i="21" s="1"/>
  <c r="AA74" i="21"/>
  <c r="E74" i="21" s="1"/>
  <c r="AV290" i="2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B154" i="22"/>
  <c r="R154" i="22" s="1"/>
  <c r="I62" i="22"/>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AE242" i="22"/>
  <c r="AA242" i="22"/>
  <c r="G355" i="22"/>
  <c r="BC355" i="22" s="1"/>
  <c r="AM355" i="22"/>
  <c r="G234" i="22"/>
  <c r="BC234" i="22" s="1"/>
  <c r="AM234" i="22"/>
  <c r="E330" i="22"/>
  <c r="AW330" i="22" s="1"/>
  <c r="AK330" i="22"/>
  <c r="E353" i="22"/>
  <c r="AW353" i="22" s="1"/>
  <c r="AK353" i="22"/>
  <c r="E339" i="22"/>
  <c r="AW339" i="22" s="1"/>
  <c r="AK339" i="22"/>
  <c r="I63" i="22"/>
  <c r="Q63" i="22" s="1"/>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AA240" i="22"/>
  <c r="AE24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A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310" i="22"/>
  <c r="Q310" i="22" s="1"/>
  <c r="AA310"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J248" i="22"/>
  <c r="AR248" i="22" s="1"/>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D161" i="22" s="1"/>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AA247" i="22"/>
  <c r="AE247" i="22"/>
  <c r="G289" i="22"/>
  <c r="BC289" i="22" s="1"/>
  <c r="AM289" i="22"/>
  <c r="D349" i="28"/>
  <c r="D351" i="12"/>
  <c r="G281" i="22"/>
  <c r="BC281" i="22" s="1"/>
  <c r="AM281" i="22"/>
  <c r="AV122" i="2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E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AV177" i="21"/>
  <c r="I177" i="22" s="1"/>
  <c r="Q177" i="22" s="1"/>
  <c r="AV174" i="21"/>
  <c r="AV287" i="2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I156" i="22"/>
  <c r="Q156" i="22" s="1"/>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I223" i="22"/>
  <c r="Q223" i="22" s="1"/>
  <c r="AA223" i="22" s="1"/>
  <c r="AC157" i="22"/>
  <c r="AG157" i="22"/>
  <c r="Y157" i="22"/>
  <c r="Y173" i="22"/>
  <c r="AG173" i="22"/>
  <c r="AC173" i="22"/>
  <c r="AG178" i="22"/>
  <c r="AC178" i="22"/>
  <c r="Y178" i="22"/>
  <c r="AG154" i="22"/>
  <c r="AC154" i="22"/>
  <c r="Y154" i="22"/>
  <c r="V173" i="22"/>
  <c r="AB173" i="22"/>
  <c r="AF173" i="22"/>
  <c r="AF151" i="22"/>
  <c r="V151" i="22"/>
  <c r="AF154" i="22"/>
  <c r="AB154" i="22"/>
  <c r="V154" i="22"/>
  <c r="AF178" i="22"/>
  <c r="AB178" i="22"/>
  <c r="V178" i="22"/>
  <c r="AF157" i="22"/>
  <c r="AB157" i="22"/>
  <c r="V157" i="22"/>
  <c r="AE155" i="22"/>
  <c r="AA155" i="22"/>
  <c r="AA157" i="22"/>
  <c r="AE157" i="22"/>
  <c r="S157"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G335" i="22"/>
  <c r="AC335" i="22"/>
  <c r="Y335" i="22"/>
  <c r="AE284" i="22"/>
  <c r="AA284" i="22"/>
  <c r="AE302" i="22"/>
  <c r="AA302" i="22"/>
  <c r="AE181" i="22"/>
  <c r="AA181" i="22"/>
  <c r="I329" i="22"/>
  <c r="AJ329" i="22" s="1"/>
  <c r="AR329" i="22" s="1"/>
  <c r="H391" i="28" s="1"/>
  <c r="I287" i="22"/>
  <c r="Q287" i="22" s="1"/>
  <c r="I65" i="22"/>
  <c r="Q65" i="22" s="1"/>
  <c r="AC116" i="21"/>
  <c r="K116" i="22" s="1"/>
  <c r="T116" i="22" s="1"/>
  <c r="I359" i="22"/>
  <c r="Q359" i="22" s="1"/>
  <c r="I259" i="22"/>
  <c r="Q259" i="22" s="1"/>
  <c r="I262" i="22"/>
  <c r="Q262" i="22" s="1"/>
  <c r="I334" i="22"/>
  <c r="AJ334" i="22" s="1"/>
  <c r="AR334" i="22" s="1"/>
  <c r="H396" i="28" s="1"/>
  <c r="I231" i="22"/>
  <c r="Q231" i="22" s="1"/>
  <c r="I186" i="22"/>
  <c r="Q186" i="22" s="1"/>
  <c r="I196" i="22"/>
  <c r="Q196" i="22" s="1"/>
  <c r="I349" i="22"/>
  <c r="Q349" i="22" s="1"/>
  <c r="R349" i="22" s="1"/>
  <c r="I206" i="22"/>
  <c r="Q206" i="22" s="1"/>
  <c r="I250" i="22"/>
  <c r="Q250" i="22" s="1"/>
  <c r="I170" i="22"/>
  <c r="Q170" i="22" s="1"/>
  <c r="I228" i="22"/>
  <c r="Q228" i="22" s="1"/>
  <c r="I29" i="22"/>
  <c r="Q29" i="22" s="1"/>
  <c r="I31" i="22"/>
  <c r="Q31" i="22" s="1"/>
  <c r="I341" i="22"/>
  <c r="Q341" i="22" s="1"/>
  <c r="I354" i="22"/>
  <c r="Q354" i="22" s="1"/>
  <c r="I32" i="22"/>
  <c r="I30" i="22"/>
  <c r="Q30" i="22" s="1"/>
  <c r="I309" i="22"/>
  <c r="Q309" i="22" s="1"/>
  <c r="I200" i="22"/>
  <c r="Q200" i="22" s="1"/>
  <c r="I225" i="22"/>
  <c r="Q225" i="22" s="1"/>
  <c r="I107" i="22"/>
  <c r="Q107" i="22" s="1"/>
  <c r="I89" i="22"/>
  <c r="Q89" i="22" s="1"/>
  <c r="I191" i="22"/>
  <c r="Q191" i="22"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I14" i="22"/>
  <c r="AJ14" i="22" s="1"/>
  <c r="AR14" i="22" s="1"/>
  <c r="H32" i="28" s="1"/>
  <c r="I106" i="22"/>
  <c r="Q106" i="22" s="1"/>
  <c r="I260" i="22"/>
  <c r="Q260" i="22" s="1"/>
  <c r="I213" i="22"/>
  <c r="Q213" i="22" s="1"/>
  <c r="I276" i="22"/>
  <c r="Q276" i="22" s="1"/>
  <c r="I266" i="22"/>
  <c r="Q266" i="22" s="1"/>
  <c r="I315" i="22"/>
  <c r="Q315" i="22" s="1"/>
  <c r="I98" i="22"/>
  <c r="Q98" i="22" s="1"/>
  <c r="I78" i="22"/>
  <c r="Q78" i="22" s="1"/>
  <c r="I319" i="22"/>
  <c r="Q319" i="22" s="1"/>
  <c r="I64" i="22"/>
  <c r="Q64" i="22" s="1"/>
  <c r="I308" i="22"/>
  <c r="Q308" i="22" s="1"/>
  <c r="I92" i="22"/>
  <c r="Q92" i="22" s="1"/>
  <c r="I204" i="22"/>
  <c r="Q204" i="22" s="1"/>
  <c r="I318" i="22"/>
  <c r="Q318" i="22" s="1"/>
  <c r="I26" i="22"/>
  <c r="I12" i="22"/>
  <c r="I47" i="22"/>
  <c r="Q47" i="22" s="1"/>
  <c r="I305" i="22"/>
  <c r="Q305" i="22" s="1"/>
  <c r="I314" i="22"/>
  <c r="Q314" i="22" s="1"/>
  <c r="I255" i="22"/>
  <c r="Q255" i="22" s="1"/>
  <c r="I353" i="22"/>
  <c r="Q353" i="22" s="1"/>
  <c r="I355" i="22"/>
  <c r="Q355" i="22" s="1"/>
  <c r="I100" i="22"/>
  <c r="Q100" i="22" s="1"/>
  <c r="I238" i="22"/>
  <c r="Q238" i="22" s="1"/>
  <c r="I292" i="22"/>
  <c r="Q292" i="22" s="1"/>
  <c r="I195" i="22"/>
  <c r="Q195" i="22" s="1"/>
  <c r="I189" i="22"/>
  <c r="Q189" i="22" s="1"/>
  <c r="AF168" i="21"/>
  <c r="AF53" i="21"/>
  <c r="I102" i="22"/>
  <c r="Q102" i="22" s="1"/>
  <c r="Z161" i="21"/>
  <c r="I161" i="22"/>
  <c r="Q161" i="22" s="1"/>
  <c r="I174" i="22"/>
  <c r="Q174" i="22" s="1"/>
  <c r="I320" i="22"/>
  <c r="Q320" i="22" s="1"/>
  <c r="AF133" i="21"/>
  <c r="AF135" i="21" s="1"/>
  <c r="M135" i="22" s="1"/>
  <c r="W135" i="22" s="1"/>
  <c r="AF56" i="21"/>
  <c r="Z110" i="21"/>
  <c r="I110" i="22"/>
  <c r="Q110" i="22" s="1"/>
  <c r="I132" i="22"/>
  <c r="Q132" i="22" s="1"/>
  <c r="I122" i="22"/>
  <c r="Q122" i="22" s="1"/>
  <c r="I224" i="22"/>
  <c r="Q224" i="22" s="1"/>
  <c r="I277" i="22"/>
  <c r="Q277" i="22" s="1"/>
  <c r="AF165" i="21"/>
  <c r="I182" i="22"/>
  <c r="Q182" i="22" s="1"/>
  <c r="Z168" i="21"/>
  <c r="Z133" i="21"/>
  <c r="Z135" i="21" s="1"/>
  <c r="I135" i="22" s="1"/>
  <c r="Q135" i="22" s="1"/>
  <c r="I133" i="22"/>
  <c r="Q133" i="22" s="1"/>
  <c r="I95" i="22"/>
  <c r="Q95" i="22" s="1"/>
  <c r="I27" i="22"/>
  <c r="I256" i="22"/>
  <c r="Q256" i="22" s="1"/>
  <c r="I311" i="22"/>
  <c r="Q311" i="22" s="1"/>
  <c r="Z113" i="21"/>
  <c r="I113" i="22"/>
  <c r="Q113" i="22" s="1"/>
  <c r="I215" i="22"/>
  <c r="Q215" i="22" s="1"/>
  <c r="Z167" i="21"/>
  <c r="I167" i="22"/>
  <c r="Q167" i="22" s="1"/>
  <c r="I150" i="22"/>
  <c r="Q150" i="22" s="1"/>
  <c r="I296" i="22"/>
  <c r="Q296" i="22" s="1"/>
  <c r="I289" i="22"/>
  <c r="Q289" i="22" s="1"/>
  <c r="I81" i="22"/>
  <c r="Q81" i="22" s="1"/>
  <c r="I176" i="22"/>
  <c r="Q176" i="22" s="1"/>
  <c r="Q75" i="22"/>
  <c r="Z165" i="21"/>
  <c r="I165" i="22"/>
  <c r="Q165" i="22" s="1"/>
  <c r="I280" i="22"/>
  <c r="Q280" i="22" s="1"/>
  <c r="I281" i="22"/>
  <c r="Q281" i="22" s="1"/>
  <c r="I105" i="22"/>
  <c r="Q105" i="22" s="1"/>
  <c r="AF159" i="21"/>
  <c r="Z72" i="21"/>
  <c r="I235" i="22"/>
  <c r="Q235" i="22" s="1"/>
  <c r="AC159" i="21"/>
  <c r="AC162" i="21" s="1"/>
  <c r="K162" i="22" s="1"/>
  <c r="T162" i="22" s="1"/>
  <c r="I179" i="22"/>
  <c r="Q179" i="22" s="1"/>
  <c r="I253" i="22"/>
  <c r="Q253" i="22" s="1"/>
  <c r="AF55" i="21"/>
  <c r="AC109" i="21"/>
  <c r="AC112" i="21" s="1"/>
  <c r="K112" i="22" s="1"/>
  <c r="T112" i="22" s="1"/>
  <c r="Z76" i="21"/>
  <c r="AF72" i="21"/>
  <c r="AF74" i="21" s="1"/>
  <c r="I67" i="22"/>
  <c r="Q67" i="22" s="1"/>
  <c r="I85" i="22"/>
  <c r="Q85" i="22" s="1"/>
  <c r="AC165" i="21"/>
  <c r="AC169" i="21" s="1"/>
  <c r="K169" i="22" s="1"/>
  <c r="T169" i="22" s="1"/>
  <c r="Z111" i="21"/>
  <c r="AC72" i="21"/>
  <c r="AC74" i="21" s="1"/>
  <c r="K74" i="22" s="1"/>
  <c r="T74" i="22" s="1"/>
  <c r="AA71" i="21"/>
  <c r="Q62" i="22"/>
  <c r="I279" i="22"/>
  <c r="Q279" i="22" s="1"/>
  <c r="E116" i="21"/>
  <c r="B116" i="22" s="1"/>
  <c r="R116" i="22" s="1"/>
  <c r="AC75" i="21"/>
  <c r="AC79" i="21" s="1"/>
  <c r="I147" i="22"/>
  <c r="Q147" i="22" s="1"/>
  <c r="I340" i="22"/>
  <c r="Q340" i="22" s="1"/>
  <c r="I332" i="22"/>
  <c r="AJ332" i="22" s="1"/>
  <c r="AR332" i="22" s="1"/>
  <c r="H394" i="28" s="1"/>
  <c r="I43" i="22"/>
  <c r="Q43" i="22" s="1"/>
  <c r="Z159" i="21"/>
  <c r="I263" i="22"/>
  <c r="Q263" i="22" s="1"/>
  <c r="I172" i="22"/>
  <c r="Q172" i="22" s="1"/>
  <c r="I261" i="22"/>
  <c r="Q261" i="22" s="1"/>
  <c r="Q109" i="22"/>
  <c r="I87" i="22"/>
  <c r="Q87" i="22" s="1"/>
  <c r="AF75" i="21"/>
  <c r="AF79" i="21" s="1"/>
  <c r="AF161" i="21"/>
  <c r="AC133" i="21"/>
  <c r="AC135" i="21" s="1"/>
  <c r="K135" i="22" s="1"/>
  <c r="T135" i="22" s="1"/>
  <c r="I226" i="22"/>
  <c r="Q226" i="22" s="1"/>
  <c r="I203" i="22"/>
  <c r="Q203" i="22" s="1"/>
  <c r="I103" i="22"/>
  <c r="Q103" i="22" s="1"/>
  <c r="I290" i="22"/>
  <c r="Q290" i="22" s="1"/>
  <c r="AF50" i="21"/>
  <c r="I207" i="22"/>
  <c r="Q207" i="22" s="1"/>
  <c r="I282" i="22"/>
  <c r="Q282" i="22" s="1"/>
  <c r="AP50" i="22"/>
  <c r="E72" i="28" s="1"/>
  <c r="I322" i="22"/>
  <c r="Q322" i="22" s="1"/>
  <c r="Z343" i="21"/>
  <c r="AB343" i="21" s="1"/>
  <c r="AV343" i="21"/>
  <c r="I357" i="22"/>
  <c r="Q357" i="22" s="1"/>
  <c r="I327" i="22"/>
  <c r="AJ327" i="22" s="1"/>
  <c r="M346" i="22"/>
  <c r="M329" i="22"/>
  <c r="W329" i="22" s="1"/>
  <c r="X329" i="22" s="1"/>
  <c r="Z352" i="21"/>
  <c r="AB352" i="21" s="1"/>
  <c r="AV352" i="21"/>
  <c r="I330" i="22"/>
  <c r="AJ330" i="22" s="1"/>
  <c r="M332" i="22"/>
  <c r="W332" i="22" s="1"/>
  <c r="M342" i="22"/>
  <c r="W342" i="22" s="1"/>
  <c r="X342" i="22" s="1"/>
  <c r="M336" i="22"/>
  <c r="W336" i="22" s="1"/>
  <c r="X336" i="22" s="1"/>
  <c r="M337" i="22"/>
  <c r="W337" i="22" s="1"/>
  <c r="X337" i="22" s="1"/>
  <c r="Z344" i="21"/>
  <c r="AB344" i="21" s="1"/>
  <c r="AV344" i="21"/>
  <c r="M350" i="22"/>
  <c r="W350" i="22" s="1"/>
  <c r="X350" i="22" s="1"/>
  <c r="Q336" i="22"/>
  <c r="R336" i="22" s="1"/>
  <c r="AR336" i="22"/>
  <c r="H398" i="28" s="1"/>
  <c r="Z331" i="21"/>
  <c r="AB331" i="21" s="1"/>
  <c r="AV331" i="21"/>
  <c r="M331" i="22"/>
  <c r="Z345" i="21"/>
  <c r="AB345" i="21" s="1"/>
  <c r="AV345" i="21"/>
  <c r="Z335" i="21"/>
  <c r="AB335" i="21" s="1"/>
  <c r="AV335" i="21"/>
  <c r="Z328" i="21"/>
  <c r="AB328" i="21" s="1"/>
  <c r="AV328" i="21"/>
  <c r="M356" i="22"/>
  <c r="W356" i="22" s="1"/>
  <c r="X356" i="22" s="1"/>
  <c r="Z356" i="21"/>
  <c r="AB356" i="21" s="1"/>
  <c r="AV356" i="21"/>
  <c r="M330" i="22"/>
  <c r="W330" i="22" s="1"/>
  <c r="X330" i="22" s="1"/>
  <c r="M344" i="22"/>
  <c r="W344" i="22" s="1"/>
  <c r="X344" i="22" s="1"/>
  <c r="Z346" i="21"/>
  <c r="AB346" i="21" s="1"/>
  <c r="AV346" i="21"/>
  <c r="M345" i="22"/>
  <c r="W345" i="22" s="1"/>
  <c r="X345" i="22" s="1"/>
  <c r="M343" i="22"/>
  <c r="W343" i="22" s="1"/>
  <c r="X343" i="22" s="1"/>
  <c r="Z342" i="21"/>
  <c r="AB342" i="21" s="1"/>
  <c r="AV342" i="21"/>
  <c r="M347" i="22"/>
  <c r="W347" i="22" s="1"/>
  <c r="M352" i="22"/>
  <c r="W352" i="22" s="1"/>
  <c r="X352" i="22" s="1"/>
  <c r="Z337" i="21"/>
  <c r="AB337" i="21" s="1"/>
  <c r="AV337" i="21"/>
  <c r="Z350" i="21"/>
  <c r="AB350" i="21" s="1"/>
  <c r="AV350" i="21"/>
  <c r="M334" i="22"/>
  <c r="W334" i="22" s="1"/>
  <c r="X334" i="22" s="1"/>
  <c r="Z347" i="21"/>
  <c r="AB347" i="21" s="1"/>
  <c r="AV347" i="21"/>
  <c r="Z351" i="21"/>
  <c r="AB351" i="21" s="1"/>
  <c r="AV351" i="21"/>
  <c r="M328" i="22"/>
  <c r="W328" i="22" s="1"/>
  <c r="X328" i="22" s="1"/>
  <c r="M351" i="22"/>
  <c r="W351" i="22" s="1"/>
  <c r="X351" i="22" s="1"/>
  <c r="I257" i="22"/>
  <c r="Q257" i="22" s="1"/>
  <c r="I209" i="22"/>
  <c r="Q209" i="22" s="1"/>
  <c r="I24" i="22"/>
  <c r="Q24" i="22" s="1"/>
  <c r="I180" i="22"/>
  <c r="Q180" i="22" s="1"/>
  <c r="I237" i="22"/>
  <c r="Q237" i="22" s="1"/>
  <c r="I88" i="22"/>
  <c r="Q88" i="22" s="1"/>
  <c r="AF40" i="21"/>
  <c r="I230" i="22"/>
  <c r="Q230" i="22" s="1"/>
  <c r="I227" i="22"/>
  <c r="Q227" i="22" s="1"/>
  <c r="AF36" i="21"/>
  <c r="Z149" i="21"/>
  <c r="Z151" i="21" s="1"/>
  <c r="I151" i="22" s="1"/>
  <c r="Q151" i="22" s="1"/>
  <c r="AA158" i="21"/>
  <c r="I233" i="22"/>
  <c r="Q233" i="22" s="1"/>
  <c r="I229" i="22"/>
  <c r="Q229" i="22" s="1"/>
  <c r="AF38" i="21"/>
  <c r="I158" i="22"/>
  <c r="Q158" i="22" s="1"/>
  <c r="I69" i="22"/>
  <c r="Q69" i="22" s="1"/>
  <c r="Z154" i="21"/>
  <c r="I154" i="22" s="1"/>
  <c r="Q154" i="22" s="1"/>
  <c r="C154" i="22"/>
  <c r="AQ154" i="22" s="1"/>
  <c r="D186" i="28" s="1"/>
  <c r="AI154" i="22"/>
  <c r="AJ154" i="22" s="1"/>
  <c r="I91" i="22"/>
  <c r="Q91" i="22" s="1"/>
  <c r="Q116" i="21"/>
  <c r="F116" i="22"/>
  <c r="X116" i="22" s="1"/>
  <c r="I185" i="22"/>
  <c r="Q185" i="22" s="1"/>
  <c r="Q112" i="21"/>
  <c r="F112" i="22"/>
  <c r="X112" i="22" s="1"/>
  <c r="AF41" i="21"/>
  <c r="Z178" i="21"/>
  <c r="I178" i="22" s="1"/>
  <c r="Q178" i="22" s="1"/>
  <c r="I197" i="22"/>
  <c r="Q197" i="22" s="1"/>
  <c r="AF39" i="21"/>
  <c r="AF37" i="21"/>
  <c r="AF42" i="21"/>
  <c r="AA54" i="21"/>
  <c r="AV56" i="21"/>
  <c r="I56" i="22" s="1"/>
  <c r="AA51" i="21"/>
  <c r="AV55" i="21"/>
  <c r="AA39" i="21"/>
  <c r="AV39" i="21"/>
  <c r="AA40" i="21"/>
  <c r="AV40" i="21"/>
  <c r="AA38" i="21"/>
  <c r="AV38" i="21"/>
  <c r="AA37" i="21"/>
  <c r="AV37" i="21"/>
  <c r="AA42" i="21"/>
  <c r="AV42" i="21"/>
  <c r="AA41" i="21"/>
  <c r="AV41" i="21"/>
  <c r="I23" i="22"/>
  <c r="I20" i="22"/>
  <c r="Q20" i="22" s="1"/>
  <c r="AA35" i="2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I52" i="22" s="1"/>
  <c r="AV271" i="21"/>
  <c r="I271" i="22" s="1"/>
  <c r="Q271" i="22" s="1"/>
  <c r="G271" i="22"/>
  <c r="BC271" i="22" s="1"/>
  <c r="V319" i="28" s="1"/>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O112" i="21"/>
  <c r="D112" i="22"/>
  <c r="U112" i="22" s="1"/>
  <c r="O135" i="21"/>
  <c r="D135" i="22"/>
  <c r="U135" i="22" s="1"/>
  <c r="M112" i="21"/>
  <c r="AV112" i="21" s="1"/>
  <c r="B112" i="22"/>
  <c r="R112" i="22" s="1"/>
  <c r="Q135" i="21"/>
  <c r="F135" i="22"/>
  <c r="X135" i="22" s="1"/>
  <c r="O116" i="21"/>
  <c r="D116" i="22"/>
  <c r="U116" i="22" s="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R157" i="22" s="1"/>
  <c r="N157" i="21"/>
  <c r="N361" i="21"/>
  <c r="O348" i="21"/>
  <c r="O333" i="21"/>
  <c r="N360" i="21"/>
  <c r="AF333" i="21"/>
  <c r="AF348" i="21"/>
  <c r="B79" i="22"/>
  <c r="R79" i="22" s="1"/>
  <c r="AG158" i="21"/>
  <c r="AF151" i="21"/>
  <c r="AD69" i="21"/>
  <c r="AG360" i="21"/>
  <c r="AG361" i="21"/>
  <c r="AD158" i="21"/>
  <c r="O151" i="21"/>
  <c r="Z56" i="21" l="1"/>
  <c r="Z53" i="21"/>
  <c r="Z50" i="21"/>
  <c r="Z52" i="21"/>
  <c r="Z55" i="21"/>
  <c r="Z35" i="21"/>
  <c r="Z33" i="21"/>
  <c r="Z34" i="21"/>
  <c r="Q23" i="22"/>
  <c r="R23" i="22" s="1"/>
  <c r="AJ23" i="22"/>
  <c r="AR23" i="22" s="1"/>
  <c r="Z41" i="21"/>
  <c r="Z42" i="21"/>
  <c r="Z37" i="21"/>
  <c r="Z38" i="21"/>
  <c r="Z40" i="21"/>
  <c r="Z39" i="21"/>
  <c r="Q26" i="22"/>
  <c r="R26" i="22" s="1"/>
  <c r="AJ26" i="22"/>
  <c r="AR26" i="22" s="1"/>
  <c r="AE248" i="22"/>
  <c r="R248" i="22"/>
  <c r="Q22" i="22"/>
  <c r="R22" i="22" s="1"/>
  <c r="AJ22" i="22"/>
  <c r="AR22" i="22" s="1"/>
  <c r="AK151" i="22"/>
  <c r="AL151" i="22" s="1"/>
  <c r="U151" i="22"/>
  <c r="C151" i="22"/>
  <c r="AQ151" i="22" s="1"/>
  <c r="D183" i="28" s="1"/>
  <c r="R151" i="22"/>
  <c r="G154" i="22"/>
  <c r="BC154" i="22" s="1"/>
  <c r="V186" i="28" s="1"/>
  <c r="X154" i="22"/>
  <c r="AJ58" i="22"/>
  <c r="AR58" i="22" s="1"/>
  <c r="AP58" i="22"/>
  <c r="D82" i="28"/>
  <c r="D84" i="12"/>
  <c r="W78" i="28"/>
  <c r="U80" i="12"/>
  <c r="AV56" i="22"/>
  <c r="M78" i="28"/>
  <c r="L80" i="12"/>
  <c r="W77" i="28"/>
  <c r="U79" i="12"/>
  <c r="AV55" i="22"/>
  <c r="M77" i="28"/>
  <c r="L79" i="12"/>
  <c r="W76" i="28"/>
  <c r="U78" i="12"/>
  <c r="AV54" i="22"/>
  <c r="M76" i="28"/>
  <c r="L78" i="12"/>
  <c r="W75" i="28"/>
  <c r="U77" i="12"/>
  <c r="AV53" i="22"/>
  <c r="M75" i="28"/>
  <c r="L77" i="12"/>
  <c r="W74" i="28"/>
  <c r="U76" i="12"/>
  <c r="AV52" i="22"/>
  <c r="M74" i="28"/>
  <c r="L76" i="12"/>
  <c r="W73" i="28"/>
  <c r="U75" i="12"/>
  <c r="AV51" i="22"/>
  <c r="M73" i="28"/>
  <c r="L75" i="12"/>
  <c r="W72" i="28"/>
  <c r="U74" i="12"/>
  <c r="AV50" i="22"/>
  <c r="M72" i="28"/>
  <c r="L74" i="12"/>
  <c r="W62" i="28"/>
  <c r="U64" i="12"/>
  <c r="N62" i="28"/>
  <c r="M64" i="12"/>
  <c r="E62" i="28"/>
  <c r="AH62" i="28" s="1"/>
  <c r="E64" i="12"/>
  <c r="W61" i="28"/>
  <c r="U63" i="12"/>
  <c r="N61" i="28"/>
  <c r="M63" i="12"/>
  <c r="E61" i="28"/>
  <c r="AH61" i="28" s="1"/>
  <c r="E63" i="12"/>
  <c r="W60" i="28"/>
  <c r="U62" i="12"/>
  <c r="N60" i="28"/>
  <c r="M62" i="12"/>
  <c r="E60" i="28"/>
  <c r="AH60" i="28" s="1"/>
  <c r="E62" i="12"/>
  <c r="W59" i="28"/>
  <c r="U61" i="12"/>
  <c r="N59" i="28"/>
  <c r="M61" i="12"/>
  <c r="E59" i="28"/>
  <c r="AH59" i="28" s="1"/>
  <c r="E61" i="12"/>
  <c r="W58" i="28"/>
  <c r="U60" i="12"/>
  <c r="N58" i="28"/>
  <c r="M60" i="12"/>
  <c r="E58" i="28"/>
  <c r="AH58" i="28" s="1"/>
  <c r="E60" i="12"/>
  <c r="W57" i="28"/>
  <c r="U59" i="12"/>
  <c r="N57" i="28"/>
  <c r="M59" i="12"/>
  <c r="E57" i="28"/>
  <c r="AH57" i="28" s="1"/>
  <c r="E59" i="12"/>
  <c r="W56" i="28"/>
  <c r="U58" i="12"/>
  <c r="N56" i="28"/>
  <c r="M58" i="12"/>
  <c r="E56" i="28"/>
  <c r="AH56" i="28" s="1"/>
  <c r="E58" i="12"/>
  <c r="W55" i="28"/>
  <c r="U57" i="12"/>
  <c r="N55" i="28"/>
  <c r="M57" i="12"/>
  <c r="E55" i="28"/>
  <c r="AH55" i="28" s="1"/>
  <c r="E57" i="12"/>
  <c r="BB34" i="22"/>
  <c r="V54" i="28"/>
  <c r="T56" i="12"/>
  <c r="AV34" i="22"/>
  <c r="M54" i="28"/>
  <c r="L56" i="12"/>
  <c r="AJ34" i="22"/>
  <c r="AR34" i="22" s="1"/>
  <c r="AP34" i="22"/>
  <c r="D54" i="28"/>
  <c r="D56" i="12"/>
  <c r="BB33" i="22"/>
  <c r="V53" i="28"/>
  <c r="T55" i="12"/>
  <c r="AV33" i="22"/>
  <c r="M53" i="28"/>
  <c r="L55" i="12"/>
  <c r="AJ33" i="22"/>
  <c r="AR33" i="22" s="1"/>
  <c r="AP33" i="22"/>
  <c r="D53" i="28"/>
  <c r="D55" i="12"/>
  <c r="AH50" i="28"/>
  <c r="W49" i="28"/>
  <c r="U51" i="12"/>
  <c r="Z49" i="28"/>
  <c r="BF31" i="22"/>
  <c r="AA49" i="28" s="1"/>
  <c r="AC49" i="28" s="1"/>
  <c r="BE31" i="22"/>
  <c r="X51" i="12"/>
  <c r="N49" i="28"/>
  <c r="M51" i="12"/>
  <c r="Q49" i="28"/>
  <c r="AZ31" i="22"/>
  <c r="R49" i="28" s="1"/>
  <c r="T49" i="28" s="1"/>
  <c r="AY31" i="22"/>
  <c r="P51" i="12"/>
  <c r="E49" i="28"/>
  <c r="AH49" i="28" s="1"/>
  <c r="E51" i="12"/>
  <c r="H49" i="28"/>
  <c r="AU31" i="22"/>
  <c r="AT31" i="22"/>
  <c r="BA31" i="22"/>
  <c r="BG31" i="22"/>
  <c r="AS31" i="22"/>
  <c r="H51" i="12"/>
  <c r="W48" i="28"/>
  <c r="U50" i="12"/>
  <c r="Z48" i="28"/>
  <c r="BF30" i="22"/>
  <c r="AA48" i="28" s="1"/>
  <c r="AC48" i="28" s="1"/>
  <c r="BE30" i="22"/>
  <c r="X50" i="12"/>
  <c r="N48" i="28"/>
  <c r="M50" i="12"/>
  <c r="Q48" i="28"/>
  <c r="AZ30" i="22"/>
  <c r="R48" i="28" s="1"/>
  <c r="T48" i="28" s="1"/>
  <c r="AY30" i="22"/>
  <c r="P50" i="12"/>
  <c r="E48" i="28"/>
  <c r="AH48" i="28" s="1"/>
  <c r="E50" i="12"/>
  <c r="AT30" i="22"/>
  <c r="H48" i="28"/>
  <c r="AU30" i="22"/>
  <c r="BA30" i="22"/>
  <c r="BG30" i="22"/>
  <c r="AS30" i="22"/>
  <c r="H50" i="12"/>
  <c r="W47" i="28"/>
  <c r="U49" i="12"/>
  <c r="Z47" i="28"/>
  <c r="BF29" i="22"/>
  <c r="BE29" i="22"/>
  <c r="X49" i="12"/>
  <c r="N47" i="28"/>
  <c r="M49" i="12"/>
  <c r="Q47" i="28"/>
  <c r="AZ29" i="22"/>
  <c r="AY29" i="22"/>
  <c r="P49" i="12"/>
  <c r="E47" i="28"/>
  <c r="AH47" i="28" s="1"/>
  <c r="E49" i="12"/>
  <c r="H47" i="28"/>
  <c r="AU29" i="22"/>
  <c r="AT29" i="22"/>
  <c r="BG29" i="22"/>
  <c r="BA29" i="22"/>
  <c r="AS29" i="22"/>
  <c r="H49" i="12"/>
  <c r="E46" i="28"/>
  <c r="AH46" i="28" s="1"/>
  <c r="E48" i="12"/>
  <c r="D46" i="28"/>
  <c r="D48" i="12"/>
  <c r="I28" i="22"/>
  <c r="AH45" i="28"/>
  <c r="W44" i="28"/>
  <c r="U46" i="12"/>
  <c r="N44" i="28"/>
  <c r="M46" i="12"/>
  <c r="E44" i="28"/>
  <c r="AH44" i="28" s="1"/>
  <c r="E46" i="12"/>
  <c r="H44" i="28"/>
  <c r="AT26" i="22"/>
  <c r="AS26" i="22"/>
  <c r="H46" i="12"/>
  <c r="W43" i="28"/>
  <c r="U45" i="12"/>
  <c r="Z43" i="28"/>
  <c r="BF25" i="22"/>
  <c r="BE25" i="22"/>
  <c r="X45" i="12"/>
  <c r="N43" i="28"/>
  <c r="M45" i="12"/>
  <c r="Q43" i="28"/>
  <c r="AZ25" i="22"/>
  <c r="AY25" i="22"/>
  <c r="P45" i="12"/>
  <c r="E43" i="28"/>
  <c r="AH43" i="28" s="1"/>
  <c r="E45" i="12"/>
  <c r="H43" i="28"/>
  <c r="AT25" i="22"/>
  <c r="AU25" i="22"/>
  <c r="BG25" i="22"/>
  <c r="BA25" i="22"/>
  <c r="AS25" i="22"/>
  <c r="H45" i="12"/>
  <c r="W42" i="28"/>
  <c r="U44" i="12"/>
  <c r="Z42" i="28"/>
  <c r="BF24" i="22"/>
  <c r="BE24" i="22"/>
  <c r="X44" i="12"/>
  <c r="N42" i="28"/>
  <c r="M44" i="12"/>
  <c r="Q42" i="28"/>
  <c r="AZ24" i="22"/>
  <c r="AY24" i="22"/>
  <c r="P44" i="12"/>
  <c r="E42" i="28"/>
  <c r="AH42" i="28" s="1"/>
  <c r="E44" i="12"/>
  <c r="H42" i="28"/>
  <c r="AT24" i="22"/>
  <c r="AU24" i="22"/>
  <c r="BG24" i="22"/>
  <c r="BA24" i="22"/>
  <c r="AS24" i="22"/>
  <c r="H44" i="12"/>
  <c r="W41" i="28"/>
  <c r="U43" i="12"/>
  <c r="N41" i="28"/>
  <c r="M43" i="12"/>
  <c r="E41" i="28"/>
  <c r="AH41" i="28" s="1"/>
  <c r="E43" i="12"/>
  <c r="H41" i="28"/>
  <c r="AT23" i="22"/>
  <c r="AS23" i="22"/>
  <c r="H43" i="12"/>
  <c r="BB21" i="22"/>
  <c r="V39" i="28"/>
  <c r="T41" i="12"/>
  <c r="AV21" i="22"/>
  <c r="M39" i="28"/>
  <c r="L41" i="12"/>
  <c r="E39" i="28"/>
  <c r="E41" i="12"/>
  <c r="D39" i="28"/>
  <c r="D41" i="12"/>
  <c r="AJ21" i="22"/>
  <c r="AR21" i="22" s="1"/>
  <c r="Q21" i="22"/>
  <c r="R21" i="22" s="1"/>
  <c r="W38" i="28"/>
  <c r="U40" i="12"/>
  <c r="Z38" i="28"/>
  <c r="BF20" i="22"/>
  <c r="BE20" i="22"/>
  <c r="X40" i="12"/>
  <c r="N38" i="28"/>
  <c r="M40" i="12"/>
  <c r="Q38" i="28"/>
  <c r="AZ20" i="22"/>
  <c r="AY20" i="22"/>
  <c r="P40" i="12"/>
  <c r="E38" i="28"/>
  <c r="AH38" i="28" s="1"/>
  <c r="E40" i="12"/>
  <c r="H38" i="28"/>
  <c r="AT20" i="22"/>
  <c r="AU20" i="22"/>
  <c r="BG20" i="22"/>
  <c r="BA20" i="22"/>
  <c r="AS20" i="22"/>
  <c r="H40" i="12"/>
  <c r="AN19" i="22"/>
  <c r="BD19" i="22" s="1"/>
  <c r="BB19" i="22"/>
  <c r="V37" i="28"/>
  <c r="T39" i="12"/>
  <c r="AL19" i="22"/>
  <c r="AX19" i="22" s="1"/>
  <c r="AV19" i="22"/>
  <c r="M37" i="28"/>
  <c r="L39" i="12"/>
  <c r="E37" i="28"/>
  <c r="E39" i="12"/>
  <c r="H37" i="28"/>
  <c r="AU19" i="22"/>
  <c r="AT19" i="22"/>
  <c r="BG19" i="22"/>
  <c r="BA19" i="22"/>
  <c r="AS19" i="22"/>
  <c r="H39" i="12"/>
  <c r="AN18" i="22"/>
  <c r="BD18" i="22" s="1"/>
  <c r="BB18" i="22"/>
  <c r="V36" i="28"/>
  <c r="T38" i="12"/>
  <c r="AL18" i="22"/>
  <c r="AX18" i="22" s="1"/>
  <c r="AV18" i="22"/>
  <c r="M36" i="28"/>
  <c r="L38" i="12"/>
  <c r="E36" i="28"/>
  <c r="E38" i="12"/>
  <c r="H36" i="28"/>
  <c r="AT18" i="22"/>
  <c r="AU18" i="22"/>
  <c r="BG18" i="22"/>
  <c r="BA18" i="22"/>
  <c r="AS18" i="22"/>
  <c r="H38" i="12"/>
  <c r="AH35" i="28"/>
  <c r="AJ16" i="22"/>
  <c r="AR16" i="22" s="1"/>
  <c r="AP16" i="22"/>
  <c r="D34" i="28"/>
  <c r="D36" i="12"/>
  <c r="W33" i="28"/>
  <c r="U35" i="12"/>
  <c r="Z33" i="28"/>
  <c r="BF15" i="22"/>
  <c r="AA33" i="28" s="1"/>
  <c r="AC33" i="28" s="1"/>
  <c r="BE15" i="22"/>
  <c r="X35" i="12"/>
  <c r="N33" i="28"/>
  <c r="M35" i="12"/>
  <c r="Q33" i="28"/>
  <c r="AZ15" i="22"/>
  <c r="R33" i="28" s="1"/>
  <c r="T33" i="28" s="1"/>
  <c r="AY15" i="22"/>
  <c r="P35" i="12"/>
  <c r="AH33" i="28"/>
  <c r="AH32" i="28"/>
  <c r="E31" i="28"/>
  <c r="AH31" i="28" s="1"/>
  <c r="E33" i="12"/>
  <c r="D31" i="28"/>
  <c r="D33" i="12"/>
  <c r="I13" i="22"/>
  <c r="AH30" i="28"/>
  <c r="AE295" i="22"/>
  <c r="AA295" i="22"/>
  <c r="S295" i="22"/>
  <c r="AA294" i="22"/>
  <c r="AE294" i="22"/>
  <c r="AE293" i="22"/>
  <c r="AA293" i="22"/>
  <c r="S121" i="22"/>
  <c r="AE121" i="22"/>
  <c r="AA121" i="22"/>
  <c r="AA326" i="22"/>
  <c r="AE326" i="22"/>
  <c r="S326" i="22"/>
  <c r="AE258" i="22"/>
  <c r="AA258" i="22"/>
  <c r="AE222" i="22"/>
  <c r="AA222" i="22"/>
  <c r="S222" i="22"/>
  <c r="S217" i="22"/>
  <c r="AE217" i="22"/>
  <c r="AA217" i="22"/>
  <c r="AA221" i="22"/>
  <c r="AE221" i="22"/>
  <c r="AE148" i="22"/>
  <c r="AA148" i="22"/>
  <c r="AA216" i="22"/>
  <c r="AE216" i="22"/>
  <c r="S216" i="22"/>
  <c r="AE325" i="22"/>
  <c r="AA325" i="22"/>
  <c r="S325" i="22"/>
  <c r="AE219" i="22"/>
  <c r="AA219" i="22"/>
  <c r="AE239" i="22"/>
  <c r="AA239" i="22"/>
  <c r="AE269" i="22"/>
  <c r="AA269" i="22"/>
  <c r="AA220" i="22"/>
  <c r="S220" i="22"/>
  <c r="AE220" i="22"/>
  <c r="AE300" i="22"/>
  <c r="AA300" i="22"/>
  <c r="S300" i="22"/>
  <c r="AA236" i="22"/>
  <c r="S236" i="22"/>
  <c r="AE236" i="22"/>
  <c r="AE218" i="22"/>
  <c r="AA218" i="22"/>
  <c r="AE267" i="22"/>
  <c r="AA267" i="22"/>
  <c r="AE268" i="22"/>
  <c r="AA268" i="22"/>
  <c r="AE299" i="22"/>
  <c r="AA299" i="22"/>
  <c r="AE298" i="22"/>
  <c r="AA298" i="22"/>
  <c r="S298" i="22"/>
  <c r="AE324" i="22"/>
  <c r="AA324" i="22"/>
  <c r="S324" i="22"/>
  <c r="AA16" i="22"/>
  <c r="S16" i="22"/>
  <c r="AE16" i="22"/>
  <c r="AA33" i="22"/>
  <c r="AE33" i="22"/>
  <c r="AE22" i="22"/>
  <c r="AA22" i="22"/>
  <c r="S22" i="22"/>
  <c r="AE117" i="22"/>
  <c r="AA117" i="22"/>
  <c r="AE365" i="22"/>
  <c r="AA365" i="22"/>
  <c r="S365" i="22"/>
  <c r="AA119" i="22"/>
  <c r="AE119" i="22"/>
  <c r="AE364" i="22"/>
  <c r="AA364" i="22"/>
  <c r="S364" i="22"/>
  <c r="AA145" i="22"/>
  <c r="AE145" i="22"/>
  <c r="AA143" i="22"/>
  <c r="AE143" i="22"/>
  <c r="AE144" i="22"/>
  <c r="AA144" i="22"/>
  <c r="AE141" i="22"/>
  <c r="AA141" i="22"/>
  <c r="AA140" i="22"/>
  <c r="AE140" i="22"/>
  <c r="AE134" i="22"/>
  <c r="AA134" i="22"/>
  <c r="AA115" i="22"/>
  <c r="AE115" i="22"/>
  <c r="AE130" i="22"/>
  <c r="AA130" i="22"/>
  <c r="AA129" i="22"/>
  <c r="AE129" i="22"/>
  <c r="AE118" i="22"/>
  <c r="AA118" i="22"/>
  <c r="AA139" i="22"/>
  <c r="AE139" i="22"/>
  <c r="AA128" i="22"/>
  <c r="AE128" i="22"/>
  <c r="AA127" i="22"/>
  <c r="AE127" i="22"/>
  <c r="AA126" i="22"/>
  <c r="AE126" i="22"/>
  <c r="AE363" i="22"/>
  <c r="AA363" i="22"/>
  <c r="S363" i="22"/>
  <c r="AE125" i="22"/>
  <c r="AA125" i="22"/>
  <c r="AA138" i="22"/>
  <c r="AE138" i="22"/>
  <c r="AE137" i="22"/>
  <c r="AA137" i="22"/>
  <c r="AA136" i="22"/>
  <c r="AE136" i="22"/>
  <c r="AE368" i="22"/>
  <c r="AA368" i="22"/>
  <c r="AE367" i="22"/>
  <c r="AA367" i="22"/>
  <c r="AE366" i="22"/>
  <c r="AA366" i="22"/>
  <c r="S366" i="22"/>
  <c r="E27" i="12"/>
  <c r="E25" i="28"/>
  <c r="H25" i="28"/>
  <c r="AT9" i="22"/>
  <c r="AU9" i="22"/>
  <c r="BA9" i="22"/>
  <c r="BG9" i="22"/>
  <c r="AS9" i="22"/>
  <c r="H27" i="12"/>
  <c r="E26" i="12"/>
  <c r="E24" i="28"/>
  <c r="H24" i="28"/>
  <c r="AU8" i="22"/>
  <c r="AT8" i="22"/>
  <c r="BG8" i="22"/>
  <c r="BA8" i="22"/>
  <c r="AS8" i="22"/>
  <c r="H26" i="12"/>
  <c r="AE246" i="22"/>
  <c r="I55" i="22"/>
  <c r="AE310" i="22"/>
  <c r="I73" i="22"/>
  <c r="AA248" i="22"/>
  <c r="E151" i="22"/>
  <c r="AW151" i="22" s="1"/>
  <c r="M183" i="28" s="1"/>
  <c r="Q154" i="21"/>
  <c r="I114" i="22"/>
  <c r="Q114" i="22" s="1"/>
  <c r="AI151" i="22"/>
  <c r="AJ151" i="22" s="1"/>
  <c r="Z360" i="21"/>
  <c r="AE223" i="22"/>
  <c r="AA173" i="22"/>
  <c r="I171" i="22"/>
  <c r="Q171" i="22" s="1"/>
  <c r="S173" i="22"/>
  <c r="I50" i="22"/>
  <c r="AJ50" i="22" s="1"/>
  <c r="AE316" i="22"/>
  <c r="AA316" i="22"/>
  <c r="AE285" i="22"/>
  <c r="AA285" i="22"/>
  <c r="E399" i="28"/>
  <c r="AL341" i="22"/>
  <c r="AX341" i="22" s="1"/>
  <c r="AV341" i="22"/>
  <c r="D98" i="28"/>
  <c r="D100" i="12"/>
  <c r="M329" i="28"/>
  <c r="L331" i="12"/>
  <c r="D231" i="28"/>
  <c r="D233" i="12"/>
  <c r="AL338" i="22"/>
  <c r="AX338" i="22" s="1"/>
  <c r="AV338" i="22"/>
  <c r="AN106" i="22"/>
  <c r="BD106" i="22" s="1"/>
  <c r="BB106" i="22"/>
  <c r="M404" i="28"/>
  <c r="L406" i="12"/>
  <c r="M185" i="28"/>
  <c r="L187" i="12"/>
  <c r="AN286" i="22"/>
  <c r="BD286" i="22" s="1"/>
  <c r="BB286" i="22"/>
  <c r="AL69" i="22"/>
  <c r="AX69" i="22" s="1"/>
  <c r="AV69" i="22"/>
  <c r="V66" i="28"/>
  <c r="T68" i="12"/>
  <c r="M218" i="28"/>
  <c r="L220" i="12"/>
  <c r="V392" i="28"/>
  <c r="T394" i="12"/>
  <c r="M179" i="28"/>
  <c r="L179" i="12"/>
  <c r="M239" i="28"/>
  <c r="L241" i="12"/>
  <c r="AL320" i="22"/>
  <c r="AX320" i="22" s="1"/>
  <c r="AV320" i="22"/>
  <c r="E64" i="28"/>
  <c r="E66" i="12"/>
  <c r="AL83" i="22"/>
  <c r="AX83" i="22" s="1"/>
  <c r="AV83" i="22"/>
  <c r="AN265" i="22"/>
  <c r="BD265" i="22" s="1"/>
  <c r="BB265" i="22"/>
  <c r="D107" i="28"/>
  <c r="D109" i="12"/>
  <c r="V266" i="28"/>
  <c r="T268" i="12"/>
  <c r="V239" i="28"/>
  <c r="T241" i="12"/>
  <c r="M391" i="28"/>
  <c r="L393" i="12"/>
  <c r="M294" i="28"/>
  <c r="L296" i="12"/>
  <c r="M206" i="28"/>
  <c r="L208" i="12"/>
  <c r="AL321" i="22"/>
  <c r="AX321" i="22" s="1"/>
  <c r="AV321" i="22"/>
  <c r="M309" i="28"/>
  <c r="L311" i="12"/>
  <c r="H308" i="28"/>
  <c r="AU264" i="22"/>
  <c r="AT264" i="22"/>
  <c r="BA264" i="22"/>
  <c r="BG264" i="22"/>
  <c r="AS264" i="22"/>
  <c r="H310" i="12"/>
  <c r="AN153" i="22"/>
  <c r="BD153" i="22" s="1"/>
  <c r="BB153" i="22"/>
  <c r="AN282" i="22"/>
  <c r="BD282" i="22" s="1"/>
  <c r="BB282" i="22"/>
  <c r="V211" i="28"/>
  <c r="T213" i="12"/>
  <c r="M98" i="28"/>
  <c r="L100" i="12"/>
  <c r="AJ279" i="22"/>
  <c r="AR279" i="22" s="1"/>
  <c r="AP279" i="22"/>
  <c r="AN230" i="22"/>
  <c r="BD230" i="22" s="1"/>
  <c r="BB230" i="22"/>
  <c r="AL224" i="22"/>
  <c r="AX224" i="22" s="1"/>
  <c r="AV224" i="22"/>
  <c r="AN285" i="22"/>
  <c r="BD285" i="22" s="1"/>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D85" i="22" s="1"/>
  <c r="BB85" i="22"/>
  <c r="AN302" i="22"/>
  <c r="BD302" i="22" s="1"/>
  <c r="BB302" i="22"/>
  <c r="I27" i="28"/>
  <c r="I29" i="12"/>
  <c r="AL48" i="22"/>
  <c r="AX48" i="22" s="1"/>
  <c r="AV48" i="22"/>
  <c r="V377" i="28"/>
  <c r="T379" i="12"/>
  <c r="V233" i="28"/>
  <c r="T235" i="12"/>
  <c r="H123" i="28"/>
  <c r="AU97" i="22"/>
  <c r="AT97" i="22"/>
  <c r="BA97" i="22"/>
  <c r="BG97" i="22"/>
  <c r="AS97" i="22"/>
  <c r="H125" i="12"/>
  <c r="AN261" i="22"/>
  <c r="BD261" i="22" s="1"/>
  <c r="BB261" i="22"/>
  <c r="AL314" i="22"/>
  <c r="AX314" i="22" s="1"/>
  <c r="AV314" i="22"/>
  <c r="AL68" i="22"/>
  <c r="AX68" i="22" s="1"/>
  <c r="AV68" i="22"/>
  <c r="H187" i="28"/>
  <c r="AT155" i="22"/>
  <c r="BG155" i="22"/>
  <c r="BA155" i="22"/>
  <c r="AU155" i="22"/>
  <c r="AS155" i="22"/>
  <c r="H189" i="12"/>
  <c r="E213" i="28"/>
  <c r="E215" i="12"/>
  <c r="AN263" i="22"/>
  <c r="BD263" i="22" s="1"/>
  <c r="BB263" i="22"/>
  <c r="D238" i="28"/>
  <c r="D240" i="12"/>
  <c r="H245" i="28"/>
  <c r="AU211" i="22"/>
  <c r="AT211" i="22"/>
  <c r="AS211" i="22"/>
  <c r="H247" i="12"/>
  <c r="BG211" i="22"/>
  <c r="BA211" i="22"/>
  <c r="AJ122" i="22"/>
  <c r="AR122" i="22" s="1"/>
  <c r="AP122" i="22"/>
  <c r="AL70" i="22"/>
  <c r="AX70" i="22" s="1"/>
  <c r="AV70" i="22"/>
  <c r="AJ225" i="22"/>
  <c r="AR225" i="22" s="1"/>
  <c r="AP225" i="22"/>
  <c r="D67" i="28"/>
  <c r="D69" i="12"/>
  <c r="M363" i="28"/>
  <c r="L365" i="12"/>
  <c r="H122" i="28"/>
  <c r="AT96" i="22"/>
  <c r="AU96" i="22"/>
  <c r="BA96" i="22"/>
  <c r="AS96" i="22"/>
  <c r="H124" i="12"/>
  <c r="BG96" i="22"/>
  <c r="V205" i="28"/>
  <c r="T207" i="12"/>
  <c r="AL82" i="22"/>
  <c r="AX82" i="22" s="1"/>
  <c r="AV82" i="22"/>
  <c r="AV347" i="22"/>
  <c r="AL46" i="22"/>
  <c r="AX46" i="22" s="1"/>
  <c r="AV46" i="22"/>
  <c r="AL292" i="22"/>
  <c r="AX292" i="22" s="1"/>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D181" i="22" s="1"/>
  <c r="BB181" i="22"/>
  <c r="V229" i="28"/>
  <c r="T231" i="12"/>
  <c r="V196" i="28"/>
  <c r="T198" i="12"/>
  <c r="D362" i="28"/>
  <c r="D364" i="12"/>
  <c r="H355" i="28"/>
  <c r="AU303" i="22"/>
  <c r="AT303" i="22"/>
  <c r="BA303" i="22"/>
  <c r="BG303" i="22"/>
  <c r="AS303" i="22"/>
  <c r="H357" i="12"/>
  <c r="AN291" i="22"/>
  <c r="BD291" i="22" s="1"/>
  <c r="BB291" i="22"/>
  <c r="AJ189" i="22"/>
  <c r="AR189" i="22" s="1"/>
  <c r="AP189" i="22"/>
  <c r="AN331" i="22"/>
  <c r="BD331" i="22" s="1"/>
  <c r="BB331" i="22"/>
  <c r="AL167" i="22"/>
  <c r="AX167" i="22" s="1"/>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D274" i="22" s="1"/>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X359" i="22" s="1"/>
  <c r="AV359" i="22"/>
  <c r="V305" i="28"/>
  <c r="T307" i="12"/>
  <c r="M370" i="28"/>
  <c r="L372" i="12"/>
  <c r="M94" i="28"/>
  <c r="L96" i="12"/>
  <c r="AL215" i="22"/>
  <c r="AX215" i="22" s="1"/>
  <c r="AV215" i="22"/>
  <c r="H213" i="28"/>
  <c r="H215" i="12"/>
  <c r="AU181" i="22"/>
  <c r="BG181" i="22"/>
  <c r="BA181" i="22"/>
  <c r="AT181" i="22"/>
  <c r="AS181" i="22"/>
  <c r="V307" i="28"/>
  <c r="T309" i="12"/>
  <c r="AL289" i="22"/>
  <c r="AX289" i="22" s="1"/>
  <c r="AV289" i="22"/>
  <c r="AJ227" i="22"/>
  <c r="AR227" i="22" s="1"/>
  <c r="AP227" i="22"/>
  <c r="D150" i="28"/>
  <c r="D152" i="12"/>
  <c r="M96" i="28"/>
  <c r="L98" i="12"/>
  <c r="D261" i="28"/>
  <c r="D263" i="12"/>
  <c r="AL170" i="22"/>
  <c r="AX170" i="22" s="1"/>
  <c r="AV170" i="22"/>
  <c r="AN83" i="22"/>
  <c r="BD83" i="22" s="1"/>
  <c r="BB83" i="22"/>
  <c r="M108" i="28"/>
  <c r="L110" i="12"/>
  <c r="M409" i="28"/>
  <c r="L411" i="12"/>
  <c r="M66" i="28"/>
  <c r="L68" i="12"/>
  <c r="M344" i="28"/>
  <c r="L346" i="12"/>
  <c r="D128" i="28"/>
  <c r="D130" i="12"/>
  <c r="AL288" i="22"/>
  <c r="AX288" i="22" s="1"/>
  <c r="AV288" i="22"/>
  <c r="AN340" i="22"/>
  <c r="BD340" i="22" s="1"/>
  <c r="BB340" i="22"/>
  <c r="D131" i="28"/>
  <c r="D133" i="12"/>
  <c r="V213" i="28"/>
  <c r="T215" i="12"/>
  <c r="AL132" i="22"/>
  <c r="AX132" i="22" s="1"/>
  <c r="AV132" i="22"/>
  <c r="BB241" i="22"/>
  <c r="V343" i="28"/>
  <c r="T345" i="12"/>
  <c r="D223" i="28"/>
  <c r="D225" i="12"/>
  <c r="V393" i="28"/>
  <c r="T395" i="12"/>
  <c r="M199" i="28"/>
  <c r="L201" i="12"/>
  <c r="AN225" i="22"/>
  <c r="BD225" i="22" s="1"/>
  <c r="BB225" i="22"/>
  <c r="AN96" i="22"/>
  <c r="BD96" i="22" s="1"/>
  <c r="BB96" i="22"/>
  <c r="AJ231" i="22"/>
  <c r="AR231" i="22" s="1"/>
  <c r="AP231" i="22"/>
  <c r="AJ315" i="22"/>
  <c r="AR315" i="22" s="1"/>
  <c r="AP315" i="22"/>
  <c r="AN178" i="22"/>
  <c r="BD178" i="22" s="1"/>
  <c r="BB178" i="22"/>
  <c r="AN101" i="22"/>
  <c r="BD101" i="22" s="1"/>
  <c r="BB101" i="22"/>
  <c r="AL290" i="22"/>
  <c r="AX290" i="22" s="1"/>
  <c r="AV290" i="22"/>
  <c r="AL190" i="22"/>
  <c r="AX190" i="22" s="1"/>
  <c r="AV190" i="22"/>
  <c r="V322" i="28"/>
  <c r="T324" i="12"/>
  <c r="AJ184" i="22"/>
  <c r="AR184" i="22" s="1"/>
  <c r="AP184" i="22"/>
  <c r="V292" i="28"/>
  <c r="T294" i="12"/>
  <c r="AL185" i="22"/>
  <c r="AX185" i="22" s="1"/>
  <c r="AV185" i="22"/>
  <c r="AJ197" i="22"/>
  <c r="AR197" i="22" s="1"/>
  <c r="AP197" i="22"/>
  <c r="AJ310" i="22"/>
  <c r="AR310" i="22" s="1"/>
  <c r="AP310" i="22"/>
  <c r="V334" i="28"/>
  <c r="T336" i="12"/>
  <c r="I23" i="28"/>
  <c r="I25" i="12"/>
  <c r="AV327" i="22"/>
  <c r="AN102" i="22"/>
  <c r="BD102" i="22" s="1"/>
  <c r="BB102" i="22"/>
  <c r="M333" i="28"/>
  <c r="L335" i="12"/>
  <c r="M198" i="28"/>
  <c r="L200" i="12"/>
  <c r="AN204" i="22"/>
  <c r="BD204" i="22" s="1"/>
  <c r="BB204" i="22"/>
  <c r="AN323" i="22"/>
  <c r="BD323" i="22" s="1"/>
  <c r="BB323" i="22"/>
  <c r="AJ316" i="22"/>
  <c r="AR316" i="22" s="1"/>
  <c r="AP316" i="22"/>
  <c r="D104" i="28"/>
  <c r="D106" i="12"/>
  <c r="M421" i="28"/>
  <c r="L423" i="12"/>
  <c r="AJ354" i="22"/>
  <c r="AR354" i="22" s="1"/>
  <c r="AP354" i="22"/>
  <c r="AN335" i="22"/>
  <c r="BD335" i="22" s="1"/>
  <c r="BB335" i="22"/>
  <c r="AJ206" i="22"/>
  <c r="AR206" i="22" s="1"/>
  <c r="AP206" i="22"/>
  <c r="M251" i="28"/>
  <c r="L253" i="12"/>
  <c r="AJ259" i="22"/>
  <c r="AR259" i="22" s="1"/>
  <c r="AP259" i="22"/>
  <c r="AJ200" i="22"/>
  <c r="AR200" i="22" s="1"/>
  <c r="AP200" i="22"/>
  <c r="AN152" i="22"/>
  <c r="BD152" i="22" s="1"/>
  <c r="BB152" i="22"/>
  <c r="M341" i="28"/>
  <c r="L343" i="12"/>
  <c r="D263" i="28"/>
  <c r="D265" i="12"/>
  <c r="AN160" i="22"/>
  <c r="BD160" i="22" s="1"/>
  <c r="BB160" i="22"/>
  <c r="AN339" i="22"/>
  <c r="BD339" i="22" s="1"/>
  <c r="BB339" i="22"/>
  <c r="AL108" i="22"/>
  <c r="AX108" i="22" s="1"/>
  <c r="AV108" i="22"/>
  <c r="M202" i="28"/>
  <c r="L204" i="12"/>
  <c r="V109" i="28"/>
  <c r="T111" i="12"/>
  <c r="AJ43" i="22"/>
  <c r="AR43" i="22" s="1"/>
  <c r="AP43" i="22"/>
  <c r="AN180" i="22"/>
  <c r="BD180" i="22" s="1"/>
  <c r="BB180" i="22"/>
  <c r="AN87" i="22"/>
  <c r="BD87" i="22" s="1"/>
  <c r="BB87" i="22"/>
  <c r="AL302" i="22"/>
  <c r="AX302" i="22" s="1"/>
  <c r="AV302" i="22"/>
  <c r="AN73" i="22"/>
  <c r="BD73" i="22" s="1"/>
  <c r="BB73" i="22"/>
  <c r="M340" i="28"/>
  <c r="L342" i="12"/>
  <c r="V402" i="28"/>
  <c r="T404" i="12"/>
  <c r="AL168" i="22"/>
  <c r="AX168" i="22" s="1"/>
  <c r="AV168" i="22"/>
  <c r="AN68" i="22"/>
  <c r="BD68" i="22" s="1"/>
  <c r="BB68" i="22"/>
  <c r="M162" i="28"/>
  <c r="L164" i="12"/>
  <c r="V281" i="28"/>
  <c r="T283" i="12"/>
  <c r="AN315" i="22"/>
  <c r="BD315" i="22" s="1"/>
  <c r="BB315" i="22"/>
  <c r="AL240" i="22"/>
  <c r="AX240" i="22" s="1"/>
  <c r="AV240" i="22"/>
  <c r="AN343" i="22"/>
  <c r="BD343" i="22" s="1"/>
  <c r="BB343" i="22"/>
  <c r="V261" i="28"/>
  <c r="T263" i="12"/>
  <c r="V122" i="28"/>
  <c r="T124" i="12"/>
  <c r="D267" i="28"/>
  <c r="D269" i="12"/>
  <c r="D371" i="28"/>
  <c r="D373" i="12"/>
  <c r="V210" i="28"/>
  <c r="T212" i="12"/>
  <c r="V127" i="28"/>
  <c r="T129" i="12"/>
  <c r="M342" i="28"/>
  <c r="L344" i="12"/>
  <c r="M224" i="28"/>
  <c r="L226" i="12"/>
  <c r="AL182" i="22"/>
  <c r="AX182" i="22" s="1"/>
  <c r="AV182" i="22"/>
  <c r="M265" i="28"/>
  <c r="L267" i="12"/>
  <c r="V271" i="28"/>
  <c r="T273" i="12"/>
  <c r="M138" i="28"/>
  <c r="L140" i="12"/>
  <c r="AL72" i="22"/>
  <c r="AX72" i="22" s="1"/>
  <c r="AV72" i="22"/>
  <c r="M364" i="28"/>
  <c r="L366" i="12"/>
  <c r="V251" i="28"/>
  <c r="T253" i="12"/>
  <c r="BB333" i="22"/>
  <c r="V368" i="28"/>
  <c r="T370" i="12"/>
  <c r="AN354" i="22"/>
  <c r="BD354" i="22" s="1"/>
  <c r="BB354" i="22"/>
  <c r="AL202" i="22"/>
  <c r="AX202" i="22" s="1"/>
  <c r="AV202" i="22"/>
  <c r="V338" i="28"/>
  <c r="T340" i="12"/>
  <c r="AL149" i="22"/>
  <c r="AX149" i="22" s="1"/>
  <c r="AV149" i="22"/>
  <c r="V337" i="28"/>
  <c r="T339" i="12"/>
  <c r="V232" i="28"/>
  <c r="T234" i="12"/>
  <c r="AJ149" i="22"/>
  <c r="AR149" i="22" s="1"/>
  <c r="AP149" i="22"/>
  <c r="AJ202" i="22"/>
  <c r="AR202" i="22" s="1"/>
  <c r="AP202" i="22"/>
  <c r="E187" i="28"/>
  <c r="E189" i="12"/>
  <c r="AJ168" i="22"/>
  <c r="AR168" i="22" s="1"/>
  <c r="AP168" i="22"/>
  <c r="V383" i="28"/>
  <c r="T385" i="12"/>
  <c r="D372" i="28"/>
  <c r="D374" i="12"/>
  <c r="AL201" i="22"/>
  <c r="AX201" i="22" s="1"/>
  <c r="AV201" i="22"/>
  <c r="AJ111" i="22"/>
  <c r="AR111" i="22" s="1"/>
  <c r="AP111" i="22"/>
  <c r="AL276" i="22"/>
  <c r="AX276" i="22" s="1"/>
  <c r="AV276" i="22"/>
  <c r="D416" i="28"/>
  <c r="D418" i="12"/>
  <c r="V397" i="28"/>
  <c r="T399" i="12"/>
  <c r="D240" i="28"/>
  <c r="D242" i="12"/>
  <c r="AJ305" i="22"/>
  <c r="AR305" i="22" s="1"/>
  <c r="AP305" i="22"/>
  <c r="D303" i="28"/>
  <c r="D305" i="12"/>
  <c r="D234" i="28"/>
  <c r="D236" i="12"/>
  <c r="V184" i="28"/>
  <c r="T186" i="12"/>
  <c r="E195" i="28"/>
  <c r="E197" i="12"/>
  <c r="E390" i="28"/>
  <c r="V192" i="28"/>
  <c r="T194" i="12"/>
  <c r="V401" i="28"/>
  <c r="T403" i="12"/>
  <c r="M136" i="28"/>
  <c r="L138" i="12"/>
  <c r="AL203" i="22"/>
  <c r="AX203" i="22" s="1"/>
  <c r="AV203" i="22"/>
  <c r="AN297" i="22"/>
  <c r="BD297" i="22" s="1"/>
  <c r="BB297" i="22"/>
  <c r="AN344" i="22"/>
  <c r="BD344" i="22" s="1"/>
  <c r="BB344" i="22"/>
  <c r="D63" i="28"/>
  <c r="D65" i="12"/>
  <c r="V212" i="28"/>
  <c r="T214" i="12"/>
  <c r="V113" i="28"/>
  <c r="T115" i="12"/>
  <c r="M354" i="28"/>
  <c r="L356" i="12"/>
  <c r="V99" i="28"/>
  <c r="T101" i="12"/>
  <c r="AL92" i="22"/>
  <c r="AX92" i="22" s="1"/>
  <c r="AV92" i="22"/>
  <c r="AL100" i="22"/>
  <c r="AX100" i="22" s="1"/>
  <c r="AV100" i="22"/>
  <c r="M200" i="28"/>
  <c r="L202" i="12"/>
  <c r="AJ213" i="22"/>
  <c r="AR213" i="22" s="1"/>
  <c r="AP213" i="22"/>
  <c r="V94" i="28"/>
  <c r="T96" i="12"/>
  <c r="AV346" i="22"/>
  <c r="E389" i="28"/>
  <c r="AJ340" i="22"/>
  <c r="AR340" i="22" s="1"/>
  <c r="AP340" i="22"/>
  <c r="E368" i="28"/>
  <c r="E370" i="12"/>
  <c r="V371" i="28"/>
  <c r="T373" i="12"/>
  <c r="M280" i="28"/>
  <c r="L282" i="12"/>
  <c r="V405" i="28"/>
  <c r="T407" i="12"/>
  <c r="O25" i="12"/>
  <c r="P23" i="28"/>
  <c r="AL152" i="22"/>
  <c r="AX152" i="22" s="1"/>
  <c r="AV152" i="22"/>
  <c r="AJ196" i="22"/>
  <c r="AR196" i="22" s="1"/>
  <c r="AP196" i="22"/>
  <c r="AL171" i="22"/>
  <c r="AX171" i="22" s="1"/>
  <c r="AV171" i="22"/>
  <c r="AN100" i="22"/>
  <c r="BD100" i="22" s="1"/>
  <c r="BB100" i="22"/>
  <c r="AL230" i="22"/>
  <c r="AX230" i="22" s="1"/>
  <c r="AV230" i="22"/>
  <c r="AN255" i="22"/>
  <c r="BD255" i="22" s="1"/>
  <c r="BB255" i="22"/>
  <c r="AJ214" i="22"/>
  <c r="AR214" i="22" s="1"/>
  <c r="AP214" i="22"/>
  <c r="AJ215" i="22"/>
  <c r="AR215" i="22" s="1"/>
  <c r="AP215" i="22"/>
  <c r="M214" i="28"/>
  <c r="L216" i="12"/>
  <c r="D264" i="28"/>
  <c r="D266" i="12"/>
  <c r="M113" i="28"/>
  <c r="L115" i="12"/>
  <c r="AN232" i="22"/>
  <c r="BD232" i="22" s="1"/>
  <c r="BB232" i="22"/>
  <c r="AJ110" i="22"/>
  <c r="AR110" i="22" s="1"/>
  <c r="AP110" i="22"/>
  <c r="AL88" i="22"/>
  <c r="AX88" i="22" s="1"/>
  <c r="AV88" i="22"/>
  <c r="E409" i="28"/>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D191" i="22" s="1"/>
  <c r="BB191" i="22"/>
  <c r="M235" i="28"/>
  <c r="L237" i="12"/>
  <c r="D139" i="28"/>
  <c r="D141" i="12"/>
  <c r="M326" i="28"/>
  <c r="L328" i="12"/>
  <c r="AN240" i="22"/>
  <c r="BD240" i="22" s="1"/>
  <c r="BB240" i="22"/>
  <c r="AV335" i="22"/>
  <c r="AL89" i="22"/>
  <c r="AX89" i="22" s="1"/>
  <c r="AV89" i="22"/>
  <c r="D357" i="28"/>
  <c r="D359" i="12"/>
  <c r="AN224" i="22"/>
  <c r="BD224" i="22" s="1"/>
  <c r="BB224" i="22"/>
  <c r="AJ152" i="22"/>
  <c r="AR152" i="22" s="1"/>
  <c r="AP152" i="22"/>
  <c r="H195" i="28"/>
  <c r="AS163" i="22"/>
  <c r="H197" i="12"/>
  <c r="BA163" i="22"/>
  <c r="BG163" i="22"/>
  <c r="AU163" i="22"/>
  <c r="AT163" i="22"/>
  <c r="D390" i="28"/>
  <c r="D392" i="12"/>
  <c r="AL189" i="22"/>
  <c r="AX189" i="22" s="1"/>
  <c r="AV189" i="22"/>
  <c r="AL173" i="22"/>
  <c r="AX173" i="22" s="1"/>
  <c r="AV173" i="22"/>
  <c r="AN149" i="22"/>
  <c r="BD149" i="22" s="1"/>
  <c r="BB149" i="22"/>
  <c r="M237" i="28"/>
  <c r="L239" i="12"/>
  <c r="V349" i="28"/>
  <c r="T351" i="12"/>
  <c r="V406" i="28"/>
  <c r="T408" i="12"/>
  <c r="AN166" i="22"/>
  <c r="BD166" i="22" s="1"/>
  <c r="BB166" i="22"/>
  <c r="AL66" i="22"/>
  <c r="AX66" i="22" s="1"/>
  <c r="AV66" i="22"/>
  <c r="BB327" i="22"/>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X109" i="22" s="1"/>
  <c r="AV109" i="22"/>
  <c r="AN98" i="22"/>
  <c r="BD98" i="22" s="1"/>
  <c r="BB98" i="22"/>
  <c r="M184" i="28"/>
  <c r="L186" i="12"/>
  <c r="D230" i="28"/>
  <c r="D232" i="12"/>
  <c r="M203" i="28"/>
  <c r="L205" i="12"/>
  <c r="V126" i="28"/>
  <c r="T128" i="12"/>
  <c r="M266" i="28"/>
  <c r="L268" i="12"/>
  <c r="V297" i="28"/>
  <c r="T299" i="12"/>
  <c r="D250" i="28"/>
  <c r="D252" i="12"/>
  <c r="D251" i="28"/>
  <c r="D253" i="12"/>
  <c r="AL99" i="22"/>
  <c r="AX99" i="22" s="1"/>
  <c r="AV99" i="22"/>
  <c r="AL161" i="22"/>
  <c r="AX161" i="22" s="1"/>
  <c r="AV161" i="22"/>
  <c r="V194" i="28"/>
  <c r="T196" i="12"/>
  <c r="AL310" i="22"/>
  <c r="AX310" i="22" s="1"/>
  <c r="AV310" i="22"/>
  <c r="AN328" i="22"/>
  <c r="BD328" i="22" s="1"/>
  <c r="BB328" i="22"/>
  <c r="M117" i="28"/>
  <c r="L119" i="12"/>
  <c r="AL354" i="22"/>
  <c r="AX354" i="22" s="1"/>
  <c r="AV354" i="22"/>
  <c r="V93" i="28"/>
  <c r="T95" i="12"/>
  <c r="M362" i="28"/>
  <c r="L364" i="12"/>
  <c r="AJ274" i="22"/>
  <c r="AR274" i="22" s="1"/>
  <c r="AP274" i="22"/>
  <c r="E325" i="28"/>
  <c r="E327" i="12"/>
  <c r="AJ226" i="22"/>
  <c r="AR226" i="22" s="1"/>
  <c r="AP226" i="22"/>
  <c r="E127" i="28"/>
  <c r="E129" i="12"/>
  <c r="AN231" i="22"/>
  <c r="BD231" i="22" s="1"/>
  <c r="BB231" i="22"/>
  <c r="AN105" i="22"/>
  <c r="BD105" i="22" s="1"/>
  <c r="BB105" i="22"/>
  <c r="M349" i="28"/>
  <c r="L351" i="12"/>
  <c r="V225" i="28"/>
  <c r="T227" i="12"/>
  <c r="E192" i="28"/>
  <c r="E194" i="12"/>
  <c r="AL238" i="22"/>
  <c r="AX238" i="22" s="1"/>
  <c r="AV238" i="22"/>
  <c r="AL227" i="22"/>
  <c r="AX227" i="22" s="1"/>
  <c r="AV227" i="22"/>
  <c r="V280" i="28"/>
  <c r="T282" i="12"/>
  <c r="M397" i="28"/>
  <c r="L399" i="12"/>
  <c r="M115" i="28"/>
  <c r="L117" i="12"/>
  <c r="V260" i="28"/>
  <c r="T262" i="12"/>
  <c r="D184" i="28"/>
  <c r="D186" i="12"/>
  <c r="AV337" i="22"/>
  <c r="AJ162" i="22"/>
  <c r="AR162" i="22" s="1"/>
  <c r="AP162" i="22"/>
  <c r="M223" i="28"/>
  <c r="L225" i="12"/>
  <c r="M205" i="28"/>
  <c r="L207" i="12"/>
  <c r="V181" i="28"/>
  <c r="T183" i="12"/>
  <c r="AV246" i="22"/>
  <c r="AL95" i="22"/>
  <c r="AX95" i="22" s="1"/>
  <c r="AV95" i="22"/>
  <c r="AL102" i="22"/>
  <c r="AX102" i="22" s="1"/>
  <c r="AV102" i="22"/>
  <c r="AN338" i="22"/>
  <c r="BD338" i="22" s="1"/>
  <c r="BB338" i="22"/>
  <c r="V198" i="28"/>
  <c r="T200" i="12"/>
  <c r="M90" i="28"/>
  <c r="L92" i="12"/>
  <c r="V389" i="28"/>
  <c r="T391" i="12"/>
  <c r="M418" i="28"/>
  <c r="L420" i="12"/>
  <c r="AL96" i="22"/>
  <c r="AX96" i="22" s="1"/>
  <c r="AV96" i="22"/>
  <c r="Q150" i="28"/>
  <c r="AZ122" i="22"/>
  <c r="R150" i="28" s="1"/>
  <c r="AY122" i="22"/>
  <c r="P152" i="12"/>
  <c r="AJ338" i="22"/>
  <c r="AR338" i="22" s="1"/>
  <c r="AP338" i="22"/>
  <c r="AL339" i="22"/>
  <c r="AX339" i="22" s="1"/>
  <c r="AV339" i="22"/>
  <c r="AL280" i="22"/>
  <c r="AX280" i="22" s="1"/>
  <c r="AV280" i="22"/>
  <c r="AN305" i="22"/>
  <c r="BD305" i="22" s="1"/>
  <c r="BB305" i="22"/>
  <c r="AN70" i="22"/>
  <c r="BD70" i="22" s="1"/>
  <c r="BB70" i="22"/>
  <c r="AN156" i="22"/>
  <c r="BD156" i="22" s="1"/>
  <c r="BB156" i="22"/>
  <c r="M307" i="28"/>
  <c r="L309" i="12"/>
  <c r="M137" i="28"/>
  <c r="L139" i="12"/>
  <c r="V124" i="28"/>
  <c r="T126" i="12"/>
  <c r="R23" i="28"/>
  <c r="Q25" i="12"/>
  <c r="AL204" i="22"/>
  <c r="AX204" i="22" s="1"/>
  <c r="AV204" i="22"/>
  <c r="AN290" i="22"/>
  <c r="BD290" i="22" s="1"/>
  <c r="BB290" i="22"/>
  <c r="AJ113" i="22"/>
  <c r="AR113" i="22" s="1"/>
  <c r="AP113" i="22"/>
  <c r="AL165" i="22"/>
  <c r="AX165" i="22" s="1"/>
  <c r="AV165" i="22"/>
  <c r="AN66" i="22"/>
  <c r="BD66" i="22" s="1"/>
  <c r="BB66" i="22"/>
  <c r="AN207" i="22"/>
  <c r="BD207" i="22" s="1"/>
  <c r="BB207" i="22"/>
  <c r="M125" i="28"/>
  <c r="L127" i="12"/>
  <c r="AJ256" i="22"/>
  <c r="AR256" i="22" s="1"/>
  <c r="AP256" i="22"/>
  <c r="D102" i="28"/>
  <c r="D104" i="12"/>
  <c r="D130" i="28"/>
  <c r="D132" i="12"/>
  <c r="V270" i="28"/>
  <c r="T272" i="12"/>
  <c r="V355" i="28"/>
  <c r="T357" i="12"/>
  <c r="M356" i="28"/>
  <c r="L358" i="12"/>
  <c r="AL186" i="22"/>
  <c r="AX186" i="22" s="1"/>
  <c r="AV186" i="22"/>
  <c r="M416" i="28"/>
  <c r="L418" i="12"/>
  <c r="V162" i="28"/>
  <c r="T164" i="12"/>
  <c r="M379" i="28"/>
  <c r="L381" i="12"/>
  <c r="AV331" i="22"/>
  <c r="AN95" i="22"/>
  <c r="BD95" i="22" s="1"/>
  <c r="BB95" i="22"/>
  <c r="AN171" i="22"/>
  <c r="BD171" i="22" s="1"/>
  <c r="BB171" i="22"/>
  <c r="H192" i="28"/>
  <c r="AT160" i="22"/>
  <c r="AU160" i="22"/>
  <c r="H194" i="12"/>
  <c r="BA160" i="22"/>
  <c r="BG160" i="22"/>
  <c r="AS160" i="22"/>
  <c r="M276" i="28"/>
  <c r="L278" i="12"/>
  <c r="M263" i="28"/>
  <c r="L265" i="12"/>
  <c r="AL358" i="22"/>
  <c r="AX358" i="22" s="1"/>
  <c r="AV358" i="22"/>
  <c r="AN69" i="22"/>
  <c r="BD69" i="22" s="1"/>
  <c r="BB69" i="22"/>
  <c r="E358" i="28"/>
  <c r="E360" i="12"/>
  <c r="AN81" i="22"/>
  <c r="BD81" i="22" s="1"/>
  <c r="BB81" i="22"/>
  <c r="M399" i="28"/>
  <c r="L401" i="12"/>
  <c r="D194" i="28"/>
  <c r="D196" i="12"/>
  <c r="AN189" i="22"/>
  <c r="BD189" i="22" s="1"/>
  <c r="BB189" i="22"/>
  <c r="AN97" i="22"/>
  <c r="BD97" i="22" s="1"/>
  <c r="BB97" i="22"/>
  <c r="AN214" i="22"/>
  <c r="BD214" i="22" s="1"/>
  <c r="BB214" i="22"/>
  <c r="M286" i="28"/>
  <c r="L288" i="12"/>
  <c r="M121" i="28"/>
  <c r="L123" i="12"/>
  <c r="M128" i="28"/>
  <c r="L130" i="12"/>
  <c r="V400" i="28"/>
  <c r="T402" i="12"/>
  <c r="AL275" i="22"/>
  <c r="AX275" i="22" s="1"/>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D254" i="22" s="1"/>
  <c r="BB254" i="22"/>
  <c r="AN345" i="22"/>
  <c r="BD345" i="22" s="1"/>
  <c r="BB345" i="22"/>
  <c r="E270" i="28"/>
  <c r="E272" i="12"/>
  <c r="M238" i="28"/>
  <c r="L240" i="12"/>
  <c r="V342" i="28"/>
  <c r="T344" i="12"/>
  <c r="D141" i="28"/>
  <c r="D143" i="12"/>
  <c r="M197" i="28"/>
  <c r="L199" i="12"/>
  <c r="V90" i="28"/>
  <c r="T92" i="12"/>
  <c r="V241" i="28"/>
  <c r="T243" i="12"/>
  <c r="AN184" i="22"/>
  <c r="BD184" i="22" s="1"/>
  <c r="BB184" i="22"/>
  <c r="E414" i="28"/>
  <c r="W150" i="28"/>
  <c r="U152" i="12"/>
  <c r="U28" i="12"/>
  <c r="W26" i="28"/>
  <c r="Z150" i="28"/>
  <c r="BF122" i="22"/>
  <c r="AA150" i="28" s="1"/>
  <c r="BE122" i="22"/>
  <c r="X152" i="12"/>
  <c r="AL304" i="22"/>
  <c r="AX304" i="22" s="1"/>
  <c r="AV304" i="22"/>
  <c r="V235" i="28"/>
  <c r="T237" i="12"/>
  <c r="D344" i="28"/>
  <c r="D346" i="12"/>
  <c r="H284" i="28"/>
  <c r="BG244" i="22"/>
  <c r="AT244" i="22"/>
  <c r="BA244" i="22"/>
  <c r="AU244" i="22"/>
  <c r="H286" i="12"/>
  <c r="AS244" i="22"/>
  <c r="M241" i="28"/>
  <c r="L243" i="12"/>
  <c r="AL86" i="22"/>
  <c r="AX86" i="22" s="1"/>
  <c r="AV86" i="22"/>
  <c r="V416" i="28"/>
  <c r="T418" i="12"/>
  <c r="E283" i="28"/>
  <c r="E285" i="12"/>
  <c r="AJ45" i="22"/>
  <c r="AR45" i="22" s="1"/>
  <c r="AP45" i="22"/>
  <c r="AL256" i="22"/>
  <c r="AX256" i="22" s="1"/>
  <c r="AV256" i="22"/>
  <c r="AN186" i="22"/>
  <c r="BD186" i="22" s="1"/>
  <c r="BB186" i="22"/>
  <c r="D370" i="28"/>
  <c r="D372" i="12"/>
  <c r="AL297" i="22"/>
  <c r="AX297" i="22" s="1"/>
  <c r="AV297" i="22"/>
  <c r="M298" i="28"/>
  <c r="L300" i="12"/>
  <c r="M63" i="28"/>
  <c r="L65" i="12"/>
  <c r="AN195" i="22"/>
  <c r="BD195" i="22" s="1"/>
  <c r="BB195" i="22"/>
  <c r="V121" i="28"/>
  <c r="T123" i="12"/>
  <c r="V203" i="28"/>
  <c r="T205" i="12"/>
  <c r="AJ59" i="22"/>
  <c r="AR59" i="22" s="1"/>
  <c r="AP59" i="22"/>
  <c r="AL169" i="22"/>
  <c r="AX169" i="22" s="1"/>
  <c r="AV169" i="22"/>
  <c r="M420" i="28"/>
  <c r="L422" i="12"/>
  <c r="V95" i="28"/>
  <c r="T97" i="12"/>
  <c r="AN318" i="22"/>
  <c r="BD318" i="22" s="1"/>
  <c r="BB318" i="22"/>
  <c r="H358" i="28"/>
  <c r="BA306" i="22"/>
  <c r="AU306" i="22"/>
  <c r="AT306" i="22"/>
  <c r="BG306" i="22"/>
  <c r="H360" i="12"/>
  <c r="AS306" i="22"/>
  <c r="V107" i="28"/>
  <c r="T109" i="12"/>
  <c r="AL264" i="22"/>
  <c r="AX264" i="22" s="1"/>
  <c r="AV264" i="22"/>
  <c r="V223" i="28"/>
  <c r="T225" i="12"/>
  <c r="V123" i="28"/>
  <c r="T125" i="12"/>
  <c r="V250" i="28"/>
  <c r="T252" i="12"/>
  <c r="AL47" i="22"/>
  <c r="AX47" i="22" s="1"/>
  <c r="AV47" i="22"/>
  <c r="AL81" i="22"/>
  <c r="AX81" i="22" s="1"/>
  <c r="AV81" i="22"/>
  <c r="AL163" i="22"/>
  <c r="AX163" i="22" s="1"/>
  <c r="AV163" i="22"/>
  <c r="M325" i="28"/>
  <c r="L327" i="12"/>
  <c r="AZ11" i="22"/>
  <c r="Q27" i="28"/>
  <c r="AY11" i="22"/>
  <c r="P29" i="12"/>
  <c r="M127" i="28"/>
  <c r="L129" i="12"/>
  <c r="D417" i="28"/>
  <c r="D419" i="12"/>
  <c r="AL242" i="22"/>
  <c r="AX242" i="22" s="1"/>
  <c r="AV242" i="22"/>
  <c r="AN320" i="22"/>
  <c r="BD320" i="22" s="1"/>
  <c r="BB320" i="22"/>
  <c r="D182" i="28"/>
  <c r="D184" i="12"/>
  <c r="D356" i="28"/>
  <c r="D358" i="12"/>
  <c r="AN308" i="22"/>
  <c r="BD308" i="22" s="1"/>
  <c r="BB308" i="22"/>
  <c r="AN200" i="22"/>
  <c r="BD200" i="22" s="1"/>
  <c r="BB200" i="22"/>
  <c r="AL353" i="22"/>
  <c r="AX353" i="22" s="1"/>
  <c r="AV353" i="22"/>
  <c r="AL97" i="22"/>
  <c r="AX97" i="22" s="1"/>
  <c r="AV97" i="22"/>
  <c r="AN78" i="22"/>
  <c r="BD78" i="22" s="1"/>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X278" i="22" s="1"/>
  <c r="AV278" i="22"/>
  <c r="AV328" i="22"/>
  <c r="AV348" i="22"/>
  <c r="AJ203" i="22"/>
  <c r="AR203" i="22" s="1"/>
  <c r="AP203" i="22"/>
  <c r="AL306" i="22"/>
  <c r="AX306" i="22" s="1"/>
  <c r="AV306" i="22"/>
  <c r="AL111" i="22"/>
  <c r="AX111" i="22" s="1"/>
  <c r="AV111" i="22"/>
  <c r="V216" i="28"/>
  <c r="T218" i="12"/>
  <c r="M240" i="28"/>
  <c r="L242" i="12"/>
  <c r="D298" i="28"/>
  <c r="D300" i="12"/>
  <c r="AN86" i="22"/>
  <c r="BD86" i="22" s="1"/>
  <c r="BB86" i="22"/>
  <c r="AN312" i="22"/>
  <c r="BD312" i="22" s="1"/>
  <c r="BB312" i="22"/>
  <c r="M114" i="28"/>
  <c r="L116" i="12"/>
  <c r="AN46" i="22"/>
  <c r="BD46" i="22" s="1"/>
  <c r="BB46" i="22"/>
  <c r="D337" i="28"/>
  <c r="D339" i="12"/>
  <c r="D97" i="28"/>
  <c r="D99" i="12"/>
  <c r="AL357" i="22"/>
  <c r="AX357" i="22" s="1"/>
  <c r="AV357" i="22"/>
  <c r="AJ158" i="22"/>
  <c r="AR158" i="22" s="1"/>
  <c r="AP158" i="22"/>
  <c r="AL166" i="22"/>
  <c r="AX166" i="22" s="1"/>
  <c r="AV166" i="22"/>
  <c r="E123" i="28"/>
  <c r="E125" i="12"/>
  <c r="AN316" i="22"/>
  <c r="BD316" i="22" s="1"/>
  <c r="BB316" i="22"/>
  <c r="AL287" i="22"/>
  <c r="AX287" i="22" s="1"/>
  <c r="AV287" i="22"/>
  <c r="E272" i="28"/>
  <c r="E274" i="12"/>
  <c r="D83" i="28"/>
  <c r="D85" i="12"/>
  <c r="M201" i="28"/>
  <c r="L203" i="12"/>
  <c r="AN89" i="22"/>
  <c r="BD89" i="22" s="1"/>
  <c r="BB89" i="22"/>
  <c r="AN163" i="22"/>
  <c r="BD163" i="22" s="1"/>
  <c r="BB163" i="22"/>
  <c r="AJ165" i="22"/>
  <c r="AR165" i="22" s="1"/>
  <c r="AP165" i="22"/>
  <c r="V374" i="28"/>
  <c r="T376" i="12"/>
  <c r="AL317" i="22"/>
  <c r="AX317" i="22" s="1"/>
  <c r="AV317" i="22"/>
  <c r="AN350" i="22"/>
  <c r="BD350" i="22" s="1"/>
  <c r="BB350" i="22"/>
  <c r="AN353" i="22"/>
  <c r="BD353" i="22" s="1"/>
  <c r="BB353" i="22"/>
  <c r="M308" i="28"/>
  <c r="L310" i="12"/>
  <c r="AN227" i="22"/>
  <c r="BD227" i="22" s="1"/>
  <c r="BB227" i="22"/>
  <c r="AN60" i="22"/>
  <c r="BD60" i="22" s="1"/>
  <c r="BB60" i="22"/>
  <c r="M67" i="28"/>
  <c r="L69" i="12"/>
  <c r="M107" i="28"/>
  <c r="L109" i="12"/>
  <c r="M195" i="28"/>
  <c r="L197" i="12"/>
  <c r="AN281" i="22"/>
  <c r="BD281" i="22" s="1"/>
  <c r="BB281" i="22"/>
  <c r="AL226" i="22"/>
  <c r="AX226" i="22" s="1"/>
  <c r="AV226" i="22"/>
  <c r="AN111" i="22"/>
  <c r="BD111" i="22" s="1"/>
  <c r="BB111" i="22"/>
  <c r="BB348" i="22"/>
  <c r="AJ240" i="22"/>
  <c r="AR240" i="22" s="1"/>
  <c r="AP240" i="22"/>
  <c r="M282" i="28"/>
  <c r="L284" i="12"/>
  <c r="V378" i="28"/>
  <c r="T380" i="12"/>
  <c r="AL253" i="22"/>
  <c r="AX253" i="22" s="1"/>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D296" i="22" s="1"/>
  <c r="BB296" i="22"/>
  <c r="AN175" i="22"/>
  <c r="BD175" i="22" s="1"/>
  <c r="BB175" i="22"/>
  <c r="AN209" i="22"/>
  <c r="BD209" i="22" s="1"/>
  <c r="BB209" i="22"/>
  <c r="AL277" i="22"/>
  <c r="AX277" i="22" s="1"/>
  <c r="AV277" i="22"/>
  <c r="D95" i="28"/>
  <c r="D97" i="12"/>
  <c r="AJ349" i="22"/>
  <c r="AR349" i="22" s="1"/>
  <c r="AP349" i="22"/>
  <c r="M292" i="28"/>
  <c r="L294" i="12"/>
  <c r="V306" i="28"/>
  <c r="T308" i="12"/>
  <c r="J27" i="28"/>
  <c r="J29" i="12"/>
  <c r="AN292" i="22"/>
  <c r="BD292" i="22" s="1"/>
  <c r="BB292" i="22"/>
  <c r="D211" i="28"/>
  <c r="D213" i="12"/>
  <c r="AL75" i="22"/>
  <c r="AX75" i="22" s="1"/>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AL233" i="22"/>
  <c r="AX233" i="22" s="1"/>
  <c r="AV233" i="22"/>
  <c r="AL159" i="22"/>
  <c r="AX159" i="22" s="1"/>
  <c r="AV159" i="22"/>
  <c r="V333" i="28"/>
  <c r="T335" i="12"/>
  <c r="M262" i="28"/>
  <c r="L264" i="12"/>
  <c r="V139" i="28"/>
  <c r="T141" i="12"/>
  <c r="V410" i="28"/>
  <c r="T412" i="12"/>
  <c r="D280" i="28"/>
  <c r="D282" i="12"/>
  <c r="AN311" i="22"/>
  <c r="BD311" i="22" s="1"/>
  <c r="BB311" i="22"/>
  <c r="M295" i="28"/>
  <c r="L297" i="12"/>
  <c r="E410" i="28"/>
  <c r="AL228" i="22"/>
  <c r="AX228" i="22" s="1"/>
  <c r="AV228" i="22"/>
  <c r="AV330" i="22"/>
  <c r="AJ237" i="22"/>
  <c r="AR237" i="22" s="1"/>
  <c r="AP237" i="22"/>
  <c r="AN352" i="22"/>
  <c r="BD352" i="22" s="1"/>
  <c r="BB352" i="22"/>
  <c r="AL179" i="22"/>
  <c r="AX179" i="22" s="1"/>
  <c r="AV179" i="22"/>
  <c r="AN159" i="22"/>
  <c r="BD159" i="22" s="1"/>
  <c r="BB159" i="22"/>
  <c r="AZ10" i="22"/>
  <c r="Q26" i="28"/>
  <c r="AY10" i="22"/>
  <c r="P28" i="12"/>
  <c r="H242" i="28"/>
  <c r="AT208" i="22"/>
  <c r="BG208" i="22"/>
  <c r="BA208" i="22"/>
  <c r="AU208" i="22"/>
  <c r="AS208" i="22"/>
  <c r="H244" i="12"/>
  <c r="AJ177" i="22"/>
  <c r="AR177" i="22" s="1"/>
  <c r="AP177" i="22"/>
  <c r="E228" i="28"/>
  <c r="E230" i="12"/>
  <c r="AN77" i="22"/>
  <c r="BD77" i="22" s="1"/>
  <c r="BB77" i="22"/>
  <c r="AL318" i="22"/>
  <c r="AX318" i="22" s="1"/>
  <c r="AV318" i="22"/>
  <c r="AJ191" i="22"/>
  <c r="AR191" i="22" s="1"/>
  <c r="AP191" i="22"/>
  <c r="AL93" i="22"/>
  <c r="AX93" i="22" s="1"/>
  <c r="AV93" i="22"/>
  <c r="AJ276" i="22"/>
  <c r="AR276" i="22" s="1"/>
  <c r="AP276" i="22"/>
  <c r="V348" i="28"/>
  <c r="T350" i="12"/>
  <c r="E308" i="28"/>
  <c r="E310" i="12"/>
  <c r="G25" i="12"/>
  <c r="G23" i="28"/>
  <c r="D216" i="28"/>
  <c r="D218" i="12"/>
  <c r="AL91" i="22"/>
  <c r="AX91" i="22" s="1"/>
  <c r="AV91" i="22"/>
  <c r="E354" i="28"/>
  <c r="E356" i="12"/>
  <c r="AN67" i="22"/>
  <c r="BD67" i="22" s="1"/>
  <c r="BB67" i="22"/>
  <c r="AJ65" i="22"/>
  <c r="AR65" i="22" s="1"/>
  <c r="AP65" i="22"/>
  <c r="D420" i="28"/>
  <c r="D422" i="12"/>
  <c r="M293" i="28"/>
  <c r="L295" i="12"/>
  <c r="AN43" i="22"/>
  <c r="BD43" i="22" s="1"/>
  <c r="BB43" i="22"/>
  <c r="H64" i="28"/>
  <c r="AU44" i="22"/>
  <c r="AT44" i="22"/>
  <c r="BA44" i="22"/>
  <c r="AS44" i="22"/>
  <c r="H66" i="12"/>
  <c r="BG44" i="22"/>
  <c r="AN202" i="22"/>
  <c r="BD202" i="22" s="1"/>
  <c r="BB202" i="22"/>
  <c r="V201" i="28"/>
  <c r="T203" i="12"/>
  <c r="AJ265" i="22"/>
  <c r="AR265" i="22" s="1"/>
  <c r="AP265" i="22"/>
  <c r="AL340" i="22"/>
  <c r="AX340" i="22" s="1"/>
  <c r="AV340" i="22"/>
  <c r="M368" i="28"/>
  <c r="L370" i="12"/>
  <c r="AN203" i="22"/>
  <c r="BD203" i="22" s="1"/>
  <c r="BB203" i="22"/>
  <c r="AJ319" i="22"/>
  <c r="AR319" i="22" s="1"/>
  <c r="AP319" i="22"/>
  <c r="AJ88" i="22"/>
  <c r="AR88" i="22" s="1"/>
  <c r="AP88" i="22"/>
  <c r="AN45" i="22"/>
  <c r="BD45" i="22" s="1"/>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X234" i="22" s="1"/>
  <c r="AV234" i="22"/>
  <c r="AN197" i="22"/>
  <c r="BD197" i="22" s="1"/>
  <c r="BB197" i="22"/>
  <c r="D393" i="28"/>
  <c r="D395" i="12"/>
  <c r="M271" i="28"/>
  <c r="L273" i="12"/>
  <c r="M191" i="28"/>
  <c r="L193" i="12"/>
  <c r="AN176" i="22"/>
  <c r="BD176" i="22" s="1"/>
  <c r="BB176" i="22"/>
  <c r="AL208" i="22"/>
  <c r="AX208" i="22" s="1"/>
  <c r="AV208" i="22"/>
  <c r="AV351" i="22"/>
  <c r="AL257" i="22"/>
  <c r="AX257" i="22" s="1"/>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D198" i="22" s="1"/>
  <c r="BB198" i="22"/>
  <c r="M378" i="28"/>
  <c r="L380" i="12"/>
  <c r="AV333" i="22"/>
  <c r="H325" i="28"/>
  <c r="BG275" i="22"/>
  <c r="BA275" i="22"/>
  <c r="AU275" i="22"/>
  <c r="AT275" i="22"/>
  <c r="AS275" i="22"/>
  <c r="H327" i="12"/>
  <c r="V218" i="28"/>
  <c r="T220" i="12"/>
  <c r="AJ254" i="22"/>
  <c r="AR254" i="22" s="1"/>
  <c r="AP254" i="22"/>
  <c r="M402" i="28"/>
  <c r="L404" i="12"/>
  <c r="AL71" i="22"/>
  <c r="AX71" i="22" s="1"/>
  <c r="AV71" i="22"/>
  <c r="V237" i="28"/>
  <c r="T239" i="12"/>
  <c r="D377" i="28"/>
  <c r="D379" i="12"/>
  <c r="D114" i="28"/>
  <c r="D116" i="12"/>
  <c r="V65" i="28"/>
  <c r="T67" i="12"/>
  <c r="AL235" i="22"/>
  <c r="AX235" i="22" s="1"/>
  <c r="AV235" i="22"/>
  <c r="M365" i="28"/>
  <c r="L367" i="12"/>
  <c r="V108" i="28"/>
  <c r="T110" i="12"/>
  <c r="D120" i="28"/>
  <c r="D122" i="12"/>
  <c r="AL303" i="22"/>
  <c r="AX303" i="22" s="1"/>
  <c r="AV303" i="22"/>
  <c r="AJ241" i="22"/>
  <c r="AR241" i="22" s="1"/>
  <c r="AP241" i="22"/>
  <c r="V356" i="28"/>
  <c r="T358" i="12"/>
  <c r="M272" i="28"/>
  <c r="L274" i="12"/>
  <c r="V231" i="28"/>
  <c r="T233" i="12"/>
  <c r="AL59" i="22"/>
  <c r="AX59" i="22" s="1"/>
  <c r="AV59" i="22"/>
  <c r="AN150" i="22"/>
  <c r="BD150" i="22" s="1"/>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X194" i="22" s="1"/>
  <c r="AV194" i="22"/>
  <c r="AN170" i="22"/>
  <c r="BD170" i="22" s="1"/>
  <c r="BB170" i="22"/>
  <c r="AJ100" i="22"/>
  <c r="AR100" i="22" s="1"/>
  <c r="AP100" i="22"/>
  <c r="AL244" i="22"/>
  <c r="AX244" i="22" s="1"/>
  <c r="AV244" i="22"/>
  <c r="V364" i="28"/>
  <c r="T366" i="12"/>
  <c r="M99" i="28"/>
  <c r="L101" i="12"/>
  <c r="M382" i="28"/>
  <c r="L384" i="12"/>
  <c r="D243" i="28"/>
  <c r="D245" i="12"/>
  <c r="AN72" i="22"/>
  <c r="BD72" i="22" s="1"/>
  <c r="BB72" i="22"/>
  <c r="AJ147" i="22"/>
  <c r="AR147" i="22" s="1"/>
  <c r="AP147" i="22"/>
  <c r="AJ339" i="22"/>
  <c r="AR339" i="22" s="1"/>
  <c r="AP339" i="22"/>
  <c r="AL155" i="22"/>
  <c r="AX155" i="22" s="1"/>
  <c r="AV155" i="22"/>
  <c r="AN228" i="22"/>
  <c r="BD228" i="22" s="1"/>
  <c r="BB228" i="22"/>
  <c r="AJ70" i="22"/>
  <c r="AR70" i="22" s="1"/>
  <c r="AP70" i="22"/>
  <c r="V85" i="28"/>
  <c r="T87" i="12"/>
  <c r="M103" i="28"/>
  <c r="L105" i="12"/>
  <c r="AL198" i="22"/>
  <c r="AX198" i="22" s="1"/>
  <c r="AV198" i="22"/>
  <c r="M111" i="28"/>
  <c r="L113" i="12"/>
  <c r="M232" i="28"/>
  <c r="L234" i="12"/>
  <c r="AL250" i="22"/>
  <c r="AX250" i="22" s="1"/>
  <c r="AV250" i="22"/>
  <c r="AJ207" i="22"/>
  <c r="AR207" i="22" s="1"/>
  <c r="AP207" i="22"/>
  <c r="V190" i="28"/>
  <c r="T192" i="12"/>
  <c r="V112" i="28"/>
  <c r="T114" i="12"/>
  <c r="AL308" i="22"/>
  <c r="AX308" i="22" s="1"/>
  <c r="AV308" i="22"/>
  <c r="AN205" i="22"/>
  <c r="BD205" i="22" s="1"/>
  <c r="BB205" i="22"/>
  <c r="AJ95" i="22"/>
  <c r="AR95" i="22" s="1"/>
  <c r="AP95" i="22"/>
  <c r="D163" i="28"/>
  <c r="D165" i="12"/>
  <c r="V187" i="28"/>
  <c r="T189" i="12"/>
  <c r="AN210" i="22"/>
  <c r="BD210" i="22" s="1"/>
  <c r="BB210" i="22"/>
  <c r="V267" i="28"/>
  <c r="T269" i="12"/>
  <c r="AN164" i="22"/>
  <c r="BD164" i="22" s="1"/>
  <c r="BB164" i="22"/>
  <c r="Y116" i="22"/>
  <c r="AL231" i="22"/>
  <c r="AX231" i="22" s="1"/>
  <c r="AV231" i="22"/>
  <c r="AN251" i="22"/>
  <c r="BD251" i="22" s="1"/>
  <c r="BB251" i="22"/>
  <c r="M97" i="28"/>
  <c r="L99" i="12"/>
  <c r="I151" i="21"/>
  <c r="F151" i="22" s="1"/>
  <c r="X151" i="22" s="1"/>
  <c r="AL286" i="22"/>
  <c r="AX286" i="22" s="1"/>
  <c r="AV286" i="22"/>
  <c r="AN357" i="22"/>
  <c r="BD357" i="22" s="1"/>
  <c r="BB357" i="22"/>
  <c r="AN103" i="22"/>
  <c r="BD103" i="22" s="1"/>
  <c r="BB103" i="22"/>
  <c r="M273" i="28"/>
  <c r="L275" i="12"/>
  <c r="AJ235" i="22"/>
  <c r="AR235" i="22" s="1"/>
  <c r="AP235" i="22"/>
  <c r="AL211" i="22"/>
  <c r="AX211" i="22" s="1"/>
  <c r="AV211" i="22"/>
  <c r="M355" i="28"/>
  <c r="L357" i="12"/>
  <c r="D281" i="28"/>
  <c r="D283" i="12"/>
  <c r="AN337" i="22"/>
  <c r="BD337" i="22" s="1"/>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J246" i="22"/>
  <c r="AR246" i="22" s="1"/>
  <c r="AP246" i="22"/>
  <c r="D111" i="28"/>
  <c r="D113" i="12"/>
  <c r="V332" i="28"/>
  <c r="T334" i="12"/>
  <c r="AN347" i="22"/>
  <c r="BD347" i="22" s="1"/>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X172" i="22" s="1"/>
  <c r="AV172" i="22"/>
  <c r="M357" i="28"/>
  <c r="L359" i="12"/>
  <c r="AN48" i="22"/>
  <c r="BD48" i="22" s="1"/>
  <c r="BB48" i="22"/>
  <c r="D292" i="28"/>
  <c r="D294" i="12"/>
  <c r="AN113" i="22"/>
  <c r="BD113" i="22" s="1"/>
  <c r="BB113" i="22"/>
  <c r="AA288" i="22"/>
  <c r="AE25" i="22"/>
  <c r="AC116" i="22"/>
  <c r="M267" i="28"/>
  <c r="L269" i="12"/>
  <c r="V293" i="28"/>
  <c r="T295" i="12"/>
  <c r="E94" i="28"/>
  <c r="E96" i="12"/>
  <c r="E395" i="28"/>
  <c r="M338" i="28"/>
  <c r="L340" i="12"/>
  <c r="V419" i="28"/>
  <c r="T421" i="12"/>
  <c r="V129" i="28"/>
  <c r="T131" i="12"/>
  <c r="AL279" i="22"/>
  <c r="AX279" i="22" s="1"/>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Z193" i="28"/>
  <c r="X195" i="12"/>
  <c r="BE161" i="22"/>
  <c r="BF161" i="22"/>
  <c r="V379" i="28"/>
  <c r="T381" i="12"/>
  <c r="M213" i="28"/>
  <c r="L215" i="12"/>
  <c r="M93" i="28"/>
  <c r="L95" i="12"/>
  <c r="D286" i="28"/>
  <c r="D288" i="12"/>
  <c r="AL177" i="22"/>
  <c r="AX177" i="22" s="1"/>
  <c r="AV177" i="22"/>
  <c r="V409" i="28"/>
  <c r="T411" i="12"/>
  <c r="V228" i="28"/>
  <c r="T230" i="12"/>
  <c r="AN275" i="22"/>
  <c r="BD275" i="22" s="1"/>
  <c r="BB275" i="22"/>
  <c r="AL355" i="22"/>
  <c r="AX355" i="22" s="1"/>
  <c r="AV355" i="22"/>
  <c r="AN355" i="22"/>
  <c r="BD355" i="22" s="1"/>
  <c r="BB355" i="22"/>
  <c r="U29" i="12"/>
  <c r="W27" i="28"/>
  <c r="AL316" i="22"/>
  <c r="AX316" i="22" s="1"/>
  <c r="AV316" i="22"/>
  <c r="AJ61" i="22"/>
  <c r="AR61" i="22" s="1"/>
  <c r="AP61" i="22"/>
  <c r="AJ266" i="22"/>
  <c r="AR266" i="22" s="1"/>
  <c r="AP266" i="22"/>
  <c r="M124" i="28"/>
  <c r="L126" i="12"/>
  <c r="D217" i="28"/>
  <c r="D219" i="12"/>
  <c r="M182" i="28"/>
  <c r="L184" i="12"/>
  <c r="M210" i="28"/>
  <c r="L212" i="12"/>
  <c r="AL266" i="22"/>
  <c r="AX266" i="22" s="1"/>
  <c r="AV266" i="22"/>
  <c r="AJ253" i="22"/>
  <c r="AR253" i="22" s="1"/>
  <c r="AP253" i="22"/>
  <c r="AJ98" i="22"/>
  <c r="AR98" i="22" s="1"/>
  <c r="AP98" i="22"/>
  <c r="E196" i="28"/>
  <c r="E198" i="12"/>
  <c r="AJ223" i="22"/>
  <c r="AR223" i="22" s="1"/>
  <c r="AP223" i="22"/>
  <c r="AJ263" i="22"/>
  <c r="AR263" i="22" s="1"/>
  <c r="AP263" i="22"/>
  <c r="AH327" i="21"/>
  <c r="M327" i="22"/>
  <c r="AL175" i="22"/>
  <c r="AX175" i="22" s="1"/>
  <c r="AV175" i="22"/>
  <c r="D205" i="28"/>
  <c r="D207" i="12"/>
  <c r="H68" i="28"/>
  <c r="BA48" i="22"/>
  <c r="AT48" i="22"/>
  <c r="BG48" i="22"/>
  <c r="AU48" i="22"/>
  <c r="AS48" i="22"/>
  <c r="H70" i="12"/>
  <c r="M230" i="28"/>
  <c r="L232" i="12"/>
  <c r="D129" i="28"/>
  <c r="D131" i="12"/>
  <c r="AL58" i="22"/>
  <c r="AX58" i="22" s="1"/>
  <c r="AV58" i="22"/>
  <c r="AL76" i="22"/>
  <c r="AX76" i="22" s="1"/>
  <c r="AV76" i="22"/>
  <c r="AV342" i="22"/>
  <c r="AL104" i="22"/>
  <c r="AX104" i="22" s="1"/>
  <c r="AV104" i="22"/>
  <c r="R29" i="12"/>
  <c r="S27" i="28"/>
  <c r="AL281" i="22"/>
  <c r="AX281" i="22" s="1"/>
  <c r="AV281" i="22"/>
  <c r="H283" i="28"/>
  <c r="AU243" i="22"/>
  <c r="AT243" i="22"/>
  <c r="BG243" i="22"/>
  <c r="BA243" i="22"/>
  <c r="AS243" i="22"/>
  <c r="H285" i="12"/>
  <c r="AJ322" i="22"/>
  <c r="AR322" i="22" s="1"/>
  <c r="AP322" i="22"/>
  <c r="AN319" i="22"/>
  <c r="BD319" i="22" s="1"/>
  <c r="BB319" i="22"/>
  <c r="AN235" i="22"/>
  <c r="BD235" i="22" s="1"/>
  <c r="BB235" i="22"/>
  <c r="AN107" i="22"/>
  <c r="BD107" i="22" s="1"/>
  <c r="BB107" i="22"/>
  <c r="AN359" i="22"/>
  <c r="BD359" i="22" s="1"/>
  <c r="BB359" i="22"/>
  <c r="H94" i="28"/>
  <c r="AT68" i="22"/>
  <c r="AU68" i="22"/>
  <c r="BA68" i="22"/>
  <c r="AS68" i="22"/>
  <c r="H96" i="12"/>
  <c r="BG68" i="22"/>
  <c r="D395" i="28"/>
  <c r="D397" i="12"/>
  <c r="AV343" i="22"/>
  <c r="AJ180" i="22"/>
  <c r="AR180" i="22" s="1"/>
  <c r="AP180" i="22"/>
  <c r="E28" i="12"/>
  <c r="E26" i="28"/>
  <c r="M331" i="28"/>
  <c r="L333" i="12"/>
  <c r="E330" i="28"/>
  <c r="E332" i="12"/>
  <c r="AJ233" i="22"/>
  <c r="AR233" i="22" s="1"/>
  <c r="AP233" i="22"/>
  <c r="AL197" i="22"/>
  <c r="AX197" i="22" s="1"/>
  <c r="AV197" i="22"/>
  <c r="D260" i="28"/>
  <c r="D262" i="12"/>
  <c r="V276" i="28"/>
  <c r="T278" i="12"/>
  <c r="AL313" i="22"/>
  <c r="AX313" i="22" s="1"/>
  <c r="AV313" i="22"/>
  <c r="AL45" i="22"/>
  <c r="AX45" i="22" s="1"/>
  <c r="AV45" i="22"/>
  <c r="AJ99" i="22"/>
  <c r="AR99" i="22" s="1"/>
  <c r="AP99" i="22"/>
  <c r="D282" i="28"/>
  <c r="D284" i="12"/>
  <c r="V242" i="28"/>
  <c r="T244" i="12"/>
  <c r="H232" i="28"/>
  <c r="AT198" i="22"/>
  <c r="AU198" i="22"/>
  <c r="BA198" i="22"/>
  <c r="BG198" i="22"/>
  <c r="AS198" i="22"/>
  <c r="H234" i="12"/>
  <c r="AJ320" i="22"/>
  <c r="AR320" i="22" s="1"/>
  <c r="AP320" i="22"/>
  <c r="AV332" i="22"/>
  <c r="AJ132" i="22"/>
  <c r="AR132" i="22" s="1"/>
  <c r="AP132" i="22"/>
  <c r="AN237" i="22"/>
  <c r="BD237" i="22" s="1"/>
  <c r="BB237" i="22"/>
  <c r="M209" i="28"/>
  <c r="L211" i="12"/>
  <c r="AL62" i="22"/>
  <c r="AX62" i="22" s="1"/>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X94" i="22" s="1"/>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X174" i="22" s="1"/>
  <c r="AV174" i="22"/>
  <c r="AJ133" i="22"/>
  <c r="AR133" i="22" s="1"/>
  <c r="AP133" i="22"/>
  <c r="Z29" i="12"/>
  <c r="AB27" i="28"/>
  <c r="V132" i="28"/>
  <c r="T134" i="12"/>
  <c r="AJ250" i="22"/>
  <c r="AR250" i="22" s="1"/>
  <c r="AP250" i="22"/>
  <c r="M101" i="28"/>
  <c r="L103" i="12"/>
  <c r="M181" i="28"/>
  <c r="L183" i="12"/>
  <c r="AN199" i="22"/>
  <c r="BD199" i="22" s="1"/>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V247" i="22"/>
  <c r="M369" i="28"/>
  <c r="L371" i="12"/>
  <c r="M65" i="28"/>
  <c r="L67" i="12"/>
  <c r="D125" i="28"/>
  <c r="D127" i="12"/>
  <c r="AL65" i="22"/>
  <c r="AX65" i="22" s="1"/>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D206" i="22" s="1"/>
  <c r="BB206" i="22"/>
  <c r="AJ252" i="22"/>
  <c r="AR252" i="22" s="1"/>
  <c r="AP252" i="22"/>
  <c r="AJ210" i="22"/>
  <c r="AR210" i="22" s="1"/>
  <c r="AP210" i="22"/>
  <c r="E108" i="28"/>
  <c r="E110" i="12"/>
  <c r="AL210" i="22"/>
  <c r="AX210" i="22" s="1"/>
  <c r="AV210" i="22"/>
  <c r="AJ182" i="22"/>
  <c r="AR182" i="22" s="1"/>
  <c r="AP182" i="22"/>
  <c r="AN80" i="22"/>
  <c r="BD80" i="22" s="1"/>
  <c r="BB80" i="22"/>
  <c r="Z200" i="28"/>
  <c r="BF168" i="22"/>
  <c r="BE168" i="22"/>
  <c r="X202" i="12"/>
  <c r="H90" i="28"/>
  <c r="BA66" i="22"/>
  <c r="BG66" i="22"/>
  <c r="AU66" i="22"/>
  <c r="AS66" i="22"/>
  <c r="AT66" i="22"/>
  <c r="H92" i="12"/>
  <c r="M120" i="28"/>
  <c r="L122" i="12"/>
  <c r="V102" i="28"/>
  <c r="T104" i="12"/>
  <c r="AL213" i="22"/>
  <c r="AX213" i="22" s="1"/>
  <c r="AV213" i="22"/>
  <c r="AL260" i="22"/>
  <c r="AX260" i="22" s="1"/>
  <c r="AV260" i="22"/>
  <c r="H343" i="28"/>
  <c r="AU291" i="22"/>
  <c r="AT291" i="22"/>
  <c r="BA291" i="22"/>
  <c r="BG291" i="22"/>
  <c r="AS291" i="22"/>
  <c r="H345" i="12"/>
  <c r="AL254" i="22"/>
  <c r="AX254" i="22" s="1"/>
  <c r="AV254" i="22"/>
  <c r="AJ281" i="22"/>
  <c r="AR281" i="22" s="1"/>
  <c r="AP281" i="22"/>
  <c r="AL158" i="22"/>
  <c r="AX158" i="22" s="1"/>
  <c r="AV158" i="22"/>
  <c r="V117" i="28"/>
  <c r="T119" i="12"/>
  <c r="AJ257" i="22"/>
  <c r="AR257" i="22" s="1"/>
  <c r="AP257" i="22"/>
  <c r="V87" i="28"/>
  <c r="T89" i="12"/>
  <c r="D93" i="28"/>
  <c r="D95" i="12"/>
  <c r="H84" i="28"/>
  <c r="BG60" i="22"/>
  <c r="BA60" i="22"/>
  <c r="AU60" i="22"/>
  <c r="AT60" i="22"/>
  <c r="AS60" i="22"/>
  <c r="H86" i="12"/>
  <c r="AN287" i="22"/>
  <c r="BD287" i="22" s="1"/>
  <c r="BB287" i="22"/>
  <c r="AN147" i="22"/>
  <c r="BD147" i="22" s="1"/>
  <c r="BB147" i="22"/>
  <c r="D373" i="28"/>
  <c r="D375" i="12"/>
  <c r="AL200" i="22"/>
  <c r="AX200" i="22" s="1"/>
  <c r="AV200" i="22"/>
  <c r="D304" i="28"/>
  <c r="D306" i="12"/>
  <c r="AN244" i="22"/>
  <c r="BD244" i="22" s="1"/>
  <c r="BB244" i="22"/>
  <c r="AN260" i="22"/>
  <c r="BD260" i="22" s="1"/>
  <c r="BB260" i="22"/>
  <c r="M104" i="28"/>
  <c r="L106" i="12"/>
  <c r="AN88" i="22"/>
  <c r="BD88" i="22" s="1"/>
  <c r="BB88" i="22"/>
  <c r="AL114" i="22"/>
  <c r="AX114" i="22" s="1"/>
  <c r="AV114" i="22"/>
  <c r="M287" i="28"/>
  <c r="L289" i="12"/>
  <c r="AN278" i="22"/>
  <c r="BD278" i="22" s="1"/>
  <c r="BB278" i="22"/>
  <c r="E235" i="28"/>
  <c r="E237" i="12"/>
  <c r="M89" i="28"/>
  <c r="L91" i="12"/>
  <c r="D117" i="28"/>
  <c r="D119" i="12"/>
  <c r="AJ318" i="22"/>
  <c r="AR318" i="22" s="1"/>
  <c r="AP318" i="22"/>
  <c r="AN336" i="22"/>
  <c r="BD336" i="22" s="1"/>
  <c r="BB336" i="22"/>
  <c r="W25" i="12"/>
  <c r="Y23" i="28"/>
  <c r="AV241" i="22"/>
  <c r="AV345" i="22"/>
  <c r="AL90" i="22"/>
  <c r="AX90" i="22" s="1"/>
  <c r="AV90" i="22"/>
  <c r="V137" i="28"/>
  <c r="T139" i="12"/>
  <c r="M188" i="28"/>
  <c r="L190" i="12"/>
  <c r="AN313" i="22"/>
  <c r="BD313" i="22" s="1"/>
  <c r="BB313" i="22"/>
  <c r="AV243" i="22"/>
  <c r="V240" i="28"/>
  <c r="T242" i="12"/>
  <c r="D294" i="28"/>
  <c r="D296" i="12"/>
  <c r="D244" i="28"/>
  <c r="D246" i="12"/>
  <c r="H108" i="28"/>
  <c r="AT82" i="22"/>
  <c r="AU82" i="22"/>
  <c r="BA82" i="22"/>
  <c r="H110" i="12"/>
  <c r="AS82" i="22"/>
  <c r="BG82" i="22"/>
  <c r="M244" i="28"/>
  <c r="L246" i="12"/>
  <c r="D214" i="28"/>
  <c r="D216" i="12"/>
  <c r="V106" i="28"/>
  <c r="T108" i="12"/>
  <c r="AN196" i="22"/>
  <c r="BD196" i="22" s="1"/>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X64" i="22" s="1"/>
  <c r="AV64" i="22"/>
  <c r="M403" i="28"/>
  <c r="L405" i="12"/>
  <c r="AN92" i="22"/>
  <c r="BD92" i="22" s="1"/>
  <c r="BB92" i="22"/>
  <c r="E284" i="28"/>
  <c r="E286" i="12"/>
  <c r="AL251" i="22"/>
  <c r="AX251" i="22" s="1"/>
  <c r="AV251" i="22"/>
  <c r="D193" i="28"/>
  <c r="D195" i="12"/>
  <c r="AN330" i="22"/>
  <c r="BD330" i="22" s="1"/>
  <c r="BB330" i="22"/>
  <c r="M102" i="28"/>
  <c r="L104" i="12"/>
  <c r="AL223" i="22"/>
  <c r="AX223" i="22" s="1"/>
  <c r="AV223" i="22"/>
  <c r="V63" i="28"/>
  <c r="T65" i="12"/>
  <c r="M130" i="28"/>
  <c r="L132" i="12"/>
  <c r="M270" i="28"/>
  <c r="L272" i="12"/>
  <c r="AN173" i="22"/>
  <c r="BD173" i="22" s="1"/>
  <c r="BB173" i="22"/>
  <c r="D181" i="28"/>
  <c r="D183" i="12"/>
  <c r="V179" i="28"/>
  <c r="T179" i="12"/>
  <c r="AJ63" i="22"/>
  <c r="AR63" i="22" s="1"/>
  <c r="AP63" i="22"/>
  <c r="AN358" i="22"/>
  <c r="BD358" i="22" s="1"/>
  <c r="BB358" i="22"/>
  <c r="M234" i="28"/>
  <c r="L236" i="12"/>
  <c r="E408" i="28"/>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D44" i="22" s="1"/>
  <c r="BB44" i="22"/>
  <c r="E413" i="28"/>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V350" i="22"/>
  <c r="D408" i="28"/>
  <c r="D410" i="12"/>
  <c r="AN356" i="22"/>
  <c r="BD356" i="22" s="1"/>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D110" i="22" s="1"/>
  <c r="BB110" i="22"/>
  <c r="AA23" i="28"/>
  <c r="Y25" i="12"/>
  <c r="AL107" i="22"/>
  <c r="AX107" i="22" s="1"/>
  <c r="AV107" i="22"/>
  <c r="AN257" i="22"/>
  <c r="BD257" i="22" s="1"/>
  <c r="BB257" i="22"/>
  <c r="AJ64" i="22"/>
  <c r="AR64" i="22" s="1"/>
  <c r="AP64" i="22"/>
  <c r="H288" i="28"/>
  <c r="BG248" i="22"/>
  <c r="BA248" i="22"/>
  <c r="AT248" i="22"/>
  <c r="AU248" i="22"/>
  <c r="AS248" i="22"/>
  <c r="H290" i="12"/>
  <c r="D202" i="28"/>
  <c r="D204" i="12"/>
  <c r="AL259" i="22"/>
  <c r="AX259" i="22" s="1"/>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D262" i="22" s="1"/>
  <c r="BB262" i="22"/>
  <c r="D338" i="28"/>
  <c r="D340" i="12"/>
  <c r="AL252" i="22"/>
  <c r="AX252" i="22" s="1"/>
  <c r="AV252" i="22"/>
  <c r="D89" i="28"/>
  <c r="D91" i="12"/>
  <c r="M112" i="28"/>
  <c r="L114" i="12"/>
  <c r="V382" i="28"/>
  <c r="T384" i="12"/>
  <c r="D236" i="28"/>
  <c r="D238" i="12"/>
  <c r="E406" i="28"/>
  <c r="H239" i="28"/>
  <c r="AU205" i="22"/>
  <c r="AT205" i="22"/>
  <c r="BA205" i="22"/>
  <c r="BG205" i="22"/>
  <c r="AS205" i="22"/>
  <c r="H241" i="12"/>
  <c r="BB243" i="22"/>
  <c r="M412" i="28"/>
  <c r="L414" i="12"/>
  <c r="V418" i="28"/>
  <c r="T420" i="12"/>
  <c r="M132" i="28"/>
  <c r="L134" i="12"/>
  <c r="AJ311" i="22"/>
  <c r="AR311" i="22" s="1"/>
  <c r="AP311" i="22"/>
  <c r="H379" i="28"/>
  <c r="AT321" i="22"/>
  <c r="AU321" i="22"/>
  <c r="H381" i="12"/>
  <c r="AS321" i="22"/>
  <c r="BA321" i="22"/>
  <c r="BG321" i="22"/>
  <c r="M196" i="28"/>
  <c r="L198" i="12"/>
  <c r="AN346" i="22"/>
  <c r="BD346" i="22" s="1"/>
  <c r="BB346" i="22"/>
  <c r="D340" i="28"/>
  <c r="D342" i="12"/>
  <c r="D363" i="28"/>
  <c r="D365" i="12"/>
  <c r="D206" i="28"/>
  <c r="D208" i="12"/>
  <c r="BB248" i="22"/>
  <c r="AJ230" i="22"/>
  <c r="AR230" i="22" s="1"/>
  <c r="AP230" i="22"/>
  <c r="AN342" i="22"/>
  <c r="BD342" i="22" s="1"/>
  <c r="BB342" i="22"/>
  <c r="M322" i="28"/>
  <c r="L324" i="12"/>
  <c r="V138" i="28"/>
  <c r="T140" i="12"/>
  <c r="M133" i="28"/>
  <c r="L135" i="12"/>
  <c r="V299" i="28"/>
  <c r="T301" i="12"/>
  <c r="D88" i="28"/>
  <c r="D90" i="12"/>
  <c r="AL195" i="22"/>
  <c r="AX195" i="22" s="1"/>
  <c r="AV195" i="22"/>
  <c r="E405" i="28"/>
  <c r="M303" i="28"/>
  <c r="L305" i="12"/>
  <c r="V119" i="28"/>
  <c r="T121" i="12"/>
  <c r="AN329" i="22"/>
  <c r="BD329" i="22" s="1"/>
  <c r="BB329" i="22"/>
  <c r="AN276" i="22"/>
  <c r="BD276" i="22" s="1"/>
  <c r="BB276" i="22"/>
  <c r="AN226" i="22"/>
  <c r="BD226" i="22" s="1"/>
  <c r="BB226" i="22"/>
  <c r="AJ287" i="22"/>
  <c r="AR287" i="22" s="1"/>
  <c r="AP287" i="22"/>
  <c r="AN229" i="22"/>
  <c r="BD229" i="22" s="1"/>
  <c r="BB229" i="22"/>
  <c r="E418" i="28"/>
  <c r="E112" i="28"/>
  <c r="E114" i="12"/>
  <c r="AL44" i="22"/>
  <c r="AX44" i="22" s="1"/>
  <c r="AV44" i="22"/>
  <c r="M131" i="28"/>
  <c r="L133" i="12"/>
  <c r="V83" i="28"/>
  <c r="T85" i="12"/>
  <c r="D397" i="28"/>
  <c r="D399" i="12"/>
  <c r="AJ107" i="22"/>
  <c r="AR107" i="22" s="1"/>
  <c r="AP107" i="22"/>
  <c r="AN309" i="22"/>
  <c r="BD309" i="22" s="1"/>
  <c r="BB309" i="22"/>
  <c r="V282" i="28"/>
  <c r="T284" i="12"/>
  <c r="AN334" i="22"/>
  <c r="BD334" i="22" s="1"/>
  <c r="BB334" i="22"/>
  <c r="AL63" i="22"/>
  <c r="AX63" i="22" s="1"/>
  <c r="AV63" i="22"/>
  <c r="AL133" i="22"/>
  <c r="AX133" i="22" s="1"/>
  <c r="AV133" i="22"/>
  <c r="D404" i="28"/>
  <c r="D406" i="12"/>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V248" i="22"/>
  <c r="AN174" i="22"/>
  <c r="BD174" i="22" s="1"/>
  <c r="BB174" i="22"/>
  <c r="V288" i="28"/>
  <c r="T290" i="12"/>
  <c r="D266" i="28"/>
  <c r="D268" i="12"/>
  <c r="V404" i="28"/>
  <c r="T406" i="12"/>
  <c r="BB247" i="22"/>
  <c r="E407" i="28"/>
  <c r="AJ176" i="22"/>
  <c r="AR176" i="22" s="1"/>
  <c r="AP176" i="22"/>
  <c r="AN71" i="22"/>
  <c r="BD71" i="22" s="1"/>
  <c r="BB71" i="22"/>
  <c r="AN252" i="22"/>
  <c r="BD252" i="22" s="1"/>
  <c r="BB252" i="22"/>
  <c r="AN90" i="22"/>
  <c r="BD90" i="22" s="1"/>
  <c r="BB90" i="22"/>
  <c r="M229" i="28"/>
  <c r="L231" i="12"/>
  <c r="D405" i="28"/>
  <c r="D407" i="12"/>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D332" i="22" s="1"/>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V344" i="22"/>
  <c r="AL160" i="22"/>
  <c r="AX160" i="22" s="1"/>
  <c r="AV160" i="22"/>
  <c r="AN341" i="22"/>
  <c r="BD341" i="22" s="1"/>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AN259" i="22"/>
  <c r="BD259" i="22" s="1"/>
  <c r="BB259" i="22"/>
  <c r="AJ171" i="22"/>
  <c r="AR171" i="22" s="1"/>
  <c r="AP171" i="22"/>
  <c r="AJ92" i="22"/>
  <c r="AR92" i="22" s="1"/>
  <c r="AP92" i="22"/>
  <c r="M250" i="28"/>
  <c r="L252" i="12"/>
  <c r="AN62" i="22"/>
  <c r="BD62" i="22" s="1"/>
  <c r="BB62" i="22"/>
  <c r="AN351" i="22"/>
  <c r="BD351" i="22" s="1"/>
  <c r="BB351" i="22"/>
  <c r="AN165" i="22"/>
  <c r="BD165" i="22" s="1"/>
  <c r="BB165" i="22"/>
  <c r="D403" i="28"/>
  <c r="D405" i="12"/>
  <c r="AL262" i="22"/>
  <c r="AX262" i="22" s="1"/>
  <c r="AV262" i="22"/>
  <c r="D341" i="28"/>
  <c r="D343" i="12"/>
  <c r="M305" i="28"/>
  <c r="L307" i="12"/>
  <c r="D276" i="28"/>
  <c r="D278" i="12"/>
  <c r="M348" i="28"/>
  <c r="L350" i="12"/>
  <c r="AL80" i="22"/>
  <c r="AX80" i="22" s="1"/>
  <c r="AV80" i="22"/>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X61" i="22" s="1"/>
  <c r="AV61" i="22"/>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E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X162" i="22" s="1"/>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W346" i="22"/>
  <c r="AC346" i="22" s="1"/>
  <c r="M348" i="22"/>
  <c r="W331" i="22"/>
  <c r="M333" i="22"/>
  <c r="AB360" i="21"/>
  <c r="I19" i="22"/>
  <c r="Q19" i="22" s="1"/>
  <c r="AE19" i="22" s="1"/>
  <c r="AE178" i="22"/>
  <c r="AA178" i="22"/>
  <c r="S178" i="22"/>
  <c r="AE156" i="22"/>
  <c r="AA156" i="22"/>
  <c r="AE154" i="22"/>
  <c r="AA154" i="22"/>
  <c r="S154" i="22"/>
  <c r="AE172" i="22"/>
  <c r="AA172" i="22"/>
  <c r="AE24" i="22"/>
  <c r="AA24" i="22"/>
  <c r="AE150" i="22"/>
  <c r="AA150" i="22"/>
  <c r="AE171" i="22"/>
  <c r="AA171" i="22"/>
  <c r="AE177" i="22"/>
  <c r="AA177" i="22"/>
  <c r="AE153" i="22"/>
  <c r="AA153" i="22"/>
  <c r="AE152" i="22"/>
  <c r="AA152" i="22"/>
  <c r="AA151" i="22"/>
  <c r="AE151" i="22"/>
  <c r="S151" i="22"/>
  <c r="AA176" i="22"/>
  <c r="AE176" i="22"/>
  <c r="AE280" i="22"/>
  <c r="AA280" i="22"/>
  <c r="AE165" i="22"/>
  <c r="AA165" i="22"/>
  <c r="S165" i="22"/>
  <c r="AE59" i="22"/>
  <c r="AA59" i="22"/>
  <c r="S59" i="22"/>
  <c r="AE227" i="22"/>
  <c r="AA227" i="22"/>
  <c r="AG356" i="22"/>
  <c r="AC356" i="22"/>
  <c r="Y356" i="22"/>
  <c r="AA105" i="22"/>
  <c r="AE105" i="22"/>
  <c r="AE314" i="22"/>
  <c r="AA314" i="22"/>
  <c r="AA65" i="22"/>
  <c r="S65" i="22"/>
  <c r="AE65" i="22"/>
  <c r="AG334" i="22"/>
  <c r="AC334" i="22"/>
  <c r="Y334" i="22"/>
  <c r="BG334" i="22" s="1"/>
  <c r="AB396" i="28" s="1"/>
  <c r="AE340" i="22"/>
  <c r="AA340" i="22"/>
  <c r="S340" i="22"/>
  <c r="AA281" i="22"/>
  <c r="AE281" i="22"/>
  <c r="AE182" i="22"/>
  <c r="AA182" i="22"/>
  <c r="AE305" i="22"/>
  <c r="AA305" i="22"/>
  <c r="AE339" i="22"/>
  <c r="AA339" i="22"/>
  <c r="S339" i="22"/>
  <c r="AE277" i="22"/>
  <c r="AA277" i="22"/>
  <c r="AE89" i="22"/>
  <c r="AA89" i="22"/>
  <c r="S89" i="22"/>
  <c r="AC336" i="22"/>
  <c r="AG336" i="22"/>
  <c r="Y336" i="22"/>
  <c r="BG336" i="22" s="1"/>
  <c r="AB398" i="28" s="1"/>
  <c r="AE81" i="22"/>
  <c r="AA81" i="22"/>
  <c r="AE286" i="22"/>
  <c r="AA286" i="22"/>
  <c r="AE309" i="22"/>
  <c r="AA309" i="22"/>
  <c r="AA70" i="22"/>
  <c r="AE70" i="22"/>
  <c r="S70" i="22"/>
  <c r="AE354" i="22"/>
  <c r="AA354" i="22"/>
  <c r="S354" i="22"/>
  <c r="AA161" i="22"/>
  <c r="AE161" i="22"/>
  <c r="AE266" i="22"/>
  <c r="AA266" i="22"/>
  <c r="AE31" i="22"/>
  <c r="AA31" i="22"/>
  <c r="AE276" i="22"/>
  <c r="AA276" i="22"/>
  <c r="AE29" i="22"/>
  <c r="AA29" i="22"/>
  <c r="AE62" i="22"/>
  <c r="AA62" i="22"/>
  <c r="AA207" i="22"/>
  <c r="AE207" i="22"/>
  <c r="AA174" i="22"/>
  <c r="AE174" i="22"/>
  <c r="S174" i="22"/>
  <c r="AC329" i="22"/>
  <c r="AG329" i="22"/>
  <c r="Y329" i="22"/>
  <c r="BG329" i="22" s="1"/>
  <c r="AB391" i="28" s="1"/>
  <c r="AE167" i="22"/>
  <c r="AA167" i="22"/>
  <c r="S167" i="22"/>
  <c r="AA102" i="22"/>
  <c r="AE102" i="22"/>
  <c r="AG328" i="22"/>
  <c r="AC328" i="22"/>
  <c r="Y328" i="22"/>
  <c r="Q329" i="22"/>
  <c r="R329" i="22" s="1"/>
  <c r="AG346" i="22"/>
  <c r="AE80" i="22"/>
  <c r="AA80" i="22"/>
  <c r="AE260" i="22"/>
  <c r="AA260" i="22"/>
  <c r="AE170" i="22"/>
  <c r="AA170" i="22"/>
  <c r="S170" i="22"/>
  <c r="AE47" i="22"/>
  <c r="AA47" i="22"/>
  <c r="AE75" i="22"/>
  <c r="AA75" i="22"/>
  <c r="AE110" i="22"/>
  <c r="AA110" i="22"/>
  <c r="AE341" i="22"/>
  <c r="AA341" i="22"/>
  <c r="S341" i="22"/>
  <c r="AA215" i="22"/>
  <c r="S215" i="22"/>
  <c r="AE215" i="22"/>
  <c r="S87" i="22"/>
  <c r="AE87" i="22"/>
  <c r="AA87"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G351" i="22"/>
  <c r="AC351" i="22"/>
  <c r="Y351" i="22"/>
  <c r="AE106" i="22"/>
  <c r="AA106" i="22"/>
  <c r="AE69" i="22"/>
  <c r="AA69" i="22"/>
  <c r="S69" i="22"/>
  <c r="AA357" i="22"/>
  <c r="S357" i="22"/>
  <c r="AE357" i="22"/>
  <c r="AA311" i="22"/>
  <c r="AE311" i="22"/>
  <c r="AA184" i="22"/>
  <c r="AE184" i="22"/>
  <c r="AE349" i="22"/>
  <c r="AA349" i="22"/>
  <c r="S349" i="22"/>
  <c r="AE224" i="22"/>
  <c r="AA224" i="22"/>
  <c r="S26" i="22"/>
  <c r="AU26" i="22" s="1"/>
  <c r="AE26" i="22"/>
  <c r="AA26" i="22"/>
  <c r="AG352" i="22"/>
  <c r="AC352" i="22"/>
  <c r="Y352" i="22"/>
  <c r="AA225" i="22"/>
  <c r="AE225" i="22"/>
  <c r="AA45" i="22"/>
  <c r="AE45" i="22"/>
  <c r="AE290" i="22"/>
  <c r="AA290" i="22"/>
  <c r="AE319" i="22"/>
  <c r="AA319" i="22"/>
  <c r="AF135" i="22"/>
  <c r="AB135" i="22"/>
  <c r="AE315" i="22"/>
  <c r="AA315" i="22"/>
  <c r="AE114" i="22"/>
  <c r="AA114" i="22"/>
  <c r="AA206" i="22"/>
  <c r="AE206" i="22"/>
  <c r="AE135" i="22"/>
  <c r="AA135" i="22"/>
  <c r="AA158" i="22"/>
  <c r="AE158" i="22"/>
  <c r="AG331" i="22"/>
  <c r="AC331"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C347" i="22"/>
  <c r="AG347" i="22"/>
  <c r="AE64" i="22"/>
  <c r="AA64" i="22"/>
  <c r="AE103" i="22"/>
  <c r="AA103" i="22"/>
  <c r="AE85" i="22"/>
  <c r="AA85" i="22"/>
  <c r="AE133" i="22"/>
  <c r="AA133" i="22"/>
  <c r="AE186" i="22"/>
  <c r="AA186" i="22"/>
  <c r="AE254" i="22"/>
  <c r="AA254" i="22"/>
  <c r="S147" i="22"/>
  <c r="AE147" i="22"/>
  <c r="AA147" i="22"/>
  <c r="AE287" i="22"/>
  <c r="AA287" i="22"/>
  <c r="AC337" i="22"/>
  <c r="AG337" i="22"/>
  <c r="Y337" i="22"/>
  <c r="AE308" i="22"/>
  <c r="AA308" i="22"/>
  <c r="AE271" i="22"/>
  <c r="AA271" i="22"/>
  <c r="S67" i="22"/>
  <c r="AE67" i="22"/>
  <c r="AA67" i="22"/>
  <c r="AE257" i="22"/>
  <c r="AA257" i="22"/>
  <c r="AE195" i="22"/>
  <c r="AA195" i="22"/>
  <c r="AF162" i="22"/>
  <c r="AB162" i="22"/>
  <c r="V162" i="22"/>
  <c r="AE292" i="22"/>
  <c r="AA292" i="22"/>
  <c r="AE231" i="22"/>
  <c r="AA231" i="22"/>
  <c r="AA191" i="22"/>
  <c r="AE191" i="22"/>
  <c r="AA132" i="22"/>
  <c r="AE132" i="22"/>
  <c r="AE20" i="22"/>
  <c r="AA20" i="22"/>
  <c r="AE180" i="22"/>
  <c r="AA180" i="22"/>
  <c r="AE71" i="22"/>
  <c r="AA71" i="22"/>
  <c r="S71" i="22"/>
  <c r="AG343" i="22"/>
  <c r="AC343" i="22"/>
  <c r="Y343" i="22"/>
  <c r="AA78" i="22"/>
  <c r="AE78" i="22"/>
  <c r="AE296" i="22"/>
  <c r="AA296" i="22"/>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E83" i="22"/>
  <c r="AA83" i="22"/>
  <c r="AG345" i="22"/>
  <c r="AC345" i="22"/>
  <c r="Y345" i="22"/>
  <c r="AE109" i="22"/>
  <c r="AA109" i="22"/>
  <c r="AE179" i="22"/>
  <c r="AA179" i="22"/>
  <c r="AA43" i="22"/>
  <c r="AE43" i="22"/>
  <c r="AA72" i="22"/>
  <c r="AE72" i="22"/>
  <c r="AE355" i="22"/>
  <c r="AA355" i="22"/>
  <c r="S355" i="22"/>
  <c r="AE259" i="22"/>
  <c r="AA259"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G350" i="22"/>
  <c r="AC350" i="22"/>
  <c r="Y350" i="22"/>
  <c r="AE353" i="22"/>
  <c r="AA353" i="22"/>
  <c r="S353" i="22"/>
  <c r="AA359" i="22"/>
  <c r="AE359" i="22"/>
  <c r="S359" i="22"/>
  <c r="AE104" i="22"/>
  <c r="AA104" i="22"/>
  <c r="AE282" i="22"/>
  <c r="AA282" i="22"/>
  <c r="AE197" i="22"/>
  <c r="AA197" i="22"/>
  <c r="AA204" i="22"/>
  <c r="AE204" i="22"/>
  <c r="AE23" i="22"/>
  <c r="AA23" i="22"/>
  <c r="S23" i="22"/>
  <c r="AU23" i="22" s="1"/>
  <c r="AA265" i="22"/>
  <c r="AE265" i="22"/>
  <c r="AG332" i="22"/>
  <c r="AC332" i="22"/>
  <c r="AF169" i="22"/>
  <c r="AB169" i="22"/>
  <c r="AE226" i="22"/>
  <c r="AA226" i="22"/>
  <c r="AE228" i="22"/>
  <c r="AA228" i="22"/>
  <c r="S233" i="22"/>
  <c r="AE233" i="22"/>
  <c r="AA233" i="22"/>
  <c r="AC330" i="22"/>
  <c r="AG330" i="22"/>
  <c r="Y330" i="22"/>
  <c r="AA168" i="22"/>
  <c r="AE168" i="22"/>
  <c r="AE255" i="22"/>
  <c r="AA255" i="22"/>
  <c r="AF116" i="22"/>
  <c r="AB116" i="22"/>
  <c r="V116" i="22"/>
  <c r="Q334" i="22"/>
  <c r="R334" i="22" s="1"/>
  <c r="Q15" i="22"/>
  <c r="AF162" i="21"/>
  <c r="M162" i="22" s="1"/>
  <c r="W162" i="22" s="1"/>
  <c r="I347" i="22"/>
  <c r="AJ347" i="22" s="1"/>
  <c r="AR347" i="22" s="1"/>
  <c r="H409" i="28" s="1"/>
  <c r="I331" i="22"/>
  <c r="AF169" i="21"/>
  <c r="M169" i="22" s="1"/>
  <c r="W169" i="22" s="1"/>
  <c r="Z116" i="21"/>
  <c r="I116" i="22" s="1"/>
  <c r="Q116" i="22" s="1"/>
  <c r="Z162" i="21"/>
  <c r="I162" i="22" s="1"/>
  <c r="Q162" i="22" s="1"/>
  <c r="I159" i="22"/>
  <c r="Q159" i="22" s="1"/>
  <c r="Q73" i="22"/>
  <c r="I356" i="22"/>
  <c r="AJ356" i="22" s="1"/>
  <c r="AR356" i="22" s="1"/>
  <c r="H418" i="28" s="1"/>
  <c r="I344" i="22"/>
  <c r="AJ344" i="22" s="1"/>
  <c r="AR344" i="22" s="1"/>
  <c r="H406" i="28" s="1"/>
  <c r="AF57" i="21"/>
  <c r="M135" i="21"/>
  <c r="AV135" i="21" s="1"/>
  <c r="M116" i="21"/>
  <c r="AV116" i="21" s="1"/>
  <c r="H35" i="12"/>
  <c r="AU15" i="22"/>
  <c r="J33" i="28" s="1"/>
  <c r="AS15" i="22"/>
  <c r="G33" i="28" s="1"/>
  <c r="Q32" i="22"/>
  <c r="R32" i="22" s="1"/>
  <c r="AJ32" i="22"/>
  <c r="AR32" i="22" s="1"/>
  <c r="H50" i="28" s="1"/>
  <c r="BG15" i="22"/>
  <c r="AB33" i="28" s="1"/>
  <c r="Q27" i="22"/>
  <c r="R27" i="22" s="1"/>
  <c r="AJ27" i="22"/>
  <c r="AR27" i="22" s="1"/>
  <c r="H45" i="28" s="1"/>
  <c r="BA15" i="22"/>
  <c r="S33" i="28" s="1"/>
  <c r="AT15" i="22"/>
  <c r="I33" i="28" s="1"/>
  <c r="K33" i="28" s="1"/>
  <c r="Q17" i="22"/>
  <c r="AJ17" i="22"/>
  <c r="AR17" i="22" s="1"/>
  <c r="H35" i="28" s="1"/>
  <c r="Q14" i="22"/>
  <c r="R14" i="22" s="1"/>
  <c r="U222" i="12"/>
  <c r="BF188" i="22"/>
  <c r="AA220" i="28" s="1"/>
  <c r="AC220" i="28" s="1"/>
  <c r="AZ283" i="22"/>
  <c r="R335" i="28" s="1"/>
  <c r="T335" i="28" s="1"/>
  <c r="BF84" i="22"/>
  <c r="AA110" i="28" s="1"/>
  <c r="AC110" i="28" s="1"/>
  <c r="AZ307" i="22"/>
  <c r="R361" i="28" s="1"/>
  <c r="T361" i="28" s="1"/>
  <c r="AZ272" i="22"/>
  <c r="R320" i="28" s="1"/>
  <c r="T320" i="28" s="1"/>
  <c r="T188" i="12"/>
  <c r="M363" i="12"/>
  <c r="U322" i="12"/>
  <c r="BF273" i="22"/>
  <c r="AA321" i="28" s="1"/>
  <c r="AC321" i="28" s="1"/>
  <c r="M221" i="12"/>
  <c r="M222" i="12"/>
  <c r="E74" i="12"/>
  <c r="BF183" i="22"/>
  <c r="AA215" i="28" s="1"/>
  <c r="AC215" i="28" s="1"/>
  <c r="M228" i="12"/>
  <c r="U323"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D188" i="12"/>
  <c r="M287" i="12"/>
  <c r="M248" i="12"/>
  <c r="U337" i="12"/>
  <c r="U338" i="12"/>
  <c r="L185" i="12"/>
  <c r="D321" i="12"/>
  <c r="L321" i="12"/>
  <c r="AZ301" i="22"/>
  <c r="R353" i="28" s="1"/>
  <c r="T353" i="28" s="1"/>
  <c r="Q12" i="22"/>
  <c r="AJ12" i="22"/>
  <c r="AR12" i="22" s="1"/>
  <c r="D185" i="12"/>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I337" i="22"/>
  <c r="AJ337" i="22" s="1"/>
  <c r="AR337" i="22" s="1"/>
  <c r="H399" i="28" s="1"/>
  <c r="I352" i="22"/>
  <c r="AJ352" i="22" s="1"/>
  <c r="AR352" i="22" s="1"/>
  <c r="H414" i="28" s="1"/>
  <c r="Q332" i="22"/>
  <c r="I335" i="22"/>
  <c r="AJ335" i="22" s="1"/>
  <c r="AR335" i="22" s="1"/>
  <c r="H397" i="28" s="1"/>
  <c r="Z112" i="21"/>
  <c r="I112" i="22" s="1"/>
  <c r="Q112" i="22" s="1"/>
  <c r="I36" i="22"/>
  <c r="Z169" i="21"/>
  <c r="I169" i="22" s="1"/>
  <c r="Q169" i="22" s="1"/>
  <c r="AI116" i="22"/>
  <c r="AJ116" i="22" s="1"/>
  <c r="AR116" i="22" s="1"/>
  <c r="H144" i="28" s="1"/>
  <c r="C116" i="22"/>
  <c r="AQ116" i="22" s="1"/>
  <c r="D144" i="28" s="1"/>
  <c r="AI135" i="22"/>
  <c r="AJ135" i="22" s="1"/>
  <c r="AR135" i="22" s="1"/>
  <c r="H165" i="28" s="1"/>
  <c r="C135" i="22"/>
  <c r="AQ135" i="22" s="1"/>
  <c r="D165" i="28" s="1"/>
  <c r="AH361" i="21"/>
  <c r="AE360" i="21"/>
  <c r="G360" i="21" s="1"/>
  <c r="I342" i="22"/>
  <c r="AJ342" i="22" s="1"/>
  <c r="AR342" i="22" s="1"/>
  <c r="H404" i="28" s="1"/>
  <c r="Z74" i="21"/>
  <c r="I74" i="22" s="1"/>
  <c r="Q74" i="22" s="1"/>
  <c r="I351" i="22"/>
  <c r="AJ351" i="22" s="1"/>
  <c r="AR351" i="22" s="1"/>
  <c r="H413" i="28" s="1"/>
  <c r="I328" i="22"/>
  <c r="AJ328" i="22" s="1"/>
  <c r="AR328" i="22" s="1"/>
  <c r="H390" i="28" s="1"/>
  <c r="Q76" i="22"/>
  <c r="Z79" i="21"/>
  <c r="I79" i="22" s="1"/>
  <c r="Q79" i="22" s="1"/>
  <c r="I37" i="22"/>
  <c r="AE361" i="21"/>
  <c r="I38" i="22"/>
  <c r="Z54" i="21"/>
  <c r="I54" i="22"/>
  <c r="Q54" i="22" s="1"/>
  <c r="I35" i="22"/>
  <c r="I42" i="22"/>
  <c r="I40" i="22"/>
  <c r="I39" i="22"/>
  <c r="Z51" i="21"/>
  <c r="I51" i="22"/>
  <c r="AC49" i="21"/>
  <c r="AH360" i="21"/>
  <c r="I360" i="21" s="1"/>
  <c r="I41" i="22"/>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J51" i="22"/>
  <c r="AR51" i="22" s="1"/>
  <c r="H73" i="28" s="1"/>
  <c r="AP52" i="22"/>
  <c r="E74" i="28" s="1"/>
  <c r="AJ52" i="22"/>
  <c r="AR52" i="22" s="1"/>
  <c r="H74" i="28" s="1"/>
  <c r="AP53" i="22"/>
  <c r="E75" i="28" s="1"/>
  <c r="AJ53" i="22"/>
  <c r="AR53" i="22" s="1"/>
  <c r="H75" i="28" s="1"/>
  <c r="AT336" i="22"/>
  <c r="I398" i="28" s="1"/>
  <c r="K398" i="28" s="1"/>
  <c r="AP55" i="22"/>
  <c r="E77" i="28" s="1"/>
  <c r="AJ55" i="22"/>
  <c r="AR55" i="22" s="1"/>
  <c r="H77" i="28" s="1"/>
  <c r="AP54" i="22"/>
  <c r="E76" i="28" s="1"/>
  <c r="AJ54" i="22"/>
  <c r="AR54" i="22" s="1"/>
  <c r="H76" i="28" s="1"/>
  <c r="AP56" i="22"/>
  <c r="E78" i="28" s="1"/>
  <c r="AJ56" i="22"/>
  <c r="AR56" i="22" s="1"/>
  <c r="H78" i="28" s="1"/>
  <c r="AS336" i="22"/>
  <c r="G398" i="28" s="1"/>
  <c r="H400" i="12"/>
  <c r="AS329" i="22"/>
  <c r="G391" i="28" s="1"/>
  <c r="H393" i="12"/>
  <c r="AS334" i="22"/>
  <c r="G396" i="28" s="1"/>
  <c r="H398" i="12"/>
  <c r="AR330" i="22"/>
  <c r="H392" i="28" s="1"/>
  <c r="Q330" i="22"/>
  <c r="R330" i="22" s="1"/>
  <c r="I350" i="22"/>
  <c r="AJ350" i="22" s="1"/>
  <c r="AS332" i="22"/>
  <c r="G394" i="28" s="1"/>
  <c r="H396" i="12"/>
  <c r="AR327" i="22"/>
  <c r="H389" i="28" s="1"/>
  <c r="Q327" i="22"/>
  <c r="R327" i="22" s="1"/>
  <c r="I343" i="22"/>
  <c r="AJ343" i="22" s="1"/>
  <c r="I345" i="22"/>
  <c r="AJ345" i="22" s="1"/>
  <c r="AR154" i="22"/>
  <c r="H186" i="28" s="1"/>
  <c r="AP154" i="22"/>
  <c r="E186" i="28" s="1"/>
  <c r="G112" i="22"/>
  <c r="BC112" i="22" s="1"/>
  <c r="V140" i="28" s="1"/>
  <c r="AM112" i="22"/>
  <c r="AN112" i="22" s="1"/>
  <c r="BD154" i="22"/>
  <c r="Z186" i="28" s="1"/>
  <c r="BB154" i="22"/>
  <c r="W186" i="28" s="1"/>
  <c r="C157" i="22"/>
  <c r="AQ157" i="22" s="1"/>
  <c r="D189" i="28" s="1"/>
  <c r="AI157" i="22"/>
  <c r="AJ157" i="22" s="1"/>
  <c r="AR151" i="22"/>
  <c r="H183" i="28" s="1"/>
  <c r="AP151" i="22"/>
  <c r="E183" i="28" s="1"/>
  <c r="M151" i="22"/>
  <c r="W151" i="22" s="1"/>
  <c r="G116" i="22"/>
  <c r="BC116" i="22" s="1"/>
  <c r="V144" i="28" s="1"/>
  <c r="AM116" i="22"/>
  <c r="AN116" i="22" s="1"/>
  <c r="Q149" i="22"/>
  <c r="AX151" i="22"/>
  <c r="Q183" i="28" s="1"/>
  <c r="AV151" i="22"/>
  <c r="N183" i="28" s="1"/>
  <c r="AF123" i="21"/>
  <c r="M123" i="22" s="1"/>
  <c r="W123" i="22" s="1"/>
  <c r="M112" i="22"/>
  <c r="W112" i="22"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Q52" i="22"/>
  <c r="M74" i="22"/>
  <c r="W74" i="22" s="1"/>
  <c r="C79" i="22"/>
  <c r="AQ79" i="22" s="1"/>
  <c r="D105" i="28" s="1"/>
  <c r="AI79" i="22"/>
  <c r="AJ79" i="22" s="1"/>
  <c r="C112" i="22"/>
  <c r="AQ112" i="22" s="1"/>
  <c r="D140" i="28" s="1"/>
  <c r="AI112" i="22"/>
  <c r="AJ112" i="22" s="1"/>
  <c r="Q50" i="22"/>
  <c r="AR50" i="22"/>
  <c r="H72" i="28" s="1"/>
  <c r="Q53" i="22"/>
  <c r="AC123" i="21"/>
  <c r="K123" i="22" s="1"/>
  <c r="T123" i="22" s="1"/>
  <c r="G135" i="22"/>
  <c r="BC135" i="22" s="1"/>
  <c r="V165" i="28" s="1"/>
  <c r="AM135" i="22"/>
  <c r="AN135" i="22" s="1"/>
  <c r="K79" i="22"/>
  <c r="T79" i="22" s="1"/>
  <c r="M79" i="22"/>
  <c r="W79" i="22" s="1"/>
  <c r="E112" i="22"/>
  <c r="AW112" i="22" s="1"/>
  <c r="M140" i="28" s="1"/>
  <c r="AK112" i="22"/>
  <c r="AL112" i="22" s="1"/>
  <c r="Q55" i="22"/>
  <c r="O74" i="21"/>
  <c r="D74" i="22"/>
  <c r="U74" i="22" s="1"/>
  <c r="E135" i="22"/>
  <c r="AW135" i="22" s="1"/>
  <c r="M165" i="28" s="1"/>
  <c r="AK135" i="22"/>
  <c r="AL135" i="22" s="1"/>
  <c r="E116" i="22"/>
  <c r="AW116" i="22" s="1"/>
  <c r="M144" i="28" s="1"/>
  <c r="AK116" i="22"/>
  <c r="AL116" i="22" s="1"/>
  <c r="Q56" i="22"/>
  <c r="I361" i="21"/>
  <c r="F361" i="22" s="1"/>
  <c r="X361" i="22" s="1"/>
  <c r="F360" i="22"/>
  <c r="X360" i="22" s="1"/>
  <c r="AF49" i="21"/>
  <c r="M49" i="22" s="1"/>
  <c r="AD49" i="21"/>
  <c r="G49" i="21" s="1"/>
  <c r="M157" i="21"/>
  <c r="AV157" i="21" s="1"/>
  <c r="M154" i="21"/>
  <c r="AV154" i="21" s="1"/>
  <c r="M79" i="21"/>
  <c r="AV79" i="21" s="1"/>
  <c r="W333" i="22" l="1"/>
  <c r="X333" i="22" s="1"/>
  <c r="AN333" i="22"/>
  <c r="BD333" i="22" s="1"/>
  <c r="W348" i="22"/>
  <c r="X348" i="22" s="1"/>
  <c r="AN348" i="22"/>
  <c r="BD348" i="22" s="1"/>
  <c r="W327" i="22"/>
  <c r="X327" i="22" s="1"/>
  <c r="AN327" i="22"/>
  <c r="BD327" i="22" s="1"/>
  <c r="Q41" i="22"/>
  <c r="AJ41" i="22"/>
  <c r="AR41" i="22" s="1"/>
  <c r="H61" i="28" s="1"/>
  <c r="Q39" i="22"/>
  <c r="AJ39" i="22"/>
  <c r="AR39" i="22" s="1"/>
  <c r="H59" i="28" s="1"/>
  <c r="Q40" i="22"/>
  <c r="AJ40" i="22"/>
  <c r="AR40" i="22" s="1"/>
  <c r="H60" i="28" s="1"/>
  <c r="Q42" i="22"/>
  <c r="AJ42" i="22"/>
  <c r="AR42" i="22" s="1"/>
  <c r="H62" i="28" s="1"/>
  <c r="Q35" i="22"/>
  <c r="AJ35" i="22"/>
  <c r="AR35" i="22" s="1"/>
  <c r="H55" i="28" s="1"/>
  <c r="Q38" i="22"/>
  <c r="AJ38" i="22"/>
  <c r="AR38" i="22" s="1"/>
  <c r="H58" i="28" s="1"/>
  <c r="Q37" i="22"/>
  <c r="AJ37" i="22"/>
  <c r="AR37" i="22" s="1"/>
  <c r="H57" i="28" s="1"/>
  <c r="Q36" i="22"/>
  <c r="AJ36" i="22"/>
  <c r="AR36" i="22" s="1"/>
  <c r="H56" i="28" s="1"/>
  <c r="M57" i="22"/>
  <c r="AG57" i="21"/>
  <c r="I57" i="21" s="1"/>
  <c r="E360" i="21"/>
  <c r="Q13" i="22"/>
  <c r="AJ13" i="22"/>
  <c r="AR13" i="22" s="1"/>
  <c r="Q28" i="22"/>
  <c r="AJ28" i="22"/>
  <c r="AR28" i="22" s="1"/>
  <c r="H40" i="28"/>
  <c r="AT22" i="22"/>
  <c r="AU22" i="22"/>
  <c r="AS22" i="22"/>
  <c r="H42" i="12"/>
  <c r="G26" i="12"/>
  <c r="G24" i="28"/>
  <c r="R26" i="12"/>
  <c r="S24" i="28"/>
  <c r="Z26" i="12"/>
  <c r="AB24" i="28"/>
  <c r="I26" i="12"/>
  <c r="I24" i="28"/>
  <c r="J26" i="12"/>
  <c r="J24" i="28"/>
  <c r="G27" i="12"/>
  <c r="G25" i="28"/>
  <c r="Z27" i="12"/>
  <c r="AB25" i="28"/>
  <c r="R27" i="12"/>
  <c r="S25" i="28"/>
  <c r="J27" i="12"/>
  <c r="J25" i="28"/>
  <c r="I25" i="28"/>
  <c r="I27" i="12"/>
  <c r="P33" i="28"/>
  <c r="O35" i="12"/>
  <c r="Y33" i="28"/>
  <c r="W35" i="12"/>
  <c r="E34" i="28"/>
  <c r="AH34" i="28" s="1"/>
  <c r="E36" i="12"/>
  <c r="H34" i="28"/>
  <c r="AT16" i="22"/>
  <c r="AS16" i="22"/>
  <c r="H36" i="12"/>
  <c r="G36" i="28"/>
  <c r="G38" i="12"/>
  <c r="S36" i="28"/>
  <c r="R38" i="12"/>
  <c r="AB36" i="28"/>
  <c r="Z38" i="12"/>
  <c r="J36" i="28"/>
  <c r="J38" i="12"/>
  <c r="I36" i="28"/>
  <c r="K36" i="28" s="1"/>
  <c r="I38" i="12"/>
  <c r="N36" i="28"/>
  <c r="M38" i="12"/>
  <c r="Q36" i="28"/>
  <c r="AZ18" i="22"/>
  <c r="AY18" i="22"/>
  <c r="P38" i="12"/>
  <c r="W36" i="28"/>
  <c r="U38" i="12"/>
  <c r="Z36" i="28"/>
  <c r="BF18" i="22"/>
  <c r="BE18" i="22"/>
  <c r="X38" i="12"/>
  <c r="G37" i="28"/>
  <c r="G39" i="12"/>
  <c r="S37" i="28"/>
  <c r="R39" i="12"/>
  <c r="AB37" i="28"/>
  <c r="Z39" i="12"/>
  <c r="I37" i="28"/>
  <c r="K37" i="28" s="1"/>
  <c r="I39" i="12"/>
  <c r="J37" i="28"/>
  <c r="J39" i="12"/>
  <c r="N37" i="28"/>
  <c r="M39" i="12"/>
  <c r="Q37" i="28"/>
  <c r="AZ19" i="22"/>
  <c r="AY19" i="22"/>
  <c r="P39" i="12"/>
  <c r="W37" i="28"/>
  <c r="U39" i="12"/>
  <c r="Z37" i="28"/>
  <c r="BF19" i="22"/>
  <c r="BE19" i="22"/>
  <c r="X39" i="12"/>
  <c r="G38" i="28"/>
  <c r="G40" i="12"/>
  <c r="S38" i="28"/>
  <c r="R40" i="12"/>
  <c r="AB38" i="28"/>
  <c r="Z40" i="12"/>
  <c r="J38" i="28"/>
  <c r="J40" i="12"/>
  <c r="I38" i="28"/>
  <c r="K38" i="28" s="1"/>
  <c r="I40" i="12"/>
  <c r="P38" i="28"/>
  <c r="O40" i="12"/>
  <c r="R38" i="28"/>
  <c r="T38" i="28" s="1"/>
  <c r="Q40" i="12"/>
  <c r="Y38" i="28"/>
  <c r="W40" i="12"/>
  <c r="AA38" i="28"/>
  <c r="AC38" i="28" s="1"/>
  <c r="Y40" i="12"/>
  <c r="AE21" i="22"/>
  <c r="AA21" i="22"/>
  <c r="S21" i="22"/>
  <c r="H39" i="28"/>
  <c r="AT21" i="22"/>
  <c r="AU21" i="22"/>
  <c r="J39" i="28" s="1"/>
  <c r="AS21" i="22"/>
  <c r="H41" i="12"/>
  <c r="N39" i="28"/>
  <c r="M41" i="12"/>
  <c r="W39" i="28"/>
  <c r="U41" i="12"/>
  <c r="G41" i="28"/>
  <c r="G43" i="12"/>
  <c r="J41" i="28"/>
  <c r="J43" i="12"/>
  <c r="I41" i="28"/>
  <c r="K41" i="28" s="1"/>
  <c r="I43" i="12"/>
  <c r="G42" i="28"/>
  <c r="G44" i="12"/>
  <c r="S42" i="28"/>
  <c r="R44" i="12"/>
  <c r="AB42" i="28"/>
  <c r="Z44" i="12"/>
  <c r="J42" i="28"/>
  <c r="J44" i="12"/>
  <c r="I42" i="28"/>
  <c r="K42" i="28" s="1"/>
  <c r="I44" i="12"/>
  <c r="P42" i="28"/>
  <c r="O44" i="12"/>
  <c r="R42" i="28"/>
  <c r="T42" i="28" s="1"/>
  <c r="Q44" i="12"/>
  <c r="Y42" i="28"/>
  <c r="W44" i="12"/>
  <c r="AA42" i="28"/>
  <c r="AC42" i="28" s="1"/>
  <c r="Y44" i="12"/>
  <c r="G43" i="28"/>
  <c r="G45" i="12"/>
  <c r="S43" i="28"/>
  <c r="R45" i="12"/>
  <c r="AB43" i="28"/>
  <c r="Z45" i="12"/>
  <c r="J43" i="28"/>
  <c r="J45" i="12"/>
  <c r="I43" i="28"/>
  <c r="K43" i="28" s="1"/>
  <c r="I45" i="12"/>
  <c r="P43" i="28"/>
  <c r="O45" i="12"/>
  <c r="R43" i="28"/>
  <c r="T43" i="28" s="1"/>
  <c r="Q45" i="12"/>
  <c r="Y43" i="28"/>
  <c r="W45" i="12"/>
  <c r="AA43" i="28"/>
  <c r="AC43" i="28" s="1"/>
  <c r="Y45" i="12"/>
  <c r="G44" i="28"/>
  <c r="G46" i="12"/>
  <c r="I44" i="28"/>
  <c r="K44" i="28" s="1"/>
  <c r="I46" i="12"/>
  <c r="J44" i="28"/>
  <c r="J46" i="12"/>
  <c r="G47" i="28"/>
  <c r="G49" i="12"/>
  <c r="S47" i="28"/>
  <c r="R49" i="12"/>
  <c r="AB47" i="28"/>
  <c r="Z49" i="12"/>
  <c r="I47" i="28"/>
  <c r="K47" i="28" s="1"/>
  <c r="I49" i="12"/>
  <c r="J47" i="28"/>
  <c r="J49" i="12"/>
  <c r="P47" i="28"/>
  <c r="O49" i="12"/>
  <c r="R47" i="28"/>
  <c r="T47" i="28" s="1"/>
  <c r="Q49" i="12"/>
  <c r="Y47" i="28"/>
  <c r="W49" i="12"/>
  <c r="AA47" i="28"/>
  <c r="AC47" i="28" s="1"/>
  <c r="Y49" i="12"/>
  <c r="G48" i="28"/>
  <c r="G50" i="12"/>
  <c r="AB48" i="28"/>
  <c r="Z50" i="12"/>
  <c r="S48" i="28"/>
  <c r="R50" i="12"/>
  <c r="J48" i="28"/>
  <c r="J50" i="12"/>
  <c r="I48" i="28"/>
  <c r="K48" i="28" s="1"/>
  <c r="I50" i="12"/>
  <c r="P48" i="28"/>
  <c r="O50" i="12"/>
  <c r="Y48" i="28"/>
  <c r="W50" i="12"/>
  <c r="G49" i="28"/>
  <c r="G51" i="12"/>
  <c r="AB49" i="28"/>
  <c r="Z51" i="12"/>
  <c r="S49" i="28"/>
  <c r="R51" i="12"/>
  <c r="I49" i="28"/>
  <c r="K49" i="28" s="1"/>
  <c r="I51" i="12"/>
  <c r="J49" i="28"/>
  <c r="J51" i="12"/>
  <c r="P49" i="28"/>
  <c r="O51" i="12"/>
  <c r="Y49" i="28"/>
  <c r="W51" i="12"/>
  <c r="E53" i="28"/>
  <c r="E55" i="12"/>
  <c r="H53" i="28"/>
  <c r="AT33" i="22"/>
  <c r="AU33" i="22"/>
  <c r="BA33" i="22"/>
  <c r="BG33" i="22"/>
  <c r="AS33" i="22"/>
  <c r="H55" i="12"/>
  <c r="N53" i="28"/>
  <c r="M55" i="12"/>
  <c r="W53" i="28"/>
  <c r="U55" i="12"/>
  <c r="E54" i="28"/>
  <c r="E56" i="12"/>
  <c r="H54" i="28"/>
  <c r="AT34" i="22"/>
  <c r="AU34" i="22"/>
  <c r="BA34" i="22"/>
  <c r="BG34" i="22"/>
  <c r="AS34" i="22"/>
  <c r="H56" i="12"/>
  <c r="N54" i="28"/>
  <c r="M56" i="12"/>
  <c r="W54" i="28"/>
  <c r="U56" i="12"/>
  <c r="N72" i="28"/>
  <c r="AH72" i="28" s="1"/>
  <c r="M74" i="12"/>
  <c r="N73" i="28"/>
  <c r="M75" i="12"/>
  <c r="N74" i="28"/>
  <c r="M76" i="12"/>
  <c r="N75" i="28"/>
  <c r="M77" i="12"/>
  <c r="N76" i="28"/>
  <c r="M78" i="12"/>
  <c r="N77" i="28"/>
  <c r="M79" i="12"/>
  <c r="N78" i="28"/>
  <c r="M80" i="12"/>
  <c r="E82" i="28"/>
  <c r="E84" i="12"/>
  <c r="H82" i="28"/>
  <c r="AU58" i="22"/>
  <c r="AT58" i="22"/>
  <c r="BG58" i="22"/>
  <c r="BA58" i="22"/>
  <c r="AS58" i="22"/>
  <c r="H84" i="12"/>
  <c r="AH27" i="28"/>
  <c r="AA18" i="22"/>
  <c r="D154" i="22"/>
  <c r="U154" i="22" s="1"/>
  <c r="AA19" i="22"/>
  <c r="Q151" i="21"/>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416" i="28"/>
  <c r="AZ354" i="22"/>
  <c r="AY354" i="22"/>
  <c r="P418"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Z416" i="28"/>
  <c r="X418" i="12"/>
  <c r="BE354" i="22"/>
  <c r="BF354" i="22"/>
  <c r="W259" i="28"/>
  <c r="U261" i="12"/>
  <c r="N405" i="28"/>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W339" i="28"/>
  <c r="U341" i="12"/>
  <c r="N249" i="28"/>
  <c r="M251" i="12"/>
  <c r="I330" i="28"/>
  <c r="K330" i="28" s="1"/>
  <c r="I332" i="12"/>
  <c r="S232" i="28"/>
  <c r="R234" i="12"/>
  <c r="N404" i="28"/>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W405" i="28"/>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Z211" i="28"/>
  <c r="BF179" i="22"/>
  <c r="AA211" i="28" s="1"/>
  <c r="X213" i="12"/>
  <c r="BE179" i="22"/>
  <c r="Z209" i="28"/>
  <c r="BF177" i="22"/>
  <c r="BE177" i="22"/>
  <c r="X211" i="12"/>
  <c r="W420" i="28"/>
  <c r="U422" i="12"/>
  <c r="N88" i="28"/>
  <c r="M90" i="12"/>
  <c r="Z398" i="28"/>
  <c r="BE336" i="22"/>
  <c r="X400" i="12"/>
  <c r="BF336" i="22"/>
  <c r="Z339" i="28"/>
  <c r="BF287" i="22"/>
  <c r="BE287" i="22"/>
  <c r="X341" i="12"/>
  <c r="Q249" i="28"/>
  <c r="AZ213" i="22"/>
  <c r="AY213" i="22"/>
  <c r="P251" i="12"/>
  <c r="W117" i="28"/>
  <c r="U119" i="12"/>
  <c r="J232" i="28"/>
  <c r="J234" i="1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W342" i="28"/>
  <c r="U344" i="12"/>
  <c r="Q307" i="28"/>
  <c r="AZ263" i="22"/>
  <c r="AY263" i="22"/>
  <c r="P309" i="12"/>
  <c r="Q326" i="28"/>
  <c r="AZ276" i="22"/>
  <c r="P328" i="12"/>
  <c r="AY276" i="22"/>
  <c r="Z395" i="28"/>
  <c r="BF333" i="22"/>
  <c r="BE333" i="22"/>
  <c r="X397" i="12"/>
  <c r="Z405" i="28"/>
  <c r="X407" i="12"/>
  <c r="BF343" i="22"/>
  <c r="BE343"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Z407" i="28"/>
  <c r="BE345" i="22"/>
  <c r="BF345" i="22"/>
  <c r="X409"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Z123" i="28"/>
  <c r="BE97" i="22"/>
  <c r="X125" i="12"/>
  <c r="BF97" i="22"/>
  <c r="Z390" i="28"/>
  <c r="BF328" i="22"/>
  <c r="BE328" i="22"/>
  <c r="X392" i="12"/>
  <c r="G368" i="28"/>
  <c r="G370" i="12"/>
  <c r="Q114" i="28"/>
  <c r="AY88" i="22"/>
  <c r="P116" i="12"/>
  <c r="AZ88" i="22"/>
  <c r="R114" i="28" s="1"/>
  <c r="Z406" i="28"/>
  <c r="BF344" i="22"/>
  <c r="X408" i="12"/>
  <c r="BE344" i="22"/>
  <c r="H139" i="28"/>
  <c r="BG111" i="22"/>
  <c r="BA111" i="22"/>
  <c r="AU111" i="22"/>
  <c r="AT111" i="22"/>
  <c r="H141" i="12"/>
  <c r="AS111" i="22"/>
  <c r="Q280" i="28"/>
  <c r="AY240" i="22"/>
  <c r="P282" i="12"/>
  <c r="AZ240" i="22"/>
  <c r="Z401" i="28"/>
  <c r="BF339" i="22"/>
  <c r="BE339" i="22"/>
  <c r="X403" i="12"/>
  <c r="H371" i="28"/>
  <c r="AT315" i="22"/>
  <c r="BG315" i="22"/>
  <c r="BA315" i="22"/>
  <c r="AU315" i="22"/>
  <c r="H373" i="12"/>
  <c r="AS315" i="22"/>
  <c r="Z393" i="28"/>
  <c r="BF331" i="22"/>
  <c r="BE331" i="22"/>
  <c r="X395" i="1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Z420" i="28"/>
  <c r="BE358" i="22"/>
  <c r="X422" i="12"/>
  <c r="BF358" i="22"/>
  <c r="S330" i="28"/>
  <c r="R332" i="12"/>
  <c r="N270" i="28"/>
  <c r="M272" i="12"/>
  <c r="S272" i="28"/>
  <c r="R274" i="12"/>
  <c r="Q308" i="28"/>
  <c r="AY264" i="22"/>
  <c r="P310" i="12"/>
  <c r="AZ264" i="22"/>
  <c r="W123" i="28"/>
  <c r="U125" i="12"/>
  <c r="Z342" i="28"/>
  <c r="BF290" i="22"/>
  <c r="X344" i="12"/>
  <c r="BE290" i="22"/>
  <c r="N114" i="28"/>
  <c r="M116" i="12"/>
  <c r="W401" i="28"/>
  <c r="U403" i="12"/>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N413" i="28"/>
  <c r="W407" i="28"/>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W406" i="28"/>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U421" i="12"/>
  <c r="W191" i="28"/>
  <c r="U193" i="12"/>
  <c r="Q271" i="28"/>
  <c r="AZ233" i="22"/>
  <c r="AY233" i="22"/>
  <c r="P273" i="12"/>
  <c r="I272" i="28"/>
  <c r="K272" i="28" s="1"/>
  <c r="I274" i="12"/>
  <c r="N329" i="28"/>
  <c r="M331" i="12"/>
  <c r="Z84" i="28"/>
  <c r="BF60" i="22"/>
  <c r="AA84" i="28" s="1"/>
  <c r="BE60" i="22"/>
  <c r="X86" i="12"/>
  <c r="Q198" i="28"/>
  <c r="AZ166" i="22"/>
  <c r="AY166" i="22"/>
  <c r="P200" i="1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E154" i="22"/>
  <c r="AW154" i="22" s="1"/>
  <c r="AK154" i="2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N141" i="28"/>
  <c r="M143" i="12"/>
  <c r="Q230" i="28"/>
  <c r="AZ196" i="22"/>
  <c r="AY196" i="22"/>
  <c r="P232" i="12"/>
  <c r="S108" i="28"/>
  <c r="R110" i="12"/>
  <c r="S84" i="28"/>
  <c r="R86" i="12"/>
  <c r="Z137" i="28"/>
  <c r="BF109" i="22"/>
  <c r="BE109" i="22"/>
  <c r="X139" i="12"/>
  <c r="N104" i="28"/>
  <c r="M106" i="12"/>
  <c r="J94" i="28"/>
  <c r="J96" i="12"/>
  <c r="Q213" i="28"/>
  <c r="AZ181" i="22"/>
  <c r="AY181" i="22"/>
  <c r="P215" i="12"/>
  <c r="Z419" i="28"/>
  <c r="BF357" i="22"/>
  <c r="BE357" i="22"/>
  <c r="X421"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402" i="28"/>
  <c r="AZ340" i="22"/>
  <c r="AY340" i="22"/>
  <c r="P40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U402" i="12"/>
  <c r="N193" i="28"/>
  <c r="M195" i="12"/>
  <c r="Q205" i="28"/>
  <c r="AZ173" i="22"/>
  <c r="P207" i="12"/>
  <c r="AY173" i="22"/>
  <c r="E402" i="28"/>
  <c r="E404" i="12"/>
  <c r="N389" i="28"/>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E401" i="28"/>
  <c r="E403" i="12"/>
  <c r="W229" i="28"/>
  <c r="U231" i="12"/>
  <c r="J116" i="28"/>
  <c r="J118" i="12"/>
  <c r="H136" i="28"/>
  <c r="BA108" i="22"/>
  <c r="BG108" i="22"/>
  <c r="AS108" i="22"/>
  <c r="AT108" i="22"/>
  <c r="H138" i="12"/>
  <c r="AU108" i="22"/>
  <c r="N133" i="28"/>
  <c r="M135" i="12"/>
  <c r="Z118" i="28"/>
  <c r="BF92" i="22"/>
  <c r="BE92" i="22"/>
  <c r="X120" i="12"/>
  <c r="N204" i="28"/>
  <c r="M206" i="12"/>
  <c r="Q415" i="28"/>
  <c r="AZ353" i="22"/>
  <c r="AY353" i="22"/>
  <c r="P417" i="1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AA193" i="28"/>
  <c r="AC193" i="28" s="1"/>
  <c r="Y195"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W207" i="28"/>
  <c r="U209" i="12"/>
  <c r="Q419" i="28"/>
  <c r="AZ357" i="22"/>
  <c r="P421" i="12"/>
  <c r="AY357" i="22"/>
  <c r="H188" i="28"/>
  <c r="BG156" i="22"/>
  <c r="BA156" i="22"/>
  <c r="AU156" i="22"/>
  <c r="AT156" i="22"/>
  <c r="H190" i="12"/>
  <c r="AS156" i="22"/>
  <c r="N282" i="28"/>
  <c r="M284" i="12"/>
  <c r="J358" i="28"/>
  <c r="J360" i="12"/>
  <c r="H65" i="28"/>
  <c r="BA45" i="22"/>
  <c r="BG45" i="22"/>
  <c r="H67" i="12"/>
  <c r="AU45" i="22"/>
  <c r="AT45" i="22"/>
  <c r="AS45" i="22"/>
  <c r="W216" i="28"/>
  <c r="U218" i="12"/>
  <c r="N218" i="28"/>
  <c r="M220" i="12"/>
  <c r="Z400" i="28"/>
  <c r="BF338" i="22"/>
  <c r="BE338" i="22"/>
  <c r="X402" i="12"/>
  <c r="Q193" i="28"/>
  <c r="AY161" i="22"/>
  <c r="P195" i="12"/>
  <c r="AZ161" i="22"/>
  <c r="N223" i="28"/>
  <c r="M225" i="12"/>
  <c r="H402" i="28"/>
  <c r="AT340" i="22"/>
  <c r="AU340" i="22"/>
  <c r="BG340" i="22"/>
  <c r="BA340" i="22"/>
  <c r="AS340" i="22"/>
  <c r="H404"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Y193" i="28"/>
  <c r="W195" i="12"/>
  <c r="E126" i="28"/>
  <c r="E128" i="12"/>
  <c r="W182" i="28"/>
  <c r="U184" i="12"/>
  <c r="W356" i="28"/>
  <c r="U358" i="12"/>
  <c r="H309" i="28"/>
  <c r="BG265" i="22"/>
  <c r="BA265" i="22"/>
  <c r="AT265" i="22"/>
  <c r="AU265" i="22"/>
  <c r="AS265" i="22"/>
  <c r="H311" i="12"/>
  <c r="Z414" i="28"/>
  <c r="BE352" i="22"/>
  <c r="X416" i="12"/>
  <c r="BF352" i="22"/>
  <c r="Z207" i="28"/>
  <c r="BF175" i="22"/>
  <c r="AA207" i="28" s="1"/>
  <c r="BE175" i="22"/>
  <c r="X209" i="12"/>
  <c r="W415" i="28"/>
  <c r="U417" i="12"/>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Z240" i="28"/>
  <c r="BF206" i="22"/>
  <c r="X242" i="12"/>
  <c r="BE206" i="22"/>
  <c r="AB137" i="28"/>
  <c r="Z139" i="12"/>
  <c r="N124" i="28"/>
  <c r="M126" i="12"/>
  <c r="Z404" i="28"/>
  <c r="BF342" i="22"/>
  <c r="BE342" i="22"/>
  <c r="X406" i="12"/>
  <c r="Z197" i="28"/>
  <c r="BF165" i="22"/>
  <c r="BE165" i="22"/>
  <c r="X199" i="12"/>
  <c r="N63" i="28"/>
  <c r="M65" i="12"/>
  <c r="H106" i="28"/>
  <c r="BG80" i="22"/>
  <c r="BA80" i="22"/>
  <c r="AT80" i="22"/>
  <c r="AU80" i="22"/>
  <c r="AS80" i="22"/>
  <c r="H108" i="12"/>
  <c r="W97" i="28"/>
  <c r="U99" i="12"/>
  <c r="E218" i="28"/>
  <c r="E220"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Z415" i="28"/>
  <c r="X417" i="12"/>
  <c r="BF353" i="22"/>
  <c r="BE353" i="2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Q400" i="28"/>
  <c r="AZ338" i="22"/>
  <c r="AY338" i="22"/>
  <c r="P402" i="12"/>
  <c r="I198" i="28"/>
  <c r="K198" i="28" s="1"/>
  <c r="I200" i="12"/>
  <c r="Z229" i="28"/>
  <c r="BE195" i="22"/>
  <c r="X231" i="12"/>
  <c r="BF195" i="22"/>
  <c r="E348" i="28"/>
  <c r="E350" i="12"/>
  <c r="E403" i="28"/>
  <c r="E405" i="12"/>
  <c r="N397" i="28"/>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W374" i="28"/>
  <c r="U376" i="12"/>
  <c r="E182" i="28"/>
  <c r="E184" i="12"/>
  <c r="N121" i="28"/>
  <c r="M123" i="12"/>
  <c r="N408" i="28"/>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Z413" i="28"/>
  <c r="BF351" i="22"/>
  <c r="X415" i="12"/>
  <c r="BE351" i="22"/>
  <c r="H93" i="28"/>
  <c r="AU67" i="22"/>
  <c r="AT67" i="22"/>
  <c r="AS67" i="22"/>
  <c r="H95" i="12"/>
  <c r="BA67" i="22"/>
  <c r="BG67" i="22"/>
  <c r="H265" i="28"/>
  <c r="BA229" i="22"/>
  <c r="BG229" i="22"/>
  <c r="AU229" i="22"/>
  <c r="H267" i="12"/>
  <c r="AS229" i="22"/>
  <c r="AT229" i="22"/>
  <c r="W394" i="28"/>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N295" i="28"/>
  <c r="M297" i="12"/>
  <c r="Z412" i="28"/>
  <c r="X414" i="12"/>
  <c r="BF350" i="22"/>
  <c r="BE350" i="2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200" i="28"/>
  <c r="AY168" i="22"/>
  <c r="P202" i="12"/>
  <c r="AZ168" i="22"/>
  <c r="H234" i="28"/>
  <c r="BG200" i="22"/>
  <c r="BA200" i="22"/>
  <c r="AU200" i="22"/>
  <c r="AT200" i="22"/>
  <c r="H236" i="12"/>
  <c r="AS200" i="22"/>
  <c r="J355" i="28"/>
  <c r="J357" i="12"/>
  <c r="Q66" i="28"/>
  <c r="P68" i="12"/>
  <c r="AZ46" i="22"/>
  <c r="AY46" i="22"/>
  <c r="E331" i="28"/>
  <c r="E333" i="12"/>
  <c r="E199" i="28"/>
  <c r="E201" i="12"/>
  <c r="Q365" i="28"/>
  <c r="P367" i="12"/>
  <c r="AY311" i="22"/>
  <c r="AZ311" i="22"/>
  <c r="Z241" i="28"/>
  <c r="BF207" i="22"/>
  <c r="BE207" i="22"/>
  <c r="X243" i="12"/>
  <c r="Q241" i="28"/>
  <c r="P243" i="12"/>
  <c r="AY207" i="22"/>
  <c r="AZ207" i="22"/>
  <c r="Z402" i="28"/>
  <c r="BF340" i="22"/>
  <c r="BE340" i="22"/>
  <c r="X404" i="12"/>
  <c r="J343" i="28"/>
  <c r="J345" i="12"/>
  <c r="N210" i="28"/>
  <c r="M212" i="12"/>
  <c r="E89" i="28"/>
  <c r="E91" i="12"/>
  <c r="W296" i="28"/>
  <c r="U298" i="12"/>
  <c r="W416" i="28"/>
  <c r="U418" i="12"/>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AB94" i="28"/>
  <c r="Z96" i="12"/>
  <c r="W393" i="28"/>
  <c r="Z120" i="28"/>
  <c r="BF94" i="22"/>
  <c r="X122" i="12"/>
  <c r="BE94" i="22"/>
  <c r="E102" i="28"/>
  <c r="E104" i="12"/>
  <c r="Z87" i="28"/>
  <c r="BF63" i="22"/>
  <c r="AA87" i="28" s="1"/>
  <c r="BE63" i="22"/>
  <c r="X89" i="12"/>
  <c r="E419" i="28"/>
  <c r="E421" i="12"/>
  <c r="W86" i="28"/>
  <c r="U88" i="12"/>
  <c r="W358" i="28"/>
  <c r="U360" i="12"/>
  <c r="N348" i="28"/>
  <c r="M350" i="12"/>
  <c r="Z394" i="28"/>
  <c r="BF332" i="22"/>
  <c r="BE332" i="22"/>
  <c r="X396" i="12"/>
  <c r="H208" i="28"/>
  <c r="AT176" i="22"/>
  <c r="AU176" i="22"/>
  <c r="AS176" i="22"/>
  <c r="H210" i="12"/>
  <c r="BG176" i="22"/>
  <c r="BA176" i="22"/>
  <c r="H204" i="28"/>
  <c r="AU172" i="22"/>
  <c r="AT172" i="22"/>
  <c r="AS172" i="22"/>
  <c r="H206" i="12"/>
  <c r="BA172" i="22"/>
  <c r="BG172" i="22"/>
  <c r="N163" i="28"/>
  <c r="M165" i="12"/>
  <c r="W391" i="28"/>
  <c r="W408" i="28"/>
  <c r="Q303" i="28"/>
  <c r="AZ259" i="22"/>
  <c r="R303" i="28" s="1"/>
  <c r="AY259" i="22"/>
  <c r="P305" i="12"/>
  <c r="N261" i="28"/>
  <c r="M263" i="12"/>
  <c r="J235" i="28"/>
  <c r="J237" i="12"/>
  <c r="N142" i="28"/>
  <c r="M144" i="12"/>
  <c r="H299" i="28"/>
  <c r="BA257" i="22"/>
  <c r="BG257" i="22"/>
  <c r="AT257" i="22"/>
  <c r="AU257" i="22"/>
  <c r="AS257" i="22"/>
  <c r="H301" i="12"/>
  <c r="Y200" i="28"/>
  <c r="W202"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Z391" i="28"/>
  <c r="BE329" i="22"/>
  <c r="X393" i="12"/>
  <c r="BF329" i="22"/>
  <c r="Z408" i="28"/>
  <c r="X410" i="12"/>
  <c r="BF346" i="22"/>
  <c r="BE346" i="22"/>
  <c r="E362" i="28"/>
  <c r="E364" i="12"/>
  <c r="Q261" i="28"/>
  <c r="AZ225" i="22"/>
  <c r="AY225" i="22"/>
  <c r="P263" i="12"/>
  <c r="I235" i="28"/>
  <c r="K235" i="28" s="1"/>
  <c r="I237" i="12"/>
  <c r="Q142" i="28"/>
  <c r="AY114" i="22"/>
  <c r="P144" i="12"/>
  <c r="AZ114" i="22"/>
  <c r="AA200" i="28"/>
  <c r="AC200" i="28" s="1"/>
  <c r="Y202" i="1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Z307" i="28"/>
  <c r="BF263" i="22"/>
  <c r="BE263" i="22"/>
  <c r="X309" i="12"/>
  <c r="Z354" i="28"/>
  <c r="BF302" i="22"/>
  <c r="BE302" i="22"/>
  <c r="X356" i="12"/>
  <c r="Z309" i="28"/>
  <c r="BF265" i="22"/>
  <c r="X311" i="12"/>
  <c r="BE265" i="22"/>
  <c r="N406" i="28"/>
  <c r="S308" i="28"/>
  <c r="R310" i="12"/>
  <c r="N233" i="28"/>
  <c r="M235" i="12"/>
  <c r="Z409" i="28"/>
  <c r="BF347" i="22"/>
  <c r="BE347" i="22"/>
  <c r="X411"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E378" i="28"/>
  <c r="E380" i="12"/>
  <c r="N242" i="28"/>
  <c r="M244" i="12"/>
  <c r="W390" i="28"/>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Q420" i="28"/>
  <c r="AZ358" i="22"/>
  <c r="AY358" i="22"/>
  <c r="P422" i="1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E118" i="28"/>
  <c r="E120" i="12"/>
  <c r="Z67" i="28"/>
  <c r="BF47" i="22"/>
  <c r="BE47" i="22"/>
  <c r="X69" i="12"/>
  <c r="E342" i="28"/>
  <c r="E344" i="12"/>
  <c r="N305" i="28"/>
  <c r="M307" i="12"/>
  <c r="H132" i="28"/>
  <c r="AU106" i="22"/>
  <c r="AT106" i="22"/>
  <c r="BA106" i="22"/>
  <c r="BG106" i="22"/>
  <c r="AS106" i="22"/>
  <c r="H134" i="12"/>
  <c r="S112" i="28"/>
  <c r="R114" i="12"/>
  <c r="E185" i="28"/>
  <c r="E187" i="12"/>
  <c r="W396" i="28"/>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Z418" i="28"/>
  <c r="BF356" i="22"/>
  <c r="BE356" i="22"/>
  <c r="X420" i="12"/>
  <c r="H411" i="28"/>
  <c r="AT349" i="22"/>
  <c r="AS349" i="22"/>
  <c r="H413" i="12"/>
  <c r="E131" i="28"/>
  <c r="E133" i="12"/>
  <c r="H95" i="28"/>
  <c r="H97" i="12"/>
  <c r="AT69" i="22"/>
  <c r="AU69" i="22"/>
  <c r="BA69" i="22"/>
  <c r="BG69" i="22"/>
  <c r="AS69" i="22"/>
  <c r="Z329" i="28"/>
  <c r="BF277" i="22"/>
  <c r="BE277" i="22"/>
  <c r="X331" i="12"/>
  <c r="N265" i="28"/>
  <c r="M267" i="12"/>
  <c r="H118" i="28"/>
  <c r="AT92" i="22"/>
  <c r="AU92" i="22"/>
  <c r="BA92" i="22"/>
  <c r="BG92" i="22"/>
  <c r="H120" i="12"/>
  <c r="AS92" i="22"/>
  <c r="N275" i="28"/>
  <c r="M277" i="12"/>
  <c r="N396" i="28"/>
  <c r="H342" i="28"/>
  <c r="BA290" i="22"/>
  <c r="BG290" i="22"/>
  <c r="AS290" i="22"/>
  <c r="H344" i="12"/>
  <c r="AT290" i="22"/>
  <c r="AU290" i="22"/>
  <c r="Q305" i="28"/>
  <c r="AZ261" i="22"/>
  <c r="R305" i="28" s="1"/>
  <c r="AY261" i="22"/>
  <c r="P307" i="12"/>
  <c r="AB112" i="28"/>
  <c r="Z114" i="12"/>
  <c r="H185" i="28"/>
  <c r="BG153" i="22"/>
  <c r="AT153" i="22"/>
  <c r="BA153" i="22"/>
  <c r="AU153" i="22"/>
  <c r="AS153" i="22"/>
  <c r="H187" i="12"/>
  <c r="Z396" i="28"/>
  <c r="BF334" i="22"/>
  <c r="BE334" i="22"/>
  <c r="X398"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H263" i="28"/>
  <c r="AT227" i="22"/>
  <c r="BA227" i="22"/>
  <c r="AS227" i="22"/>
  <c r="H265" i="12"/>
  <c r="BG227" i="22"/>
  <c r="AU227" i="22"/>
  <c r="G187" i="28"/>
  <c r="G189" i="12"/>
  <c r="W334" i="28"/>
  <c r="U336" i="12"/>
  <c r="Q403" i="28"/>
  <c r="AZ341" i="22"/>
  <c r="AY341" i="22"/>
  <c r="P405"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U419" i="12"/>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Z304" i="28"/>
  <c r="BF260" i="22"/>
  <c r="AA304" i="28" s="1"/>
  <c r="X306" i="12"/>
  <c r="BE260" i="22"/>
  <c r="N296" i="28"/>
  <c r="M298" i="12"/>
  <c r="N244" i="28"/>
  <c r="M246" i="12"/>
  <c r="E373" i="28"/>
  <c r="E375" i="12"/>
  <c r="W275" i="28"/>
  <c r="U277" i="12"/>
  <c r="H271" i="28"/>
  <c r="AT233" i="22"/>
  <c r="AU233" i="22"/>
  <c r="BA233" i="22"/>
  <c r="BG233" i="22"/>
  <c r="AS233" i="22"/>
  <c r="H273" i="12"/>
  <c r="S283" i="28"/>
  <c r="R285" i="12"/>
  <c r="AG327" i="22"/>
  <c r="AC327" i="22"/>
  <c r="Y327" i="22"/>
  <c r="BG327" i="22" s="1"/>
  <c r="AB389" i="28" s="1"/>
  <c r="Z417" i="28"/>
  <c r="BF355" i="22"/>
  <c r="BE355" i="22"/>
  <c r="X419" i="1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AH410" i="28" s="1"/>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Z397" i="28"/>
  <c r="BF335" i="22"/>
  <c r="BE335" i="22"/>
  <c r="X399" i="1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Z389" i="28"/>
  <c r="BE327" i="22"/>
  <c r="X391" i="12"/>
  <c r="BF327" i="22"/>
  <c r="E294" i="28"/>
  <c r="E296"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216" i="28"/>
  <c r="AZ184" i="22"/>
  <c r="AY184" i="22"/>
  <c r="P218" i="12"/>
  <c r="W403" i="28"/>
  <c r="U405" i="12"/>
  <c r="W363" i="28"/>
  <c r="U365" i="12"/>
  <c r="N229" i="28"/>
  <c r="M231" i="12"/>
  <c r="J379" i="28"/>
  <c r="J381" i="12"/>
  <c r="AB288" i="28"/>
  <c r="Z290" i="12"/>
  <c r="H340" i="28"/>
  <c r="AS288" i="22"/>
  <c r="H342" i="12"/>
  <c r="AT288" i="22"/>
  <c r="BG288" i="22"/>
  <c r="AU288" i="22"/>
  <c r="BA288" i="22"/>
  <c r="G103" i="28"/>
  <c r="G105" i="12"/>
  <c r="G198" i="28"/>
  <c r="G200" i="12"/>
  <c r="Z392" i="28"/>
  <c r="BF330" i="22"/>
  <c r="BE330" i="22"/>
  <c r="X394"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AH355" i="28" s="1"/>
  <c r="M357" i="12"/>
  <c r="AE357" i="12" s="1"/>
  <c r="AB228" i="28"/>
  <c r="Z230" i="12"/>
  <c r="H120" i="28"/>
  <c r="AT94" i="22"/>
  <c r="AU94" i="22"/>
  <c r="BA94" i="22"/>
  <c r="BG94" i="22"/>
  <c r="AS94" i="22"/>
  <c r="H122" i="12"/>
  <c r="W63" i="28"/>
  <c r="U65" i="12"/>
  <c r="Z365" i="28"/>
  <c r="BF311" i="22"/>
  <c r="BE311" i="22"/>
  <c r="X367" i="12"/>
  <c r="W340" i="28"/>
  <c r="U342" i="12"/>
  <c r="Q101" i="28"/>
  <c r="AZ75" i="22"/>
  <c r="AY75" i="22"/>
  <c r="P103" i="12"/>
  <c r="Z410" i="28"/>
  <c r="BF348" i="22"/>
  <c r="BE348" i="22"/>
  <c r="X412"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403" i="28"/>
  <c r="BE341" i="22"/>
  <c r="X405" i="12"/>
  <c r="BF341" i="2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Q417" i="28"/>
  <c r="AZ355" i="22"/>
  <c r="AY355" i="22"/>
  <c r="P419" i="12"/>
  <c r="Z141" i="28"/>
  <c r="X143" i="12"/>
  <c r="BF113" i="22"/>
  <c r="BE113" i="22"/>
  <c r="W399" i="28"/>
  <c r="Z244" i="28"/>
  <c r="BF210" i="22"/>
  <c r="BE210" i="22"/>
  <c r="X246" i="12"/>
  <c r="Z264" i="28"/>
  <c r="BF228" i="22"/>
  <c r="BE228" i="22"/>
  <c r="X266" i="12"/>
  <c r="Q297" i="28"/>
  <c r="AY255" i="22"/>
  <c r="AZ255" i="22"/>
  <c r="P299" i="12"/>
  <c r="Q355" i="28"/>
  <c r="AZ303" i="22"/>
  <c r="AY303" i="22"/>
  <c r="P357" i="12"/>
  <c r="N395" i="28"/>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Q401" i="28"/>
  <c r="AZ339" i="22"/>
  <c r="AY339" i="22"/>
  <c r="P403" i="12"/>
  <c r="H194" i="28"/>
  <c r="AT162" i="22"/>
  <c r="AU162" i="22"/>
  <c r="H196" i="12"/>
  <c r="BA162" i="22"/>
  <c r="BG162" i="22"/>
  <c r="AS162" i="22"/>
  <c r="N418" i="28"/>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Z399" i="28"/>
  <c r="BF337" i="22"/>
  <c r="BE337" i="22"/>
  <c r="X401" i="12"/>
  <c r="N187" i="28"/>
  <c r="M189" i="1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E322" i="28"/>
  <c r="E324" i="1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U404" i="12"/>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AH287" i="28" s="1"/>
  <c r="M289" i="12"/>
  <c r="Q120" i="28"/>
  <c r="AZ94" i="22"/>
  <c r="AY94" i="22"/>
  <c r="P122" i="12"/>
  <c r="N394" i="28"/>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H322" i="28"/>
  <c r="H324" i="12"/>
  <c r="AT274" i="22"/>
  <c r="AU274" i="22"/>
  <c r="BG274" i="22"/>
  <c r="BA274" i="22"/>
  <c r="AS274" i="22"/>
  <c r="W389" i="28"/>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AG333" i="22"/>
  <c r="AC333" i="22"/>
  <c r="Y333" i="22"/>
  <c r="AG348" i="22"/>
  <c r="AC348" i="22"/>
  <c r="Y348" i="22"/>
  <c r="AG112" i="22"/>
  <c r="AC112" i="22"/>
  <c r="Y112" i="22"/>
  <c r="AC151" i="22"/>
  <c r="AG151" i="22"/>
  <c r="Y151" i="22"/>
  <c r="AT334" i="22"/>
  <c r="I396" i="28" s="1"/>
  <c r="K396" i="28" s="1"/>
  <c r="AT329" i="22"/>
  <c r="I391" i="28" s="1"/>
  <c r="K391" i="28" s="1"/>
  <c r="AE149" i="22"/>
  <c r="AA149" i="22"/>
  <c r="AC162" i="22"/>
  <c r="AG162" i="22"/>
  <c r="Y162" i="22"/>
  <c r="AE41" i="22"/>
  <c r="AA41" i="22"/>
  <c r="AE79" i="22"/>
  <c r="AA79" i="22"/>
  <c r="S79" i="22"/>
  <c r="AE42" i="22"/>
  <c r="AA42"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E40" i="22"/>
  <c r="AA40" i="22"/>
  <c r="AA76" i="22"/>
  <c r="AE76" i="22"/>
  <c r="AA32" i="22"/>
  <c r="S32" i="22"/>
  <c r="AE32" i="22"/>
  <c r="AE53" i="22"/>
  <c r="AA53" i="22"/>
  <c r="AE36" i="22"/>
  <c r="AA36" i="22"/>
  <c r="AA39" i="22"/>
  <c r="AE39" i="22"/>
  <c r="AE14" i="22"/>
  <c r="AA14" i="22"/>
  <c r="AE37" i="22"/>
  <c r="AA37" i="22"/>
  <c r="AE112" i="22"/>
  <c r="AA112" i="22"/>
  <c r="S112" i="22"/>
  <c r="AA329" i="22"/>
  <c r="AE329" i="22"/>
  <c r="S329" i="22"/>
  <c r="Q347" i="22"/>
  <c r="Q342" i="22"/>
  <c r="R342" i="22" s="1"/>
  <c r="Q331" i="22"/>
  <c r="Q344" i="22"/>
  <c r="R344" i="22" s="1"/>
  <c r="Q337" i="22"/>
  <c r="R337" i="22" s="1"/>
  <c r="Q356" i="22"/>
  <c r="R356" i="22" s="1"/>
  <c r="Z57" i="21"/>
  <c r="AP135" i="22"/>
  <c r="E165" i="28" s="1"/>
  <c r="AP116" i="22"/>
  <c r="E144" i="28" s="1"/>
  <c r="AH172" i="28"/>
  <c r="G35" i="12"/>
  <c r="AH169" i="28"/>
  <c r="J35" i="12"/>
  <c r="I35" i="12"/>
  <c r="R35" i="12"/>
  <c r="Z35" i="12"/>
  <c r="AH321" i="28"/>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6" i="12"/>
  <c r="O320" i="12"/>
  <c r="E188" i="12"/>
  <c r="J396" i="12"/>
  <c r="AH361" i="28"/>
  <c r="W322" i="12"/>
  <c r="J34" i="12"/>
  <c r="W287" i="12"/>
  <c r="Y248" i="12"/>
  <c r="G400" i="12"/>
  <c r="L142" i="12"/>
  <c r="AH110" i="28"/>
  <c r="Z398" i="12"/>
  <c r="E77" i="12"/>
  <c r="E185" i="12"/>
  <c r="R34" i="12"/>
  <c r="O221" i="12"/>
  <c r="AH336" i="28"/>
  <c r="AH226" i="28"/>
  <c r="W222" i="12"/>
  <c r="W363" i="12"/>
  <c r="Z34" i="12"/>
  <c r="W323" i="12"/>
  <c r="D167" i="12"/>
  <c r="W228" i="12"/>
  <c r="O322" i="12"/>
  <c r="BF154" i="22"/>
  <c r="AA186" i="28" s="1"/>
  <c r="AC186" i="28" s="1"/>
  <c r="Q222" i="12"/>
  <c r="O229" i="12"/>
  <c r="Y355" i="12"/>
  <c r="W217" i="12"/>
  <c r="M185" i="12"/>
  <c r="O217" i="12"/>
  <c r="D107" i="12"/>
  <c r="W337" i="12"/>
  <c r="Y337" i="12"/>
  <c r="G34" i="12"/>
  <c r="Q229" i="12"/>
  <c r="W291" i="12"/>
  <c r="Z400" i="12"/>
  <c r="O291" i="12"/>
  <c r="O287" i="12"/>
  <c r="E76" i="12"/>
  <c r="AH74" i="28"/>
  <c r="Q156" i="12"/>
  <c r="W221" i="12"/>
  <c r="AH320" i="28"/>
  <c r="M321" i="12"/>
  <c r="AZ271" i="22"/>
  <c r="R319" i="28" s="1"/>
  <c r="T319" i="28" s="1"/>
  <c r="E79" i="12"/>
  <c r="AH77" i="28"/>
  <c r="O363" i="12"/>
  <c r="D191" i="12"/>
  <c r="O323" i="12"/>
  <c r="AH353" i="28"/>
  <c r="W156" i="12"/>
  <c r="O338" i="12"/>
  <c r="Y221" i="12"/>
  <c r="O248" i="12"/>
  <c r="I34" i="12"/>
  <c r="Z393" i="12"/>
  <c r="T146" i="12"/>
  <c r="L146" i="12"/>
  <c r="Y156" i="12"/>
  <c r="W112" i="12"/>
  <c r="AH227" i="28"/>
  <c r="Y323" i="12"/>
  <c r="AZ151" i="22"/>
  <c r="R183" i="28" s="1"/>
  <c r="T183" i="28" s="1"/>
  <c r="D142" i="12"/>
  <c r="O156" i="12"/>
  <c r="W355" i="12"/>
  <c r="Q338" i="12"/>
  <c r="O355" i="12"/>
  <c r="AH318" i="28"/>
  <c r="G396"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I49" i="22" s="1"/>
  <c r="Z123" i="21"/>
  <c r="I123" i="22" s="1"/>
  <c r="Q123" i="22" s="1"/>
  <c r="Q328" i="22"/>
  <c r="R328" i="22" s="1"/>
  <c r="Q335" i="22"/>
  <c r="R335" i="22" s="1"/>
  <c r="Q352" i="22"/>
  <c r="R352" i="22" s="1"/>
  <c r="AA57" i="21"/>
  <c r="E57" i="21" s="1"/>
  <c r="Q351" i="22"/>
  <c r="R351" i="22" s="1"/>
  <c r="AU51" i="22"/>
  <c r="J73" i="28" s="1"/>
  <c r="AT51" i="22"/>
  <c r="I73" i="28" s="1"/>
  <c r="K73" i="28" s="1"/>
  <c r="AT135" i="22"/>
  <c r="I165" i="28" s="1"/>
  <c r="K165" i="28" s="1"/>
  <c r="AU135" i="22"/>
  <c r="J165" i="28" s="1"/>
  <c r="AU56" i="22"/>
  <c r="J78" i="28" s="1"/>
  <c r="AT56" i="22"/>
  <c r="I78" i="28" s="1"/>
  <c r="K78" i="28" s="1"/>
  <c r="AT41" i="22"/>
  <c r="I61" i="28" s="1"/>
  <c r="K61" i="28" s="1"/>
  <c r="AU41" i="22"/>
  <c r="J61" i="28" s="1"/>
  <c r="AT37" i="22"/>
  <c r="I57" i="28" s="1"/>
  <c r="K57" i="28" s="1"/>
  <c r="AU37" i="22"/>
  <c r="J57" i="28" s="1"/>
  <c r="AU40" i="22"/>
  <c r="J60" i="28" s="1"/>
  <c r="AT40" i="22"/>
  <c r="I60" i="28" s="1"/>
  <c r="K60" i="28" s="1"/>
  <c r="AT151" i="22"/>
  <c r="I183" i="28" s="1"/>
  <c r="K183" i="28" s="1"/>
  <c r="AU151" i="22"/>
  <c r="J183" i="28" s="1"/>
  <c r="AT38" i="22"/>
  <c r="I58" i="28" s="1"/>
  <c r="K58" i="28" s="1"/>
  <c r="AU38" i="22"/>
  <c r="J58" i="28" s="1"/>
  <c r="AU42" i="22"/>
  <c r="J62" i="28" s="1"/>
  <c r="AT42" i="22"/>
  <c r="I62" i="28" s="1"/>
  <c r="K62" i="28" s="1"/>
  <c r="AU154" i="22"/>
  <c r="J186" i="28" s="1"/>
  <c r="AT154" i="22"/>
  <c r="I186" i="28" s="1"/>
  <c r="K186" i="28" s="1"/>
  <c r="AT39" i="22"/>
  <c r="I59" i="28" s="1"/>
  <c r="K59"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T36" i="22"/>
  <c r="I56" i="28" s="1"/>
  <c r="K56" i="28" s="1"/>
  <c r="AU36" i="22"/>
  <c r="J56"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42" i="22"/>
  <c r="AB62" i="28" s="1"/>
  <c r="BA42" i="22"/>
  <c r="S62" i="28" s="1"/>
  <c r="BG52" i="22"/>
  <c r="AB74" i="28" s="1"/>
  <c r="BA52" i="22"/>
  <c r="S74" i="28" s="1"/>
  <c r="BG342" i="22"/>
  <c r="AB404" i="28" s="1"/>
  <c r="BG347" i="22"/>
  <c r="AB409" i="28" s="1"/>
  <c r="BA347" i="22"/>
  <c r="S409" i="28" s="1"/>
  <c r="BA37" i="22"/>
  <c r="S57" i="28" s="1"/>
  <c r="BG37" i="22"/>
  <c r="AB57" i="28" s="1"/>
  <c r="BG154" i="22"/>
  <c r="AB186" i="28" s="1"/>
  <c r="BA154" i="22"/>
  <c r="S186" i="28" s="1"/>
  <c r="BG344" i="22"/>
  <c r="AB406" i="28" s="1"/>
  <c r="BG328" i="22"/>
  <c r="AB390" i="28" s="1"/>
  <c r="BA39" i="22"/>
  <c r="S59" i="28" s="1"/>
  <c r="BG39" i="22"/>
  <c r="AB59" i="28" s="1"/>
  <c r="BG356" i="22"/>
  <c r="AB418" i="28" s="1"/>
  <c r="BG50" i="22"/>
  <c r="AB72" i="28" s="1"/>
  <c r="BA50" i="22"/>
  <c r="S72" i="28" s="1"/>
  <c r="BG352" i="22"/>
  <c r="AB414" i="28" s="1"/>
  <c r="BG54" i="22"/>
  <c r="AB76" i="28" s="1"/>
  <c r="BA54" i="22"/>
  <c r="S76" i="28" s="1"/>
  <c r="BG56" i="22"/>
  <c r="AB78" i="28" s="1"/>
  <c r="BA56" i="22"/>
  <c r="S78" i="28" s="1"/>
  <c r="BG41" i="22"/>
  <c r="AB61" i="28" s="1"/>
  <c r="BA41" i="22"/>
  <c r="S61" i="28" s="1"/>
  <c r="BA35" i="22"/>
  <c r="S55" i="28" s="1"/>
  <c r="BG35" i="22"/>
  <c r="AB55" i="28" s="1"/>
  <c r="BG335" i="22"/>
  <c r="AB397" i="28" s="1"/>
  <c r="BG53" i="22"/>
  <c r="AB75" i="28" s="1"/>
  <c r="BA53" i="22"/>
  <c r="S75" i="28" s="1"/>
  <c r="BG330" i="22"/>
  <c r="AB392" i="28" s="1"/>
  <c r="BG40" i="22"/>
  <c r="AB60" i="28" s="1"/>
  <c r="BA40" i="22"/>
  <c r="S60" i="28" s="1"/>
  <c r="BG116" i="22"/>
  <c r="AB144" i="28" s="1"/>
  <c r="BA116" i="22"/>
  <c r="S144" i="28" s="1"/>
  <c r="BA36" i="22"/>
  <c r="S56" i="28" s="1"/>
  <c r="BG36" i="22"/>
  <c r="AB56" i="28" s="1"/>
  <c r="BA38" i="22"/>
  <c r="S58" i="28" s="1"/>
  <c r="BG38" i="22"/>
  <c r="AB58" i="28" s="1"/>
  <c r="BA135" i="22"/>
  <c r="S165" i="28" s="1"/>
  <c r="BG135" i="22"/>
  <c r="AB165" i="28" s="1"/>
  <c r="BG351" i="22"/>
  <c r="AB413" i="28" s="1"/>
  <c r="BG55" i="22"/>
  <c r="AB77" i="28" s="1"/>
  <c r="BA55" i="22"/>
  <c r="S77" i="28" s="1"/>
  <c r="BG51" i="22"/>
  <c r="AB73" i="28" s="1"/>
  <c r="BA51" i="22"/>
  <c r="S73" i="28" s="1"/>
  <c r="BG151" i="22"/>
  <c r="AB183" i="28" s="1"/>
  <c r="BA151" i="22"/>
  <c r="S183" i="28" s="1"/>
  <c r="BG337" i="22"/>
  <c r="AB399" i="28" s="1"/>
  <c r="BG271" i="22"/>
  <c r="AB319" i="28" s="1"/>
  <c r="BA271" i="22"/>
  <c r="S319" i="28" s="1"/>
  <c r="AS39" i="22"/>
  <c r="G59" i="28" s="1"/>
  <c r="AS35" i="22"/>
  <c r="G55" i="28" s="1"/>
  <c r="H63" i="12"/>
  <c r="AS42" i="22"/>
  <c r="G62" i="28" s="1"/>
  <c r="AS40" i="22"/>
  <c r="G60" i="28" s="1"/>
  <c r="AS36" i="22"/>
  <c r="G56" i="28" s="1"/>
  <c r="AS37" i="22"/>
  <c r="G57" i="28" s="1"/>
  <c r="AS38" i="22"/>
  <c r="G58" i="28" s="1"/>
  <c r="AT330" i="22"/>
  <c r="I392" i="28" s="1"/>
  <c r="K392" i="28" s="1"/>
  <c r="AT327" i="22"/>
  <c r="I389" i="28" s="1"/>
  <c r="K389" i="28" s="1"/>
  <c r="Q343" i="22"/>
  <c r="R343" i="22" s="1"/>
  <c r="AR343" i="22"/>
  <c r="H405" i="28" s="1"/>
  <c r="AS327" i="22"/>
  <c r="G389" i="28" s="1"/>
  <c r="H391" i="12"/>
  <c r="AS328" i="22"/>
  <c r="G390" i="28" s="1"/>
  <c r="H392" i="12"/>
  <c r="Q345" i="22"/>
  <c r="R345" i="22" s="1"/>
  <c r="AR345" i="22"/>
  <c r="H407" i="28" s="1"/>
  <c r="AS342" i="22"/>
  <c r="G404" i="28" s="1"/>
  <c r="H406" i="12"/>
  <c r="H408" i="12"/>
  <c r="AS344" i="22"/>
  <c r="G406" i="28" s="1"/>
  <c r="Q350" i="22"/>
  <c r="R350" i="22" s="1"/>
  <c r="AR350" i="22"/>
  <c r="H412" i="28" s="1"/>
  <c r="AS356" i="22"/>
  <c r="G418" i="28" s="1"/>
  <c r="H420" i="12"/>
  <c r="AS335" i="22"/>
  <c r="G397" i="28" s="1"/>
  <c r="H399" i="12"/>
  <c r="AS330" i="22"/>
  <c r="G392" i="28" s="1"/>
  <c r="H394" i="12"/>
  <c r="AS337" i="22"/>
  <c r="G399" i="28" s="1"/>
  <c r="H401" i="12"/>
  <c r="H411" i="12"/>
  <c r="AS347" i="22"/>
  <c r="G409" i="28" s="1"/>
  <c r="AS351" i="22"/>
  <c r="G413" i="28" s="1"/>
  <c r="H415" i="12"/>
  <c r="AS352" i="22"/>
  <c r="G414" i="28" s="1"/>
  <c r="H416" i="12"/>
  <c r="AR157" i="22"/>
  <c r="H189" i="28" s="1"/>
  <c r="AP157" i="22"/>
  <c r="E189" i="28" s="1"/>
  <c r="Q157" i="21"/>
  <c r="F157" i="22"/>
  <c r="X157" i="22" s="1"/>
  <c r="BD112" i="22"/>
  <c r="Z140" i="28" s="1"/>
  <c r="BB112" i="22"/>
  <c r="W140" i="28" s="1"/>
  <c r="AY151" i="22"/>
  <c r="P183" i="28" s="1"/>
  <c r="P185" i="12"/>
  <c r="BE154" i="22"/>
  <c r="Y186" i="28" s="1"/>
  <c r="X188" i="12"/>
  <c r="AS151" i="22"/>
  <c r="G183" i="28" s="1"/>
  <c r="H185" i="12"/>
  <c r="O157" i="21"/>
  <c r="D157" i="22"/>
  <c r="U157" i="22" s="1"/>
  <c r="BD116" i="22"/>
  <c r="Z144" i="28" s="1"/>
  <c r="BB116" i="22"/>
  <c r="W144" i="28" s="1"/>
  <c r="AS154" i="22"/>
  <c r="G186" i="28" s="1"/>
  <c r="H188" i="12"/>
  <c r="H61" i="12"/>
  <c r="H60" i="12"/>
  <c r="H59" i="12"/>
  <c r="H57" i="12"/>
  <c r="H58" i="12"/>
  <c r="H62" i="12"/>
  <c r="H64" i="12"/>
  <c r="AS41" i="22"/>
  <c r="G61" i="28" s="1"/>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AG49" i="21"/>
  <c r="I49" i="21" s="1"/>
  <c r="F11" i="23" s="1"/>
  <c r="O79" i="21"/>
  <c r="D79" i="22"/>
  <c r="U79" i="22" s="1"/>
  <c r="Q74" i="21"/>
  <c r="F74" i="22"/>
  <c r="X74" i="22" s="1"/>
  <c r="G360" i="22"/>
  <c r="BC360" i="22" s="1"/>
  <c r="V422" i="28" s="1"/>
  <c r="AM360" i="22"/>
  <c r="G361" i="22"/>
  <c r="BC361" i="22" s="1"/>
  <c r="V423" i="28" s="1"/>
  <c r="AM361" i="22"/>
  <c r="AN361" i="22" s="1"/>
  <c r="O49" i="21"/>
  <c r="AX49" i="21" s="1"/>
  <c r="K49" i="22" s="1"/>
  <c r="D49" i="22"/>
  <c r="E74" i="22"/>
  <c r="AW74" i="22" s="1"/>
  <c r="M100" i="28" s="1"/>
  <c r="AK74" i="22"/>
  <c r="AL74" i="22" s="1"/>
  <c r="Q79" i="21"/>
  <c r="F79" i="22"/>
  <c r="X79" i="22" s="1"/>
  <c r="M151" i="21"/>
  <c r="AV151" i="21" s="1"/>
  <c r="G40" i="28" l="1"/>
  <c r="G42" i="12"/>
  <c r="J40" i="28"/>
  <c r="J42" i="12"/>
  <c r="I40" i="28"/>
  <c r="K40" i="28" s="1"/>
  <c r="I42" i="12"/>
  <c r="H46" i="28"/>
  <c r="AS28" i="22"/>
  <c r="H48" i="12"/>
  <c r="R28" i="22"/>
  <c r="AT28" i="22" s="1"/>
  <c r="B20" i="23"/>
  <c r="AE28" i="22"/>
  <c r="S28" i="22"/>
  <c r="AU28" i="22" s="1"/>
  <c r="AA28" i="22"/>
  <c r="H31" i="28"/>
  <c r="AS13" i="22"/>
  <c r="H33" i="12"/>
  <c r="R13" i="22"/>
  <c r="AT13" i="22" s="1"/>
  <c r="AE13" i="22"/>
  <c r="AA13" i="22"/>
  <c r="S13" i="22"/>
  <c r="F57" i="22"/>
  <c r="Q57" i="21"/>
  <c r="G82" i="28"/>
  <c r="G84" i="12"/>
  <c r="S82" i="28"/>
  <c r="R84" i="12"/>
  <c r="AB82" i="28"/>
  <c r="Z84" i="12"/>
  <c r="I82" i="28"/>
  <c r="K82" i="28" s="1"/>
  <c r="I84" i="12"/>
  <c r="J82" i="28"/>
  <c r="J84" i="12"/>
  <c r="G54" i="28"/>
  <c r="G56" i="12"/>
  <c r="AB54" i="28"/>
  <c r="Z56" i="12"/>
  <c r="S54" i="28"/>
  <c r="R56" i="12"/>
  <c r="J54" i="28"/>
  <c r="J56" i="12"/>
  <c r="I54" i="28"/>
  <c r="K54" i="28" s="1"/>
  <c r="I56" i="12"/>
  <c r="AH54" i="28"/>
  <c r="G53" i="28"/>
  <c r="G55" i="12"/>
  <c r="AB53" i="28"/>
  <c r="Z55" i="12"/>
  <c r="S53" i="28"/>
  <c r="R55" i="12"/>
  <c r="J53" i="28"/>
  <c r="J55" i="12"/>
  <c r="I53" i="28"/>
  <c r="K53" i="28" s="1"/>
  <c r="I55" i="12"/>
  <c r="AH53" i="28"/>
  <c r="AH39" i="28"/>
  <c r="G39" i="28"/>
  <c r="G41" i="12"/>
  <c r="I39" i="28"/>
  <c r="K39" i="28" s="1"/>
  <c r="I41" i="12"/>
  <c r="Y37" i="28"/>
  <c r="W39" i="12"/>
  <c r="AA37" i="28"/>
  <c r="AC37" i="28" s="1"/>
  <c r="Y39" i="12"/>
  <c r="P37" i="28"/>
  <c r="O39" i="12"/>
  <c r="R37" i="28"/>
  <c r="T37" i="28" s="1"/>
  <c r="Q39" i="12"/>
  <c r="AH37" i="28"/>
  <c r="Y36" i="28"/>
  <c r="W38" i="12"/>
  <c r="AA36" i="28"/>
  <c r="AC36" i="28" s="1"/>
  <c r="Y38" i="12"/>
  <c r="P36" i="28"/>
  <c r="O38" i="12"/>
  <c r="R36" i="28"/>
  <c r="T36" i="28" s="1"/>
  <c r="Q38" i="12"/>
  <c r="AH36" i="28"/>
  <c r="G34" i="28"/>
  <c r="G36" i="12"/>
  <c r="I34" i="28"/>
  <c r="K34" i="28" s="1"/>
  <c r="I36" i="12"/>
  <c r="AH29" i="28"/>
  <c r="AH28" i="28" s="1"/>
  <c r="AH393" i="28"/>
  <c r="AE397" i="12"/>
  <c r="AE406" i="12"/>
  <c r="AH213" i="28"/>
  <c r="AH358" i="28"/>
  <c r="AH245" i="28"/>
  <c r="AH383" i="28"/>
  <c r="AH283" i="28"/>
  <c r="AE395" i="12"/>
  <c r="AE400" i="12"/>
  <c r="AE412" i="12"/>
  <c r="AH409" i="28"/>
  <c r="AH90" i="28"/>
  <c r="AE360" i="12"/>
  <c r="AH395" i="28"/>
  <c r="AE421" i="12"/>
  <c r="AH404" i="28"/>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H395" i="12"/>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AA404" i="28"/>
  <c r="AC404" i="28" s="1"/>
  <c r="Y406" i="12"/>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Y395" i="28"/>
  <c r="W397"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Y409" i="28"/>
  <c r="W411" i="12"/>
  <c r="S85" i="28"/>
  <c r="R87" i="12"/>
  <c r="Y408" i="28"/>
  <c r="W410" i="12"/>
  <c r="I419" i="28"/>
  <c r="K419" i="28" s="1"/>
  <c r="I421" i="12"/>
  <c r="P342" i="28"/>
  <c r="O344" i="12"/>
  <c r="AH364" i="28"/>
  <c r="P295" i="28"/>
  <c r="O297"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AA409" i="28"/>
  <c r="AC409" i="28" s="1"/>
  <c r="Y411" i="12"/>
  <c r="R373" i="28"/>
  <c r="T373" i="28" s="1"/>
  <c r="Q375" i="12"/>
  <c r="AB85" i="28"/>
  <c r="Z87" i="12"/>
  <c r="AA408" i="28"/>
  <c r="AC408" i="28" s="1"/>
  <c r="Y410"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419" i="28"/>
  <c r="W421" i="12"/>
  <c r="G259" i="28"/>
  <c r="G261" i="12"/>
  <c r="Y201" i="28"/>
  <c r="W203" i="12"/>
  <c r="AB266" i="28"/>
  <c r="Z268" i="12"/>
  <c r="R250" i="28"/>
  <c r="T250" i="28" s="1"/>
  <c r="Q252" i="12"/>
  <c r="P115" i="28"/>
  <c r="O117" i="12"/>
  <c r="S205" i="28"/>
  <c r="R207" i="12"/>
  <c r="Y401" i="28"/>
  <c r="W403"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Y397" i="28"/>
  <c r="W399"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A397" i="28"/>
  <c r="AC397" i="28" s="1"/>
  <c r="Y399" i="12"/>
  <c r="AH120" i="28"/>
  <c r="Y417" i="28"/>
  <c r="W419" i="12"/>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I326" i="28"/>
  <c r="K326" i="28" s="1"/>
  <c r="I328" i="12"/>
  <c r="AH337" i="28"/>
  <c r="AB93" i="28"/>
  <c r="Z95" i="12"/>
  <c r="AB286" i="28"/>
  <c r="Z288" i="12"/>
  <c r="J294" i="28"/>
  <c r="J296" i="12"/>
  <c r="AA341" i="28"/>
  <c r="AC341" i="28" s="1"/>
  <c r="Y343" i="12"/>
  <c r="Y89" i="28"/>
  <c r="W91" i="12"/>
  <c r="G200" i="28"/>
  <c r="G202" i="12"/>
  <c r="AB113" i="28"/>
  <c r="Z115" i="12"/>
  <c r="Y322" i="28"/>
  <c r="W324" i="12"/>
  <c r="S309" i="28"/>
  <c r="R311" i="12"/>
  <c r="Y205" i="28"/>
  <c r="W207" i="12"/>
  <c r="J89" i="28"/>
  <c r="J91" i="12"/>
  <c r="S402" i="28"/>
  <c r="R404" i="12"/>
  <c r="Y331" i="28"/>
  <c r="W333" i="12"/>
  <c r="R330" i="28"/>
  <c r="T330" i="28" s="1"/>
  <c r="Q332" i="12"/>
  <c r="AE376" i="12"/>
  <c r="AA419" i="28"/>
  <c r="AC419" i="28" s="1"/>
  <c r="Y421" i="12"/>
  <c r="S259" i="28"/>
  <c r="R261" i="12"/>
  <c r="Y218" i="28"/>
  <c r="W220" i="12"/>
  <c r="S266" i="28"/>
  <c r="R268" i="12"/>
  <c r="Y129" i="28"/>
  <c r="W131" i="12"/>
  <c r="Y199" i="28"/>
  <c r="W201" i="12"/>
  <c r="AA401" i="28"/>
  <c r="AC401" i="28" s="1"/>
  <c r="Y403" i="12"/>
  <c r="P322" i="28"/>
  <c r="O324" i="12"/>
  <c r="R130" i="28"/>
  <c r="T130" i="28" s="1"/>
  <c r="Q132" i="12"/>
  <c r="S179" i="28"/>
  <c r="R179" i="12"/>
  <c r="J236" i="28"/>
  <c r="J238" i="12"/>
  <c r="P127" i="28"/>
  <c r="O129" i="12"/>
  <c r="AA184" i="28"/>
  <c r="AC184" i="28" s="1"/>
  <c r="Y186" i="12"/>
  <c r="AH382" i="28"/>
  <c r="J371" i="28"/>
  <c r="J373" i="12"/>
  <c r="Y94" i="28"/>
  <c r="W96" i="12"/>
  <c r="P95" i="28"/>
  <c r="O97" i="12"/>
  <c r="AB142" i="28"/>
  <c r="Z144" i="12"/>
  <c r="AA395" i="28"/>
  <c r="AC395" i="28" s="1"/>
  <c r="Y397" i="12"/>
  <c r="AB202" i="28"/>
  <c r="Z204" i="12"/>
  <c r="AE365" i="12"/>
  <c r="S342" i="28"/>
  <c r="R344" i="12"/>
  <c r="AH131" i="28"/>
  <c r="I382" i="28"/>
  <c r="K382" i="28" s="1"/>
  <c r="I384" i="12"/>
  <c r="AH185" i="28"/>
  <c r="P96" i="28"/>
  <c r="O98" i="12"/>
  <c r="I250" i="28"/>
  <c r="K250" i="28" s="1"/>
  <c r="I252" i="12"/>
  <c r="S225" i="28"/>
  <c r="R227" i="12"/>
  <c r="AB362" i="28"/>
  <c r="Z364" i="12"/>
  <c r="AB364" i="28"/>
  <c r="Z366" i="12"/>
  <c r="G337" i="28"/>
  <c r="G339" i="12"/>
  <c r="AB204" i="28"/>
  <c r="Z206" i="12"/>
  <c r="Y120" i="28"/>
  <c r="W122" i="12"/>
  <c r="AA355" i="28"/>
  <c r="AC355" i="28" s="1"/>
  <c r="Y357" i="12"/>
  <c r="P121" i="28"/>
  <c r="O123" i="12"/>
  <c r="S93" i="28"/>
  <c r="R95"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P102" i="28"/>
  <c r="O104" i="12"/>
  <c r="R326" i="28"/>
  <c r="T326" i="28" s="1"/>
  <c r="Q328" i="12"/>
  <c r="Y372" i="28"/>
  <c r="W374" i="12"/>
  <c r="G297" i="28"/>
  <c r="G299" i="12"/>
  <c r="Y383" i="28"/>
  <c r="W385" i="12"/>
  <c r="P358" i="28"/>
  <c r="O360" i="12"/>
  <c r="J111" i="28"/>
  <c r="J113" i="12"/>
  <c r="P377" i="28"/>
  <c r="O379" i="12"/>
  <c r="G179" i="28"/>
  <c r="G179" i="12"/>
  <c r="AA212" i="28"/>
  <c r="AC212" i="28" s="1"/>
  <c r="Y214" i="12"/>
  <c r="R240" i="28"/>
  <c r="T240" i="28" s="1"/>
  <c r="Q242" i="12"/>
  <c r="Y244" i="28"/>
  <c r="W246" i="12"/>
  <c r="H410"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G199" i="28"/>
  <c r="G201" i="12"/>
  <c r="AB382" i="28"/>
  <c r="Z384" i="12"/>
  <c r="AB250" i="28"/>
  <c r="Z252" i="12"/>
  <c r="J362" i="28"/>
  <c r="J364" i="12"/>
  <c r="J364" i="28"/>
  <c r="J366" i="12"/>
  <c r="AA391" i="28"/>
  <c r="AC391" i="28" s="1"/>
  <c r="Y393" i="12"/>
  <c r="S204" i="28"/>
  <c r="R206" i="12"/>
  <c r="S200" i="28"/>
  <c r="R202" i="12"/>
  <c r="Y415" i="28"/>
  <c r="W417" i="12"/>
  <c r="AA205" i="28"/>
  <c r="AC205" i="28" s="1"/>
  <c r="Y207" i="12"/>
  <c r="AH106" i="28"/>
  <c r="AB89" i="28"/>
  <c r="Z91" i="12"/>
  <c r="J402" i="28"/>
  <c r="J404" i="12"/>
  <c r="J188" i="28"/>
  <c r="J190" i="12"/>
  <c r="R284" i="28"/>
  <c r="T284" i="28" s="1"/>
  <c r="Q286" i="12"/>
  <c r="AA142" i="28"/>
  <c r="AC142" i="28" s="1"/>
  <c r="Y144" i="12"/>
  <c r="P415" i="28"/>
  <c r="O417"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X154" i="22" s="1"/>
  <c r="AV154" i="22"/>
  <c r="Y349" i="28"/>
  <c r="W351" i="12"/>
  <c r="I266" i="28"/>
  <c r="K266" i="28" s="1"/>
  <c r="I268" i="12"/>
  <c r="AH138" i="28"/>
  <c r="S87" i="28"/>
  <c r="R89" i="12"/>
  <c r="Y342" i="28"/>
  <c r="W344" i="12"/>
  <c r="R280" i="28"/>
  <c r="T280" i="28" s="1"/>
  <c r="Q282" i="12"/>
  <c r="R102" i="28"/>
  <c r="T102" i="28" s="1"/>
  <c r="Q104" i="12"/>
  <c r="AA138" i="28"/>
  <c r="AC138" i="28" s="1"/>
  <c r="Y140" i="12"/>
  <c r="AB297" i="28"/>
  <c r="Z299" i="12"/>
  <c r="AH237" i="28"/>
  <c r="G295" i="28"/>
  <c r="G297" i="12"/>
  <c r="R358" i="28"/>
  <c r="T358" i="28" s="1"/>
  <c r="Q360" i="12"/>
  <c r="I111" i="28"/>
  <c r="K111" i="28" s="1"/>
  <c r="I113" i="12"/>
  <c r="R377" i="28"/>
  <c r="T377" i="28" s="1"/>
  <c r="Q379" i="12"/>
  <c r="J163" i="28"/>
  <c r="J165" i="12"/>
  <c r="G96" i="28"/>
  <c r="G98" i="12"/>
  <c r="Y405" i="28"/>
  <c r="W407" i="12"/>
  <c r="AB264" i="28"/>
  <c r="Z266" i="12"/>
  <c r="AE403" i="12"/>
  <c r="AA405" i="28"/>
  <c r="AC405" i="28" s="1"/>
  <c r="Y407"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J211" i="28"/>
  <c r="J213" i="12"/>
  <c r="AH281" i="28"/>
  <c r="I344" i="28"/>
  <c r="K344" i="28" s="1"/>
  <c r="I346" i="12"/>
  <c r="G240" i="28"/>
  <c r="G242" i="12"/>
  <c r="AE398" i="12"/>
  <c r="J199" i="28"/>
  <c r="J201" i="12"/>
  <c r="G382" i="28"/>
  <c r="G384" i="12"/>
  <c r="J276" i="28"/>
  <c r="J278" i="12"/>
  <c r="I362" i="28"/>
  <c r="K362" i="28" s="1"/>
  <c r="I364" i="12"/>
  <c r="I364" i="28"/>
  <c r="K364" i="28" s="1"/>
  <c r="I366" i="12"/>
  <c r="Y131" i="28"/>
  <c r="W133" i="12"/>
  <c r="R119" i="28"/>
  <c r="T119" i="28" s="1"/>
  <c r="Q121" i="12"/>
  <c r="I337" i="28"/>
  <c r="K337" i="28" s="1"/>
  <c r="I339" i="12"/>
  <c r="AA120" i="28"/>
  <c r="AC120" i="28" s="1"/>
  <c r="Y122" i="12"/>
  <c r="AH199" i="28"/>
  <c r="G93" i="28"/>
  <c r="G95" i="12"/>
  <c r="P236" i="28"/>
  <c r="O238" i="12"/>
  <c r="P400" i="28"/>
  <c r="O402" i="12"/>
  <c r="AB200" i="28"/>
  <c r="Z202" i="12"/>
  <c r="AA415" i="28"/>
  <c r="AC415" i="28" s="1"/>
  <c r="Y417" i="12"/>
  <c r="P65" i="28"/>
  <c r="O67" i="12"/>
  <c r="AB104" i="28"/>
  <c r="Z106" i="12"/>
  <c r="I402" i="28"/>
  <c r="K402" i="28" s="1"/>
  <c r="I404" i="12"/>
  <c r="S188" i="28"/>
  <c r="R190" i="12"/>
  <c r="R415" i="28"/>
  <c r="T415" i="28" s="1"/>
  <c r="Q417"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S142" i="28"/>
  <c r="R144" i="12"/>
  <c r="P382" i="28"/>
  <c r="O384" i="12"/>
  <c r="R187" i="28"/>
  <c r="T187" i="28" s="1"/>
  <c r="Q189"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P108" i="28"/>
  <c r="O110" i="12"/>
  <c r="AA267" i="28"/>
  <c r="AC267" i="28" s="1"/>
  <c r="Y269" i="12"/>
  <c r="I276" i="28"/>
  <c r="K276" i="28" s="1"/>
  <c r="I278" i="12"/>
  <c r="AH229" i="28"/>
  <c r="S364" i="28"/>
  <c r="R366" i="12"/>
  <c r="Y391" i="28"/>
  <c r="W393" i="12"/>
  <c r="Y90" i="28"/>
  <c r="W92" i="12"/>
  <c r="AH236" i="28"/>
  <c r="J337" i="28"/>
  <c r="J339" i="12"/>
  <c r="G204" i="28"/>
  <c r="G206" i="12"/>
  <c r="AH299" i="28"/>
  <c r="I93" i="28"/>
  <c r="K93" i="28" s="1"/>
  <c r="I95" i="12"/>
  <c r="R236" i="28"/>
  <c r="T236" i="28" s="1"/>
  <c r="Q238" i="12"/>
  <c r="G310" i="28"/>
  <c r="G312" i="12"/>
  <c r="R400" i="28"/>
  <c r="T400" i="28" s="1"/>
  <c r="Q402" i="12"/>
  <c r="R65" i="28"/>
  <c r="T65" i="28" s="1"/>
  <c r="Q67" i="12"/>
  <c r="AH218" i="28"/>
  <c r="J243" i="28"/>
  <c r="J245" i="12"/>
  <c r="AB188" i="28"/>
  <c r="Z190" i="12"/>
  <c r="AA337" i="28"/>
  <c r="AC337" i="28" s="1"/>
  <c r="Y339" i="12"/>
  <c r="AH65" i="28"/>
  <c r="J190" i="28"/>
  <c r="J192" i="12"/>
  <c r="R213" i="28"/>
  <c r="T213" i="28" s="1"/>
  <c r="Q215" i="12"/>
  <c r="P82" i="28"/>
  <c r="O84" i="12"/>
  <c r="G87" i="28"/>
  <c r="G89" i="12"/>
  <c r="AA342" i="28"/>
  <c r="AC342" i="28" s="1"/>
  <c r="Y344" i="12"/>
  <c r="P280" i="28"/>
  <c r="O282" i="12"/>
  <c r="R191" i="28"/>
  <c r="T191" i="28" s="1"/>
  <c r="Q193" i="12"/>
  <c r="AE413" i="12"/>
  <c r="S295" i="28"/>
  <c r="R297" i="12"/>
  <c r="AB193" i="28"/>
  <c r="Z195" i="12"/>
  <c r="G111" i="28"/>
  <c r="G113" i="12"/>
  <c r="AB179" i="28"/>
  <c r="Z179" i="12"/>
  <c r="Y310" i="28"/>
  <c r="W312" i="12"/>
  <c r="AB99" i="28"/>
  <c r="Z101" i="12"/>
  <c r="G206" i="28"/>
  <c r="G208" i="12"/>
  <c r="AB126" i="28"/>
  <c r="Z128" i="12"/>
  <c r="AA187" i="28"/>
  <c r="AC187" i="28" s="1"/>
  <c r="Y189" i="12"/>
  <c r="AB262" i="28"/>
  <c r="Z264" i="12"/>
  <c r="G264" i="28"/>
  <c r="G266" i="12"/>
  <c r="Y241" i="28"/>
  <c r="W243" i="12"/>
  <c r="Y245" i="28"/>
  <c r="W247" i="12"/>
  <c r="I142" i="28"/>
  <c r="K142" i="28" s="1"/>
  <c r="I144" i="12"/>
  <c r="P402" i="28"/>
  <c r="O40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AH83" i="28"/>
  <c r="J214" i="28"/>
  <c r="J216" i="12"/>
  <c r="J240" i="28"/>
  <c r="J242" i="12"/>
  <c r="AB197" i="28"/>
  <c r="Z199" i="12"/>
  <c r="G411" i="28"/>
  <c r="G413" i="12"/>
  <c r="AB199" i="28"/>
  <c r="Z201" i="12"/>
  <c r="J382" i="28"/>
  <c r="J384" i="12"/>
  <c r="R108" i="28"/>
  <c r="T108" i="28" s="1"/>
  <c r="Q110" i="12"/>
  <c r="AH231" i="28"/>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S329" i="28"/>
  <c r="R331"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P419" i="28"/>
  <c r="O421" i="12"/>
  <c r="R292" i="28"/>
  <c r="T292" i="28" s="1"/>
  <c r="Q294" i="12"/>
  <c r="AH201" i="28"/>
  <c r="I190" i="28"/>
  <c r="K190" i="28" s="1"/>
  <c r="I192" i="12"/>
  <c r="AA344" i="28"/>
  <c r="AC344" i="28" s="1"/>
  <c r="Y346" i="12"/>
  <c r="G138" i="28"/>
  <c r="G140"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Y390" i="28"/>
  <c r="W392" i="12"/>
  <c r="J332" i="28"/>
  <c r="J334" i="12"/>
  <c r="J212" i="28"/>
  <c r="J214" i="12"/>
  <c r="AH296" i="28"/>
  <c r="AB109" i="28"/>
  <c r="Z111"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A417" i="28"/>
  <c r="AC417" i="28" s="1"/>
  <c r="Y41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G303" i="28"/>
  <c r="G305" i="12"/>
  <c r="J421" i="28"/>
  <c r="J423" i="12"/>
  <c r="P163" i="28"/>
  <c r="O165" i="12"/>
  <c r="AH251" i="28"/>
  <c r="Y236" i="28"/>
  <c r="W238" i="12"/>
  <c r="R66" i="28"/>
  <c r="T66" i="28" s="1"/>
  <c r="Q68" i="12"/>
  <c r="G182" i="28"/>
  <c r="G184" i="12"/>
  <c r="Y413" i="28"/>
  <c r="W415"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J303" i="28"/>
  <c r="J305"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R419" i="28"/>
  <c r="T419" i="28" s="1"/>
  <c r="Q421" i="12"/>
  <c r="AE373" i="12"/>
  <c r="Y118" i="28"/>
  <c r="W120" i="12"/>
  <c r="Y378" i="28"/>
  <c r="W380" i="12"/>
  <c r="Y332" i="28"/>
  <c r="W334" i="12"/>
  <c r="R245" i="28"/>
  <c r="T245" i="28" s="1"/>
  <c r="Q247" i="12"/>
  <c r="AH243" i="28"/>
  <c r="I223" i="28"/>
  <c r="K223" i="28" s="1"/>
  <c r="I225" i="12"/>
  <c r="J138" i="28"/>
  <c r="J140" i="12"/>
  <c r="G329" i="28"/>
  <c r="G331"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I421" i="28"/>
  <c r="K421" i="28" s="1"/>
  <c r="I423" i="12"/>
  <c r="AB102" i="28"/>
  <c r="Z104" i="12"/>
  <c r="AB208" i="28"/>
  <c r="Z210" i="12"/>
  <c r="S182" i="28"/>
  <c r="R184" i="12"/>
  <c r="I296" i="28"/>
  <c r="K296" i="28" s="1"/>
  <c r="I298" i="12"/>
  <c r="AA370" i="28"/>
  <c r="AC370" i="28" s="1"/>
  <c r="Y372" i="12"/>
  <c r="AA413" i="28"/>
  <c r="AC413" i="28" s="1"/>
  <c r="Y415"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AA414" i="28"/>
  <c r="AC414" i="28" s="1"/>
  <c r="Y416" i="12"/>
  <c r="R402" i="28"/>
  <c r="T402" i="28" s="1"/>
  <c r="Q40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P403" i="28"/>
  <c r="O405" i="12"/>
  <c r="AA99" i="28"/>
  <c r="AC99" i="28" s="1"/>
  <c r="Y101" i="12"/>
  <c r="S118" i="28"/>
  <c r="R120" i="12"/>
  <c r="Y418" i="28"/>
  <c r="W4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AA390" i="28"/>
  <c r="AC390" i="28" s="1"/>
  <c r="Y392" i="12"/>
  <c r="I280" i="28"/>
  <c r="K280" i="28" s="1"/>
  <c r="I282" i="12"/>
  <c r="R403" i="28"/>
  <c r="T403" i="28" s="1"/>
  <c r="Q405" i="12"/>
  <c r="J118" i="28"/>
  <c r="J120" i="12"/>
  <c r="AA418" i="28"/>
  <c r="AC418" i="28" s="1"/>
  <c r="Y4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Y414" i="28"/>
  <c r="W416" i="12"/>
  <c r="P251" i="28"/>
  <c r="O253" i="12"/>
  <c r="P373" i="28"/>
  <c r="O375" i="12"/>
  <c r="G113" i="28"/>
  <c r="G115" i="12"/>
  <c r="AH295" i="28"/>
  <c r="G133" i="28"/>
  <c r="G135" i="12"/>
  <c r="J162" i="28"/>
  <c r="J164" i="12"/>
  <c r="AB416" i="28"/>
  <c r="Z418" i="12"/>
  <c r="P417" i="28"/>
  <c r="O419"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R417" i="28"/>
  <c r="T417" i="28" s="1"/>
  <c r="Q419" i="12"/>
  <c r="Y410" i="28"/>
  <c r="W412"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Y396" i="28"/>
  <c r="W398"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Y403" i="28"/>
  <c r="W405" i="12"/>
  <c r="AA410" i="28"/>
  <c r="AC410" i="28" s="1"/>
  <c r="Y412" i="12"/>
  <c r="S305" i="28"/>
  <c r="R307" i="12"/>
  <c r="R296" i="28"/>
  <c r="T296" i="28" s="1"/>
  <c r="Q298" i="12"/>
  <c r="J67" i="28"/>
  <c r="J69" i="12"/>
  <c r="G281" i="28"/>
  <c r="G283" i="12"/>
  <c r="I271" i="28"/>
  <c r="K271" i="28" s="1"/>
  <c r="I273" i="12"/>
  <c r="S363" i="28"/>
  <c r="R365" i="12"/>
  <c r="Y68" i="28"/>
  <c r="W70" i="12"/>
  <c r="J280" i="28"/>
  <c r="J282" i="12"/>
  <c r="Y297" i="28"/>
  <c r="W299" i="12"/>
  <c r="P374" i="28"/>
  <c r="O376" i="12"/>
  <c r="AA396" i="28"/>
  <c r="AC396" i="28" s="1"/>
  <c r="Y398" i="12"/>
  <c r="R309" i="28"/>
  <c r="T309" i="28" s="1"/>
  <c r="Q311" i="12"/>
  <c r="J420" i="28"/>
  <c r="J422" i="12"/>
  <c r="J132" i="28"/>
  <c r="J134" i="12"/>
  <c r="P420" i="28"/>
  <c r="O422" i="12"/>
  <c r="I229" i="28"/>
  <c r="K229" i="28" s="1"/>
  <c r="I231"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Y400" i="28"/>
  <c r="W402" i="12"/>
  <c r="S125" i="28"/>
  <c r="R127" i="12"/>
  <c r="G339" i="28"/>
  <c r="G341" i="12"/>
  <c r="J136" i="28"/>
  <c r="J138" i="12"/>
  <c r="Y343" i="28"/>
  <c r="W345" i="12"/>
  <c r="R104" i="28"/>
  <c r="T104" i="28" s="1"/>
  <c r="Q106" i="12"/>
  <c r="G306" i="28"/>
  <c r="G308" i="12"/>
  <c r="AB334" i="28"/>
  <c r="Z336" i="12"/>
  <c r="S377" i="28"/>
  <c r="R379" i="12"/>
  <c r="AB267" i="28"/>
  <c r="Z269" i="12"/>
  <c r="AB378" i="28"/>
  <c r="Z380" i="12"/>
  <c r="G131" i="28"/>
  <c r="G133" i="12"/>
  <c r="Y406" i="28"/>
  <c r="W408"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I273" i="28"/>
  <c r="K273" i="28" s="1"/>
  <c r="I275" i="12"/>
  <c r="P162" i="28"/>
  <c r="O164" i="12"/>
  <c r="I298" i="28"/>
  <c r="K298" i="28" s="1"/>
  <c r="I300" i="12"/>
  <c r="P86" i="28"/>
  <c r="O88" i="12"/>
  <c r="G85" i="28"/>
  <c r="G87" i="12"/>
  <c r="J109" i="28"/>
  <c r="J111" i="12"/>
  <c r="AB371" i="28"/>
  <c r="Z373" i="12"/>
  <c r="J286" i="28"/>
  <c r="J288" i="12"/>
  <c r="AA262" i="28"/>
  <c r="AC262" i="28" s="1"/>
  <c r="Y264" i="12"/>
  <c r="I63" i="28"/>
  <c r="K63" i="28" s="1"/>
  <c r="I65" i="12"/>
  <c r="AB194" i="28"/>
  <c r="Z196" i="12"/>
  <c r="AA403" i="28"/>
  <c r="AC403" i="28" s="1"/>
  <c r="Y405" i="12"/>
  <c r="P224" i="28"/>
  <c r="O226" i="12"/>
  <c r="S322" i="28"/>
  <c r="R324" i="12"/>
  <c r="AH244" i="28"/>
  <c r="S133" i="28"/>
  <c r="R135" i="12"/>
  <c r="S293" i="28"/>
  <c r="R295" i="12"/>
  <c r="G416" i="28"/>
  <c r="G418" i="12"/>
  <c r="J194" i="28"/>
  <c r="J196" i="12"/>
  <c r="G305" i="28"/>
  <c r="G307"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P309" i="28"/>
  <c r="O311" i="12"/>
  <c r="I420" i="28"/>
  <c r="K420" i="28" s="1"/>
  <c r="I422" i="12"/>
  <c r="Y64" i="28"/>
  <c r="W66" i="12"/>
  <c r="S181" i="28"/>
  <c r="R183" i="12"/>
  <c r="R420" i="28"/>
  <c r="T420" i="28" s="1"/>
  <c r="Q422" i="12"/>
  <c r="J229" i="28"/>
  <c r="J231" i="12"/>
  <c r="AA377" i="28"/>
  <c r="AC377" i="28" s="1"/>
  <c r="Y379" i="12"/>
  <c r="P214" i="28"/>
  <c r="O216" i="12"/>
  <c r="P232" i="28"/>
  <c r="O234" i="12"/>
  <c r="AH117" i="28"/>
  <c r="AB299" i="28"/>
  <c r="Z301" i="12"/>
  <c r="Y402" i="28"/>
  <c r="W404"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A400" i="28"/>
  <c r="AC400" i="28" s="1"/>
  <c r="Y40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407" i="28"/>
  <c r="AC407" i="28" s="1"/>
  <c r="Y409" i="12"/>
  <c r="AA250" i="28"/>
  <c r="AC250" i="28" s="1"/>
  <c r="Y252" i="12"/>
  <c r="AA339" i="28"/>
  <c r="AC339" i="28" s="1"/>
  <c r="Y341" i="12"/>
  <c r="G129" i="28"/>
  <c r="G131" i="12"/>
  <c r="I261" i="28"/>
  <c r="K261" i="28" s="1"/>
  <c r="I263" i="12"/>
  <c r="G141" i="28"/>
  <c r="G143" i="12"/>
  <c r="AA416" i="28"/>
  <c r="AC416" i="28" s="1"/>
  <c r="Y418"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AA402" i="28"/>
  <c r="AC402" i="28" s="1"/>
  <c r="Y404"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AA406" i="28"/>
  <c r="AC406" i="28" s="1"/>
  <c r="Y408" i="12"/>
  <c r="J374" i="28"/>
  <c r="J376" i="12"/>
  <c r="Y407" i="28"/>
  <c r="W409" i="12"/>
  <c r="AA238" i="28"/>
  <c r="AC238" i="28" s="1"/>
  <c r="Y240" i="12"/>
  <c r="P64" i="28"/>
  <c r="O66" i="12"/>
  <c r="J129" i="28"/>
  <c r="J131" i="12"/>
  <c r="J141" i="28"/>
  <c r="J143" i="12"/>
  <c r="Y416" i="28"/>
  <c r="W418" i="12"/>
  <c r="AH306" i="28"/>
  <c r="G249" i="28"/>
  <c r="G251" i="12"/>
  <c r="P85" i="28"/>
  <c r="O87" i="12"/>
  <c r="Y399" i="28"/>
  <c r="W401"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J281" i="28"/>
  <c r="J283" i="12"/>
  <c r="S415" i="28"/>
  <c r="R417" i="12"/>
  <c r="AB363" i="28"/>
  <c r="Z365" i="12"/>
  <c r="AB282" i="28"/>
  <c r="Z284" i="12"/>
  <c r="Y214" i="28"/>
  <c r="W216" i="12"/>
  <c r="AE372" i="12"/>
  <c r="G185" i="28"/>
  <c r="G187" i="12"/>
  <c r="G181" i="28"/>
  <c r="G183" i="12"/>
  <c r="AB417" i="28"/>
  <c r="Z419" i="12"/>
  <c r="P357" i="28"/>
  <c r="O359" i="12"/>
  <c r="Y95" i="28"/>
  <c r="W97" i="12"/>
  <c r="I331" i="28"/>
  <c r="K331" i="28" s="1"/>
  <c r="I333" i="12"/>
  <c r="Y394" i="28"/>
  <c r="W396"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AA398" i="28"/>
  <c r="AC398" i="28" s="1"/>
  <c r="Y400" i="12"/>
  <c r="R64" i="28"/>
  <c r="T64" i="28" s="1"/>
  <c r="Q66" i="12"/>
  <c r="S141" i="28"/>
  <c r="R143" i="12"/>
  <c r="P137" i="28"/>
  <c r="O139" i="12"/>
  <c r="Y93" i="28"/>
  <c r="W95" i="12"/>
  <c r="Y179" i="28"/>
  <c r="W179" i="12"/>
  <c r="J238" i="28"/>
  <c r="J240" i="12"/>
  <c r="G244" i="28"/>
  <c r="G246" i="12"/>
  <c r="S117" i="28"/>
  <c r="R119" i="12"/>
  <c r="R223" i="28"/>
  <c r="T223" i="28" s="1"/>
  <c r="Q225" i="12"/>
  <c r="S273" i="28"/>
  <c r="R275" i="12"/>
  <c r="I338" i="28"/>
  <c r="K338" i="28" s="1"/>
  <c r="I340" i="12"/>
  <c r="R298" i="28"/>
  <c r="T298" i="28" s="1"/>
  <c r="Q300" i="12"/>
  <c r="J249" i="28"/>
  <c r="J251"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A394" i="28"/>
  <c r="AC394" i="28" s="1"/>
  <c r="Y396"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412" i="28"/>
  <c r="W414"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AA420" i="28"/>
  <c r="AC420" i="28" s="1"/>
  <c r="Y422" i="12"/>
  <c r="G378" i="28"/>
  <c r="G380" i="12"/>
  <c r="P333" i="28"/>
  <c r="O335" i="12"/>
  <c r="P349" i="28"/>
  <c r="O351" i="12"/>
  <c r="P362" i="28"/>
  <c r="O364" i="12"/>
  <c r="Y398" i="28"/>
  <c r="W400"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AA399" i="28"/>
  <c r="AC399" i="28" s="1"/>
  <c r="Y401" i="12"/>
  <c r="J262" i="28"/>
  <c r="J264" i="12"/>
  <c r="Y371" i="28"/>
  <c r="W373" i="12"/>
  <c r="AA162" i="28"/>
  <c r="AC162" i="28" s="1"/>
  <c r="Y164" i="12"/>
  <c r="AB249" i="28"/>
  <c r="Z251" i="12"/>
  <c r="P369" i="28"/>
  <c r="O371" i="12"/>
  <c r="R63" i="28"/>
  <c r="T63" i="28" s="1"/>
  <c r="Q65" i="12"/>
  <c r="AA382" i="28"/>
  <c r="AC382" i="28" s="1"/>
  <c r="Y384" i="12"/>
  <c r="AA123" i="28"/>
  <c r="AC123" i="28" s="1"/>
  <c r="Y125" i="12"/>
  <c r="G88" i="28"/>
  <c r="G90" i="12"/>
  <c r="R210" i="28"/>
  <c r="T210" i="28" s="1"/>
  <c r="Q212" i="12"/>
  <c r="I322" i="28"/>
  <c r="K322" i="28" s="1"/>
  <c r="I324" i="12"/>
  <c r="P116" i="28"/>
  <c r="O118" i="12"/>
  <c r="Y113" i="28"/>
  <c r="W115" i="12"/>
  <c r="P401" i="28"/>
  <c r="O403" i="12"/>
  <c r="Y303" i="28"/>
  <c r="W305" i="12"/>
  <c r="Y392" i="28"/>
  <c r="W394" i="12"/>
  <c r="AH294" i="28"/>
  <c r="S184" i="28"/>
  <c r="R186" i="12"/>
  <c r="AH373" i="28"/>
  <c r="G415" i="28"/>
  <c r="G417" i="12"/>
  <c r="I363" i="28"/>
  <c r="K363" i="28" s="1"/>
  <c r="I365" i="12"/>
  <c r="Y104" i="28"/>
  <c r="W106" i="12"/>
  <c r="Y125" i="28"/>
  <c r="W127" i="12"/>
  <c r="AB230" i="28"/>
  <c r="Z232" i="12"/>
  <c r="R401" i="28"/>
  <c r="T401" i="28" s="1"/>
  <c r="Q403" i="12"/>
  <c r="AA392" i="28"/>
  <c r="AC392" i="28" s="1"/>
  <c r="Y394" i="12"/>
  <c r="AA389" i="28"/>
  <c r="AC389" i="28" s="1"/>
  <c r="Y391"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412" i="28"/>
  <c r="AC412" i="28" s="1"/>
  <c r="Y414"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I238" i="28"/>
  <c r="K238" i="28" s="1"/>
  <c r="I240"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Y420" i="28"/>
  <c r="W422" i="12"/>
  <c r="Y393" i="28"/>
  <c r="W395" i="12"/>
  <c r="P136" i="28"/>
  <c r="O138" i="12"/>
  <c r="AB107" i="28"/>
  <c r="Z109" i="12"/>
  <c r="Y121" i="28"/>
  <c r="W123" i="12"/>
  <c r="P416" i="28"/>
  <c r="O418" i="12"/>
  <c r="AH114" i="28"/>
  <c r="R182" i="28"/>
  <c r="T182" i="28" s="1"/>
  <c r="Q184" i="12"/>
  <c r="P197" i="28"/>
  <c r="O199" i="12"/>
  <c r="AN151" i="22"/>
  <c r="BD151" i="22" s="1"/>
  <c r="BB151" i="22"/>
  <c r="R355" i="28"/>
  <c r="T355" i="28" s="1"/>
  <c r="Q357" i="12"/>
  <c r="S263" i="28"/>
  <c r="R265" i="12"/>
  <c r="G371" i="28"/>
  <c r="G373" i="12"/>
  <c r="AB95" i="28"/>
  <c r="Z97" i="12"/>
  <c r="I109" i="28"/>
  <c r="K109" i="28" s="1"/>
  <c r="I111" i="12"/>
  <c r="P299" i="28"/>
  <c r="O301" i="12"/>
  <c r="G238" i="28"/>
  <c r="G240" i="12"/>
  <c r="P355" i="28"/>
  <c r="O357" i="12"/>
  <c r="AH194" i="28"/>
  <c r="Y389" i="28"/>
  <c r="W391" i="12"/>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Y404" i="28"/>
  <c r="W406"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AA393" i="28"/>
  <c r="AC393" i="28" s="1"/>
  <c r="Y395" i="12"/>
  <c r="J107" i="28"/>
  <c r="J109" i="12"/>
  <c r="G273" i="28"/>
  <c r="G275" i="12"/>
  <c r="R416" i="28"/>
  <c r="T416" i="28" s="1"/>
  <c r="Q418" i="12"/>
  <c r="P179" i="28"/>
  <c r="O179" i="12"/>
  <c r="R197" i="28"/>
  <c r="T197" i="28" s="1"/>
  <c r="Q199" i="12"/>
  <c r="V183" i="28"/>
  <c r="T185" i="12"/>
  <c r="AU331" i="22"/>
  <c r="J393" i="28" s="1"/>
  <c r="I398" i="12"/>
  <c r="AJ348" i="22"/>
  <c r="AR348" i="22" s="1"/>
  <c r="Q348" i="22"/>
  <c r="R348" i="22" s="1"/>
  <c r="I393" i="12"/>
  <c r="AJ333" i="22"/>
  <c r="AR333" i="22" s="1"/>
  <c r="Q333" i="22"/>
  <c r="R333" i="22" s="1"/>
  <c r="AT337" i="22"/>
  <c r="I399" i="28" s="1"/>
  <c r="K399" i="28" s="1"/>
  <c r="AT352" i="22"/>
  <c r="I414" i="28" s="1"/>
  <c r="K414" i="28" s="1"/>
  <c r="AT328" i="22"/>
  <c r="I390" i="28" s="1"/>
  <c r="K390" i="28" s="1"/>
  <c r="AT344" i="22"/>
  <c r="I406" i="28" s="1"/>
  <c r="K406" i="28" s="1"/>
  <c r="AT335" i="22"/>
  <c r="I397" i="28" s="1"/>
  <c r="K397" i="28" s="1"/>
  <c r="AT356" i="22"/>
  <c r="I418" i="28" s="1"/>
  <c r="K418" i="28" s="1"/>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Q185" i="12"/>
  <c r="I52" i="12"/>
  <c r="G52" i="12"/>
  <c r="I47" i="12"/>
  <c r="G47" i="12"/>
  <c r="I37" i="12"/>
  <c r="G37" i="12"/>
  <c r="Y321" i="12"/>
  <c r="Q321" i="12"/>
  <c r="Y188" i="12"/>
  <c r="I62" i="12"/>
  <c r="J62" i="12"/>
  <c r="I63" i="12"/>
  <c r="Z75" i="12"/>
  <c r="G392" i="12"/>
  <c r="J167" i="12"/>
  <c r="G32" i="12"/>
  <c r="G30" i="28"/>
  <c r="I57" i="12"/>
  <c r="AZ116" i="22"/>
  <c r="R144" i="28" s="1"/>
  <c r="T144" i="28" s="1"/>
  <c r="R167" i="12"/>
  <c r="I80" i="12"/>
  <c r="Z80" i="12"/>
  <c r="J79" i="12"/>
  <c r="Z416" i="12"/>
  <c r="G63" i="12"/>
  <c r="W188" i="12"/>
  <c r="Z79" i="12"/>
  <c r="R74" i="12"/>
  <c r="Z420" i="12"/>
  <c r="I79" i="12"/>
  <c r="G391" i="12"/>
  <c r="I75" i="12"/>
  <c r="I321" i="12"/>
  <c r="R78" i="12"/>
  <c r="I167" i="12"/>
  <c r="J146" i="12"/>
  <c r="Z392" i="12"/>
  <c r="G399" i="12"/>
  <c r="O321" i="12"/>
  <c r="BF135" i="22"/>
  <c r="AA165" i="28" s="1"/>
  <c r="AC165" i="28" s="1"/>
  <c r="J59" i="12"/>
  <c r="Z167" i="12"/>
  <c r="J80" i="12"/>
  <c r="Z188" i="12"/>
  <c r="I59" i="12"/>
  <c r="O185" i="12"/>
  <c r="G188" i="12"/>
  <c r="J74" i="12"/>
  <c r="G77" i="12"/>
  <c r="R188" i="12"/>
  <c r="I78" i="12"/>
  <c r="Z77" i="12"/>
  <c r="R59" i="12"/>
  <c r="J411" i="12"/>
  <c r="U167" i="12"/>
  <c r="M146" i="12"/>
  <c r="E191" i="12"/>
  <c r="AH319" i="28"/>
  <c r="G60" i="12"/>
  <c r="G146" i="12"/>
  <c r="R77" i="12"/>
  <c r="R411" i="12"/>
  <c r="J61" i="12"/>
  <c r="I146" i="12"/>
  <c r="R79" i="12"/>
  <c r="I77" i="12"/>
  <c r="BF112" i="22"/>
  <c r="AA140" i="28" s="1"/>
  <c r="AC140" i="28" s="1"/>
  <c r="Z58" i="12"/>
  <c r="J75" i="12"/>
  <c r="G74" i="12"/>
  <c r="U146" i="12"/>
  <c r="BF116" i="22"/>
  <c r="AA144" i="28" s="1"/>
  <c r="AC144" i="28" s="1"/>
  <c r="G59" i="12"/>
  <c r="T424" i="12"/>
  <c r="G185" i="12"/>
  <c r="G61" i="12"/>
  <c r="Z399" i="12"/>
  <c r="Z411" i="12"/>
  <c r="I61" i="12"/>
  <c r="E107" i="12"/>
  <c r="J76" i="12"/>
  <c r="I76" i="12"/>
  <c r="G76" i="12"/>
  <c r="R58" i="12"/>
  <c r="R146" i="12"/>
  <c r="J321" i="12"/>
  <c r="T425" i="12"/>
  <c r="G420" i="12"/>
  <c r="Z57" i="12"/>
  <c r="I188" i="12"/>
  <c r="I185" i="12"/>
  <c r="U142" i="12"/>
  <c r="R61" i="12"/>
  <c r="I58" i="12"/>
  <c r="Z408" i="12"/>
  <c r="G58" i="12"/>
  <c r="Z321" i="12"/>
  <c r="R57" i="12"/>
  <c r="Z406" i="12"/>
  <c r="J188" i="12"/>
  <c r="G394" i="12"/>
  <c r="M167" i="12"/>
  <c r="J63" i="12"/>
  <c r="Z74" i="12"/>
  <c r="Z60" i="12"/>
  <c r="J58" i="12"/>
  <c r="R62" i="12"/>
  <c r="G415" i="12"/>
  <c r="G408" i="12"/>
  <c r="R76" i="12"/>
  <c r="I64" i="12"/>
  <c r="AZ135" i="22"/>
  <c r="R165" i="28" s="1"/>
  <c r="T165" i="28" s="1"/>
  <c r="G75" i="12"/>
  <c r="Z61" i="12"/>
  <c r="R60" i="12"/>
  <c r="Z146" i="12"/>
  <c r="J78" i="12"/>
  <c r="I411" i="12"/>
  <c r="G57" i="12"/>
  <c r="R321" i="12"/>
  <c r="M142" i="12"/>
  <c r="W321" i="12"/>
  <c r="G411" i="12"/>
  <c r="Z401" i="12"/>
  <c r="Z76" i="12"/>
  <c r="J64" i="12"/>
  <c r="G80" i="12"/>
  <c r="I74" i="12"/>
  <c r="G416" i="12"/>
  <c r="Z59" i="12"/>
  <c r="G78" i="12"/>
  <c r="AZ112" i="22"/>
  <c r="R140" i="28" s="1"/>
  <c r="T140" i="28" s="1"/>
  <c r="R185" i="12"/>
  <c r="R63" i="12"/>
  <c r="R64" i="12"/>
  <c r="J60" i="12"/>
  <c r="I30" i="28"/>
  <c r="K30" i="28" s="1"/>
  <c r="I32" i="12"/>
  <c r="Z391" i="12"/>
  <c r="L102" i="12"/>
  <c r="Z62" i="12"/>
  <c r="G64" i="12"/>
  <c r="G321" i="12"/>
  <c r="E142" i="12"/>
  <c r="Z185" i="12"/>
  <c r="Z63" i="12"/>
  <c r="Z64" i="12"/>
  <c r="I60" i="12"/>
  <c r="Z78" i="12"/>
  <c r="J77" i="12"/>
  <c r="Z415" i="12"/>
  <c r="J57" i="12"/>
  <c r="G167" i="12"/>
  <c r="Z394" i="12"/>
  <c r="G62" i="12"/>
  <c r="G79" i="12"/>
  <c r="G401" i="12"/>
  <c r="G406" i="12"/>
  <c r="R75" i="12"/>
  <c r="R80" i="12"/>
  <c r="J185" i="12"/>
  <c r="AT342" i="22"/>
  <c r="I404" i="28" s="1"/>
  <c r="K404" i="28" s="1"/>
  <c r="I394" i="12"/>
  <c r="B57" i="22"/>
  <c r="M57" i="21"/>
  <c r="AV57" i="21" s="1"/>
  <c r="I57" i="22" s="1"/>
  <c r="Q57" i="22" s="1"/>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345" i="22"/>
  <c r="AB407" i="28" s="1"/>
  <c r="BG343" i="22"/>
  <c r="AB405" i="28" s="1"/>
  <c r="BG112" i="22"/>
  <c r="AB140" i="28" s="1"/>
  <c r="BA112" i="22"/>
  <c r="S140" i="28" s="1"/>
  <c r="BG350" i="22"/>
  <c r="AB412" i="28" s="1"/>
  <c r="BG157" i="22"/>
  <c r="AB189" i="28" s="1"/>
  <c r="BA157" i="22"/>
  <c r="S189" i="28" s="1"/>
  <c r="AT345" i="22"/>
  <c r="I407" i="28" s="1"/>
  <c r="K407" i="28" s="1"/>
  <c r="F30" i="23"/>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U49" i="22" s="1"/>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D361" i="22"/>
  <c r="Z423" i="28" s="1"/>
  <c r="BB361" i="22"/>
  <c r="W423" i="28" s="1"/>
  <c r="AX74" i="22"/>
  <c r="Q100" i="28" s="1"/>
  <c r="AV74" i="22"/>
  <c r="N100" i="28" s="1"/>
  <c r="E49" i="22"/>
  <c r="AW49" i="22" s="1"/>
  <c r="M69" i="28" s="1"/>
  <c r="AK49" i="22"/>
  <c r="AL49" i="22" s="1"/>
  <c r="E79" i="22"/>
  <c r="AW79" i="22" s="1"/>
  <c r="M105" i="28" s="1"/>
  <c r="AK79" i="22"/>
  <c r="AL79" i="22" s="1"/>
  <c r="Q49" i="21"/>
  <c r="AZ49" i="21" s="1"/>
  <c r="F49" i="22"/>
  <c r="G74" i="22"/>
  <c r="BC74" i="22" s="1"/>
  <c r="V100" i="28" s="1"/>
  <c r="AM74" i="22"/>
  <c r="AN74" i="22" s="1"/>
  <c r="G79" i="22"/>
  <c r="BC79" i="22" s="1"/>
  <c r="V105" i="28" s="1"/>
  <c r="AM79" i="22"/>
  <c r="AN79" i="22" s="1"/>
  <c r="AE57" i="22" l="1"/>
  <c r="AA57" i="22"/>
  <c r="S57" i="22"/>
  <c r="R57" i="22"/>
  <c r="G57" i="22"/>
  <c r="BC57" i="22" s="1"/>
  <c r="AM57" i="22"/>
  <c r="I31" i="28"/>
  <c r="K31" i="28" s="1"/>
  <c r="I33" i="12"/>
  <c r="G31" i="28"/>
  <c r="G33" i="12"/>
  <c r="J46" i="28"/>
  <c r="J48" i="12"/>
  <c r="I46" i="28"/>
  <c r="K46" i="28" s="1"/>
  <c r="I48" i="12"/>
  <c r="G46" i="28"/>
  <c r="G48" i="12"/>
  <c r="AH381" i="28"/>
  <c r="AH380" i="28" s="1"/>
  <c r="AH317" i="28"/>
  <c r="AH316" i="28" s="1"/>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BG333" i="22"/>
  <c r="AT333" i="22"/>
  <c r="H397" i="12"/>
  <c r="AS333" i="22"/>
  <c r="I399" i="12"/>
  <c r="AA348" i="22"/>
  <c r="AE348" i="22"/>
  <c r="S348" i="22"/>
  <c r="H410" i="28"/>
  <c r="AT348" i="22"/>
  <c r="H412" i="12"/>
  <c r="AS348" i="22"/>
  <c r="BG348" i="22"/>
  <c r="AF49" i="22"/>
  <c r="AB49" i="22"/>
  <c r="V49" i="22"/>
  <c r="Q142" i="12"/>
  <c r="Y167" i="12"/>
  <c r="AH144" i="28"/>
  <c r="Y142" i="12"/>
  <c r="AH165" i="28"/>
  <c r="Q146" i="12"/>
  <c r="L191" i="12"/>
  <c r="R191" i="12"/>
  <c r="O167" i="12"/>
  <c r="R142" i="12"/>
  <c r="Z142" i="12"/>
  <c r="G191" i="12"/>
  <c r="Y146" i="12"/>
  <c r="L71" i="12"/>
  <c r="Q167" i="12"/>
  <c r="W146" i="12"/>
  <c r="Z409" i="12"/>
  <c r="Z191" i="12"/>
  <c r="T102" i="12"/>
  <c r="U425" i="12"/>
  <c r="Z414" i="12"/>
  <c r="M102" i="12"/>
  <c r="L107" i="12"/>
  <c r="J142" i="12"/>
  <c r="G107" i="12"/>
  <c r="G414" i="12"/>
  <c r="I142" i="12"/>
  <c r="AH140" i="28"/>
  <c r="G142" i="12"/>
  <c r="G407" i="12"/>
  <c r="I191" i="12"/>
  <c r="BF361" i="22"/>
  <c r="AA423" i="28" s="1"/>
  <c r="AC423" i="28" s="1"/>
  <c r="J107" i="12"/>
  <c r="O142" i="12"/>
  <c r="J191" i="12"/>
  <c r="T107" i="12"/>
  <c r="I406" i="12"/>
  <c r="I107" i="12"/>
  <c r="W167" i="12"/>
  <c r="G409" i="12"/>
  <c r="T191" i="12"/>
  <c r="W142" i="12"/>
  <c r="Z407" i="12"/>
  <c r="AZ74" i="22"/>
  <c r="R100" i="28" s="1"/>
  <c r="T100" i="28" s="1"/>
  <c r="Z107" i="12"/>
  <c r="I415" i="12"/>
  <c r="R107" i="12"/>
  <c r="O146" i="12"/>
  <c r="AI57" i="22"/>
  <c r="C57" i="22"/>
  <c r="AQ57" i="22" s="1"/>
  <c r="D79" i="28" s="1"/>
  <c r="I414" i="12"/>
  <c r="I409" i="12"/>
  <c r="I407" i="12"/>
  <c r="AX157" i="22"/>
  <c r="Q189" i="28" s="1"/>
  <c r="AV157" i="22"/>
  <c r="N189" i="28" s="1"/>
  <c r="BD157" i="22"/>
  <c r="Z189" i="28" s="1"/>
  <c r="BB157" i="22"/>
  <c r="W189" i="28" s="1"/>
  <c r="W49" i="22"/>
  <c r="X49" i="22" s="1"/>
  <c r="AY74" i="22"/>
  <c r="P100" i="28" s="1"/>
  <c r="P102" i="12"/>
  <c r="BE361" i="22"/>
  <c r="Y423" i="28" s="1"/>
  <c r="X425" i="12"/>
  <c r="AX49" i="22"/>
  <c r="Q69" i="28" s="1"/>
  <c r="AV49" i="22"/>
  <c r="N69" i="28" s="1"/>
  <c r="BD79" i="22"/>
  <c r="Z105" i="28" s="1"/>
  <c r="BB79" i="22"/>
  <c r="W105" i="28" s="1"/>
  <c r="BD74" i="22"/>
  <c r="Z100" i="28" s="1"/>
  <c r="BB74" i="22"/>
  <c r="W100" i="28" s="1"/>
  <c r="AX79" i="22"/>
  <c r="Q105" i="28" s="1"/>
  <c r="AV79" i="22"/>
  <c r="N105" i="28" s="1"/>
  <c r="G49" i="22"/>
  <c r="BC49" i="22" s="1"/>
  <c r="V69" i="28" s="1"/>
  <c r="AM49" i="22"/>
  <c r="AN49" i="22" s="1"/>
  <c r="AN57" i="22" l="1"/>
  <c r="BD57" i="22" s="1"/>
  <c r="BB57" i="22"/>
  <c r="V79" i="28"/>
  <c r="T81" i="12"/>
  <c r="R186" i="28"/>
  <c r="T186" i="28" s="1"/>
  <c r="Q188" i="12"/>
  <c r="P186" i="28"/>
  <c r="O188" i="12"/>
  <c r="Y183" i="28"/>
  <c r="W185" i="12"/>
  <c r="AA183" i="28"/>
  <c r="AC183" i="28" s="1"/>
  <c r="Y185" i="12"/>
  <c r="AB410" i="28"/>
  <c r="Z412" i="12"/>
  <c r="G410" i="28"/>
  <c r="G412" i="12"/>
  <c r="G395" i="28"/>
  <c r="G397" i="12"/>
  <c r="I395" i="28"/>
  <c r="K395" i="28" s="1"/>
  <c r="I397" i="12"/>
  <c r="AB395" i="28"/>
  <c r="Z397" i="12"/>
  <c r="I410" i="28"/>
  <c r="K410" i="28" s="1"/>
  <c r="I412" i="12"/>
  <c r="AG49" i="22"/>
  <c r="AC49" i="22"/>
  <c r="Y49" i="22"/>
  <c r="AH175" i="28"/>
  <c r="AH97" i="28"/>
  <c r="AZ157" i="22"/>
  <c r="R189" i="28" s="1"/>
  <c r="T189" i="28" s="1"/>
  <c r="W425" i="12"/>
  <c r="U191" i="12"/>
  <c r="M191" i="12"/>
  <c r="AZ49" i="22"/>
  <c r="R69" i="28" s="1"/>
  <c r="T69" i="28" s="1"/>
  <c r="T71" i="12"/>
  <c r="Y425" i="12"/>
  <c r="BF74" i="22"/>
  <c r="AA100" i="28" s="1"/>
  <c r="AC100" i="28" s="1"/>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W79" i="28" l="1"/>
  <c r="U81" i="12"/>
  <c r="Z79" i="28"/>
  <c r="BE57" i="22"/>
  <c r="X81" i="12"/>
  <c r="AH189" i="28"/>
  <c r="AH105" i="28"/>
  <c r="Q191" i="12"/>
  <c r="Q71" i="12"/>
  <c r="W107" i="12"/>
  <c r="Q107" i="12"/>
  <c r="W191" i="12"/>
  <c r="O107" i="12"/>
  <c r="O191" i="12"/>
  <c r="Y191" i="12"/>
  <c r="Y102" i="12"/>
  <c r="E81" i="12"/>
  <c r="W102" i="12"/>
  <c r="O71" i="12"/>
  <c r="Y107" i="12"/>
  <c r="BF49" i="22"/>
  <c r="AA69" i="28" s="1"/>
  <c r="AC69" i="28" s="1"/>
  <c r="U71" i="12"/>
  <c r="AS57" i="22"/>
  <c r="G79" i="28" s="1"/>
  <c r="H81" i="12"/>
  <c r="AT57" i="22"/>
  <c r="I79" i="28" s="1"/>
  <c r="K79" i="28" s="1"/>
  <c r="AU57" i="22"/>
  <c r="J79" i="28" s="1"/>
  <c r="BE49" i="22"/>
  <c r="Y69" i="28" s="1"/>
  <c r="X71" i="12"/>
  <c r="Y79" i="28" l="1"/>
  <c r="W81" i="12"/>
  <c r="Y71" i="12"/>
  <c r="J81" i="12"/>
  <c r="G81" i="12"/>
  <c r="I81" i="12"/>
  <c r="W71" i="12"/>
  <c r="J9" i="21"/>
  <c r="H9" i="21"/>
  <c r="F9" i="21"/>
  <c r="C9" i="22" s="1"/>
  <c r="AQ9" i="22" s="1"/>
  <c r="D27" i="12" l="1"/>
  <c r="D25" i="28"/>
  <c r="G9" i="21"/>
  <c r="D9" i="22" s="1"/>
  <c r="I9" i="21"/>
  <c r="F9" i="22" s="1"/>
  <c r="G9" i="22" l="1"/>
  <c r="BC9" i="22" s="1"/>
  <c r="AM9" i="22"/>
  <c r="E9" i="22"/>
  <c r="AW9" i="22" s="1"/>
  <c r="AK9" i="22"/>
  <c r="L27" i="12" l="1"/>
  <c r="M25" i="28"/>
  <c r="T27" i="12"/>
  <c r="V25" i="28"/>
  <c r="AL9" i="22"/>
  <c r="AX9" i="22" s="1"/>
  <c r="AV9" i="22"/>
  <c r="AN9" i="22"/>
  <c r="BD9" i="22" s="1"/>
  <c r="BB9" i="22"/>
  <c r="M27" i="12" l="1"/>
  <c r="N25" i="28"/>
  <c r="U27" i="12"/>
  <c r="W25" i="28"/>
  <c r="BF9" i="22"/>
  <c r="AA25" i="28" s="1"/>
  <c r="Z25" i="28"/>
  <c r="AZ9" i="22"/>
  <c r="R25" i="28" s="1"/>
  <c r="Q25" i="28"/>
  <c r="BE9" i="22"/>
  <c r="X27" i="12"/>
  <c r="AY9" i="22"/>
  <c r="P27" i="12"/>
  <c r="Y27" i="12" l="1"/>
  <c r="Q27" i="12"/>
  <c r="O27" i="12"/>
  <c r="P25" i="28"/>
  <c r="W27" i="12"/>
  <c r="Y25" i="28"/>
  <c r="AH25" i="28"/>
  <c r="A13" i="9" l="1"/>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189" i="2" l="1"/>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A14" i="9"/>
  <c r="A3" i="28" s="1"/>
  <c r="G9" i="15"/>
  <c r="G10" i="15"/>
  <c r="G8" i="15"/>
  <c r="F8" i="21"/>
  <c r="C8" i="22" s="1"/>
  <c r="AQ8" i="22" s="1"/>
  <c r="A3" i="12"/>
  <c r="C17" i="9"/>
  <c r="E17" i="9"/>
  <c r="G17" i="9"/>
  <c r="V11" i="28" l="1"/>
  <c r="M11" i="28"/>
  <c r="D11" i="28"/>
  <c r="AH11" i="28" s="1"/>
  <c r="V10" i="28"/>
  <c r="M10" i="28"/>
  <c r="D10" i="28"/>
  <c r="AH10" i="28" s="1"/>
  <c r="V7" i="28"/>
  <c r="M7" i="28"/>
  <c r="D7" i="28"/>
  <c r="AH7" i="28" s="1"/>
  <c r="V6" i="28"/>
  <c r="M6" i="28"/>
  <c r="D6" i="28"/>
  <c r="AH6" i="28" s="1"/>
  <c r="AH8" i="28" s="1"/>
  <c r="G11" i="15"/>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AZ354" i="21"/>
  <c r="M354" i="22" s="1"/>
  <c r="W354" i="22" s="1"/>
  <c r="AS120" i="21"/>
  <c r="AZ120" i="21" s="1"/>
  <c r="AZ350" i="2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N22" i="22" s="1"/>
  <c r="AS195" i="21"/>
  <c r="AZ195" i="21" s="1"/>
  <c r="M195" i="22" s="1"/>
  <c r="W195" i="22" s="1"/>
  <c r="AS52" i="21"/>
  <c r="AZ52" i="21" s="1"/>
  <c r="AZ351" i="2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AZ332" i="21"/>
  <c r="AS201" i="21"/>
  <c r="AZ201" i="21" s="1"/>
  <c r="M201" i="22" s="1"/>
  <c r="W201" i="22" s="1"/>
  <c r="AS121" i="21"/>
  <c r="AZ121" i="21" s="1"/>
  <c r="M121" i="22" s="1"/>
  <c r="W121" i="22" s="1"/>
  <c r="AS111" i="21"/>
  <c r="AZ111" i="21" s="1"/>
  <c r="AS14" i="21"/>
  <c r="AZ14" i="21" s="1"/>
  <c r="M14" i="22" s="1"/>
  <c r="AS246" i="21"/>
  <c r="AZ246" i="21" s="1"/>
  <c r="M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AS191" i="21"/>
  <c r="AZ191" i="21" s="1"/>
  <c r="M191" i="22" s="1"/>
  <c r="W191" i="22" s="1"/>
  <c r="AS143" i="21"/>
  <c r="AZ143" i="21" s="1"/>
  <c r="AZ327" i="2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W57" i="22" s="1"/>
  <c r="X57" i="22" s="1"/>
  <c r="BF57" i="22" s="1"/>
  <c r="AA79" i="28" s="1"/>
  <c r="AC79" i="28" s="1"/>
  <c r="AS270" i="21"/>
  <c r="AZ270" i="21" s="1"/>
  <c r="M270" i="22" s="1"/>
  <c r="W270" i="22" s="1"/>
  <c r="AS301" i="21"/>
  <c r="AZ301" i="21" s="1"/>
  <c r="M301" i="22" s="1"/>
  <c r="W301" i="22" s="1"/>
  <c r="AS54" i="21"/>
  <c r="AZ54" i="21" s="1"/>
  <c r="AS123" i="21"/>
  <c r="AZ337" i="21"/>
  <c r="AS131" i="21"/>
  <c r="AZ131" i="21" s="1"/>
  <c r="AS248" i="21"/>
  <c r="AZ248" i="21" s="1"/>
  <c r="M248" i="22" s="1"/>
  <c r="AS199" i="21"/>
  <c r="AZ199" i="21" s="1"/>
  <c r="M199" i="22" s="1"/>
  <c r="W199" i="22" s="1"/>
  <c r="AS227" i="21"/>
  <c r="AZ227" i="21" s="1"/>
  <c r="M227" i="22" s="1"/>
  <c r="W227" i="22" s="1"/>
  <c r="AS285" i="21"/>
  <c r="AZ285" i="21" s="1"/>
  <c r="M285" i="22" s="1"/>
  <c r="W285" i="22" s="1"/>
  <c r="AS17" i="21"/>
  <c r="AZ17" i="21" s="1"/>
  <c r="M17" i="22" s="1"/>
  <c r="AZ331" i="21"/>
  <c r="AS21" i="21"/>
  <c r="AZ21" i="21" s="1"/>
  <c r="M21" i="22" s="1"/>
  <c r="AN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AS261" i="21"/>
  <c r="AZ261" i="21" s="1"/>
  <c r="M261" i="22" s="1"/>
  <c r="W261" i="22" s="1"/>
  <c r="AZ346" i="2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N33" i="22" s="1"/>
  <c r="AS48" i="21"/>
  <c r="AZ48" i="21" s="1"/>
  <c r="M48" i="22" s="1"/>
  <c r="W48" i="22" s="1"/>
  <c r="AS44" i="21"/>
  <c r="AZ44" i="21" s="1"/>
  <c r="M44" i="22" s="1"/>
  <c r="W44" i="22" s="1"/>
  <c r="AS40" i="21"/>
  <c r="AZ40" i="21" s="1"/>
  <c r="M40" i="22" s="1"/>
  <c r="AN40" i="22" s="1"/>
  <c r="AS36" i="21"/>
  <c r="AZ36" i="21" s="1"/>
  <c r="M36" i="22" s="1"/>
  <c r="AN36" i="22" s="1"/>
  <c r="AS42" i="21"/>
  <c r="AZ42" i="21" s="1"/>
  <c r="M42" i="22" s="1"/>
  <c r="AN42" i="22" s="1"/>
  <c r="AS35" i="21"/>
  <c r="AZ35" i="21" s="1"/>
  <c r="M35" i="22" s="1"/>
  <c r="AN35" i="22" s="1"/>
  <c r="AS47" i="21"/>
  <c r="AZ47" i="21" s="1"/>
  <c r="M47" i="22" s="1"/>
  <c r="W47" i="22" s="1"/>
  <c r="AS43" i="21"/>
  <c r="AZ43" i="21" s="1"/>
  <c r="M43" i="22" s="1"/>
  <c r="W43" i="22" s="1"/>
  <c r="AS45" i="21"/>
  <c r="AZ45" i="21" s="1"/>
  <c r="M45" i="22" s="1"/>
  <c r="W45" i="22" s="1"/>
  <c r="AS39" i="21"/>
  <c r="AZ39" i="21" s="1"/>
  <c r="M39" i="22" s="1"/>
  <c r="AN39" i="22" s="1"/>
  <c r="AS41" i="21"/>
  <c r="AZ41" i="21" s="1"/>
  <c r="M41" i="22" s="1"/>
  <c r="AN41" i="22" s="1"/>
  <c r="AS46" i="21"/>
  <c r="AZ46" i="21" s="1"/>
  <c r="M46" i="22" s="1"/>
  <c r="W46" i="22" s="1"/>
  <c r="AS34" i="21"/>
  <c r="AZ34" i="21" s="1"/>
  <c r="M34" i="22" s="1"/>
  <c r="AN34" i="22" s="1"/>
  <c r="AS37" i="21"/>
  <c r="AZ37" i="21" s="1"/>
  <c r="M37" i="22" s="1"/>
  <c r="AN37" i="22" s="1"/>
  <c r="AS38" i="21"/>
  <c r="AZ38" i="21" s="1"/>
  <c r="M38" i="22" s="1"/>
  <c r="AN38" i="22" s="1"/>
  <c r="AQ143" i="21"/>
  <c r="AX143" i="21" s="1"/>
  <c r="AQ224" i="21"/>
  <c r="AX224" i="21" s="1"/>
  <c r="K224" i="22" s="1"/>
  <c r="T224" i="22" s="1"/>
  <c r="AX362" i="21"/>
  <c r="K362" i="22" s="1"/>
  <c r="T362" i="22" s="1"/>
  <c r="AQ55" i="21"/>
  <c r="AX55" i="21" s="1"/>
  <c r="K55" i="22" s="1"/>
  <c r="AL55" i="22" s="1"/>
  <c r="AQ185" i="21"/>
  <c r="AX185" i="21" s="1"/>
  <c r="K185" i="22" s="1"/>
  <c r="T185" i="22" s="1"/>
  <c r="AQ316" i="21"/>
  <c r="AX316" i="21" s="1"/>
  <c r="K316" i="22" s="1"/>
  <c r="T316" i="22" s="1"/>
  <c r="AQ93" i="21"/>
  <c r="AX93" i="21" s="1"/>
  <c r="K93" i="22" s="1"/>
  <c r="T93" i="22" s="1"/>
  <c r="AQ203" i="21"/>
  <c r="AX203" i="21" s="1"/>
  <c r="K203" i="22" s="1"/>
  <c r="T203" i="22" s="1"/>
  <c r="AX327" i="21"/>
  <c r="K327" i="22" s="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L22" i="22" s="1"/>
  <c r="AQ229" i="21"/>
  <c r="AX229" i="21" s="1"/>
  <c r="K229" i="22" s="1"/>
  <c r="T229" i="22" s="1"/>
  <c r="AQ179" i="21"/>
  <c r="AX179" i="21" s="1"/>
  <c r="K179" i="22" s="1"/>
  <c r="T179" i="22" s="1"/>
  <c r="AQ160" i="21"/>
  <c r="AX160" i="21" s="1"/>
  <c r="AX336" i="21"/>
  <c r="K336" i="22" s="1"/>
  <c r="AQ61" i="21"/>
  <c r="AX61" i="21" s="1"/>
  <c r="AX357" i="21"/>
  <c r="K357" i="22" s="1"/>
  <c r="T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AX338" i="21"/>
  <c r="K338" i="22" s="1"/>
  <c r="T338" i="22" s="1"/>
  <c r="AQ277" i="21"/>
  <c r="AX277" i="21" s="1"/>
  <c r="K277" i="22" s="1"/>
  <c r="T277" i="22" s="1"/>
  <c r="AQ54" i="21"/>
  <c r="AX54" i="21" s="1"/>
  <c r="K54" i="22" s="1"/>
  <c r="AL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T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L21" i="22" s="1"/>
  <c r="AX347" i="21"/>
  <c r="K347" i="22" s="1"/>
  <c r="AQ131" i="21"/>
  <c r="AX131" i="21" s="1"/>
  <c r="AQ64" i="21"/>
  <c r="AX64" i="21" s="1"/>
  <c r="K64" i="22" s="1"/>
  <c r="T64" i="22" s="1"/>
  <c r="AX355" i="21"/>
  <c r="K355" i="22" s="1"/>
  <c r="T355" i="22" s="1"/>
  <c r="AQ211" i="21"/>
  <c r="AX211" i="21" s="1"/>
  <c r="K211" i="22" s="1"/>
  <c r="T211" i="22" s="1"/>
  <c r="AX328" i="21"/>
  <c r="K328" i="22" s="1"/>
  <c r="AX329" i="21"/>
  <c r="K329" i="22" s="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K330" i="22" s="1"/>
  <c r="AX352" i="21"/>
  <c r="K352" i="22" s="1"/>
  <c r="AQ190" i="21"/>
  <c r="AX190" i="21" s="1"/>
  <c r="K190" i="22" s="1"/>
  <c r="T190" i="22" s="1"/>
  <c r="AQ100" i="21"/>
  <c r="AX100" i="21" s="1"/>
  <c r="K100" i="22" s="1"/>
  <c r="T100" i="22" s="1"/>
  <c r="AQ73" i="21"/>
  <c r="AX73" i="21" s="1"/>
  <c r="AX339" i="21"/>
  <c r="K339" i="22" s="1"/>
  <c r="T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L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K346" i="22" s="1"/>
  <c r="AQ163" i="21"/>
  <c r="AX163" i="21" s="1"/>
  <c r="K163" i="22" s="1"/>
  <c r="T163" i="22" s="1"/>
  <c r="AQ110" i="21"/>
  <c r="AX110" i="21" s="1"/>
  <c r="AQ164" i="21"/>
  <c r="AX164" i="21" s="1"/>
  <c r="K164" i="22" s="1"/>
  <c r="T164" i="22" s="1"/>
  <c r="AQ186" i="21"/>
  <c r="AX186" i="21" s="1"/>
  <c r="K186" i="22" s="1"/>
  <c r="T186" i="22" s="1"/>
  <c r="AQ51" i="21"/>
  <c r="AX51" i="21" s="1"/>
  <c r="K51" i="22" s="1"/>
  <c r="AL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K337" i="22" s="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T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L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AQ259" i="21"/>
  <c r="AX259" i="21" s="1"/>
  <c r="K259" i="22" s="1"/>
  <c r="T259" i="22" s="1"/>
  <c r="AX356" i="21"/>
  <c r="K356" i="22" s="1"/>
  <c r="AQ292" i="21"/>
  <c r="AX292" i="21" s="1"/>
  <c r="K292" i="22" s="1"/>
  <c r="T292" i="22" s="1"/>
  <c r="AQ97" i="21"/>
  <c r="AX97" i="21" s="1"/>
  <c r="K97" i="22" s="1"/>
  <c r="T97" i="22" s="1"/>
  <c r="AX343" i="21"/>
  <c r="K343" i="22" s="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K344" i="22" s="1"/>
  <c r="AQ78" i="21"/>
  <c r="AX78" i="21" s="1"/>
  <c r="K78" i="22" s="1"/>
  <c r="T78" i="22" s="1"/>
  <c r="AQ248" i="21"/>
  <c r="AX248" i="21" s="1"/>
  <c r="K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L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K342" i="22" s="1"/>
  <c r="AX351" i="21"/>
  <c r="K351" i="22" s="1"/>
  <c r="AQ219" i="21"/>
  <c r="AX219" i="21" s="1"/>
  <c r="K219" i="22" s="1"/>
  <c r="T219" i="22" s="1"/>
  <c r="AX335" i="21"/>
  <c r="K335" i="22" s="1"/>
  <c r="AQ285" i="21"/>
  <c r="AX285" i="21" s="1"/>
  <c r="K285" i="22" s="1"/>
  <c r="T285" i="22" s="1"/>
  <c r="AX340" i="21"/>
  <c r="K340" i="22" s="1"/>
  <c r="T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T354" i="22" s="1"/>
  <c r="AQ210" i="21"/>
  <c r="AX210" i="21" s="1"/>
  <c r="K210" i="22" s="1"/>
  <c r="T210" i="22" s="1"/>
  <c r="AX331" i="21"/>
  <c r="K331" i="22" s="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AQ161" i="21"/>
  <c r="AX161" i="21" s="1"/>
  <c r="AX322" i="21"/>
  <c r="K322" i="22" s="1"/>
  <c r="T322" i="22" s="1"/>
  <c r="AQ241" i="21"/>
  <c r="AX241" i="21" s="1"/>
  <c r="K241" i="22" s="1"/>
  <c r="AQ324" i="21"/>
  <c r="AX324" i="21" s="1"/>
  <c r="K324" i="22" s="1"/>
  <c r="T324" i="22" s="1"/>
  <c r="AX345" i="21"/>
  <c r="K345" i="22" s="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L52" i="22" s="1"/>
  <c r="AQ205" i="21"/>
  <c r="AX205" i="21" s="1"/>
  <c r="K205" i="22" s="1"/>
  <c r="T205" i="22" s="1"/>
  <c r="AX332" i="21"/>
  <c r="K332" i="22" s="1"/>
  <c r="AQ75" i="21"/>
  <c r="AX75" i="21" s="1"/>
  <c r="AQ216" i="21"/>
  <c r="AX216" i="21" s="1"/>
  <c r="K216" i="22" s="1"/>
  <c r="T216" i="22" s="1"/>
  <c r="AX334" i="21"/>
  <c r="K334" i="22" s="1"/>
  <c r="AQ175" i="21"/>
  <c r="AX175" i="21" s="1"/>
  <c r="K175" i="22" s="1"/>
  <c r="T175" i="22" s="1"/>
  <c r="AX353" i="21"/>
  <c r="K353" i="22" s="1"/>
  <c r="T353" i="22" s="1"/>
  <c r="AQ85" i="21"/>
  <c r="AX85" i="21" s="1"/>
  <c r="K85" i="22" s="1"/>
  <c r="T85" i="22" s="1"/>
  <c r="AQ37" i="21"/>
  <c r="AX37" i="21" s="1"/>
  <c r="K37" i="22" s="1"/>
  <c r="AL37" i="22" s="1"/>
  <c r="AQ39" i="21"/>
  <c r="AX39" i="21" s="1"/>
  <c r="K39" i="22" s="1"/>
  <c r="AL39" i="22" s="1"/>
  <c r="AQ46" i="21"/>
  <c r="AX46" i="21" s="1"/>
  <c r="K46" i="22" s="1"/>
  <c r="T46" i="22" s="1"/>
  <c r="AQ35" i="21"/>
  <c r="AX35" i="21" s="1"/>
  <c r="K35" i="22" s="1"/>
  <c r="AL35" i="22" s="1"/>
  <c r="AQ47" i="21"/>
  <c r="AX47" i="21" s="1"/>
  <c r="K47" i="22" s="1"/>
  <c r="T47" i="22" s="1"/>
  <c r="AQ44" i="21"/>
  <c r="AX44" i="21" s="1"/>
  <c r="K44" i="22" s="1"/>
  <c r="T44" i="22" s="1"/>
  <c r="AQ43" i="21"/>
  <c r="AX43" i="21" s="1"/>
  <c r="K43" i="22" s="1"/>
  <c r="T43" i="22" s="1"/>
  <c r="AQ34" i="21"/>
  <c r="AX34" i="21" s="1"/>
  <c r="K34" i="22" s="1"/>
  <c r="AL34" i="22" s="1"/>
  <c r="AQ40" i="21"/>
  <c r="AX40" i="21" s="1"/>
  <c r="K40" i="22" s="1"/>
  <c r="AL40" i="22" s="1"/>
  <c r="AQ48" i="21"/>
  <c r="AX48" i="21" s="1"/>
  <c r="K48" i="22" s="1"/>
  <c r="T48" i="22" s="1"/>
  <c r="AQ41" i="21"/>
  <c r="AX41" i="21" s="1"/>
  <c r="K41" i="22" s="1"/>
  <c r="AL41" i="22" s="1"/>
  <c r="AQ36" i="21"/>
  <c r="AX36" i="21" s="1"/>
  <c r="K36" i="22" s="1"/>
  <c r="AL36" i="22" s="1"/>
  <c r="AQ33" i="21"/>
  <c r="AX33" i="21" s="1"/>
  <c r="K33" i="22" s="1"/>
  <c r="AL33" i="22" s="1"/>
  <c r="AQ42" i="21"/>
  <c r="AX42" i="21" s="1"/>
  <c r="K42" i="22" s="1"/>
  <c r="AL42" i="22" s="1"/>
  <c r="AQ38" i="21"/>
  <c r="AX38" i="21" s="1"/>
  <c r="K38" i="22" s="1"/>
  <c r="AL38" i="22" s="1"/>
  <c r="AQ45" i="21"/>
  <c r="AX45" i="21" s="1"/>
  <c r="K45" i="22" s="1"/>
  <c r="T45" i="22" s="1"/>
  <c r="G8" i="22"/>
  <c r="BC8" i="22" s="1"/>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W248" i="22" l="1"/>
  <c r="X248" i="22" s="1"/>
  <c r="AN248" i="22"/>
  <c r="BD248" i="22" s="1"/>
  <c r="W246" i="22"/>
  <c r="AN246" i="22"/>
  <c r="BD246" i="22" s="1"/>
  <c r="W241" i="22"/>
  <c r="AN241" i="22"/>
  <c r="BD241" i="22" s="1"/>
  <c r="W247" i="22"/>
  <c r="AN247" i="22"/>
  <c r="BD247" i="22" s="1"/>
  <c r="W243" i="22"/>
  <c r="AN243" i="22"/>
  <c r="BD243" i="22" s="1"/>
  <c r="W349" i="22"/>
  <c r="X349" i="22" s="1"/>
  <c r="AN349" i="22"/>
  <c r="BD349" i="22" s="1"/>
  <c r="W23" i="22"/>
  <c r="X23" i="22" s="1"/>
  <c r="AN23" i="22"/>
  <c r="BD23" i="22" s="1"/>
  <c r="W360" i="22"/>
  <c r="AN360" i="22"/>
  <c r="BD360" i="22" s="1"/>
  <c r="W26" i="22"/>
  <c r="X26" i="22" s="1"/>
  <c r="AN26" i="22"/>
  <c r="BD26" i="22" s="1"/>
  <c r="T334" i="22"/>
  <c r="AL334" i="22"/>
  <c r="AX334" i="22" s="1"/>
  <c r="T332" i="22"/>
  <c r="AL332" i="22"/>
  <c r="AX332" i="22" s="1"/>
  <c r="T345" i="22"/>
  <c r="AL345" i="22"/>
  <c r="AX345" i="22" s="1"/>
  <c r="T241" i="22"/>
  <c r="AL241" i="22"/>
  <c r="AX241" i="22" s="1"/>
  <c r="T247" i="22"/>
  <c r="AL247" i="22"/>
  <c r="AX247" i="22" s="1"/>
  <c r="AL331" i="22"/>
  <c r="AX331" i="22" s="1"/>
  <c r="T331" i="22"/>
  <c r="K333" i="22"/>
  <c r="T335" i="22"/>
  <c r="AL335" i="22"/>
  <c r="AX335" i="22" s="1"/>
  <c r="T351" i="22"/>
  <c r="AL351" i="22"/>
  <c r="AX351" i="22" s="1"/>
  <c r="T342" i="22"/>
  <c r="AL342" i="22"/>
  <c r="AX342" i="22" s="1"/>
  <c r="T248" i="22"/>
  <c r="U248" i="22" s="1"/>
  <c r="AL248" i="22"/>
  <c r="AX248" i="22" s="1"/>
  <c r="T344" i="22"/>
  <c r="AL344" i="22"/>
  <c r="AX344" i="22" s="1"/>
  <c r="T343" i="22"/>
  <c r="AL343" i="22"/>
  <c r="AX343" i="22" s="1"/>
  <c r="T356" i="22"/>
  <c r="AL356" i="22"/>
  <c r="AX356" i="22" s="1"/>
  <c r="T23" i="22"/>
  <c r="U23" i="22" s="1"/>
  <c r="AL23" i="22"/>
  <c r="AX23" i="22" s="1"/>
  <c r="T349" i="22"/>
  <c r="U349" i="22" s="1"/>
  <c r="AL349" i="22"/>
  <c r="AX349" i="22" s="1"/>
  <c r="T350" i="22"/>
  <c r="AL350" i="22"/>
  <c r="AX350" i="22" s="1"/>
  <c r="T337" i="22"/>
  <c r="AL337" i="22"/>
  <c r="AX337" i="22" s="1"/>
  <c r="AL346" i="22"/>
  <c r="AX346" i="22" s="1"/>
  <c r="T346" i="22"/>
  <c r="K348" i="22"/>
  <c r="T352" i="22"/>
  <c r="AL352" i="22"/>
  <c r="AX352" i="22" s="1"/>
  <c r="T330" i="22"/>
  <c r="AL330" i="22"/>
  <c r="AX330" i="22" s="1"/>
  <c r="T329" i="22"/>
  <c r="AL329" i="22"/>
  <c r="AX329" i="22" s="1"/>
  <c r="T328" i="22"/>
  <c r="AL328" i="22"/>
  <c r="AX328" i="22" s="1"/>
  <c r="T347" i="22"/>
  <c r="AL347" i="22"/>
  <c r="AX347" i="22" s="1"/>
  <c r="T246" i="22"/>
  <c r="AL246" i="22"/>
  <c r="AX246" i="22" s="1"/>
  <c r="T26" i="22"/>
  <c r="U26" i="22" s="1"/>
  <c r="AL26" i="22"/>
  <c r="AX26" i="22" s="1"/>
  <c r="T336" i="22"/>
  <c r="AL336" i="22"/>
  <c r="AX336" i="22" s="1"/>
  <c r="T243" i="22"/>
  <c r="AL243" i="22"/>
  <c r="AX243" i="22" s="1"/>
  <c r="T327" i="22"/>
  <c r="AL327" i="22"/>
  <c r="AX327" i="22" s="1"/>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F243" i="22"/>
  <c r="AB243"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BG23" i="22" s="1"/>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F26" i="22"/>
  <c r="V26" i="22"/>
  <c r="BA26" i="22" s="1"/>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BA23" i="22" s="1"/>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BG349" i="22" s="1"/>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G57" i="22"/>
  <c r="AC57" i="22"/>
  <c r="Y57" i="22"/>
  <c r="BG57" i="22" s="1"/>
  <c r="AF296" i="22"/>
  <c r="AB296" i="22"/>
  <c r="AF89" i="22"/>
  <c r="AB89" i="22"/>
  <c r="V89" i="22"/>
  <c r="AC97" i="22"/>
  <c r="AG97" i="22"/>
  <c r="AF71" i="22"/>
  <c r="AB71" i="22"/>
  <c r="V71" i="22"/>
  <c r="AG221" i="22"/>
  <c r="AC221" i="22"/>
  <c r="AG26" i="22"/>
  <c r="AC26" i="22"/>
  <c r="Y26" i="22"/>
  <c r="BG26" i="22" s="1"/>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X32" i="22" s="1"/>
  <c r="AN32" i="22"/>
  <c r="BD32" i="22" s="1"/>
  <c r="Z50" i="28" s="1"/>
  <c r="W28" i="22"/>
  <c r="X28" i="22" s="1"/>
  <c r="AN28" i="22"/>
  <c r="BD28" i="22" s="1"/>
  <c r="Z46" i="28" s="1"/>
  <c r="W27" i="22"/>
  <c r="X27" i="22" s="1"/>
  <c r="AN27" i="22"/>
  <c r="BD27" i="22" s="1"/>
  <c r="Z45" i="28" s="1"/>
  <c r="W17" i="22"/>
  <c r="AN17" i="22"/>
  <c r="BD17" i="22" s="1"/>
  <c r="Z35" i="28" s="1"/>
  <c r="W16" i="22"/>
  <c r="X16" i="22" s="1"/>
  <c r="AN16" i="22"/>
  <c r="BD16" i="22" s="1"/>
  <c r="Z34" i="28" s="1"/>
  <c r="W14" i="22"/>
  <c r="X14" i="22" s="1"/>
  <c r="AN14" i="22"/>
  <c r="BD14" i="22" s="1"/>
  <c r="Z32" i="28" s="1"/>
  <c r="W13" i="22"/>
  <c r="X13" i="22" s="1"/>
  <c r="AN13" i="22"/>
  <c r="BD13" i="22" s="1"/>
  <c r="Z31" i="28" s="1"/>
  <c r="W12" i="22"/>
  <c r="AN12" i="22"/>
  <c r="BD12" i="22" s="1"/>
  <c r="T32" i="22"/>
  <c r="U32" i="22" s="1"/>
  <c r="AL32" i="22"/>
  <c r="AX32" i="22" s="1"/>
  <c r="Q50" i="28" s="1"/>
  <c r="T28" i="22"/>
  <c r="U28" i="22" s="1"/>
  <c r="AL28" i="22"/>
  <c r="AX28" i="22" s="1"/>
  <c r="Q46" i="28" s="1"/>
  <c r="T27" i="22"/>
  <c r="U27" i="22" s="1"/>
  <c r="AL27" i="22"/>
  <c r="AX27" i="22" s="1"/>
  <c r="Q45" i="28" s="1"/>
  <c r="T17" i="22"/>
  <c r="AL17" i="22"/>
  <c r="AX17" i="22" s="1"/>
  <c r="Q35" i="28" s="1"/>
  <c r="T16" i="22"/>
  <c r="U16" i="22" s="1"/>
  <c r="AL16" i="22"/>
  <c r="AX16" i="22" s="1"/>
  <c r="Q34" i="28" s="1"/>
  <c r="T13" i="22"/>
  <c r="U13" i="22" s="1"/>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M51" i="22"/>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M126" i="22"/>
  <c r="W126" i="22" s="1"/>
  <c r="M53" i="22"/>
  <c r="Y213" i="12"/>
  <c r="Y275" i="12"/>
  <c r="Q209" i="12"/>
  <c r="Y307" i="12"/>
  <c r="Q370" i="12"/>
  <c r="Q35" i="12"/>
  <c r="Y381" i="12"/>
  <c r="Y380" i="12"/>
  <c r="Y197" i="12"/>
  <c r="Q92" i="12"/>
  <c r="Q380" i="12"/>
  <c r="Y306" i="12"/>
  <c r="Q359" i="12"/>
  <c r="Q208" i="12"/>
  <c r="Y308" i="12"/>
  <c r="Y305" i="12"/>
  <c r="Y209" i="12"/>
  <c r="Q305" i="12"/>
  <c r="Q308" i="12"/>
  <c r="Y385" i="12"/>
  <c r="Q152" i="12"/>
  <c r="Q381" i="12"/>
  <c r="Y374" i="12"/>
  <c r="Q91" i="12"/>
  <c r="Y274" i="12"/>
  <c r="Y253" i="12"/>
  <c r="Y91" i="12"/>
  <c r="Q301" i="12"/>
  <c r="Y208" i="12"/>
  <c r="Q373" i="12"/>
  <c r="Q385" i="12"/>
  <c r="Q307" i="12"/>
  <c r="Y192" i="12"/>
  <c r="Y204" i="12"/>
  <c r="Q192" i="12"/>
  <c r="Q351" i="12"/>
  <c r="Y370" i="12"/>
  <c r="Y198" i="12"/>
  <c r="Q204" i="12"/>
  <c r="Y359" i="12"/>
  <c r="Y35" i="12"/>
  <c r="Q306" i="12"/>
  <c r="Y277" i="12"/>
  <c r="Y301" i="12"/>
  <c r="Q197" i="12"/>
  <c r="Y92" i="12"/>
  <c r="Y152" i="12"/>
  <c r="Y226" i="12"/>
  <c r="Y351" i="12"/>
  <c r="Y373" i="12"/>
  <c r="Q374" i="12"/>
  <c r="Q198" i="12"/>
  <c r="AE314" i="12"/>
  <c r="AE313" i="12" s="1"/>
  <c r="T37" i="22"/>
  <c r="AX37" i="22"/>
  <c r="Q57" i="28" s="1"/>
  <c r="Q96" i="12"/>
  <c r="W36" i="22"/>
  <c r="BD36" i="22"/>
  <c r="Z56" i="28" s="1"/>
  <c r="Y81" i="12"/>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324" i="12"/>
  <c r="W39" i="22"/>
  <c r="BD39" i="22"/>
  <c r="Z59" i="28" s="1"/>
  <c r="Q99" i="12"/>
  <c r="Q119" i="12"/>
  <c r="Y96" i="12"/>
  <c r="Y272" i="12"/>
  <c r="Q95" i="12"/>
  <c r="Q51" i="12"/>
  <c r="Q84" i="12"/>
  <c r="T39" i="22"/>
  <c r="AX39" i="22"/>
  <c r="Q59" i="28" s="1"/>
  <c r="Y98" i="12"/>
  <c r="W41" i="22"/>
  <c r="BD41" i="22"/>
  <c r="Z61" i="28" s="1"/>
  <c r="W40" i="22"/>
  <c r="BD40" i="22"/>
  <c r="Z60" i="28" s="1"/>
  <c r="Y115" i="12"/>
  <c r="Y95" i="12"/>
  <c r="BD42" i="22"/>
  <c r="Z62" i="28" s="1"/>
  <c r="W42" i="22"/>
  <c r="T22" i="22"/>
  <c r="U22" i="22" s="1"/>
  <c r="AX22" i="22"/>
  <c r="Q40" i="28" s="1"/>
  <c r="Y51" i="12"/>
  <c r="Y273" i="12"/>
  <c r="W35" i="22"/>
  <c r="BD35" i="22"/>
  <c r="Z55" i="28" s="1"/>
  <c r="T38" i="22"/>
  <c r="AX38" i="22"/>
  <c r="Q58" i="28" s="1"/>
  <c r="Q116" i="12"/>
  <c r="Y123" i="12"/>
  <c r="T34" i="22"/>
  <c r="AX34" i="22"/>
  <c r="Q54" i="28" s="1"/>
  <c r="Y138" i="12"/>
  <c r="T42" i="22"/>
  <c r="AX42" i="22"/>
  <c r="Q62" i="28" s="1"/>
  <c r="Q118" i="12"/>
  <c r="T21" i="22"/>
  <c r="U21" i="22" s="1"/>
  <c r="AX21" i="22"/>
  <c r="Q39" i="28" s="1"/>
  <c r="Y89" i="12"/>
  <c r="BD21" i="22"/>
  <c r="Z39" i="28" s="1"/>
  <c r="W21" i="22"/>
  <c r="X21" i="22" s="1"/>
  <c r="Q115" i="12"/>
  <c r="T33" i="22"/>
  <c r="AX33" i="22"/>
  <c r="Q53" i="28" s="1"/>
  <c r="Q86" i="12"/>
  <c r="T36" i="22"/>
  <c r="AX36" i="22"/>
  <c r="Q56" i="28" s="1"/>
  <c r="BD38" i="22"/>
  <c r="Z58" i="28" s="1"/>
  <c r="W38" i="22"/>
  <c r="T41" i="22"/>
  <c r="AX41" i="22"/>
  <c r="Q61" i="28" s="1"/>
  <c r="T14" i="22"/>
  <c r="U14" i="22" s="1"/>
  <c r="AX14" i="22"/>
  <c r="Q32" i="28" s="1"/>
  <c r="W37" i="22"/>
  <c r="BD37" i="22"/>
  <c r="Z57" i="28" s="1"/>
  <c r="Y86" i="12"/>
  <c r="W22" i="22"/>
  <c r="X22" i="22" s="1"/>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X8" i="22" s="1"/>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Z283" i="28" l="1"/>
  <c r="BF243" i="22"/>
  <c r="BE243" i="22"/>
  <c r="X285" i="12"/>
  <c r="Z287" i="28"/>
  <c r="BF247" i="22"/>
  <c r="BE247" i="22"/>
  <c r="X289" i="12"/>
  <c r="Z281" i="28"/>
  <c r="BF241" i="22"/>
  <c r="BE241" i="22"/>
  <c r="X283" i="12"/>
  <c r="Z286" i="28"/>
  <c r="BF246" i="22"/>
  <c r="BE246" i="22"/>
  <c r="X288" i="12"/>
  <c r="Z288" i="28"/>
  <c r="BF248" i="22"/>
  <c r="BE248" i="22"/>
  <c r="X290" i="12"/>
  <c r="W53" i="22"/>
  <c r="AN53" i="22"/>
  <c r="BD53" i="22" s="1"/>
  <c r="W55" i="22"/>
  <c r="AN55" i="22"/>
  <c r="BD55" i="22" s="1"/>
  <c r="W52" i="22"/>
  <c r="AN52" i="22"/>
  <c r="BD52" i="22" s="1"/>
  <c r="W54" i="22"/>
  <c r="AN54" i="22"/>
  <c r="BD54" i="22" s="1"/>
  <c r="W56" i="22"/>
  <c r="AN56" i="22"/>
  <c r="BD56" i="22" s="1"/>
  <c r="W51" i="22"/>
  <c r="AN51" i="22"/>
  <c r="BD51" i="22" s="1"/>
  <c r="W50" i="22"/>
  <c r="AN50" i="22"/>
  <c r="BD50" i="22" s="1"/>
  <c r="Z44" i="28"/>
  <c r="BF26" i="22"/>
  <c r="BE26" i="22"/>
  <c r="X46" i="12"/>
  <c r="Z422" i="28"/>
  <c r="BF360" i="22"/>
  <c r="BE360" i="22"/>
  <c r="X424" i="12"/>
  <c r="U424" i="12" s="1"/>
  <c r="Z41" i="28"/>
  <c r="BF23" i="22"/>
  <c r="BE23" i="22"/>
  <c r="X43" i="12"/>
  <c r="Z411" i="28"/>
  <c r="X413" i="12"/>
  <c r="BE349" i="22"/>
  <c r="BF349" i="22"/>
  <c r="AB44" i="28"/>
  <c r="Z46" i="12"/>
  <c r="AB79" i="28"/>
  <c r="Z81" i="12"/>
  <c r="AB411" i="28"/>
  <c r="Z413" i="12"/>
  <c r="S41" i="28"/>
  <c r="R43" i="12"/>
  <c r="S44" i="28"/>
  <c r="R46" i="12"/>
  <c r="AB41" i="28"/>
  <c r="Z43" i="12"/>
  <c r="Q389" i="28"/>
  <c r="AY327" i="22"/>
  <c r="P391" i="12"/>
  <c r="AF327" i="22"/>
  <c r="U327" i="22"/>
  <c r="AZ327" i="22" s="1"/>
  <c r="AB327" i="22"/>
  <c r="V327" i="22"/>
  <c r="Q283" i="28"/>
  <c r="AZ243" i="22"/>
  <c r="AY243" i="22"/>
  <c r="P285" i="12"/>
  <c r="Q398" i="28"/>
  <c r="AY336" i="22"/>
  <c r="P400" i="12"/>
  <c r="U336" i="22"/>
  <c r="AZ336" i="22" s="1"/>
  <c r="AB336" i="22"/>
  <c r="AF336" i="22"/>
  <c r="V336" i="22"/>
  <c r="Q44" i="28"/>
  <c r="AZ26" i="22"/>
  <c r="AY26" i="22"/>
  <c r="P46" i="12"/>
  <c r="Q286" i="28"/>
  <c r="AZ246" i="22"/>
  <c r="AY246" i="22"/>
  <c r="P288" i="12"/>
  <c r="Q409" i="28"/>
  <c r="P411" i="12"/>
  <c r="AZ347" i="22"/>
  <c r="AY347" i="22"/>
  <c r="AF347" i="22"/>
  <c r="AB347" i="22"/>
  <c r="Q390" i="28"/>
  <c r="P392" i="12"/>
  <c r="AY328" i="22"/>
  <c r="U328" i="22"/>
  <c r="AZ328" i="22" s="1"/>
  <c r="AF328" i="22"/>
  <c r="AB328" i="22"/>
  <c r="V328" i="22"/>
  <c r="Q391" i="28"/>
  <c r="AY329" i="22"/>
  <c r="P393" i="12"/>
  <c r="U329" i="22"/>
  <c r="AZ329" i="22" s="1"/>
  <c r="AB329" i="22"/>
  <c r="AF329" i="22"/>
  <c r="V329" i="22"/>
  <c r="Q392" i="28"/>
  <c r="AY330" i="22"/>
  <c r="P394" i="12"/>
  <c r="U330" i="22"/>
  <c r="AZ330" i="22" s="1"/>
  <c r="AB330" i="22"/>
  <c r="AF330" i="22"/>
  <c r="V330" i="22"/>
  <c r="Q414" i="28"/>
  <c r="AY352" i="22"/>
  <c r="P416" i="12"/>
  <c r="U352" i="22"/>
  <c r="AZ352" i="22" s="1"/>
  <c r="AF352" i="22"/>
  <c r="AB352" i="22"/>
  <c r="V352" i="22"/>
  <c r="T348" i="22"/>
  <c r="AL348" i="22"/>
  <c r="AX348" i="22" s="1"/>
  <c r="AB346" i="22"/>
  <c r="AF346" i="22"/>
  <c r="Q408" i="28"/>
  <c r="AZ346" i="22"/>
  <c r="AY346" i="22"/>
  <c r="P410" i="12"/>
  <c r="Q399" i="28"/>
  <c r="AY337" i="22"/>
  <c r="P401" i="12"/>
  <c r="U337" i="22"/>
  <c r="AZ337" i="22" s="1"/>
  <c r="AB337" i="22"/>
  <c r="AF337" i="22"/>
  <c r="V337" i="22"/>
  <c r="Q412" i="28"/>
  <c r="AY350" i="22"/>
  <c r="P414" i="12"/>
  <c r="U350" i="22"/>
  <c r="AZ350" i="22" s="1"/>
  <c r="AF350" i="22"/>
  <c r="AB350" i="22"/>
  <c r="V350" i="22"/>
  <c r="Q411" i="28"/>
  <c r="P413" i="12"/>
  <c r="AZ349" i="22"/>
  <c r="AY349" i="22"/>
  <c r="Q41" i="28"/>
  <c r="AZ23" i="22"/>
  <c r="AY23" i="22"/>
  <c r="P43" i="12"/>
  <c r="Q418" i="28"/>
  <c r="AY356" i="22"/>
  <c r="P420" i="12"/>
  <c r="U356" i="22"/>
  <c r="AZ356" i="22" s="1"/>
  <c r="AB356" i="22"/>
  <c r="AF356" i="22"/>
  <c r="V356" i="22"/>
  <c r="Q405" i="28"/>
  <c r="AY343" i="22"/>
  <c r="P407" i="12"/>
  <c r="U343" i="22"/>
  <c r="AZ343" i="22" s="1"/>
  <c r="AF343" i="22"/>
  <c r="AB343" i="22"/>
  <c r="V343" i="22"/>
  <c r="Q406" i="28"/>
  <c r="AY344" i="22"/>
  <c r="P408" i="12"/>
  <c r="U344" i="22"/>
  <c r="AZ344" i="22" s="1"/>
  <c r="AF344" i="22"/>
  <c r="AB344" i="22"/>
  <c r="V344" i="22"/>
  <c r="Q288" i="28"/>
  <c r="AZ248" i="22"/>
  <c r="AY248" i="22"/>
  <c r="P290" i="12"/>
  <c r="Q404" i="28"/>
  <c r="AY342" i="22"/>
  <c r="P406" i="12"/>
  <c r="U342" i="22"/>
  <c r="AZ342" i="22" s="1"/>
  <c r="AF342" i="22"/>
  <c r="AB342" i="22"/>
  <c r="V342" i="22"/>
  <c r="Q413" i="28"/>
  <c r="AY351" i="22"/>
  <c r="P415" i="12"/>
  <c r="U351" i="22"/>
  <c r="AZ351" i="22" s="1"/>
  <c r="AF351" i="22"/>
  <c r="AB351" i="22"/>
  <c r="V351" i="22"/>
  <c r="Q397" i="28"/>
  <c r="P399" i="12"/>
  <c r="AY335" i="22"/>
  <c r="U335" i="22"/>
  <c r="AZ335" i="22" s="1"/>
  <c r="AF335" i="22"/>
  <c r="AB335" i="22"/>
  <c r="V335" i="22"/>
  <c r="T333" i="22"/>
  <c r="AL333" i="22"/>
  <c r="AX333" i="22" s="1"/>
  <c r="AF331" i="22"/>
  <c r="AB331" i="22"/>
  <c r="Q393" i="28"/>
  <c r="AZ331" i="22"/>
  <c r="AY331" i="22"/>
  <c r="P395" i="12"/>
  <c r="Q287" i="28"/>
  <c r="AZ247" i="22"/>
  <c r="P289" i="12"/>
  <c r="AY247" i="22"/>
  <c r="Q281" i="28"/>
  <c r="AZ241" i="22"/>
  <c r="AY241" i="22"/>
  <c r="P283" i="12"/>
  <c r="Q407" i="28"/>
  <c r="AY345" i="22"/>
  <c r="P409" i="12"/>
  <c r="U345" i="22"/>
  <c r="AZ345" i="22" s="1"/>
  <c r="AF345" i="22"/>
  <c r="AB345" i="22"/>
  <c r="V345" i="22"/>
  <c r="Q394" i="28"/>
  <c r="AY332" i="22"/>
  <c r="P396" i="12"/>
  <c r="AZ332" i="22"/>
  <c r="AF332" i="22"/>
  <c r="AB332" i="22"/>
  <c r="Q396" i="28"/>
  <c r="AY334" i="22"/>
  <c r="P398" i="12"/>
  <c r="U334" i="22"/>
  <c r="AZ334" i="22" s="1"/>
  <c r="AB334" i="22"/>
  <c r="AF334" i="22"/>
  <c r="V334" i="2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BA28" i="22" s="1"/>
  <c r="S46" i="28" s="1"/>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BA21" i="22" s="1"/>
  <c r="AF110" i="22"/>
  <c r="AB110" i="22"/>
  <c r="AF125" i="22"/>
  <c r="AB125" i="22"/>
  <c r="AG126" i="22"/>
  <c r="AC126" i="22"/>
  <c r="AG17" i="22"/>
  <c r="AC17" i="22"/>
  <c r="Y17" i="22"/>
  <c r="AG167" i="22"/>
  <c r="AC167" i="22"/>
  <c r="Y167" i="22"/>
  <c r="AG133" i="22"/>
  <c r="AC133" i="22"/>
  <c r="AB76" i="22"/>
  <c r="AF76" i="22"/>
  <c r="AF38" i="22"/>
  <c r="AB38" i="22"/>
  <c r="AG21" i="22"/>
  <c r="AC21" i="22"/>
  <c r="Y21" i="22"/>
  <c r="BG21" i="22" s="1"/>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BG22" i="22" s="1"/>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BA22" i="22" s="1"/>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R48" i="12"/>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F31" i="23"/>
  <c r="F35" i="23" s="1"/>
  <c r="F32" i="23"/>
  <c r="F34" i="23"/>
  <c r="F33" i="23"/>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19" i="15" s="1"/>
  <c r="D19" i="15" s="1"/>
  <c r="AP5" i="22"/>
  <c r="B17" i="15" s="1"/>
  <c r="C17" i="15" s="1"/>
  <c r="A17" i="15" s="1"/>
  <c r="D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Y288" i="28" l="1"/>
  <c r="W290" i="12"/>
  <c r="AA288" i="28"/>
  <c r="AC288" i="28" s="1"/>
  <c r="Y290" i="12"/>
  <c r="Y286" i="28"/>
  <c r="W288" i="12"/>
  <c r="AA286" i="28"/>
  <c r="AC286" i="28" s="1"/>
  <c r="Y288" i="12"/>
  <c r="Y281" i="28"/>
  <c r="W283" i="12"/>
  <c r="AA281" i="28"/>
  <c r="AC281" i="28" s="1"/>
  <c r="Y283" i="12"/>
  <c r="Y287" i="28"/>
  <c r="W289" i="12"/>
  <c r="AA287" i="28"/>
  <c r="AC287" i="28" s="1"/>
  <c r="Y289" i="12"/>
  <c r="Y283" i="28"/>
  <c r="W285" i="12"/>
  <c r="AA283" i="28"/>
  <c r="AC283" i="28" s="1"/>
  <c r="Y285" i="12"/>
  <c r="F36" i="23"/>
  <c r="F37" i="23"/>
  <c r="F38" i="23" s="1"/>
  <c r="AA411" i="28"/>
  <c r="AC411" i="28" s="1"/>
  <c r="Y413" i="12"/>
  <c r="Y411" i="28"/>
  <c r="W413" i="12"/>
  <c r="Y41" i="28"/>
  <c r="W43" i="12"/>
  <c r="AA41" i="28"/>
  <c r="AC41" i="28" s="1"/>
  <c r="Y43" i="12"/>
  <c r="Y422" i="28"/>
  <c r="W424" i="12"/>
  <c r="AA422" i="28"/>
  <c r="AC422" i="28" s="1"/>
  <c r="Y424" i="12"/>
  <c r="Y44" i="28"/>
  <c r="W46" i="12"/>
  <c r="AA44" i="28"/>
  <c r="AC44" i="28" s="1"/>
  <c r="Y46" i="12"/>
  <c r="Z72" i="28"/>
  <c r="BF50" i="22"/>
  <c r="BE50" i="22"/>
  <c r="X74" i="12"/>
  <c r="Z73" i="28"/>
  <c r="BF51" i="22"/>
  <c r="BE51" i="22"/>
  <c r="X75" i="12"/>
  <c r="Z78" i="28"/>
  <c r="BF56" i="22"/>
  <c r="BE56" i="22"/>
  <c r="X80" i="12"/>
  <c r="Z76" i="28"/>
  <c r="BF54" i="22"/>
  <c r="BE54" i="22"/>
  <c r="X78" i="12"/>
  <c r="Z74" i="28"/>
  <c r="BF52" i="22"/>
  <c r="BE52" i="22"/>
  <c r="X76" i="12"/>
  <c r="Z77" i="28"/>
  <c r="BF55" i="22"/>
  <c r="BE55" i="22"/>
  <c r="X79" i="12"/>
  <c r="Z75" i="28"/>
  <c r="BF53" i="22"/>
  <c r="BE53" i="22"/>
  <c r="X77" i="12"/>
  <c r="S40" i="28"/>
  <c r="R42" i="12"/>
  <c r="AB40" i="28"/>
  <c r="Z42" i="12"/>
  <c r="AB39" i="28"/>
  <c r="Z41" i="12"/>
  <c r="S39" i="28"/>
  <c r="R41" i="12"/>
  <c r="R396" i="28"/>
  <c r="T396" i="28" s="1"/>
  <c r="Q398" i="12"/>
  <c r="P396" i="28"/>
  <c r="O398" i="12"/>
  <c r="R394" i="28"/>
  <c r="T394" i="28" s="1"/>
  <c r="Q396" i="12"/>
  <c r="P394" i="28"/>
  <c r="O396" i="12"/>
  <c r="R407" i="28"/>
  <c r="T407" i="28" s="1"/>
  <c r="Q409" i="12"/>
  <c r="P407" i="28"/>
  <c r="O409" i="12"/>
  <c r="P281" i="28"/>
  <c r="O283" i="12"/>
  <c r="R281" i="28"/>
  <c r="T281" i="28" s="1"/>
  <c r="Q283" i="12"/>
  <c r="P287" i="28"/>
  <c r="O289" i="12"/>
  <c r="R287" i="28"/>
  <c r="T287" i="28" s="1"/>
  <c r="Q289" i="12"/>
  <c r="P393" i="28"/>
  <c r="O395" i="12"/>
  <c r="R393" i="28"/>
  <c r="T393" i="28" s="1"/>
  <c r="Q395" i="12"/>
  <c r="Q395" i="28"/>
  <c r="P397" i="12"/>
  <c r="AY333" i="22"/>
  <c r="U333" i="22"/>
  <c r="AZ333" i="22" s="1"/>
  <c r="V333" i="22"/>
  <c r="AF333" i="22"/>
  <c r="AB333" i="22"/>
  <c r="R397" i="28"/>
  <c r="T397" i="28" s="1"/>
  <c r="Q399" i="12"/>
  <c r="P397" i="28"/>
  <c r="O399" i="12"/>
  <c r="R413" i="28"/>
  <c r="T413" i="28" s="1"/>
  <c r="Q415" i="12"/>
  <c r="P413" i="28"/>
  <c r="O415" i="12"/>
  <c r="R404" i="28"/>
  <c r="T404" i="28" s="1"/>
  <c r="Q406" i="12"/>
  <c r="P404" i="28"/>
  <c r="O406" i="12"/>
  <c r="P288" i="28"/>
  <c r="O290" i="12"/>
  <c r="R288" i="28"/>
  <c r="T288" i="28" s="1"/>
  <c r="Q290" i="12"/>
  <c r="R406" i="28"/>
  <c r="T406" i="28" s="1"/>
  <c r="Q408" i="12"/>
  <c r="P406" i="28"/>
  <c r="O408" i="12"/>
  <c r="R405" i="28"/>
  <c r="T405" i="28" s="1"/>
  <c r="Q407" i="12"/>
  <c r="P405" i="28"/>
  <c r="O407" i="12"/>
  <c r="R418" i="28"/>
  <c r="T418" i="28" s="1"/>
  <c r="Q420" i="12"/>
  <c r="P418" i="28"/>
  <c r="O420" i="12"/>
  <c r="P41" i="28"/>
  <c r="O43" i="12"/>
  <c r="R41" i="28"/>
  <c r="T41" i="28" s="1"/>
  <c r="Q43" i="12"/>
  <c r="P411" i="28"/>
  <c r="O413" i="12"/>
  <c r="R411" i="28"/>
  <c r="T411" i="28" s="1"/>
  <c r="Q413" i="12"/>
  <c r="R412" i="28"/>
  <c r="T412" i="28" s="1"/>
  <c r="Q414" i="12"/>
  <c r="P412" i="28"/>
  <c r="O414" i="12"/>
  <c r="R399" i="28"/>
  <c r="T399" i="28" s="1"/>
  <c r="Q401" i="12"/>
  <c r="P399" i="28"/>
  <c r="O401" i="12"/>
  <c r="P408" i="28"/>
  <c r="O410" i="12"/>
  <c r="R408" i="28"/>
  <c r="T408" i="28" s="1"/>
  <c r="Q410" i="12"/>
  <c r="Q410" i="28"/>
  <c r="AY348" i="22"/>
  <c r="P412" i="12"/>
  <c r="U348" i="22"/>
  <c r="AZ348" i="22" s="1"/>
  <c r="AB348" i="22"/>
  <c r="AF348" i="22"/>
  <c r="V348" i="22"/>
  <c r="R414" i="28"/>
  <c r="T414" i="28" s="1"/>
  <c r="Q416" i="12"/>
  <c r="P414" i="28"/>
  <c r="O416" i="12"/>
  <c r="R392" i="28"/>
  <c r="T392" i="28" s="1"/>
  <c r="Q394" i="12"/>
  <c r="P392" i="28"/>
  <c r="O394" i="12"/>
  <c r="R391" i="28"/>
  <c r="T391" i="28" s="1"/>
  <c r="Q393" i="12"/>
  <c r="P391" i="28"/>
  <c r="O393" i="12"/>
  <c r="R390" i="28"/>
  <c r="T390" i="28" s="1"/>
  <c r="Q392" i="12"/>
  <c r="P390" i="28"/>
  <c r="O392" i="12"/>
  <c r="P409" i="28"/>
  <c r="O411" i="12"/>
  <c r="R409" i="28"/>
  <c r="T409" i="28" s="1"/>
  <c r="Q411" i="12"/>
  <c r="P286" i="28"/>
  <c r="O288" i="12"/>
  <c r="R286" i="28"/>
  <c r="T286" i="28" s="1"/>
  <c r="Q288" i="12"/>
  <c r="P44" i="28"/>
  <c r="O46" i="12"/>
  <c r="R44" i="28"/>
  <c r="T44" i="28" s="1"/>
  <c r="Q46" i="12"/>
  <c r="R398" i="28"/>
  <c r="T398" i="28" s="1"/>
  <c r="Q400" i="12"/>
  <c r="P398" i="28"/>
  <c r="O400" i="12"/>
  <c r="P283" i="28"/>
  <c r="O285" i="12"/>
  <c r="R283" i="28"/>
  <c r="T283" i="28" s="1"/>
  <c r="Q285" i="12"/>
  <c r="R389" i="28"/>
  <c r="T389" i="28" s="1"/>
  <c r="Q391" i="12"/>
  <c r="P389" i="28"/>
  <c r="O391"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9" i="23"/>
  <c r="F18" i="23"/>
  <c r="F17" i="23"/>
  <c r="AE319" i="12"/>
  <c r="AE318" i="12" s="1"/>
  <c r="AE326" i="12"/>
  <c r="AE325" i="12" s="1"/>
  <c r="AE330" i="12"/>
  <c r="AE329" i="12" s="1"/>
  <c r="B24" i="15"/>
  <c r="B26" i="15"/>
  <c r="A5" i="12"/>
  <c r="AV5" i="22"/>
  <c r="B18" i="15" s="1"/>
  <c r="AE179" i="12"/>
  <c r="AE169" i="12"/>
  <c r="AE173" i="12"/>
  <c r="AE85" i="12"/>
  <c r="AE162" i="12"/>
  <c r="AE86" i="12"/>
  <c r="AE67" i="12"/>
  <c r="AE77" i="12"/>
  <c r="AE158" i="12"/>
  <c r="Y75" i="28" l="1"/>
  <c r="W77" i="12"/>
  <c r="AA75" i="28"/>
  <c r="AC75" i="28" s="1"/>
  <c r="Y77" i="12"/>
  <c r="Y77" i="28"/>
  <c r="W79" i="12"/>
  <c r="AA77" i="28"/>
  <c r="AC77" i="28" s="1"/>
  <c r="Y79" i="12"/>
  <c r="Y74" i="28"/>
  <c r="W76" i="12"/>
  <c r="AA74" i="28"/>
  <c r="AC74" i="28" s="1"/>
  <c r="Y76" i="12"/>
  <c r="Y76" i="28"/>
  <c r="W78" i="12"/>
  <c r="AA76" i="28"/>
  <c r="AC76" i="28" s="1"/>
  <c r="Y78" i="12"/>
  <c r="Y78" i="28"/>
  <c r="W80" i="12"/>
  <c r="AA78" i="28"/>
  <c r="AC78" i="28" s="1"/>
  <c r="Y80" i="12"/>
  <c r="Y73" i="28"/>
  <c r="W75" i="12"/>
  <c r="AA73" i="28"/>
  <c r="AC73" i="28" s="1"/>
  <c r="Y75" i="12"/>
  <c r="Y72" i="28"/>
  <c r="W74" i="12"/>
  <c r="AA72" i="28"/>
  <c r="AC72" i="28" s="1"/>
  <c r="Y74" i="12"/>
  <c r="F43" i="23"/>
  <c r="AM371" i="22" s="1"/>
  <c r="BB371" i="22" s="1"/>
  <c r="T439" i="12" s="1"/>
  <c r="F39" i="23"/>
  <c r="R410" i="28"/>
  <c r="T410" i="28" s="1"/>
  <c r="Q412" i="12"/>
  <c r="P410" i="28"/>
  <c r="O412" i="12"/>
  <c r="R395" i="28"/>
  <c r="T395" i="28" s="1"/>
  <c r="Q397" i="12"/>
  <c r="P395" i="28"/>
  <c r="O397" i="12"/>
  <c r="C18" i="15"/>
  <c r="A18" i="15" s="1"/>
  <c r="D18" i="15" s="1"/>
  <c r="AE83" i="12"/>
  <c r="AE82" i="12" s="1"/>
  <c r="B32" i="15"/>
  <c r="C26" i="15"/>
  <c r="D26" i="15" s="1"/>
  <c r="C24" i="15"/>
  <c r="D24" i="15" s="1"/>
  <c r="E24" i="15" l="1"/>
  <c r="C39" i="15" s="1"/>
  <c r="E26" i="15"/>
  <c r="C41" i="15" s="1"/>
  <c r="C32" i="15"/>
  <c r="D32" i="15" s="1"/>
  <c r="E32" i="15"/>
  <c r="B25" i="15"/>
  <c r="B33" i="15"/>
  <c r="B34" i="15"/>
  <c r="F32" i="15"/>
  <c r="C18" i="9"/>
  <c r="B6" i="23" s="1"/>
  <c r="F26" i="15"/>
  <c r="B41" i="15" s="1"/>
  <c r="F24" i="15"/>
  <c r="B39" i="15" s="1"/>
  <c r="C34" i="15" l="1"/>
  <c r="D34" i="15" s="1"/>
  <c r="E34" i="15"/>
  <c r="C33" i="15"/>
  <c r="D33" i="15" s="1"/>
  <c r="E33" i="15"/>
  <c r="C25" i="15"/>
  <c r="D25" i="15" s="1"/>
  <c r="E25" i="15"/>
  <c r="F25" i="15"/>
  <c r="B40" i="15" s="1"/>
  <c r="E40" i="15" s="1"/>
  <c r="F33" i="15"/>
  <c r="G18" i="9"/>
  <c r="B5" i="22"/>
  <c r="AP6" i="22" s="1"/>
  <c r="D9" i="28" s="1"/>
  <c r="C40" i="9"/>
  <c r="E39" i="15"/>
  <c r="G39" i="15"/>
  <c r="E41" i="15"/>
  <c r="G41" i="15"/>
  <c r="C40" i="15" l="1"/>
  <c r="E18" i="9"/>
  <c r="F34" i="15"/>
  <c r="F5" i="22"/>
  <c r="BB6" i="22" s="1"/>
  <c r="F6" i="23"/>
  <c r="G40" i="9"/>
  <c r="G40" i="15"/>
  <c r="I6" i="15" s="1"/>
  <c r="D11" i="12"/>
  <c r="I7" i="15"/>
  <c r="J7" i="15" s="1"/>
  <c r="K7" i="15" s="1"/>
  <c r="G46" i="15"/>
  <c r="AO19" i="15"/>
  <c r="G44" i="15"/>
  <c r="I5" i="15"/>
  <c r="G45" i="15"/>
  <c r="AE149" i="12"/>
  <c r="D6" i="23" l="1"/>
  <c r="D5" i="22"/>
  <c r="AV6" i="22" s="1"/>
  <c r="E40" i="9"/>
  <c r="T11" i="12"/>
  <c r="V9" i="28"/>
  <c r="AE19" i="15"/>
  <c r="AE7" i="15"/>
  <c r="AP7" i="15" s="1"/>
  <c r="AE31" i="15"/>
  <c r="AP55" i="15"/>
  <c r="AP67" i="15" s="1"/>
  <c r="AP31" i="15"/>
  <c r="AP43" i="15" s="1"/>
  <c r="L7" i="15"/>
  <c r="AD17" i="15"/>
  <c r="AD29" i="15"/>
  <c r="AD5" i="15"/>
  <c r="J6" i="15"/>
  <c r="AD6" i="15"/>
  <c r="AO6" i="15" s="1"/>
  <c r="AD30" i="15"/>
  <c r="AD18" i="15"/>
  <c r="AO30" i="15" s="1"/>
  <c r="AO42" i="15" s="1"/>
  <c r="AO54" i="15"/>
  <c r="AO66" i="15" s="1"/>
  <c r="J5" i="15"/>
  <c r="AD7" i="15"/>
  <c r="AO7" i="15" s="1"/>
  <c r="AD19" i="15"/>
  <c r="AD31" i="15"/>
  <c r="AO55" i="15" s="1"/>
  <c r="AO67" i="15" s="1"/>
  <c r="AE152" i="12"/>
  <c r="AE157" i="12"/>
  <c r="L11" i="12" l="1"/>
  <c r="M9" i="28"/>
  <c r="AO31" i="15"/>
  <c r="AO43" i="15" s="1"/>
  <c r="BA7" i="15" s="1"/>
  <c r="BH14" i="15" s="1"/>
  <c r="K6" i="15"/>
  <c r="AO18" i="15"/>
  <c r="BA6" i="15" s="1"/>
  <c r="BE14" i="15" s="1"/>
  <c r="M7" i="15"/>
  <c r="AP19" i="15"/>
  <c r="BB7" i="15" s="1"/>
  <c r="BH15" i="15" s="1"/>
  <c r="AO29" i="15"/>
  <c r="AO41" i="15" s="1"/>
  <c r="AF31" i="15"/>
  <c r="AF7" i="15"/>
  <c r="AQ7" i="15" s="1"/>
  <c r="AF19" i="15"/>
  <c r="AQ31" i="15" s="1"/>
  <c r="AQ43" i="15" s="1"/>
  <c r="N7" i="15"/>
  <c r="O7" i="15" s="1"/>
  <c r="AO53" i="15"/>
  <c r="AO65" i="15" s="1"/>
  <c r="AE30" i="15"/>
  <c r="AE18" i="15"/>
  <c r="AP30" i="15" s="1"/>
  <c r="AP42" i="15" s="1"/>
  <c r="AE6" i="15"/>
  <c r="AP6" i="15" s="1"/>
  <c r="AP54" i="15"/>
  <c r="AP66" i="15" s="1"/>
  <c r="L6" i="15"/>
  <c r="M6" i="15" s="1"/>
  <c r="AQ18" i="15" s="1"/>
  <c r="BC6" i="15" s="1"/>
  <c r="BE16" i="15" s="1"/>
  <c r="K5" i="15"/>
  <c r="AO17" i="15"/>
  <c r="AQ55" i="15" l="1"/>
  <c r="AQ67" i="15" s="1"/>
  <c r="AQ19" i="15"/>
  <c r="BC7" i="15" s="1"/>
  <c r="BH16" i="15" s="1"/>
  <c r="AP18" i="15"/>
  <c r="BB6" i="15" s="1"/>
  <c r="BE15" i="15" s="1"/>
  <c r="BA5" i="15"/>
  <c r="BB14" i="15" s="1"/>
  <c r="AE17" i="15"/>
  <c r="AE29" i="15"/>
  <c r="AE5" i="15"/>
  <c r="AO5" i="15" s="1"/>
  <c r="L5" i="15"/>
  <c r="M5" i="15" s="1"/>
  <c r="AG19" i="15"/>
  <c r="AG7" i="15"/>
  <c r="AR7" i="15" s="1"/>
  <c r="AG31" i="15"/>
  <c r="AR31" i="15"/>
  <c r="AR43" i="15" s="1"/>
  <c r="AR55" i="15"/>
  <c r="AR67" i="15" s="1"/>
  <c r="P7" i="15"/>
  <c r="AF30" i="15"/>
  <c r="AF18" i="15"/>
  <c r="AF6" i="15"/>
  <c r="AQ6" i="15" s="1"/>
  <c r="AQ30" i="15"/>
  <c r="AQ42" i="15" s="1"/>
  <c r="AQ54" i="15"/>
  <c r="AQ66" i="15" s="1"/>
  <c r="N6" i="15"/>
  <c r="O6" i="15" s="1"/>
  <c r="AR18" i="15" s="1"/>
  <c r="BD6" i="15" s="1"/>
  <c r="BE17" i="15" s="1"/>
  <c r="Q7" i="15" l="1"/>
  <c r="AR19" i="15"/>
  <c r="BD7" i="15" s="1"/>
  <c r="BH17" i="15" s="1"/>
  <c r="AS7" i="15"/>
  <c r="AS19" i="15"/>
  <c r="BE7" i="15" s="1"/>
  <c r="BH18" i="15" s="1"/>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31" i="15"/>
  <c r="AS43" i="15" s="1"/>
  <c r="AH19" i="15"/>
  <c r="AH31" i="15"/>
  <c r="AS55" i="15" s="1"/>
  <c r="AS67" i="15" s="1"/>
  <c r="R7" i="15"/>
  <c r="S7" i="15" s="1"/>
  <c r="AT19" i="15" s="1"/>
  <c r="BF7" i="15" s="1"/>
  <c r="BH19" i="15" s="1"/>
  <c r="AP17" i="15"/>
  <c r="AP5" i="15"/>
  <c r="AP53" i="15"/>
  <c r="AP65" i="15" s="1"/>
  <c r="AQ29" i="15" l="1"/>
  <c r="AQ41" i="15" s="1"/>
  <c r="AG5" i="15"/>
  <c r="AR5" i="15" s="1"/>
  <c r="AG29" i="15"/>
  <c r="AG17" i="15"/>
  <c r="P5" i="15"/>
  <c r="Q5" i="15" s="1"/>
  <c r="AQ53" i="15"/>
  <c r="AQ65" i="15" s="1"/>
  <c r="AI7" i="15"/>
  <c r="AT7" i="15" s="1"/>
  <c r="AI19" i="15"/>
  <c r="AT31" i="15" s="1"/>
  <c r="AT43" i="15" s="1"/>
  <c r="AI31" i="15"/>
  <c r="AT55" i="15" s="1"/>
  <c r="AT67" i="15" s="1"/>
  <c r="T7" i="15"/>
  <c r="U7" i="15" s="1"/>
  <c r="AU19" i="15" s="1"/>
  <c r="BG7" i="15" s="1"/>
  <c r="BH20" i="15" s="1"/>
  <c r="AQ17" i="15"/>
  <c r="BB5" i="15"/>
  <c r="BB15" i="15" s="1"/>
  <c r="AH6" i="15"/>
  <c r="AS6" i="15" s="1"/>
  <c r="AH18" i="15"/>
  <c r="AS30" i="15" s="1"/>
  <c r="AS42" i="15" s="1"/>
  <c r="AH30" i="15"/>
  <c r="AS54" i="15" s="1"/>
  <c r="AS66" i="15" s="1"/>
  <c r="R6" i="15"/>
  <c r="S6" i="15" s="1"/>
  <c r="AT18" i="15" s="1"/>
  <c r="BF6" i="15" s="1"/>
  <c r="BE19" i="15" s="1"/>
  <c r="AR53" i="15" l="1"/>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V19" i="15" s="1"/>
  <c r="BH7" i="15" s="1"/>
  <c r="BH21"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W7" i="15"/>
  <c r="AW19" i="15"/>
  <c r="BI7" i="15" s="1"/>
  <c r="BH22"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6" i="15" l="1"/>
  <c r="AW18" i="15"/>
  <c r="BI6" i="15" s="1"/>
  <c r="BE22" i="15" s="1"/>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2"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21" i="15"/>
  <c r="BD20" i="15"/>
  <c r="BD19" i="15"/>
  <c r="BD18" i="15"/>
  <c r="BD17" i="15"/>
  <c r="BD15" i="15"/>
  <c r="BD16" i="15"/>
  <c r="BD14"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15" i="15"/>
  <c r="BF21" i="15"/>
  <c r="BF22" i="15"/>
  <c r="BF17" i="15"/>
  <c r="BF20" i="15"/>
  <c r="BF14" i="15"/>
  <c r="BF16" i="15"/>
  <c r="BF18" i="15"/>
  <c r="BF19"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3" i="28" l="1"/>
  <c r="P15" i="12"/>
  <c r="M17" i="28"/>
  <c r="L19" i="12"/>
  <c r="M15" i="28"/>
  <c r="L17" i="12"/>
  <c r="M13" i="28"/>
  <c r="L15" i="12"/>
  <c r="Q14" i="28"/>
  <c r="P16" i="12"/>
  <c r="M16" i="28"/>
  <c r="L18" i="12"/>
  <c r="Q16" i="28"/>
  <c r="P18" i="12"/>
  <c r="Q15" i="28"/>
  <c r="P17" i="12"/>
  <c r="M14" i="28"/>
  <c r="L16"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U360" i="22" s="1"/>
  <c r="D361" i="22"/>
  <c r="U361" i="22" s="1"/>
  <c r="O361" i="21"/>
  <c r="AX361" i="21" s="1"/>
  <c r="K361" i="22" s="1"/>
  <c r="T361" i="22" s="1"/>
  <c r="O360" i="21"/>
  <c r="AX360" i="21" s="1"/>
  <c r="K360" i="22" s="1"/>
  <c r="T360" i="22" s="1"/>
  <c r="B74" i="22"/>
  <c r="R74" i="22" s="1"/>
  <c r="D34" i="23" l="1"/>
  <c r="D33" i="23"/>
  <c r="D31" i="23"/>
  <c r="D32" i="23"/>
  <c r="AF361" i="22"/>
  <c r="AB361" i="22"/>
  <c r="AB360" i="22"/>
  <c r="AF360" i="22"/>
  <c r="E361" i="22"/>
  <c r="AW361" i="22" s="1"/>
  <c r="M423" i="28" s="1"/>
  <c r="AK361" i="22"/>
  <c r="AL361" i="22" s="1"/>
  <c r="C74" i="22"/>
  <c r="AQ74" i="22" s="1"/>
  <c r="D100" i="28" s="1"/>
  <c r="AI74" i="22"/>
  <c r="AJ74" i="22" s="1"/>
  <c r="E360" i="22"/>
  <c r="AW360" i="22" s="1"/>
  <c r="M422" i="28" s="1"/>
  <c r="AK360" i="22"/>
  <c r="M74" i="21"/>
  <c r="AV74" i="21" s="1"/>
  <c r="D102" i="12" l="1"/>
  <c r="L424" i="12"/>
  <c r="L425" i="12"/>
  <c r="D30" i="23"/>
  <c r="AL360" i="22"/>
  <c r="AX360" i="22" s="1"/>
  <c r="Q422" i="28" s="1"/>
  <c r="AV360" i="22"/>
  <c r="N422" i="28" s="1"/>
  <c r="AX361" i="22"/>
  <c r="Q423" i="28" s="1"/>
  <c r="AV361" i="22"/>
  <c r="N423" i="28" s="1"/>
  <c r="AR74" i="22"/>
  <c r="H100" i="28" s="1"/>
  <c r="AP74" i="22"/>
  <c r="E100" i="28" s="1"/>
  <c r="B123" i="22"/>
  <c r="R123" i="22" s="1"/>
  <c r="M123" i="21"/>
  <c r="AV123" i="21" s="1"/>
  <c r="O142" i="21"/>
  <c r="AX142" i="21" s="1"/>
  <c r="O146" i="21"/>
  <c r="AX146" i="21" s="1"/>
  <c r="M425" i="12" l="1"/>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Q424" i="12"/>
  <c r="D35" i="23"/>
  <c r="AS74" i="22"/>
  <c r="G100" i="28" s="1"/>
  <c r="H102" i="12"/>
  <c r="AY360" i="22"/>
  <c r="P422" i="28" s="1"/>
  <c r="P424" i="12"/>
  <c r="M424" i="12" s="1"/>
  <c r="AY361" i="22"/>
  <c r="P423" i="28" s="1"/>
  <c r="P425" i="12"/>
  <c r="Q123" i="21"/>
  <c r="AZ123" i="21" s="1"/>
  <c r="F123" i="22"/>
  <c r="X123" i="22" s="1"/>
  <c r="B146" i="22"/>
  <c r="R146" i="22" s="1"/>
  <c r="O123" i="21"/>
  <c r="AX123" i="21" s="1"/>
  <c r="D123" i="22"/>
  <c r="U123" i="22" s="1"/>
  <c r="C123" i="22"/>
  <c r="AQ123" i="22" s="1"/>
  <c r="D151" i="28" s="1"/>
  <c r="AI123" i="22"/>
  <c r="AJ123" i="22" s="1"/>
  <c r="M146" i="21"/>
  <c r="AV146" i="21" s="1"/>
  <c r="E361" i="21"/>
  <c r="F13" i="23" l="1"/>
  <c r="F16" i="23"/>
  <c r="F14" i="23"/>
  <c r="F12" i="23"/>
  <c r="F23" i="23" s="1"/>
  <c r="F8" i="23"/>
  <c r="F15" i="23"/>
  <c r="D36" i="23"/>
  <c r="D37" i="23"/>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R360" i="22" s="1"/>
  <c r="M361" i="21"/>
  <c r="AV361" i="21" s="1"/>
  <c r="I361" i="22" s="1"/>
  <c r="Q361" i="22" s="1"/>
  <c r="B361" i="22"/>
  <c r="R361" i="22" s="1"/>
  <c r="M360" i="21"/>
  <c r="AV360" i="21" s="1"/>
  <c r="I360" i="22" s="1"/>
  <c r="Q360" i="22" s="1"/>
  <c r="B31" i="23" l="1"/>
  <c r="B33" i="23"/>
  <c r="B32" i="23"/>
  <c r="B34" i="23"/>
  <c r="F10" i="23"/>
  <c r="F22" i="23" s="1"/>
  <c r="F9" i="23"/>
  <c r="F21" i="23" s="1"/>
  <c r="F25" i="23" s="1"/>
  <c r="F24" i="23"/>
  <c r="F27" i="23"/>
  <c r="F29" i="23" s="1"/>
  <c r="F26" i="23"/>
  <c r="F28" i="23" s="1"/>
  <c r="D38" i="23"/>
  <c r="D43" i="23" s="1"/>
  <c r="AK371" i="22" s="1"/>
  <c r="AV371" i="22" s="1"/>
  <c r="L439" i="12" s="1"/>
  <c r="D39" i="23"/>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F45" i="23" l="1"/>
  <c r="AM373" i="22" s="1"/>
  <c r="BB373" i="22" s="1"/>
  <c r="T443" i="12" s="1"/>
  <c r="F41" i="23"/>
  <c r="F40" i="23"/>
  <c r="F42" i="23" s="1"/>
  <c r="F44" i="23"/>
  <c r="AM372" i="22" s="1"/>
  <c r="BB372" i="22" s="1"/>
  <c r="T441" i="12" s="1"/>
  <c r="AM370" i="22"/>
  <c r="BB370" i="22" s="1"/>
  <c r="T437" i="12" s="1"/>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AA49" i="21"/>
  <c r="E49" i="21" s="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E439" i="12" l="1"/>
  <c r="AE439" i="12" s="1"/>
  <c r="AE440" i="12" s="1"/>
  <c r="Q49" i="22"/>
  <c r="B49" i="22"/>
  <c r="C49" i="22" l="1"/>
  <c r="AQ49" i="22" s="1"/>
  <c r="D69" i="28" s="1"/>
  <c r="R49" i="22"/>
  <c r="AA49" i="22"/>
  <c r="S49" i="22"/>
  <c r="AE49" i="22"/>
  <c r="D71" i="12"/>
  <c r="AI49" i="22"/>
  <c r="AJ49" i="22" s="1"/>
  <c r="B19" i="23"/>
  <c r="AR49" i="22"/>
  <c r="H69" i="28" s="1"/>
  <c r="AP49" i="22"/>
  <c r="E69" i="28" s="1"/>
  <c r="AH67" i="28" l="1"/>
  <c r="E71" i="12"/>
  <c r="AE71" i="12" s="1"/>
  <c r="AE54" i="12" s="1"/>
  <c r="AE53" i="12" s="1"/>
  <c r="AH69" i="28"/>
  <c r="AT49" i="22"/>
  <c r="I69" i="28" s="1"/>
  <c r="K69" i="28" s="1"/>
  <c r="AU49" i="22"/>
  <c r="J69" i="28" s="1"/>
  <c r="BG49" i="22"/>
  <c r="AB69" i="28" s="1"/>
  <c r="BA49" i="22"/>
  <c r="S69" i="28" s="1"/>
  <c r="B12" i="23"/>
  <c r="B23" i="23" s="1"/>
  <c r="B16" i="23"/>
  <c r="B15" i="23"/>
  <c r="B13" i="23"/>
  <c r="B14" i="23"/>
  <c r="B8" i="23"/>
  <c r="AS49" i="22"/>
  <c r="G69" i="28" s="1"/>
  <c r="H71" i="12"/>
  <c r="AH52" i="28" l="1"/>
  <c r="AH51" i="28" s="1"/>
  <c r="I71" i="12"/>
  <c r="G71" i="12"/>
  <c r="J71" i="12"/>
  <c r="Z71" i="12"/>
  <c r="R71" i="12"/>
  <c r="B10" i="23"/>
  <c r="B9" i="23"/>
  <c r="B24" i="23"/>
  <c r="AC54" i="21"/>
  <c r="AC55" i="21"/>
  <c r="AC50" i="21"/>
  <c r="AC52" i="21"/>
  <c r="AC51" i="21"/>
  <c r="AC53" i="21"/>
  <c r="AC56" i="21"/>
  <c r="B45" i="23" l="1"/>
  <c r="AI373" i="22" s="1"/>
  <c r="AP373" i="22" s="1"/>
  <c r="E443" i="12"/>
  <c r="T50" i="22"/>
  <c r="AC57" i="2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AZ55" i="22"/>
  <c r="R77" i="28" s="1"/>
  <c r="T77" i="28" s="1"/>
  <c r="AZ52" i="22"/>
  <c r="R74" i="28" s="1"/>
  <c r="T74" i="28" s="1"/>
  <c r="AZ51" i="22"/>
  <c r="R73" i="28" s="1"/>
  <c r="T73" i="28"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O79" i="12"/>
  <c r="O77" i="12"/>
  <c r="O76" i="12"/>
  <c r="O80" i="12"/>
  <c r="O78" i="12"/>
  <c r="Q76" i="12"/>
  <c r="D57" i="22"/>
  <c r="O57" i="21"/>
  <c r="AX57" i="21" s="1"/>
  <c r="K57" i="22" s="1"/>
  <c r="D11" i="23"/>
  <c r="AY50" i="22"/>
  <c r="P72" i="28" s="1"/>
  <c r="P74" i="12"/>
  <c r="T57" i="22"/>
  <c r="U57" i="22" l="1"/>
  <c r="V57" i="22"/>
  <c r="BA57" i="22" s="1"/>
  <c r="AF57" i="22"/>
  <c r="D18" i="23" s="1"/>
  <c r="AB57" i="22"/>
  <c r="D17" i="23" s="1"/>
  <c r="Q74" i="12"/>
  <c r="O74" i="12"/>
  <c r="E57" i="22"/>
  <c r="AW57" i="22" s="1"/>
  <c r="M79" i="28" s="1"/>
  <c r="AK57" i="22"/>
  <c r="D19" i="23"/>
  <c r="S14" i="23" s="1"/>
  <c r="R14" i="23" s="1"/>
  <c r="S79" i="28" l="1"/>
  <c r="R81" i="12"/>
  <c r="L81" i="12"/>
  <c r="AL57" i="22"/>
  <c r="AX57" i="22" s="1"/>
  <c r="Q79" i="28" s="1"/>
  <c r="AV57" i="22"/>
  <c r="N79" i="28" s="1"/>
  <c r="D16" i="23"/>
  <c r="D14" i="23"/>
  <c r="D12" i="23"/>
  <c r="D23" i="23" s="1"/>
  <c r="D15" i="23"/>
  <c r="D8" i="23"/>
  <c r="D13" i="23"/>
  <c r="AH75" i="28" l="1"/>
  <c r="AH79" i="28"/>
  <c r="M81" i="12"/>
  <c r="AE81" i="12" s="1"/>
  <c r="AE73" i="12" s="1"/>
  <c r="AE72" i="12" s="1"/>
  <c r="AZ57" i="22"/>
  <c r="R79" i="28" s="1"/>
  <c r="T79" i="28" s="1"/>
  <c r="P81" i="12"/>
  <c r="AY57" i="22"/>
  <c r="P79" i="28" s="1"/>
  <c r="D24" i="23"/>
  <c r="D10" i="23"/>
  <c r="D22" i="23" s="1"/>
  <c r="D9" i="23"/>
  <c r="D21" i="23" s="1"/>
  <c r="D25" i="23" s="1"/>
  <c r="D45" i="23" l="1"/>
  <c r="AK373" i="22" s="1"/>
  <c r="AV373" i="22" s="1"/>
  <c r="AH391" i="28" s="1"/>
  <c r="AH71" i="28"/>
  <c r="AH70" i="28" s="1"/>
  <c r="L443" i="12"/>
  <c r="AE443" i="12" s="1"/>
  <c r="Q81" i="12"/>
  <c r="O81" i="12"/>
  <c r="D27" i="23"/>
  <c r="D26" i="23"/>
  <c r="D28" i="23" l="1"/>
  <c r="D41" i="23"/>
  <c r="D29" i="23"/>
  <c r="D40" i="23"/>
  <c r="D42" i="23" l="1"/>
  <c r="D44" i="23" l="1"/>
  <c r="AK372" i="22" s="1"/>
  <c r="AV372" i="22" s="1"/>
  <c r="AK370" i="22"/>
  <c r="AV370" i="22" s="1"/>
  <c r="L437" i="12" s="1"/>
  <c r="AU349" i="22"/>
  <c r="BA349" i="22"/>
  <c r="BA334" i="22"/>
  <c r="BA345" i="22"/>
  <c r="BA335" i="22"/>
  <c r="BA351" i="22"/>
  <c r="BA342" i="22"/>
  <c r="BA344" i="22"/>
  <c r="BA343" i="22"/>
  <c r="BA356" i="22"/>
  <c r="BA350" i="22"/>
  <c r="BA337" i="22"/>
  <c r="BA352" i="22"/>
  <c r="BA330" i="22"/>
  <c r="BA329" i="22"/>
  <c r="BA328" i="22"/>
  <c r="BA336" i="22"/>
  <c r="BA327" i="22"/>
  <c r="BA348" i="22"/>
  <c r="BA333" i="22"/>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AH390" i="28" l="1"/>
  <c r="AH388" i="28" s="1"/>
  <c r="AH387" i="28" s="1"/>
  <c r="L441" i="12"/>
  <c r="S395" i="28"/>
  <c r="R397" i="12"/>
  <c r="S410" i="28"/>
  <c r="R412" i="12"/>
  <c r="S389" i="28"/>
  <c r="R391" i="12"/>
  <c r="S398" i="28"/>
  <c r="R400" i="12"/>
  <c r="S390" i="28"/>
  <c r="R392" i="12"/>
  <c r="S391" i="28"/>
  <c r="R393" i="12"/>
  <c r="S392" i="28"/>
  <c r="R394" i="12"/>
  <c r="S414" i="28"/>
  <c r="R416" i="12"/>
  <c r="S399" i="28"/>
  <c r="R401" i="12"/>
  <c r="S412" i="28"/>
  <c r="R414" i="12"/>
  <c r="S418" i="28"/>
  <c r="R420" i="12"/>
  <c r="S405" i="28"/>
  <c r="R407" i="12"/>
  <c r="S406" i="28"/>
  <c r="R408" i="12"/>
  <c r="S404" i="28"/>
  <c r="R406" i="12"/>
  <c r="S413" i="28"/>
  <c r="R415" i="12"/>
  <c r="S397" i="28"/>
  <c r="R399" i="12"/>
  <c r="S407" i="28"/>
  <c r="R409" i="12"/>
  <c r="S396" i="28"/>
  <c r="R398" i="12"/>
  <c r="S411" i="28"/>
  <c r="R413" i="12"/>
  <c r="J411" i="28"/>
  <c r="J413" i="12"/>
  <c r="J47" i="12"/>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AE61" i="22"/>
  <c r="B18" i="23" s="1"/>
  <c r="B22" i="23" s="1"/>
  <c r="B27" i="23" l="1"/>
  <c r="B29" i="23" s="1"/>
  <c r="B40" i="23"/>
  <c r="B26" i="23"/>
  <c r="B28" i="23" l="1"/>
  <c r="B41" i="23"/>
  <c r="S13" i="23" s="1"/>
  <c r="R13" i="23" s="1"/>
  <c r="B42" i="23"/>
  <c r="S12" i="23"/>
  <c r="R12" i="23" s="1"/>
  <c r="O29" i="23" l="1"/>
  <c r="O31" i="23"/>
  <c r="O14" i="23"/>
  <c r="O13" i="23"/>
  <c r="O11" i="23"/>
  <c r="O33" i="23"/>
  <c r="O30" i="23"/>
  <c r="O15" i="23"/>
  <c r="O12" i="23"/>
  <c r="O32" i="23"/>
  <c r="O10" i="23"/>
  <c r="O28" i="23"/>
  <c r="O19" i="23"/>
  <c r="O35" i="23"/>
  <c r="O20" i="23"/>
  <c r="O37" i="23"/>
  <c r="O22" i="23"/>
  <c r="O39" i="23"/>
  <c r="O54" i="23"/>
  <c r="O44" i="23"/>
  <c r="O55" i="23"/>
  <c r="O45" i="23"/>
  <c r="O56" i="23"/>
  <c r="O43" i="23"/>
  <c r="O26" i="23"/>
  <c r="O46" i="23"/>
  <c r="O34" i="23"/>
  <c r="O38" i="23"/>
  <c r="O40" i="23"/>
  <c r="O42" i="23"/>
  <c r="O47" i="23"/>
  <c r="O36" i="23"/>
  <c r="O41" i="23"/>
  <c r="O53" i="23"/>
  <c r="O48" i="23"/>
  <c r="O18" i="23"/>
  <c r="O52" i="23"/>
  <c r="O23" i="23"/>
  <c r="O17" i="23"/>
  <c r="O51" i="23"/>
  <c r="O27" i="23"/>
  <c r="O59" i="23"/>
  <c r="O21" i="23"/>
  <c r="O24" i="23"/>
  <c r="O25" i="23"/>
  <c r="O57" i="23"/>
  <c r="O58" i="23"/>
  <c r="O16" i="23"/>
  <c r="O49" i="23"/>
  <c r="O50" i="23"/>
  <c r="B44" i="23"/>
  <c r="AI372" i="22" s="1"/>
  <c r="AP372" i="22" s="1"/>
  <c r="E441" i="12" s="1"/>
  <c r="AE441" i="12" s="1"/>
  <c r="AE442" i="12" s="1"/>
  <c r="AI370" i="22"/>
  <c r="AP370" i="22" s="1"/>
  <c r="E437" i="12" s="1"/>
  <c r="AE437" i="12" s="1"/>
  <c r="AE436" i="12" l="1"/>
  <c r="AE435" i="12"/>
  <c r="AE438" i="12" s="1"/>
  <c r="C478" i="28"/>
  <c r="N50" i="23"/>
  <c r="C493" i="12"/>
  <c r="C477" i="28"/>
  <c r="N49" i="23"/>
  <c r="C492" i="12"/>
  <c r="C444" i="28"/>
  <c r="N16" i="23"/>
  <c r="C459" i="12"/>
  <c r="C486" i="28"/>
  <c r="N58" i="23"/>
  <c r="C501" i="12"/>
  <c r="C485" i="28"/>
  <c r="N57" i="23"/>
  <c r="C500" i="12"/>
  <c r="C453" i="28"/>
  <c r="N25" i="23"/>
  <c r="C468" i="12"/>
  <c r="C452" i="28"/>
  <c r="N24" i="23"/>
  <c r="C467" i="12"/>
  <c r="C449" i="28"/>
  <c r="N21" i="23"/>
  <c r="C464" i="12"/>
  <c r="C487" i="28"/>
  <c r="N59" i="23"/>
  <c r="C502" i="12"/>
  <c r="C455" i="28"/>
  <c r="N27" i="23"/>
  <c r="C470" i="12"/>
  <c r="C479" i="28"/>
  <c r="N51" i="23"/>
  <c r="C494" i="12"/>
  <c r="C445" i="28"/>
  <c r="N17" i="23"/>
  <c r="C460" i="12"/>
  <c r="C451" i="28"/>
  <c r="N23" i="23"/>
  <c r="C466" i="12"/>
  <c r="C480" i="28"/>
  <c r="N52" i="23"/>
  <c r="C495" i="12"/>
  <c r="C446" i="28"/>
  <c r="N18" i="23"/>
  <c r="C461" i="12"/>
  <c r="C476" i="28"/>
  <c r="N48" i="23"/>
  <c r="C491" i="12"/>
  <c r="C481" i="28"/>
  <c r="N53" i="23"/>
  <c r="C496" i="12"/>
  <c r="C469" i="28"/>
  <c r="N41" i="23"/>
  <c r="C484" i="12"/>
  <c r="C464" i="28"/>
  <c r="N36" i="23"/>
  <c r="C479" i="12"/>
  <c r="C475" i="28"/>
  <c r="N47" i="23"/>
  <c r="C490" i="12"/>
  <c r="C470" i="28"/>
  <c r="N42" i="23"/>
  <c r="C485" i="12"/>
  <c r="C468" i="28"/>
  <c r="N40" i="23"/>
  <c r="C483" i="12"/>
  <c r="C466" i="28"/>
  <c r="N38" i="23"/>
  <c r="C481" i="12"/>
  <c r="C462" i="28"/>
  <c r="N34" i="23"/>
  <c r="C477" i="12"/>
  <c r="C474" i="28"/>
  <c r="N46" i="23"/>
  <c r="C489" i="12"/>
  <c r="C454" i="28"/>
  <c r="N26" i="23"/>
  <c r="C469" i="12"/>
  <c r="C471" i="28"/>
  <c r="N43" i="23"/>
  <c r="C486" i="12"/>
  <c r="C484" i="28"/>
  <c r="N56" i="23"/>
  <c r="C499" i="12"/>
  <c r="C473" i="28"/>
  <c r="N45" i="23"/>
  <c r="C488" i="12"/>
  <c r="C483" i="28"/>
  <c r="N55" i="23"/>
  <c r="C498" i="12"/>
  <c r="C472" i="28"/>
  <c r="N44" i="23"/>
  <c r="C487" i="12"/>
  <c r="C482" i="28"/>
  <c r="N54" i="23"/>
  <c r="C497" i="12"/>
  <c r="C467" i="28"/>
  <c r="N39" i="23"/>
  <c r="C482" i="12"/>
  <c r="C450" i="28"/>
  <c r="N22" i="23"/>
  <c r="C465" i="12"/>
  <c r="C465" i="28"/>
  <c r="N37" i="23"/>
  <c r="C480" i="12"/>
  <c r="C448" i="28"/>
  <c r="N20" i="23"/>
  <c r="C463" i="12"/>
  <c r="C463" i="28"/>
  <c r="N35" i="23"/>
  <c r="C478" i="12"/>
  <c r="C447" i="28"/>
  <c r="N19" i="23"/>
  <c r="C462" i="12"/>
  <c r="C456" i="28"/>
  <c r="N28" i="23"/>
  <c r="C471" i="12"/>
  <c r="N10" i="23"/>
  <c r="C453" i="12"/>
  <c r="C460" i="28"/>
  <c r="N32" i="23"/>
  <c r="C475" i="12"/>
  <c r="N12" i="23"/>
  <c r="C455" i="12"/>
  <c r="C443" i="28"/>
  <c r="N15" i="23"/>
  <c r="C458" i="12"/>
  <c r="C458" i="28"/>
  <c r="N30" i="23"/>
  <c r="C473" i="12"/>
  <c r="C461" i="28"/>
  <c r="N33" i="23"/>
  <c r="C476" i="12"/>
  <c r="N11" i="23"/>
  <c r="C454" i="12"/>
  <c r="C441" i="28"/>
  <c r="N13" i="23"/>
  <c r="C456" i="12"/>
  <c r="C442" i="28"/>
  <c r="N14" i="23"/>
  <c r="C457" i="12"/>
  <c r="C459" i="28"/>
  <c r="N31" i="23"/>
  <c r="C474" i="12"/>
  <c r="C457" i="28"/>
  <c r="N29" i="23"/>
  <c r="C472" i="12"/>
  <c r="A457" i="28" l="1"/>
  <c r="AH457" i="28" s="1"/>
  <c r="A472" i="12"/>
  <c r="AE472" i="12" s="1"/>
  <c r="P29" i="23"/>
  <c r="A459" i="28"/>
  <c r="AH459" i="28" s="1"/>
  <c r="A474" i="12"/>
  <c r="AE474" i="12" s="1"/>
  <c r="P31" i="23"/>
  <c r="A442" i="28"/>
  <c r="AH442" i="28" s="1"/>
  <c r="A457" i="12"/>
  <c r="AE457" i="12" s="1"/>
  <c r="P14" i="23"/>
  <c r="A441" i="28"/>
  <c r="AH441" i="28" s="1"/>
  <c r="A456" i="12"/>
  <c r="AE456" i="12" s="1"/>
  <c r="P13" i="23"/>
  <c r="A454" i="12"/>
  <c r="AE454" i="12" s="1"/>
  <c r="P11" i="23"/>
  <c r="A461" i="28"/>
  <c r="AH461" i="28" s="1"/>
  <c r="A476" i="12"/>
  <c r="AE476" i="12" s="1"/>
  <c r="P33" i="23"/>
  <c r="A458" i="28"/>
  <c r="AH458" i="28" s="1"/>
  <c r="A473" i="12"/>
  <c r="AE473" i="12" s="1"/>
  <c r="P30" i="23"/>
  <c r="P15" i="23"/>
  <c r="A443" i="28"/>
  <c r="AH443" i="28" s="1"/>
  <c r="A458" i="12"/>
  <c r="AE458" i="12" s="1"/>
  <c r="J25" i="23"/>
  <c r="A455" i="12"/>
  <c r="AE455" i="12" s="1"/>
  <c r="P12" i="23"/>
  <c r="A460" i="28"/>
  <c r="AH460" i="28" s="1"/>
  <c r="A475" i="12"/>
  <c r="AE475" i="12" s="1"/>
  <c r="P32" i="23"/>
  <c r="A453" i="12"/>
  <c r="AE453" i="12" s="1"/>
  <c r="P10" i="23"/>
  <c r="A456" i="28"/>
  <c r="AH456" i="28" s="1"/>
  <c r="A471" i="12"/>
  <c r="AE471" i="12" s="1"/>
  <c r="P28" i="23"/>
  <c r="A447" i="28"/>
  <c r="AH447" i="28" s="1"/>
  <c r="A462" i="12"/>
  <c r="AE462" i="12" s="1"/>
  <c r="P19" i="23"/>
  <c r="A463" i="28"/>
  <c r="AH463" i="28" s="1"/>
  <c r="A478" i="12"/>
  <c r="AE478" i="12" s="1"/>
  <c r="P35" i="23"/>
  <c r="A448" i="28"/>
  <c r="AH448" i="28" s="1"/>
  <c r="A463" i="12"/>
  <c r="AE463" i="12" s="1"/>
  <c r="P20" i="23"/>
  <c r="A465" i="28"/>
  <c r="AH465" i="28" s="1"/>
  <c r="A480" i="12"/>
  <c r="AE480" i="12" s="1"/>
  <c r="P37" i="23"/>
  <c r="A450" i="28"/>
  <c r="AH450" i="28" s="1"/>
  <c r="A465" i="12"/>
  <c r="AE465" i="12" s="1"/>
  <c r="P22" i="23"/>
  <c r="A467" i="28"/>
  <c r="AH467" i="28" s="1"/>
  <c r="A482" i="12"/>
  <c r="AE482" i="12" s="1"/>
  <c r="P39" i="23"/>
  <c r="A482" i="28"/>
  <c r="AH482" i="28" s="1"/>
  <c r="A497" i="12"/>
  <c r="AE497" i="12" s="1"/>
  <c r="P54" i="23"/>
  <c r="A472" i="28"/>
  <c r="AH472" i="28" s="1"/>
  <c r="A487" i="12"/>
  <c r="AE487" i="12" s="1"/>
  <c r="P44" i="23"/>
  <c r="A483" i="28"/>
  <c r="AH483" i="28" s="1"/>
  <c r="A498" i="12"/>
  <c r="AE498" i="12" s="1"/>
  <c r="P55" i="23"/>
  <c r="A473" i="28"/>
  <c r="AH473" i="28" s="1"/>
  <c r="A488" i="12"/>
  <c r="AE488" i="12" s="1"/>
  <c r="P45" i="23"/>
  <c r="A484" i="28"/>
  <c r="AH484" i="28" s="1"/>
  <c r="A499" i="12"/>
  <c r="AE499" i="12" s="1"/>
  <c r="P56" i="23"/>
  <c r="A471" i="28"/>
  <c r="AH471" i="28" s="1"/>
  <c r="A486" i="12"/>
  <c r="AE486" i="12" s="1"/>
  <c r="P43" i="23"/>
  <c r="A454" i="28"/>
  <c r="AH454" i="28" s="1"/>
  <c r="A469" i="12"/>
  <c r="AE469" i="12" s="1"/>
  <c r="P26" i="23"/>
  <c r="A474" i="28"/>
  <c r="AH474" i="28" s="1"/>
  <c r="A489" i="12"/>
  <c r="AE489" i="12" s="1"/>
  <c r="P46" i="23"/>
  <c r="A462" i="28"/>
  <c r="AH462" i="28" s="1"/>
  <c r="A477" i="12"/>
  <c r="AE477" i="12" s="1"/>
  <c r="P34" i="23"/>
  <c r="A466" i="28"/>
  <c r="AH466" i="28" s="1"/>
  <c r="A481" i="12"/>
  <c r="AE481" i="12" s="1"/>
  <c r="P38" i="23"/>
  <c r="A468" i="28"/>
  <c r="AH468" i="28" s="1"/>
  <c r="A483" i="12"/>
  <c r="AE483" i="12" s="1"/>
  <c r="P40" i="23"/>
  <c r="A470" i="28"/>
  <c r="AH470" i="28" s="1"/>
  <c r="A485" i="12"/>
  <c r="AE485" i="12" s="1"/>
  <c r="P42" i="23"/>
  <c r="A475" i="28"/>
  <c r="AH475" i="28" s="1"/>
  <c r="A490" i="12"/>
  <c r="AE490" i="12" s="1"/>
  <c r="P47" i="23"/>
  <c r="A464" i="28"/>
  <c r="AH464" i="28" s="1"/>
  <c r="A479" i="12"/>
  <c r="AE479" i="12" s="1"/>
  <c r="P36" i="23"/>
  <c r="A469" i="28"/>
  <c r="AH469" i="28" s="1"/>
  <c r="A484" i="12"/>
  <c r="AE484" i="12" s="1"/>
  <c r="P41" i="23"/>
  <c r="A481" i="28"/>
  <c r="AH481" i="28" s="1"/>
  <c r="A496" i="12"/>
  <c r="AE496" i="12" s="1"/>
  <c r="P53" i="23"/>
  <c r="A476" i="28"/>
  <c r="AH476" i="28" s="1"/>
  <c r="A491" i="12"/>
  <c r="AE491" i="12" s="1"/>
  <c r="P48" i="23"/>
  <c r="A446" i="28"/>
  <c r="AH446" i="28" s="1"/>
  <c r="A461" i="12"/>
  <c r="AE461" i="12" s="1"/>
  <c r="P18" i="23"/>
  <c r="A480" i="28"/>
  <c r="AH480" i="28" s="1"/>
  <c r="A495" i="12"/>
  <c r="AE495" i="12" s="1"/>
  <c r="P52" i="23"/>
  <c r="A451" i="28"/>
  <c r="AH451" i="28" s="1"/>
  <c r="A466" i="12"/>
  <c r="AE466" i="12" s="1"/>
  <c r="P23" i="23"/>
  <c r="A445" i="28"/>
  <c r="AH445" i="28" s="1"/>
  <c r="A460" i="12"/>
  <c r="AE460" i="12" s="1"/>
  <c r="P17" i="23"/>
  <c r="A479" i="28"/>
  <c r="AH479" i="28" s="1"/>
  <c r="A494" i="12"/>
  <c r="AE494" i="12" s="1"/>
  <c r="P51" i="23"/>
  <c r="A455" i="28"/>
  <c r="AH455" i="28" s="1"/>
  <c r="A470" i="12"/>
  <c r="AE470" i="12" s="1"/>
  <c r="P27" i="23"/>
  <c r="A487" i="28"/>
  <c r="AH487" i="28" s="1"/>
  <c r="A502" i="12"/>
  <c r="AE502" i="12" s="1"/>
  <c r="P59" i="23"/>
  <c r="A449" i="28"/>
  <c r="AH449" i="28" s="1"/>
  <c r="A464" i="12"/>
  <c r="AE464" i="12" s="1"/>
  <c r="P21" i="23"/>
  <c r="A452" i="28"/>
  <c r="AH452" i="28" s="1"/>
  <c r="A467" i="12"/>
  <c r="AE467" i="12" s="1"/>
  <c r="P24" i="23"/>
  <c r="A453" i="28"/>
  <c r="AH453" i="28" s="1"/>
  <c r="A468" i="12"/>
  <c r="AE468" i="12" s="1"/>
  <c r="P25" i="23"/>
  <c r="A485" i="28"/>
  <c r="AH485" i="28" s="1"/>
  <c r="A500" i="12"/>
  <c r="AE500" i="12" s="1"/>
  <c r="P57" i="23"/>
  <c r="A486" i="28"/>
  <c r="AH486" i="28" s="1"/>
  <c r="A501" i="12"/>
  <c r="AE501" i="12" s="1"/>
  <c r="P58" i="23"/>
  <c r="A444" i="28"/>
  <c r="AH444" i="28" s="1"/>
  <c r="A459" i="12"/>
  <c r="AE459" i="12" s="1"/>
  <c r="P16" i="23"/>
  <c r="A477" i="28"/>
  <c r="AH477" i="28" s="1"/>
  <c r="A492" i="12"/>
  <c r="AE492" i="12" s="1"/>
  <c r="P49" i="23"/>
  <c r="A478" i="28"/>
  <c r="AH478" i="28" s="1"/>
  <c r="A493" i="12"/>
  <c r="AE493" i="12" s="1"/>
  <c r="P50"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8" minRefreshableVersion="1" background="1" saveData="1">
    <webPr sourceData="1" parsePre="1" consecutive="1" xl2000="1" url="\\terrascan-dc\users$\nlangeveld\downloads\n.xml"/>
  </connection>
</connections>
</file>

<file path=xl/sharedStrings.xml><?xml version="1.0" encoding="utf-8"?>
<sst xmlns="http://schemas.openxmlformats.org/spreadsheetml/2006/main" count="22080" uniqueCount="3256">
  <si>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</si>
  <si>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</si>
  <si>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</si>
  <si>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</si>
  <si>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</si>
  <si>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</si>
  <si>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</si>
  <si>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</si>
  <si>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</si>
  <si>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</si>
  <si>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</si>
  <si>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</si>
  <si>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</si>
  <si>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</si>
  <si>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</si>
  <si>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</si>
  <si>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</si>
  <si>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</si>
  <si>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</si>
  <si>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</si>
  <si>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</si>
  <si>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</si>
  <si>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</si>
  <si>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</si>
  <si>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</si>
  <si>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</si>
  <si>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</si>
  <si>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</si>
  <si>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</si>
  <si>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</si>
  <si>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</si>
  <si>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</si>
  <si>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</si>
  <si>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</si>
  <si>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</si>
  <si>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</si>
  <si>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</si>
  <si>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</si>
  <si>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</si>
  <si>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</si>
  <si>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</si>
  <si>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</si>
  <si>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</si>
  <si>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</si>
  <si>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</si>
  <si>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</si>
  <si>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</si>
  <si>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</si>
  <si>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</si>
  <si>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</si>
  <si>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</si>
  <si>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</si>
  <si>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</si>
  <si>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</si>
  <si>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</si>
  <si>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</si>
  <si>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</si>
  <si>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</si>
  <si>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</si>
  <si>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</si>
  <si>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</si>
  <si>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</si>
  <si>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</si>
  <si>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</si>
  <si>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</si>
  <si>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</si>
  <si>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</si>
  <si>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</si>
  <si>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</si>
  <si>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</si>
  <si>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</si>
  <si>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</si>
  <si>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</si>
  <si>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</si>
  <si>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</si>
  <si>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</si>
  <si>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</si>
  <si>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</si>
  <si>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</si>
  <si>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</si>
  <si>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</si>
  <si>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</si>
  <si>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</si>
  <si>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</si>
  <si>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</si>
  <si>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</si>
  <si>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</si>
  <si>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</si>
  <si>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</si>
  <si>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</si>
  <si>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</si>
  <si>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</si>
  <si>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</si>
  <si>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</si>
  <si>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</si>
  <si>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</si>
  <si>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</si>
  <si>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</si>
  <si>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</si>
  <si>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</si>
  <si>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</si>
  <si>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</si>
  <si>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</si>
  <si>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</si>
  <si>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</si>
  <si>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</si>
  <si>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</si>
  <si>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</si>
  <si>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</si>
  <si>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</si>
  <si>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</si>
  <si>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</si>
  <si>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</si>
  <si>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</si>
  <si>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</si>
  <si>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</si>
  <si>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</si>
  <si>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</si>
  <si>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</si>
  <si>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</si>
  <si>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</si>
  <si>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</si>
  <si>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</si>
  <si>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</si>
  <si>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</si>
  <si>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</si>
  <si>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</si>
  <si>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</si>
  <si>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</si>
  <si>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</si>
  <si>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</si>
  <si>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</si>
  <si>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</si>
  <si>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</si>
  <si>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</si>
  <si>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</si>
  <si>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</si>
  <si>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</si>
  <si>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</si>
  <si>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</si>
  <si>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</si>
  <si>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</si>
  <si>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</si>
  <si>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</si>
  <si>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</si>
  <si>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</si>
  <si>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</si>
  <si>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</si>
  <si>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</si>
  <si>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</si>
  <si>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</si>
  <si>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</si>
  <si>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</si>
  <si>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</si>
  <si>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</si>
  <si>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</si>
  <si>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</si>
  <si>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</si>
  <si>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</si>
  <si>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</si>
  <si>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</si>
  <si>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</si>
  <si>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</si>
  <si>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</si>
  <si>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</si>
  <si>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</si>
  <si>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</si>
  <si>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</si>
  <si>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</si>
  <si>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</si>
  <si>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</si>
  <si>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</si>
  <si>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</si>
  <si>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</si>
  <si>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</si>
  <si>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</si>
  <si>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</si>
  <si>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</si>
  <si>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</si>
  <si>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</si>
  <si>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</si>
  <si>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</si>
  <si>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</si>
  <si>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</si>
  <si>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</si>
  <si>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</si>
  <si>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</si>
  <si>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</si>
  <si>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</si>
  <si>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</si>
  <si>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</si>
  <si>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</si>
  <si>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</si>
  <si>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</si>
  <si>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</si>
  <si>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</si>
  <si>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</si>
  <si>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</si>
  <si>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</si>
  <si>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</si>
  <si>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</si>
  <si>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</si>
  <si>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</si>
  <si>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</si>
  <si>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</si>
  <si>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</si>
  <si>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</si>
  <si>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</si>
  <si>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</si>
  <si>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</si>
  <si>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</si>
  <si>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</si>
  <si>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</si>
  <si>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</si>
  <si>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</si>
  <si>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</si>
  <si>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</si>
  <si>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</si>
  <si>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</si>
  <si>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</si>
  <si>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</si>
  <si>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</si>
  <si>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</si>
  <si>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</si>
  <si>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</si>
  <si>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</si>
  <si>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</si>
  <si>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</si>
  <si>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</si>
  <si>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</si>
  <si>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</si>
  <si>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</si>
  <si>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</si>
  <si>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</si>
  <si>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</si>
  <si>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</si>
  <si>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</si>
  <si>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</si>
  <si>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</si>
  <si>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</si>
  <si>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</si>
  <si>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</si>
  <si>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</si>
  <si>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</si>
  <si>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</si>
  <si>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</si>
  <si>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</si>
  <si>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</si>
  <si>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</si>
  <si>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</si>
  <si>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</si>
  <si>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</si>
  <si>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</si>
  <si>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</si>
  <si>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</si>
  <si>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</si>
  <si>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</si>
  <si>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</si>
  <si>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</si>
  <si>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</si>
  <si>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</si>
  <si>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</si>
  <si>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</si>
  <si>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</si>
  <si>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</si>
  <si>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</si>
  <si>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</si>
  <si>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</si>
  <si>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</si>
  <si>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</si>
  <si>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</si>
  <si>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</si>
  <si>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</si>
  <si>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</si>
  <si>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</si>
  <si>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</si>
  <si>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</si>
  <si>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</si>
  <si>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</si>
  <si>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</si>
  <si>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</si>
  <si>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</si>
  <si>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</si>
  <si>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</si>
  <si>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</si>
  <si>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</si>
  <si>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</si>
  <si>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</si>
  <si>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</si>
  <si>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</si>
  <si>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</si>
  <si>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</si>
  <si>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</si>
  <si>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</si>
  <si>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</si>
  <si>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</si>
  <si>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</si>
  <si>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</si>
  <si>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</si>
  <si>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</si>
  <si>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</si>
  <si>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</si>
  <si>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</si>
  <si>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</si>
  <si>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</si>
  <si>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</si>
  <si>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</si>
  <si>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</si>
  <si>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</si>
  <si>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</si>
  <si>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</si>
  <si>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</si>
  <si>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</si>
  <si>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</si>
  <si>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</si>
  <si>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</si>
  <si>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</si>
  <si>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</si>
  <si>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</si>
  <si>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</si>
  <si>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</si>
  <si>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</si>
  <si>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</si>
  <si>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</si>
  <si>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</si>
  <si>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</si>
  <si>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</si>
  <si>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</si>
  <si>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</si>
  <si>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</si>
  <si>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</si>
  <si>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</si>
  <si>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</si>
  <si>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</si>
  <si>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</si>
  <si>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</si>
  <si>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</si>
  <si>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</si>
  <si>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</si>
  <si>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</si>
  <si>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</si>
  <si>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</si>
  <si>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</si>
  <si>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</si>
  <si>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</si>
  <si>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</si>
  <si>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</si>
  <si>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</si>
  <si>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</si>
  <si>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urn:immetingen:eenheid:id:131</t>
  </si>
  <si>
    <t>urn:immetingen:parameter:id:4437</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</si>
  <si>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</si>
  <si>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</si>
  <si>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</si>
  <si>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</si>
  <si>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</si>
  <si>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</si>
  <si>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</si>
  <si>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</si>
  <si>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</si>
  <si>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</si>
  <si>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</si>
  <si>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</si>
  <si>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</si>
  <si>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</si>
  <si>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</si>
  <si>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</si>
  <si>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</si>
  <si>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urn:immetingen:parameter:id:5996</t>
  </si>
  <si>
    <t>urn:immetingen:parameter:id:5517</t>
  </si>
  <si>
    <t>urn:immetingen:parameter:id:5830</t>
  </si>
  <si>
    <t>urn:immetingen:parameter:id:4446</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</si>
  <si>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</si>
  <si>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</si>
  <si>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</si>
  <si>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</si>
  <si>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</si>
  <si>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</si>
  <si>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</si>
  <si>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</si>
  <si>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</si>
  <si>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</si>
  <si>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</si>
  <si>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</si>
  <si>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</si>
  <si>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</si>
  <si>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</si>
  <si>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</si>
  <si>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</si>
  <si>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</si>
  <si>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</si>
  <si>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</si>
  <si>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</si>
  <si>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</si>
  <si>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</si>
  <si>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</si>
  <si>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</si>
  <si>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</si>
  <si>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</si>
  <si>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</si>
  <si>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</si>
  <si>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</si>
  <si>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</si>
  <si>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</si>
  <si>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</si>
  <si>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</si>
  <si>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</si>
  <si>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</si>
  <si>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</si>
  <si>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</si>
  <si>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</si>
  <si>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</si>
  <si>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</si>
  <si>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</si>
  <si>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</si>
  <si>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</si>
  <si>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</si>
  <si>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</si>
  <si>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</si>
  <si>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</si>
  <si>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</si>
  <si>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</si>
  <si>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</si>
  <si>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</si>
  <si>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</si>
  <si>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</si>
  <si>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</si>
  <si>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</si>
  <si>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</si>
  <si>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</si>
  <si>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</si>
  <si>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</si>
  <si>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</si>
  <si>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</si>
  <si>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</si>
  <si>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</si>
  <si>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</si>
  <si>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</si>
  <si>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</si>
  <si>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</si>
  <si>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</si>
  <si>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</si>
  <si>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</si>
  <si>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</si>
  <si>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</si>
  <si>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</si>
  <si>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</si>
  <si>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</si>
  <si>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</si>
  <si>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</si>
  <si>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</si>
  <si>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</si>
  <si>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</si>
  <si>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</si>
  <si>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</si>
  <si>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</si>
  <si>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</si>
  <si>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</si>
  <si>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</si>
  <si>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</si>
  <si>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</si>
  <si>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</si>
  <si>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</si>
  <si>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</si>
  <si>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</si>
  <si>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</si>
  <si>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</si>
  <si>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</si>
  <si>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</si>
  <si>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</si>
  <si>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</si>
  <si>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</si>
  <si>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</si>
  <si>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</si>
  <si>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</si>
  <si>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</si>
  <si>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</si>
  <si>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</si>
  <si>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</si>
  <si>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</si>
  <si>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</si>
  <si>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</si>
  <si>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</si>
  <si>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</si>
  <si>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</si>
  <si>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</si>
  <si>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</si>
  <si>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</si>
  <si>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</si>
  <si>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</si>
  <si>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</si>
  <si>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</si>
  <si>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</si>
  <si>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</si>
  <si>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</si>
  <si>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</si>
  <si>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</si>
  <si>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</si>
  <si>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</si>
  <si>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</si>
  <si>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&lt;2 % vd DS</t>
  </si>
  <si>
    <t>&lt;0.1 µg/kgds</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</si>
  <si>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</si>
  <si>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</si>
  <si>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</si>
  <si>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</si>
  <si>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</si>
  <si>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</si>
  <si>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</si>
  <si>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</si>
  <si>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</si>
  <si>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</si>
  <si>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</si>
  <si>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</si>
  <si>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</si>
  <si>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</si>
  <si>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</si>
  <si>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</si>
  <si>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</si>
  <si>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</si>
  <si>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</si>
  <si>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</si>
  <si>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</si>
  <si>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</si>
  <si>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</si>
  <si>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</si>
  <si>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</si>
  <si>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</si>
  <si>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</si>
  <si>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</si>
  <si>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</si>
  <si>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</si>
  <si>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</si>
  <si>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</si>
  <si>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</si>
  <si>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</si>
  <si>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</si>
  <si>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</si>
  <si>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</si>
  <si>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</si>
  <si>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</si>
  <si>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</si>
  <si>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</si>
  <si>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</si>
  <si>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</si>
  <si>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</si>
  <si>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</si>
  <si>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</si>
  <si>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</si>
  <si>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</si>
  <si>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</si>
  <si>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</si>
  <si>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</si>
  <si>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</si>
  <si>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</si>
  <si>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</si>
  <si>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</si>
  <si>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</si>
  <si>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</si>
  <si>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</si>
  <si>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</si>
  <si>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</si>
  <si>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</si>
  <si>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</si>
  <si>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</si>
  <si>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</si>
  <si>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</si>
  <si>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</si>
  <si>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</si>
  <si>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</si>
  <si>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</si>
  <si>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</si>
  <si>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</si>
  <si>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</si>
  <si>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</si>
  <si>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</si>
  <si>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</si>
  <si>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</si>
  <si>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</si>
  <si>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</si>
  <si>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</si>
  <si>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</si>
  <si>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</si>
  <si>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</si>
  <si>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</si>
  <si>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</si>
  <si>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</si>
  <si>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</si>
  <si>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</si>
  <si>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</si>
  <si>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</si>
  <si>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</si>
  <si>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</si>
  <si>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</si>
  <si>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</si>
  <si>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</si>
  <si>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</si>
  <si>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</si>
  <si>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</si>
  <si>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</si>
  <si>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</si>
  <si>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</si>
  <si>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</si>
  <si>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</si>
  <si>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</si>
  <si>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</si>
  <si>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</si>
  <si>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</si>
  <si>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</si>
  <si>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</si>
  <si>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</si>
  <si>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</si>
  <si>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</si>
  <si>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</si>
  <si>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</si>
  <si>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</si>
  <si>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</si>
  <si>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</si>
  <si>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</si>
  <si>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</si>
  <si>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</si>
  <si>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</si>
  <si>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</si>
  <si>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</si>
  <si>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</si>
  <si>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</si>
  <si>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</si>
  <si>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</si>
  <si>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</si>
  <si>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</si>
  <si>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</si>
  <si>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</si>
  <si>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</si>
  <si>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</si>
  <si>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</si>
  <si>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</si>
  <si>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</si>
  <si>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</si>
  <si>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</si>
  <si>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</si>
  <si>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</si>
  <si>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</si>
  <si>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</si>
  <si>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</si>
  <si>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</si>
  <si>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</si>
  <si>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</si>
  <si>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</si>
  <si>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</si>
  <si>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</si>
  <si>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</si>
  <si>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</si>
  <si>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</si>
  <si>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</si>
  <si>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</si>
  <si>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</si>
  <si>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</si>
  <si>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</si>
  <si>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</si>
  <si>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</si>
  <si>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</si>
  <si>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</si>
  <si>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</si>
  <si>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</si>
  <si>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</si>
  <si>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</si>
  <si>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</si>
  <si>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</si>
  <si>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</si>
  <si>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</si>
  <si>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</si>
  <si>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</si>
  <si>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</si>
  <si>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</si>
  <si>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</si>
  <si>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</si>
  <si>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</si>
  <si>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</si>
  <si>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</si>
  <si>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</si>
  <si>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</si>
  <si>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</si>
  <si>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</si>
  <si>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</si>
  <si>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</si>
  <si>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</si>
  <si>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</si>
  <si>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</si>
  <si>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</si>
  <si>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</si>
  <si>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</si>
  <si>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</si>
  <si>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</si>
  <si>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</si>
  <si>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</si>
  <si>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</si>
  <si>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</si>
  <si>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</si>
  <si>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</si>
  <si>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</si>
  <si>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</si>
  <si>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</si>
  <si>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</si>
  <si>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</si>
  <si>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</si>
  <si>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</si>
  <si>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</si>
  <si>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</si>
  <si>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</si>
  <si>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</si>
  <si>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</si>
  <si>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</si>
  <si>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</si>
  <si>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</si>
  <si>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</si>
  <si>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</si>
  <si>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</si>
  <si>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</si>
  <si>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</si>
  <si>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</si>
  <si>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</si>
  <si>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</si>
  <si>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</si>
  <si>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</si>
  <si>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</si>
  <si>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</si>
  <si>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</si>
  <si>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</si>
  <si>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</si>
  <si>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</si>
  <si>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</si>
  <si>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</si>
  <si>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</si>
  <si>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</si>
  <si>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</si>
  <si>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</si>
  <si>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</si>
  <si>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</si>
  <si>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</si>
  <si>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</si>
  <si>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</si>
  <si>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</si>
  <si>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</si>
  <si>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</si>
  <si>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</si>
  <si>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</si>
  <si>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</si>
  <si>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</si>
  <si>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</si>
  <si>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</si>
  <si>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</si>
  <si>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</si>
  <si>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</si>
  <si>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</si>
  <si>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</si>
  <si>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</si>
  <si>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</si>
  <si>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</si>
  <si>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</si>
  <si>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</si>
  <si>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</si>
  <si>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</si>
  <si>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</si>
  <si>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</si>
  <si>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</si>
  <si>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</si>
  <si>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</si>
  <si>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</si>
  <si>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</si>
  <si>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</si>
  <si>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</si>
  <si>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</si>
  <si>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</si>
  <si>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</si>
  <si>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</si>
  <si>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</si>
  <si>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</si>
  <si>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</si>
  <si>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</si>
  <si>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</si>
  <si>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</si>
  <si>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</si>
  <si>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</si>
  <si>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</si>
  <si>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</si>
  <si>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</si>
  <si>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</si>
  <si>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</si>
  <si>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</si>
  <si>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</si>
  <si>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</si>
  <si>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</si>
  <si>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</si>
  <si>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</si>
  <si>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</si>
  <si>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</si>
  <si>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</si>
  <si>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</si>
  <si>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</si>
  <si>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</si>
  <si>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</si>
  <si>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</si>
  <si>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</si>
  <si>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</si>
  <si>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</si>
  <si>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</si>
  <si>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</si>
  <si>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</si>
  <si>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</si>
  <si>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</si>
  <si>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</si>
  <si>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</si>
  <si>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</si>
  <si>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</si>
  <si>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</si>
  <si>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</si>
  <si>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</si>
  <si>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</si>
  <si>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</si>
  <si>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</si>
  <si>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</si>
  <si>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</si>
  <si>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</si>
  <si>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</si>
  <si>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</si>
  <si>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</si>
  <si>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</si>
  <si>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</si>
  <si>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</si>
  <si>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</si>
  <si>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</si>
  <si>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</si>
  <si>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</si>
  <si>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</si>
  <si>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</si>
  <si>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</si>
  <si>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</si>
  <si>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</si>
  <si>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</si>
  <si>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</si>
  <si>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</si>
  <si>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</si>
  <si>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</si>
  <si>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</si>
  <si>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</si>
  <si>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</si>
  <si>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</si>
  <si>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</si>
  <si>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</si>
  <si>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</si>
  <si>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</si>
  <si>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</si>
  <si>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</si>
  <si>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</si>
  <si>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</si>
  <si>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</si>
  <si>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</si>
  <si>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</si>
  <si>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</si>
  <si>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</si>
  <si>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</si>
  <si>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</si>
  <si>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</si>
  <si>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</si>
  <si>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</si>
  <si>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</si>
  <si>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</si>
  <si>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</si>
  <si>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</si>
  <si>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</si>
  <si>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</si>
  <si>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</si>
  <si>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</si>
  <si>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</si>
  <si>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</si>
  <si>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</si>
  <si>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</si>
  <si>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</si>
  <si>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</si>
  <si>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</si>
  <si>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</si>
  <si>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</si>
  <si>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</si>
  <si>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</si>
  <si>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</si>
  <si>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</si>
  <si>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</si>
  <si>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</si>
  <si>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</si>
  <si>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</si>
  <si>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</si>
  <si>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</si>
  <si>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</si>
  <si>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</si>
  <si>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</si>
  <si>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</si>
  <si>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</si>
  <si>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</si>
  <si>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</si>
  <si>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</si>
  <si>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</si>
  <si>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</si>
  <si>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</si>
  <si>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</si>
  <si>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</si>
  <si>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</si>
  <si>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</si>
  <si>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</si>
  <si>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</si>
  <si>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</si>
  <si>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</si>
  <si>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</si>
  <si>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</si>
  <si>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</si>
  <si>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</si>
  <si>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</si>
  <si>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</si>
  <si>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</si>
  <si>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</si>
  <si>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</si>
  <si>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</si>
  <si>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</si>
  <si>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</si>
  <si>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</si>
  <si>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</si>
  <si>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</si>
  <si>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</si>
  <si>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</si>
  <si>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</si>
  <si>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</si>
  <si>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</si>
  <si>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</si>
  <si>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</si>
  <si>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</si>
  <si>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</si>
  <si>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</si>
  <si>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</si>
  <si>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</si>
  <si>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</si>
  <si>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</si>
  <si>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</si>
  <si>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</si>
  <si>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</si>
  <si>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</si>
  <si>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</si>
  <si>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</si>
  <si>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</si>
  <si>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</si>
  <si>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</si>
  <si>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</si>
  <si>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</si>
  <si>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</si>
  <si>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</si>
  <si>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</si>
  <si>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</si>
  <si>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</si>
  <si>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</si>
  <si>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</si>
  <si>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</si>
  <si>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</si>
  <si>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</si>
  <si>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</si>
  <si>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</si>
  <si>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</si>
  <si>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</si>
  <si>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</si>
  <si>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</si>
  <si>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</si>
  <si>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</si>
  <si>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</si>
  <si>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</si>
  <si>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</si>
  <si>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</si>
  <si>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</si>
  <si>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</si>
  <si>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</si>
  <si>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</si>
  <si>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</si>
  <si>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</si>
  <si>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</si>
  <si>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</si>
  <si>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</si>
  <si>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</si>
  <si>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</si>
  <si>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</si>
  <si>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</si>
  <si>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</si>
  <si>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</si>
  <si>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</si>
  <si>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</si>
  <si>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</si>
  <si>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</si>
  <si>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</si>
  <si>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</si>
  <si>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</si>
  <si>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</si>
  <si>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</si>
  <si>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</si>
  <si>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</si>
  <si>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</si>
  <si>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</si>
  <si>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</si>
  <si>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</si>
  <si>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</si>
  <si>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</si>
  <si>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</si>
  <si>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</si>
  <si>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</si>
  <si>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</si>
  <si>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</si>
  <si>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</si>
  <si>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</si>
  <si>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</si>
  <si>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</si>
  <si>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</si>
  <si>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</si>
  <si>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</si>
  <si>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</si>
  <si>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</si>
  <si>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</si>
  <si>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</si>
  <si>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</si>
  <si>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</si>
  <si>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</si>
  <si>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</si>
  <si>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</si>
  <si>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</si>
  <si>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</si>
  <si>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</si>
  <si>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</si>
  <si>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</si>
  <si>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</si>
  <si>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</si>
  <si>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</si>
  <si>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</si>
  <si>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</si>
  <si>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</si>
  <si>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</si>
  <si>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</si>
  <si>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</si>
  <si>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</si>
  <si>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</si>
  <si>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</si>
  <si>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</si>
  <si>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</si>
  <si>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</si>
  <si>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</si>
  <si>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</si>
  <si>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</si>
  <si>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</si>
  <si>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</si>
  <si>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</si>
  <si>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</si>
  <si>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</si>
  <si>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</si>
  <si>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</si>
  <si>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</si>
  <si>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</si>
  <si>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</si>
  <si>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</si>
  <si>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</si>
  <si>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</si>
  <si>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</si>
  <si>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</si>
  <si>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</si>
  <si>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</si>
  <si>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</si>
  <si>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</si>
  <si>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</si>
  <si>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</si>
  <si>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</si>
  <si>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</si>
  <si>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</si>
  <si>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</si>
  <si>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</si>
  <si>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</si>
  <si>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</si>
  <si>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</si>
  <si>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</si>
  <si>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</si>
  <si>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</si>
  <si>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</si>
  <si>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</si>
  <si>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</si>
  <si>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</si>
  <si>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</si>
  <si>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</si>
  <si>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</si>
  <si>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</si>
  <si>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</si>
  <si>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</si>
  <si>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</si>
  <si>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</si>
  <si>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</si>
  <si>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</si>
  <si>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</si>
  <si>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</si>
  <si>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</si>
  <si>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</si>
  <si>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</si>
  <si>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</si>
  <si>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</si>
  <si>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</si>
  <si>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</si>
  <si>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</si>
  <si>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</si>
  <si>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</si>
  <si>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</si>
  <si>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</si>
  <si>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</si>
  <si>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</si>
  <si>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</si>
  <si>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</si>
  <si>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</si>
  <si>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</si>
  <si>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</si>
  <si>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</si>
  <si>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</si>
  <si>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</si>
  <si>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</si>
  <si>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</si>
  <si>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</si>
  <si>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</si>
  <si>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</si>
  <si>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</si>
  <si>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</si>
  <si>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</si>
  <si>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</si>
  <si>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</si>
  <si>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</si>
  <si>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</si>
  <si>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</si>
  <si>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</si>
  <si>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</si>
  <si>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</si>
  <si>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</si>
  <si>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</si>
  <si>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</si>
  <si>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</si>
  <si>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</si>
  <si>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</si>
  <si>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</si>
  <si>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</si>
  <si>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</si>
  <si>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</si>
  <si>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</si>
  <si>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</si>
  <si>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</si>
  <si>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</si>
  <si>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</si>
  <si>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</si>
  <si>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</si>
  <si>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</si>
  <si>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</si>
  <si>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</si>
  <si>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</si>
  <si>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</si>
  <si>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</si>
  <si>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</si>
  <si>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</si>
  <si>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</si>
  <si>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</si>
  <si>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</si>
  <si>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</si>
  <si>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</si>
  <si>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</si>
  <si>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</si>
  <si>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</si>
  <si>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</si>
  <si>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</si>
  <si>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</si>
  <si>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</si>
  <si>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</si>
  <si>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</si>
  <si>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</si>
  <si>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</si>
  <si>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</si>
  <si>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</si>
  <si>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</si>
  <si>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</si>
  <si>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</si>
  <si>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</si>
  <si>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</si>
  <si>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</si>
  <si>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</si>
  <si>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</si>
  <si>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</si>
  <si>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</si>
  <si>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</si>
  <si>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</si>
  <si>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</si>
  <si>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</si>
  <si>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</si>
  <si>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</si>
  <si>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</si>
  <si>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</si>
  <si>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</si>
  <si>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</si>
  <si>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</si>
  <si>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</si>
  <si>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</si>
  <si>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</si>
  <si>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</si>
  <si>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</si>
  <si>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</si>
  <si>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</si>
  <si>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</si>
  <si>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</si>
  <si>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</si>
  <si>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</si>
  <si>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</si>
  <si>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</si>
  <si>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</si>
  <si>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</si>
  <si>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</si>
  <si>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</si>
  <si>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</si>
  <si>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</si>
  <si>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</si>
  <si>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</si>
  <si>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</si>
  <si>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</si>
  <si>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</si>
  <si>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</si>
  <si>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</si>
  <si>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</si>
  <si>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</si>
  <si>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</si>
  <si>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</si>
  <si>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</si>
  <si>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</si>
  <si>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</si>
  <si>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</si>
  <si>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</si>
  <si>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</si>
  <si>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</si>
  <si>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</si>
  <si>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</si>
  <si>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</si>
  <si>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</si>
  <si>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</si>
  <si>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</si>
  <si>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</si>
  <si>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</si>
  <si>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</si>
  <si>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</si>
  <si>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</si>
  <si>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</si>
  <si>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</si>
  <si>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</si>
  <si>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</si>
  <si>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</si>
  <si>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</si>
  <si>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</si>
  <si>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</si>
  <si>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</si>
  <si>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</si>
  <si>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</si>
  <si>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</si>
  <si>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</si>
  <si>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</si>
  <si>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</si>
  <si>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</si>
  <si>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</si>
  <si>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</si>
  <si>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</si>
  <si>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</si>
  <si>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</si>
  <si>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</si>
  <si>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</si>
  <si>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</si>
  <si>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</si>
  <si>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</si>
  <si>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</si>
  <si>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</si>
  <si>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</si>
  <si>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</si>
  <si>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</si>
  <si>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</si>
  <si>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</si>
  <si>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</si>
  <si>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</si>
  <si>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</si>
  <si>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</si>
  <si>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</si>
  <si>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</si>
  <si>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</si>
  <si>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</si>
  <si>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</si>
  <si>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</si>
  <si>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</si>
  <si>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</si>
  <si>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</si>
  <si>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</si>
  <si>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</si>
  <si>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</si>
  <si>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</si>
  <si>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</si>
  <si>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</si>
  <si>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</si>
  <si>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</si>
  <si>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</si>
  <si>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</si>
  <si>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</si>
  <si>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</si>
  <si>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</si>
  <si>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</si>
  <si>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</si>
  <si>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</si>
  <si>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</si>
  <si>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</si>
  <si>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</si>
  <si>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</si>
  <si>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</si>
  <si>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</si>
  <si>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</si>
  <si>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</si>
  <si>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</si>
  <si>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</si>
  <si>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</si>
  <si>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</si>
  <si>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</si>
  <si>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</si>
  <si>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</si>
  <si>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</si>
  <si>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</si>
  <si>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</si>
  <si>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</si>
  <si>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</si>
  <si>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</si>
  <si>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</si>
  <si>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</si>
  <si>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</si>
  <si>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</si>
  <si>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</si>
  <si>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</si>
  <si>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</si>
  <si>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</si>
  <si>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</si>
  <si>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</si>
  <si>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</si>
  <si>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</si>
  <si>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</si>
  <si>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</si>
  <si>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</si>
  <si>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</si>
  <si>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</si>
  <si>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</si>
  <si>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</si>
  <si>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</si>
  <si>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</si>
  <si>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</si>
  <si>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</si>
  <si>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</si>
  <si>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</si>
  <si>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</si>
  <si>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</si>
  <si>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</si>
  <si>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</si>
  <si>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</si>
  <si>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</si>
  <si>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</si>
  <si>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</si>
  <si>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</si>
  <si>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</si>
  <si>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</si>
  <si>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</si>
  <si>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</si>
  <si>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</si>
  <si>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</si>
  <si>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</si>
  <si>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</si>
  <si>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</si>
  <si>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</si>
  <si>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</si>
  <si>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</si>
  <si>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</si>
  <si>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</si>
  <si>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</si>
  <si>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</si>
  <si>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</si>
  <si>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</si>
  <si>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</si>
  <si>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</si>
  <si>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</si>
  <si>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</si>
  <si>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</si>
  <si>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</si>
  <si>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</si>
  <si>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</si>
  <si>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</si>
  <si>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</si>
  <si>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</si>
  <si>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</si>
  <si>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</si>
  <si>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</si>
  <si>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</si>
  <si>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</si>
  <si>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</si>
  <si>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</si>
  <si>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</si>
  <si>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</si>
  <si>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</si>
  <si>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</si>
  <si>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</si>
  <si>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</si>
  <si>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</si>
  <si>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</si>
  <si>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</si>
  <si>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</si>
  <si>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</si>
  <si>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</si>
  <si>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</si>
  <si>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</si>
  <si>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</si>
  <si>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</si>
  <si>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</si>
  <si>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</si>
  <si>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</si>
  <si>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</si>
  <si>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</si>
  <si>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</si>
  <si>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</si>
  <si>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</si>
  <si>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</si>
  <si>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</si>
  <si>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</si>
  <si>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</si>
  <si>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</si>
  <si>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</si>
  <si>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</si>
  <si>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</si>
  <si>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</si>
  <si>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</si>
  <si>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</si>
  <si>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</si>
  <si>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</si>
  <si>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</si>
  <si>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</si>
  <si>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</si>
  <si>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</si>
  <si>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</si>
  <si>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</si>
  <si>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</si>
  <si>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</si>
  <si>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</si>
  <si>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</si>
  <si>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</si>
  <si>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</si>
  <si>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</si>
  <si>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</si>
  <si>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</si>
  <si>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</si>
  <si>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</si>
  <si>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</si>
  <si>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</si>
  <si>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</si>
  <si>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</si>
  <si>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</si>
  <si>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</si>
  <si>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</si>
  <si>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</si>
  <si>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</si>
  <si>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</si>
  <si>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</si>
  <si>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</si>
  <si>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</si>
  <si>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</si>
  <si>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</si>
  <si>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</si>
  <si>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</si>
  <si>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</si>
  <si>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</si>
  <si>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</si>
  <si>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</si>
  <si>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</si>
  <si>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</si>
  <si>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</si>
  <si>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</si>
  <si>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</si>
  <si>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</si>
  <si>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</si>
  <si>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</si>
  <si>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</si>
  <si>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</si>
  <si>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</si>
  <si>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</si>
  <si>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</si>
  <si>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</si>
  <si>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</si>
  <si>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</si>
  <si>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</si>
  <si>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</si>
  <si>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</si>
  <si>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</si>
  <si>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</si>
  <si>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</si>
  <si>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</si>
  <si>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</si>
  <si>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</si>
  <si>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</si>
  <si>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</si>
  <si>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</si>
  <si>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</si>
  <si>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</si>
  <si>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</si>
  <si>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</si>
  <si>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</si>
  <si>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</si>
  <si>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</si>
  <si>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</si>
  <si>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</si>
  <si>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</si>
  <si>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</si>
  <si>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</si>
  <si>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</si>
  <si>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</si>
  <si>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</si>
  <si>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</si>
  <si>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</si>
  <si>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</si>
  <si>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</si>
  <si>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</si>
  <si>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</si>
  <si>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</si>
  <si>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</si>
  <si>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</si>
  <si>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</si>
  <si>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</si>
  <si>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</si>
  <si>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</si>
  <si>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</si>
  <si>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</si>
  <si>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</si>
  <si>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</si>
  <si>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</si>
  <si>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</si>
  <si>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</si>
  <si>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</si>
  <si>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</si>
  <si>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</si>
  <si>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</si>
  <si>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</si>
  <si>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</si>
  <si>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</si>
  <si>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</si>
  <si>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</si>
  <si>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</si>
  <si>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</si>
  <si>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</si>
  <si>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</si>
  <si>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</si>
  <si>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</si>
  <si>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</si>
  <si>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</si>
  <si>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</si>
  <si>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</si>
  <si>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</si>
  <si>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</si>
  <si>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</si>
  <si>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</si>
  <si>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</si>
  <si>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</si>
  <si>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</si>
  <si>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</si>
  <si>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</si>
  <si>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</si>
  <si>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</si>
  <si>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</si>
  <si>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</si>
  <si>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</si>
  <si>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</si>
  <si>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</si>
  <si>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</si>
  <si>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</si>
  <si>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</si>
  <si>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</si>
  <si>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</si>
  <si>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</si>
  <si>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</si>
  <si>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</si>
  <si>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</si>
  <si>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</si>
  <si>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</si>
  <si>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</si>
  <si>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</si>
  <si>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</si>
  <si>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</si>
  <si>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</si>
  <si>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</si>
  <si>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</si>
  <si>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</si>
  <si>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</si>
  <si>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</si>
  <si>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</si>
  <si>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</si>
  <si>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</si>
  <si>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</si>
  <si>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</si>
  <si>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</si>
  <si>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</si>
  <si>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</si>
  <si>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</si>
  <si>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</si>
  <si>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</si>
  <si>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</si>
  <si>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</si>
  <si>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</si>
  <si>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</si>
  <si>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</si>
  <si>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</si>
  <si>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</si>
  <si>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</si>
  <si>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</si>
  <si>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</si>
  <si>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</si>
  <si>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</si>
  <si>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</si>
  <si>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</si>
  <si>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</si>
  <si>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</si>
  <si>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</si>
  <si>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</si>
  <si>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</si>
  <si>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</si>
  <si>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</si>
  <si>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</si>
  <si>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</si>
  <si>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</si>
  <si>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</si>
  <si>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</si>
  <si>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</si>
  <si>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</si>
  <si>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</si>
  <si>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</si>
  <si>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</si>
  <si>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</si>
  <si>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</si>
  <si>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</si>
  <si>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</si>
  <si>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</si>
  <si>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</si>
  <si>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</si>
  <si>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</si>
  <si>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</si>
  <si>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</si>
  <si>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</si>
  <si>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</si>
  <si>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</si>
  <si>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</si>
  <si>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</si>
  <si>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</si>
  <si>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</si>
  <si>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</si>
  <si>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</si>
  <si>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</si>
  <si>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</si>
  <si>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</si>
  <si>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</si>
  <si>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</si>
  <si>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</si>
  <si>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</si>
  <si>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</si>
  <si>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</si>
  <si>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</si>
  <si>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</si>
  <si>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</si>
  <si>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</si>
  <si>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</si>
  <si>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</si>
  <si>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</si>
  <si>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</si>
  <si>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</si>
  <si>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</si>
  <si>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</si>
  <si>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</si>
  <si>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</si>
  <si>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</si>
  <si>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</si>
  <si>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</si>
  <si>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</si>
  <si>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</si>
  <si>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</si>
  <si>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</si>
  <si>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</si>
  <si>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</si>
  <si>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</si>
  <si>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</si>
  <si>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</si>
  <si>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</si>
  <si>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</si>
  <si>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</si>
  <si>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</si>
  <si>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</si>
  <si>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</si>
  <si>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</si>
  <si>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</si>
  <si>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</si>
  <si>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</si>
  <si>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</si>
  <si>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</si>
  <si>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</si>
  <si>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</si>
  <si>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</si>
  <si>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</si>
  <si>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</si>
  <si>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</si>
  <si>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</si>
  <si>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</si>
  <si>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</si>
  <si>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</si>
  <si>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</si>
  <si>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</si>
  <si>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</si>
  <si>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</si>
  <si>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</si>
  <si>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</si>
  <si>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</si>
  <si>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</si>
  <si>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</si>
  <si>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</si>
  <si>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</si>
  <si>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</si>
  <si>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</si>
  <si>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</si>
  <si>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</si>
  <si>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</si>
  <si>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</si>
  <si>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</si>
  <si>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</si>
  <si>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</si>
  <si>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</si>
  <si>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</si>
  <si>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</si>
  <si>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</si>
  <si>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</si>
  <si>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</si>
  <si>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</si>
  <si>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</si>
  <si>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</si>
  <si>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</si>
  <si>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</si>
  <si>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</si>
  <si>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</si>
  <si>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</si>
  <si>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</si>
  <si>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</si>
  <si>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</si>
  <si>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</si>
  <si>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</si>
  <si>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</si>
  <si>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</si>
  <si>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</si>
  <si>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</si>
  <si>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</si>
  <si>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</si>
  <si>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</si>
  <si>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</si>
  <si>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</si>
  <si>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</si>
  <si>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</si>
  <si>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</si>
  <si>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</si>
  <si>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</si>
  <si>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</si>
  <si>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</si>
  <si>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</si>
  <si>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</si>
  <si>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</si>
  <si>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</si>
  <si>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</si>
  <si>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</si>
  <si>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</si>
  <si>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</si>
  <si>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</si>
  <si>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</si>
  <si>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</si>
  <si>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</si>
  <si>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</si>
  <si>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</si>
  <si>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</si>
  <si>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</si>
  <si>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</si>
  <si>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</si>
  <si>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</si>
  <si>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</si>
  <si>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</si>
  <si>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</si>
  <si>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</si>
  <si>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</si>
  <si>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</si>
  <si>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</si>
  <si>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</si>
  <si>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</si>
  <si>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</si>
  <si>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</si>
  <si>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</si>
  <si>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</si>
  <si>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</si>
  <si>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</si>
  <si>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</si>
  <si>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</si>
  <si>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</si>
  <si>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</si>
  <si>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</si>
  <si>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</si>
  <si>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</si>
  <si>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</si>
  <si>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</si>
  <si>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</si>
  <si>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</si>
  <si>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</si>
  <si>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</si>
  <si>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</si>
  <si>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</si>
  <si>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</si>
  <si>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</si>
  <si>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</si>
  <si>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</si>
  <si>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</si>
  <si>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</si>
  <si>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</si>
  <si>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</si>
  <si>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</si>
  <si>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</si>
  <si>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</si>
  <si>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</si>
  <si>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</si>
  <si>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</si>
  <si>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</si>
  <si>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</si>
  <si>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</si>
  <si>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</si>
  <si>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</si>
  <si>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</si>
  <si>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</si>
  <si>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</si>
  <si>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</si>
  <si>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</si>
  <si>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</si>
  <si>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</si>
  <si>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</si>
  <si>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</si>
  <si>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</si>
  <si>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</si>
  <si>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</si>
  <si>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</si>
  <si>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</si>
  <si>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</si>
  <si>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</si>
  <si>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</si>
  <si>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</si>
  <si>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</si>
  <si>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</si>
  <si>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</si>
  <si>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</si>
  <si>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</si>
  <si>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</si>
  <si>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</si>
  <si>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</si>
  <si>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</si>
  <si>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</si>
  <si>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</si>
  <si>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</si>
  <si>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</si>
  <si>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</si>
  <si>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</si>
  <si>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</si>
  <si>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</si>
  <si>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</si>
  <si>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</si>
  <si>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</si>
  <si>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</si>
  <si>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</si>
  <si>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</si>
  <si>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</si>
  <si>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</si>
  <si>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</si>
  <si>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</si>
  <si>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</si>
  <si>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</si>
  <si>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</si>
  <si>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</si>
  <si>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</si>
  <si>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</si>
  <si>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</si>
  <si>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</si>
  <si>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</si>
  <si>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</si>
  <si>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</si>
  <si>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</si>
  <si>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</si>
  <si>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</si>
  <si>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</si>
  <si>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</si>
  <si>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</si>
  <si>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</si>
  <si>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</si>
  <si>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</si>
  <si>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</si>
  <si>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</si>
  <si>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</si>
  <si>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</si>
  <si>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</si>
  <si>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</si>
  <si>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</si>
  <si>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</si>
  <si>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</si>
  <si>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</si>
  <si>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</si>
  <si>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</si>
  <si>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</si>
  <si>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</si>
  <si>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</si>
  <si>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</si>
  <si>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</si>
  <si>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</si>
  <si>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</si>
  <si>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</si>
  <si>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</si>
  <si>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</si>
  <si>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</si>
  <si>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</si>
  <si>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</si>
  <si>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</si>
  <si>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</si>
  <si>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</si>
  <si>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</si>
  <si>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</si>
  <si>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</si>
  <si>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</si>
  <si>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</si>
  <si>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</si>
  <si>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</si>
  <si>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</si>
  <si>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</si>
  <si>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</si>
  <si>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</si>
  <si>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</si>
  <si>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</si>
  <si>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</si>
  <si>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</si>
  <si>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</si>
  <si>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</si>
  <si>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</si>
  <si>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</si>
  <si>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</si>
  <si>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</si>
  <si>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</si>
  <si>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</si>
  <si>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</si>
  <si>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</si>
  <si>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</si>
  <si>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</si>
  <si>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</si>
  <si>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</si>
  <si>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</si>
  <si>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</si>
  <si>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</si>
  <si>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</si>
  <si>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</si>
  <si>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</si>
  <si>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</si>
  <si>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</si>
  <si>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</si>
  <si>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</si>
  <si>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</si>
  <si>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</si>
  <si>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</si>
  <si>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</si>
  <si>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</si>
  <si>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</si>
  <si>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</si>
  <si>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</si>
  <si>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</si>
  <si>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</si>
  <si>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</si>
  <si>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</si>
  <si>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</si>
  <si>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</si>
  <si>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</si>
  <si>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</si>
  <si>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</si>
  <si>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</si>
  <si>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</si>
  <si>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</si>
  <si>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</si>
  <si>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</si>
  <si>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</si>
  <si>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</si>
  <si>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</si>
  <si>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</si>
  <si>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</si>
  <si>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</si>
  <si>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</si>
  <si>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</si>
  <si>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</si>
  <si>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</si>
  <si>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</si>
  <si>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</si>
  <si>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</si>
  <si>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</si>
  <si>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</si>
  <si>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</si>
  <si>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</si>
  <si>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</si>
  <si>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</si>
  <si>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</si>
  <si>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</si>
  <si>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</si>
  <si>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</si>
  <si>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</si>
  <si>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</si>
  <si>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</si>
  <si>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</si>
  <si>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</si>
  <si>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</si>
  <si>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</si>
  <si>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</si>
  <si>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</si>
  <si>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</si>
  <si>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</si>
  <si>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</si>
  <si>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</si>
  <si>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</si>
  <si>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</si>
  <si>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</si>
  <si>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</si>
  <si>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</si>
  <si>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</si>
  <si>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</si>
  <si>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</si>
  <si>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</si>
  <si>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</si>
  <si>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</si>
  <si>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</si>
  <si>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</si>
  <si>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</si>
  <si>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</si>
  <si>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</si>
  <si>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</si>
  <si>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</si>
  <si>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</si>
  <si>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</si>
  <si>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</si>
  <si>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</si>
  <si>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</si>
  <si>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</si>
  <si>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</si>
  <si>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</si>
  <si>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</si>
  <si>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</si>
  <si>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</si>
  <si>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</si>
  <si>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</si>
  <si>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</si>
  <si>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</si>
  <si>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</si>
  <si>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</si>
  <si>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</si>
  <si>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</si>
  <si>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</si>
  <si>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</si>
  <si>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</si>
  <si>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</si>
  <si>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</si>
  <si>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</si>
  <si>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</si>
  <si>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</si>
  <si>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</si>
  <si>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</si>
  <si>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</si>
  <si>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</si>
  <si>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</si>
  <si>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</si>
  <si>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</si>
  <si>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</si>
  <si>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</si>
  <si>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</si>
  <si>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</si>
  <si>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</si>
  <si>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</si>
  <si>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</si>
  <si>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</si>
  <si>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</si>
  <si>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</si>
  <si>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</si>
  <si>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</si>
  <si>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</si>
  <si>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</si>
  <si>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</si>
  <si>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</si>
  <si>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</si>
  <si>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</si>
  <si>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</si>
  <si>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</si>
  <si>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</si>
  <si>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</si>
  <si>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</si>
  <si>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</si>
  <si>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</si>
  <si>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</si>
  <si>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</si>
  <si>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</si>
  <si>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</si>
  <si>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</si>
  <si>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</si>
  <si>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</si>
  <si>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</si>
  <si>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</si>
  <si>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</si>
  <si>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</si>
  <si>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</si>
  <si>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</si>
  <si>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</si>
  <si>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</si>
  <si>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</si>
  <si>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</si>
  <si>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</si>
  <si>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</si>
  <si>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</si>
  <si>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</si>
  <si>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</si>
  <si>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</si>
  <si>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</si>
  <si>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</si>
  <si>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</si>
  <si>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</si>
  <si>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</si>
  <si>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</si>
  <si>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</si>
  <si>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</si>
  <si>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</si>
  <si>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</si>
  <si>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</si>
  <si>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</si>
  <si>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</si>
  <si>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</si>
  <si>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</si>
  <si>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</si>
  <si>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</si>
  <si>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</si>
  <si>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</si>
  <si>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</si>
  <si>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</si>
  <si>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</si>
  <si>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</si>
  <si>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</si>
  <si>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</si>
  <si>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</si>
  <si>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</si>
  <si>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</si>
  <si>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</si>
  <si>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</si>
  <si>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</si>
  <si>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</si>
  <si>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</si>
  <si>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</si>
  <si>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</si>
  <si>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</si>
  <si>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</si>
  <si>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</si>
  <si>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</si>
  <si>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</si>
  <si>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</si>
  <si>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</si>
  <si>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</si>
  <si>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</si>
  <si>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</si>
  <si>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</si>
  <si>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</si>
  <si>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</si>
  <si>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</si>
  <si>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</si>
  <si>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</si>
  <si>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</si>
  <si>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</si>
  <si>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</si>
  <si>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</si>
  <si>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</si>
  <si>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</si>
  <si>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</si>
  <si>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</si>
  <si>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</si>
  <si>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</si>
  <si>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</si>
  <si>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</si>
  <si>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</si>
  <si>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</si>
  <si>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</si>
  <si>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</si>
  <si>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</si>
  <si>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</si>
  <si>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</si>
  <si>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</si>
  <si>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</si>
  <si>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</si>
  <si>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</si>
  <si>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</si>
  <si>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</si>
  <si>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</si>
  <si>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</si>
  <si>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</si>
  <si>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</si>
  <si>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</si>
  <si>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</si>
  <si>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</si>
  <si>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</si>
  <si>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</si>
  <si>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</si>
  <si>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</si>
  <si>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</si>
  <si>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</si>
  <si>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</si>
  <si>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</si>
  <si>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</si>
  <si>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</si>
  <si>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</si>
  <si>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</si>
  <si>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</si>
  <si>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</si>
  <si>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</si>
  <si>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</si>
  <si>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</si>
  <si>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</si>
  <si>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</si>
  <si>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</si>
  <si>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</si>
  <si>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</si>
  <si>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</si>
  <si>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</si>
  <si>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</si>
  <si>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</si>
  <si>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</si>
  <si>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</si>
  <si>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</si>
  <si>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</si>
  <si>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</si>
  <si>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</si>
  <si>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</si>
  <si>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</si>
  <si>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</si>
  <si>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</si>
  <si>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</si>
  <si>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</si>
  <si>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</si>
  <si>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</si>
  <si>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</si>
  <si>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</si>
  <si>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</si>
  <si>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</si>
  <si>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</si>
  <si>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</si>
  <si>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</si>
  <si>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</si>
  <si>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</si>
  <si>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</si>
  <si>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</si>
  <si>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</si>
  <si>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</si>
  <si>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</si>
  <si>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</si>
  <si>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</si>
  <si>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</si>
  <si>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</si>
  <si>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</si>
  <si>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</si>
  <si>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</si>
  <si>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</si>
  <si>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</si>
  <si>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</si>
  <si>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</si>
  <si>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</si>
  <si>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</si>
  <si>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</si>
  <si>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</si>
  <si>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</si>
  <si>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</si>
  <si>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</si>
  <si>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</si>
  <si>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</si>
  <si>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</si>
  <si>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</si>
  <si>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</si>
  <si>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</si>
  <si>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</si>
  <si>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</si>
  <si>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</si>
  <si>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</si>
  <si>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</si>
  <si>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</si>
  <si>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</si>
  <si>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</si>
  <si>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</si>
  <si>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</si>
  <si>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</si>
  <si>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</si>
  <si>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</si>
  <si>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</si>
  <si>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</si>
  <si>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</si>
  <si>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</si>
  <si>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</si>
  <si>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</si>
  <si>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</si>
  <si>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</si>
  <si>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</si>
  <si>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</si>
  <si>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</si>
  <si>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</si>
  <si>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</si>
  <si>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</si>
  <si>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</si>
  <si>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</si>
  <si>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</si>
  <si>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</si>
  <si>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</si>
  <si>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</si>
  <si>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</si>
  <si>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</si>
  <si>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</si>
  <si>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</si>
  <si>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</si>
  <si>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</si>
  <si>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</si>
  <si>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</si>
  <si>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</si>
  <si>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</si>
  <si>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</si>
  <si>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</si>
  <si>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</si>
  <si>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</si>
  <si>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</si>
  <si>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</si>
  <si>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</si>
  <si>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</si>
  <si>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</si>
  <si>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</si>
  <si>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</si>
  <si>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</si>
  <si>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</si>
  <si>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</si>
  <si>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</si>
  <si>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</si>
  <si>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</si>
  <si>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</si>
  <si>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</si>
  <si>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</si>
  <si>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</si>
  <si>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</si>
  <si>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</si>
  <si>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</si>
  <si>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</si>
  <si>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</si>
  <si>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</si>
  <si>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</si>
  <si>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</si>
  <si>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</si>
  <si>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</si>
  <si>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</si>
  <si>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</si>
  <si>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</si>
  <si>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</si>
  <si>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</si>
  <si>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</si>
  <si>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</si>
  <si>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</si>
  <si>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</si>
  <si>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</si>
  <si>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</si>
  <si>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</si>
  <si>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</si>
  <si>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</si>
  <si>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</si>
  <si>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</si>
  <si>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</si>
  <si>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</si>
  <si>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</si>
  <si>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</si>
  <si>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</si>
  <si>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</si>
  <si>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</si>
  <si>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</si>
  <si>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</si>
  <si>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</si>
  <si>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</si>
  <si>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</si>
  <si>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</si>
  <si>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</si>
  <si>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</si>
  <si>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</si>
  <si>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</si>
  <si>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</si>
  <si>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</si>
  <si>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</si>
  <si>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</si>
  <si>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</si>
  <si>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</si>
  <si>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</si>
  <si>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</si>
  <si>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</si>
  <si>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</si>
  <si>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</si>
  <si>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Cyanide (conplex) (8)</t>
  </si>
  <si>
    <t>Wijzigingen in versie TT 811 R79</t>
  </si>
  <si>
    <t>Nieuwe knop toegevoegd voor het exporteren van toetsingsdata t.b.v. Schipholkaarten</t>
  </si>
  <si>
    <t>Automatische berekeningen worden weer aangezet na uitvoeren van het exporteren van toetsingsdata</t>
  </si>
  <si>
    <t>Wijzigingen in versie TT 811 R80</t>
  </si>
  <si>
    <t>SIKB-code voor dimethylglycol aangepast naar 6434</t>
  </si>
  <si>
    <t>Wijzigingen in versie TT 811 R81</t>
  </si>
  <si>
    <t>Aanpassing doorgevoerd in de toetsingsformule. Er werden teveel stoffen als "geanalyseerd" gezien waardoor een foutief aantal uitzonderingen werden aangegeven</t>
  </si>
  <si>
    <t>Verwijzing naar 'Indicatieve' klasseindeling is verwijderd.</t>
  </si>
  <si>
    <t>Indeling in kwaliteitsklassen ten behoeve van hergebruik van de grond.</t>
  </si>
  <si>
    <t>Indeling in kwaliteitsklassen ten behoeve van het vaststellen van de kwaliteit van de ontvangende bodem op een toepassingslocatie.</t>
  </si>
  <si>
    <t>Voorkeurswaarde grondwater</t>
  </si>
  <si>
    <t>Kwaliteitseis voor verspreiden op landbodem</t>
  </si>
  <si>
    <t>Wijzigingen in versie TT 811 R82</t>
  </si>
  <si>
    <t>Wijzigingen in versie TT 811 R83</t>
  </si>
  <si>
    <t>Verbetering in de stabiliteit en snelheid van de functie "exporteer toetsing naar QGIS"</t>
  </si>
  <si>
    <t>Wijzigingen in versie TT 811 R84</t>
  </si>
  <si>
    <t>Knop voor QGIS-export verandert nu van kleur nadat een export is gemaakt</t>
  </si>
  <si>
    <t>Monstercodes van oude onderzoeken (o.a. T.16 / T.17 en T.18 onderzoeken) worden nu vaker correct ingeladen</t>
  </si>
  <si>
    <t>TT 811 Toetsing grond R84 21-05-2025</t>
  </si>
  <si>
    <t>n</t>
  </si>
  <si>
    <t>/imsikb0101:metaData/imsikb0101:dataflow</t>
  </si>
  <si>
    <t>/imsikb0101:metaData/imsikb0101:remarks</t>
  </si>
  <si>
    <t>/imsikb0101:metaData/imsikb0101:sender</t>
  </si>
  <si>
    <t>_0d250787-4030-4a7c-b726-9b31817eb466</t>
  </si>
  <si>
    <t>NL.IE.rtd.INFO@sgs.com</t>
  </si>
  <si>
    <t>0d250787-4030-4a7c-b726-9b31817eb466</t>
  </si>
  <si>
    <t>SGS, Rotterdam</t>
  </si>
  <si>
    <t>urn:imsikb0101:DatastroomType:id:1</t>
  </si>
  <si>
    <t>LABRESULTAAT SGS</t>
  </si>
  <si>
    <t>14.7.0</t>
  </si>
  <si>
    <t>_a13c9c27-ac45-4ff5-8e2b-08bc80806939</t>
  </si>
  <si>
    <t>a13c9c27-ac45-4ff5-8e2b-08bc80806939</t>
  </si>
  <si>
    <t>GOH 09-27, HWA onder baan</t>
  </si>
  <si>
    <t>T.25.13603</t>
  </si>
  <si>
    <t>_d05a23ee-1009-493d-911d-d09a2d17781c</t>
  </si>
  <si>
    <t>d05a23ee-1009-493d-911d-d09a2d17781c</t>
  </si>
  <si>
    <t>Niels Langeveld</t>
  </si>
  <si>
    <t>_cb134b3d-e6a0-4e98-8a0f-f566415a229b</t>
  </si>
  <si>
    <t>AG3</t>
  </si>
  <si>
    <t>MM05 04 (150-200) 05 (150-200)</t>
  </si>
  <si>
    <t>#_f2f55274-7708-48c8-9f23-34f94e9519db</t>
  </si>
  <si>
    <t>#_a13c9c27-ac45-4ff5-8e2b-08bc80806939</t>
  </si>
  <si>
    <t>cb134b3d-e6a0-4e98-8a0f-f566415a229b</t>
  </si>
  <si>
    <t>#_d05a23ee-1009-493d-911d-d09a2d17781c</t>
  </si>
  <si>
    <t>SGS status:Reported</t>
  </si>
  <si>
    <t>MM04 04 (100-150) 05 (100-150)</t>
  </si>
  <si>
    <t>#_4e495d1b-09c8-432b-8c45-258ce8733b11</t>
  </si>
  <si>
    <t>MM06 04 (200-250) 04 (250-300) 05 (200-250) 05 (250-300)</t>
  </si>
  <si>
    <t>#_64cefbfc-c86e-49fa-99bc-0eb47d1104c4</t>
  </si>
  <si>
    <t>_4e495d1b-09c8-432b-8c45-258ce8733b11</t>
  </si>
  <si>
    <t>4e495d1b-09c8-432b-8c45-258ce8733b11</t>
  </si>
  <si>
    <t>#_55f00512-94e3-4b53-8078-4b4792ba6247</t>
  </si>
  <si>
    <t>urn:immetingen:compartiment:id:1</t>
  </si>
  <si>
    <t>_TI-65023565</t>
  </si>
  <si>
    <t>#_e7dc3946-9714-41e3-80f9-51ad0cd40ebc</t>
  </si>
  <si>
    <t>#_d16e0444-c88b-47c7-90af-a115205c2e0c</t>
  </si>
  <si>
    <t>#_c72f398f-9225-4fe5-a215-22a613464617</t>
  </si>
  <si>
    <t>#_190197eb-62a7-4c1e-87b3-c64eed20d0f5</t>
  </si>
  <si>
    <t>#_149a9ddd-16d6-438d-965b-3eaf92afdc46</t>
  </si>
  <si>
    <t>#_01afd261-22b4-4b08-9ed9-32d4834fa97e</t>
  </si>
  <si>
    <t>#_5eceeaf7-1c1e-4012-89c3-45473674117f</t>
  </si>
  <si>
    <t>#_ca9c34d8-cf41-4b81-94f0-2b2d17a9ef49</t>
  </si>
  <si>
    <t>#_de4ed049-6ba8-4b39-9375-c55135b13228</t>
  </si>
  <si>
    <t>#_8228180a-a5b6-4e1d-b597-d4dafec17882</t>
  </si>
  <si>
    <t>#_2bdbfca8-8919-4d7c-beec-3b73765188c3</t>
  </si>
  <si>
    <t>#_7661c84e-1411-401e-9bea-9e51764ffe00</t>
  </si>
  <si>
    <t>#_37673803-4f0c-4c91-b263-131c7eea32d6</t>
  </si>
  <si>
    <t>#_bfee57cd-13d2-4472-8e21-748d1696befb</t>
  </si>
  <si>
    <t>#_d79fb427-5f8c-4085-b484-9c40bd0cf1f4</t>
  </si>
  <si>
    <t>#_8a7bfec0-1b24-4999-b648-1baf1fe014ca</t>
  </si>
  <si>
    <t>#_f36fd916-7354-45eb-8cbd-c29239bcae0c</t>
  </si>
  <si>
    <t>#_0c5c39f9-b754-4e87-8af2-869c34eec0cf</t>
  </si>
  <si>
    <t>#_11f4af7f-05a8-4328-82eb-f8f679e4d9bf</t>
  </si>
  <si>
    <t>#_688e56a5-c371-4791-896a-85ab120fa5f7</t>
  </si>
  <si>
    <t>#_e6498023-ff51-4f80-a38f-3d7dc79cfc48</t>
  </si>
  <si>
    <t>#_c4d597b9-b29e-4b9d-b59d-ff100c2a9da5</t>
  </si>
  <si>
    <t>#_bc325a9e-24c9-4c8a-850d-100872ebb2e1</t>
  </si>
  <si>
    <t>#_a1f0a32b-b10d-407a-a6de-61f357694ef3</t>
  </si>
  <si>
    <t>#_f3aa6875-f5bb-406c-849c-c8e3b4c6ce61</t>
  </si>
  <si>
    <t>#_0aeca438-9716-4bc6-98cd-051fcda2a043</t>
  </si>
  <si>
    <t>#_07686c71-855b-4192-8f4b-847f3c87cb24</t>
  </si>
  <si>
    <t>#_3ca4f89c-b10f-45ba-81f7-ab67095b8d96</t>
  </si>
  <si>
    <t>#_b524d4c3-2e15-4660-964a-b3045bd2313c</t>
  </si>
  <si>
    <t>#_500e8805-2516-42ad-9027-f3471bf27b65</t>
  </si>
  <si>
    <t>#_8acb7da1-4873-4fa7-b843-e53bbfc7d60f</t>
  </si>
  <si>
    <t>#_af73aee8-c200-469d-a315-7c951404b98c</t>
  </si>
  <si>
    <t>#_c0dd7985-c65d-42c1-a1fa-fe30e03c4761</t>
  </si>
  <si>
    <t>#_578dc420-1101-4baa-ab6a-bf98902b3c08</t>
  </si>
  <si>
    <t>#_58ced516-4b70-47ff-8972-5257068d3772</t>
  </si>
  <si>
    <t>#_431b5931-46e3-41b2-aea8-421004d4e773</t>
  </si>
  <si>
    <t>#_aef769a7-623f-4ec3-aac4-217c86d77b47</t>
  </si>
  <si>
    <t>#_b1ee9bed-32c5-4976-b806-605148b2e615</t>
  </si>
  <si>
    <t>#_a92fe417-f34a-4864-8a5d-b04d0c2c462a</t>
  </si>
  <si>
    <t>#_4216c467-1c5e-4c2f-acd7-7ff484ec87ef</t>
  </si>
  <si>
    <t>#_a2fd2c1d-6647-4fa1-9999-51b8d30082a8</t>
  </si>
  <si>
    <t>#_62574a8e-be16-4b4c-8e1b-5443990fb2a3</t>
  </si>
  <si>
    <t>#_f79b7f13-bfcb-494a-9520-63bfcc5fa736</t>
  </si>
  <si>
    <t>#_ad4b9e65-6c14-4fa9-a475-91816a2541a1</t>
  </si>
  <si>
    <t>#_5906e8ee-cd8e-419e-9200-7044702102da</t>
  </si>
  <si>
    <t>#_a70bf477-042d-40a6-a0ea-4e27796f4772</t>
  </si>
  <si>
    <t>#_e01b8628-48d6-4ac3-b9bc-e815c0cbdd43</t>
  </si>
  <si>
    <t>#_abfa3d5f-4d2c-42a7-9341-32358b539494</t>
  </si>
  <si>
    <t>#_be2e0c96-5ad5-4e50-a8da-0b07059a23b3</t>
  </si>
  <si>
    <t>#_50a049e6-0c4c-4551-9d3f-d04da20e7852</t>
  </si>
  <si>
    <t>#_74347084-0a52-43c2-896c-6f6254292acf</t>
  </si>
  <si>
    <t>#_18996d1c-741a-4b32-b36c-8ac4ea7530eb</t>
  </si>
  <si>
    <t>#_29551302-dccb-4050-aa49-6d2987fa1fa2</t>
  </si>
  <si>
    <t>#_2ec74f11-7339-4472-9da9-bf6d001f1962</t>
  </si>
  <si>
    <t>#_40770099-88c8-4da0-b564-f563c08f6342</t>
  </si>
  <si>
    <t>#_2a1dab39-e292-4a23-bdb0-d539550a68dd</t>
  </si>
  <si>
    <t>#_fcc3fb75-9f46-4cf9-abd3-5ceee96b5764</t>
  </si>
  <si>
    <t>#_2459a3cb-4c7d-4d41-b71b-716d19819a1d</t>
  </si>
  <si>
    <t>#_aaa669fb-6afe-4d07-be1a-50cef23d252b</t>
  </si>
  <si>
    <t>_f2f55274-7708-48c8-9f23-34f94e9519db</t>
  </si>
  <si>
    <t>f2f55274-7708-48c8-9f23-34f94e9519db</t>
  </si>
  <si>
    <t>#_ce6dc2cd-6ee7-44d2-8613-e70d54c7d312</t>
  </si>
  <si>
    <t>_TI-65023564</t>
  </si>
  <si>
    <t>#_de7b390d-6d29-4fc2-ae5d-45bc8c119c1b</t>
  </si>
  <si>
    <t>#_0323cbaf-7e57-463d-a589-b2f3f76f065f</t>
  </si>
  <si>
    <t>#_8b1913ce-8f10-4a84-89b3-2fdf32cc79aa</t>
  </si>
  <si>
    <t>#_cd4f2f6f-af97-43b8-a900-06e243f718af</t>
  </si>
  <si>
    <t>#_49fbdf4b-7d4f-4d6a-b5b9-cd9201410a78</t>
  </si>
  <si>
    <t>#_00ed5e89-e1b5-41b5-a9d1-1352c22544e7</t>
  </si>
  <si>
    <t>#_6d2ba0c1-41bf-4d3b-aa93-d81905a08550</t>
  </si>
  <si>
    <t>#_fdd61583-13f6-43bb-96f7-ce86abd7b6be</t>
  </si>
  <si>
    <t>#_9504ce1c-1f54-413e-99a9-6c967b89da0e</t>
  </si>
  <si>
    <t>#_7eece9ad-ef92-4d11-a85a-4c45ab863d15</t>
  </si>
  <si>
    <t>#_3b4c4e3b-bec9-43ce-9959-459b0e537dd9</t>
  </si>
  <si>
    <t>#_66ff6ae2-1c35-4cd3-93a8-7d44ea9a4ad3</t>
  </si>
  <si>
    <t>#_59a56961-26c4-4d14-b10c-98967fd759f6</t>
  </si>
  <si>
    <t>#_182504d9-ab1c-4795-8408-cdc6d62fa196</t>
  </si>
  <si>
    <t>#_59362024-007e-4562-aa9e-f4b60e2ee4e6</t>
  </si>
  <si>
    <t>#_f31f0918-d287-4020-bfad-7172da6385e3</t>
  </si>
  <si>
    <t>#_c21b1980-6e25-487c-8479-6260e3a2e7c8</t>
  </si>
  <si>
    <t>#_5ce8240e-7c40-44a0-a8b6-8194c2934572</t>
  </si>
  <si>
    <t>#_0af4a9bb-d3db-4b54-829b-cdfd6e7e2cb0</t>
  </si>
  <si>
    <t>#_1477bbba-4016-4797-a87a-7a2a8838812b</t>
  </si>
  <si>
    <t>#_0cb2a81d-2581-4d4d-934d-8982d55bba8a</t>
  </si>
  <si>
    <t>#_89aa348b-a066-4b4b-802c-71429ac832df</t>
  </si>
  <si>
    <t>#_c7a8c7e9-2021-4261-a093-e9594eb98839</t>
  </si>
  <si>
    <t>#_83ed301e-6add-473f-9804-6e0be0720fa8</t>
  </si>
  <si>
    <t>#_e411bc2d-c0be-4e60-955f-ca7629e4ca98</t>
  </si>
  <si>
    <t>#_db14d09c-633a-443a-b078-3fd76b8b2e20</t>
  </si>
  <si>
    <t>#_c911dc74-4552-4856-a7e6-b3fe5b1a951b</t>
  </si>
  <si>
    <t>#_94eca948-f57d-4a1a-9f91-1f7b870b21cb</t>
  </si>
  <si>
    <t>#_0731400c-fbb2-4b82-a9a0-e7066e7ef3b4</t>
  </si>
  <si>
    <t>#_e2a740c4-bcc7-4f06-bee5-74d2df442db1</t>
  </si>
  <si>
    <t>#_89d4fc7d-9715-4687-8abf-8127b9c44bf9</t>
  </si>
  <si>
    <t>#_1e356a8d-880e-4f71-ba7c-b2ae1769eb4c</t>
  </si>
  <si>
    <t>#_b99065b0-ca05-4476-9762-bf8a7f484436</t>
  </si>
  <si>
    <t>#_9bf33ea0-7dc1-4cac-809e-0e488916c9a6</t>
  </si>
  <si>
    <t>#_eda1819c-3eb2-4492-b4b8-de2a07a4caf7</t>
  </si>
  <si>
    <t>#_dc72abff-785f-447f-95a9-b4f036a7079b</t>
  </si>
  <si>
    <t>#_809c8c7c-1dd2-441a-a0c4-b0e5e962e18f</t>
  </si>
  <si>
    <t>#_e67e612e-698d-4c27-aed5-46e57f6404a2</t>
  </si>
  <si>
    <t>#_bb1046c7-0391-40b7-9454-f37a3bb162ea</t>
  </si>
  <si>
    <t>#_1644c892-1342-4cef-b31a-75f1295dcd33</t>
  </si>
  <si>
    <t>#_8f7c2bed-654b-4b7b-bf6e-db5e07d64523</t>
  </si>
  <si>
    <t>#_996174d8-b5c7-4e07-b97a-be789db1bce8</t>
  </si>
  <si>
    <t>#_0cb6fa0b-22ca-4356-9ab1-82745d943625</t>
  </si>
  <si>
    <t>#_10134bbc-f182-42d6-9e38-e38c78a866ea</t>
  </si>
  <si>
    <t>#_8e0576ba-d28e-42ff-8925-e75f0f88cf14</t>
  </si>
  <si>
    <t>#_de3272e9-86d2-48ea-8e5b-690a73b83748</t>
  </si>
  <si>
    <t>#_fdac6b24-744c-425d-94e9-5ebb600d79f9</t>
  </si>
  <si>
    <t>#_60d783d2-b186-4d27-92c1-5a6204dee375</t>
  </si>
  <si>
    <t>#_15495938-74f9-4dd4-a62e-5b8095b716e2</t>
  </si>
  <si>
    <t>#_ef2f86f9-879e-4a9c-b43d-6e4fc3cfae96</t>
  </si>
  <si>
    <t>#_368e1c9c-192e-48d9-b42c-40a51edcbc40</t>
  </si>
  <si>
    <t>#_7414c10f-39a3-44fc-b416-118db3f20264</t>
  </si>
  <si>
    <t>#_0952d15e-7792-4802-a7fc-727edf90a573</t>
  </si>
  <si>
    <t>#_bd098b04-ecb5-41c6-ba19-91e2e1f175f7</t>
  </si>
  <si>
    <t>#_d7512183-2f89-48ec-88ee-b753822b4e1b</t>
  </si>
  <si>
    <t>#_ae2a2607-d21c-4c3c-8929-f5e10cd44e82</t>
  </si>
  <si>
    <t>#_f8608ba2-06fe-4632-a705-031c8c397a90</t>
  </si>
  <si>
    <t>#_ea98ce30-b48e-40e2-a389-84dc49799fab</t>
  </si>
  <si>
    <t>#_679f615b-206f-4b50-9f52-cdf4c63d1925</t>
  </si>
  <si>
    <t>_64cefbfc-c86e-49fa-99bc-0eb47d1104c4</t>
  </si>
  <si>
    <t>64cefbfc-c86e-49fa-99bc-0eb47d1104c4</t>
  </si>
  <si>
    <t>#_a36b7307-7353-45bc-b8bb-c08d09291fd0</t>
  </si>
  <si>
    <t>_TI-65023568</t>
  </si>
  <si>
    <t>#_07cfbc49-d1f5-45bf-8f60-b6837ce0b62b</t>
  </si>
  <si>
    <t>#_227eecc9-661e-4d3d-850f-38035e2a8c5a</t>
  </si>
  <si>
    <t>#_13de67c0-fbf0-4905-9dd3-679e61a2c3aa</t>
  </si>
  <si>
    <t>#_9cffa1f4-13ad-4a0f-9254-b007ef53f496</t>
  </si>
  <si>
    <t>#_3d315a1d-a798-4d59-929c-cf9b00c20be7</t>
  </si>
  <si>
    <t>#_b005a146-88a2-4d95-9cb3-d2c37607cd4a</t>
  </si>
  <si>
    <t>#_dc16c3b0-e0b9-490d-9408-529798ac2f7f</t>
  </si>
  <si>
    <t>#_0323cb6b-9f2d-4272-9d7d-f58dfc54dc13</t>
  </si>
  <si>
    <t>#_0d80a0c6-4028-4701-a553-a02e0b033bbd</t>
  </si>
  <si>
    <t>#_c24fa7b8-f47d-46b1-8e60-97d2f53efb46</t>
  </si>
  <si>
    <t>#_9a438319-d414-4c71-bcea-ee60936b0179</t>
  </si>
  <si>
    <t>#_2ce0108d-29bc-4fec-8e1b-22b96a3eecc8</t>
  </si>
  <si>
    <t>#_6249ffc9-707a-43c2-84be-89a78a9e72cd</t>
  </si>
  <si>
    <t>#_3af1f968-88ab-43c0-87e1-cb1193260442</t>
  </si>
  <si>
    <t>#_d8f9d71a-3bd8-46f5-bdd8-5b4dfdcf9494</t>
  </si>
  <si>
    <t>#_74510712-8a40-48e9-98fe-80e73af5e978</t>
  </si>
  <si>
    <t>#_3de8fd46-6a2a-471e-b195-ba033abdb568</t>
  </si>
  <si>
    <t>#_8e5aef78-5054-473d-a0a4-3e3d5f93dc7b</t>
  </si>
  <si>
    <t>#_b26ddaa9-d846-41ea-bab3-eb453d490c8b</t>
  </si>
  <si>
    <t>#_a97506e9-6dac-45b2-9801-c88522c93d77</t>
  </si>
  <si>
    <t>#_e0592d56-7541-4f72-b2e4-b66c26dbeabb</t>
  </si>
  <si>
    <t>#_f94bf791-7d8a-432d-a64a-9322b8717320</t>
  </si>
  <si>
    <t>#_78c88873-dfa2-498d-8822-64b052496593</t>
  </si>
  <si>
    <t>#_b4571428-b0d0-4ea1-af19-f14dfe61de95</t>
  </si>
  <si>
    <t>#_f8d72cef-8b53-492a-8541-3375c81e3d56</t>
  </si>
  <si>
    <t>#_714374dc-08e3-4d53-8e1d-0e37d8862a6d</t>
  </si>
  <si>
    <t>#_285c588d-bf28-403d-837c-76ed81cf0041</t>
  </si>
  <si>
    <t>#_58f858ae-176c-4673-a7b3-611bacd39ded</t>
  </si>
  <si>
    <t>#_6c359bc4-9110-4d0e-828c-68e8285726ee</t>
  </si>
  <si>
    <t>#_68606326-6b45-4ba8-b432-c73b0d858a7f</t>
  </si>
  <si>
    <t>#_2bb9cf5f-2978-4314-a9f2-462e1ad97f04</t>
  </si>
  <si>
    <t>#_a7f87ba0-c540-408e-bbc5-a4cd1d94b849</t>
  </si>
  <si>
    <t>#_7beaa33c-03c7-45af-9527-163e2c7fb916</t>
  </si>
  <si>
    <t>#_a3d72883-95c6-46cc-ba3c-4e96c4000551</t>
  </si>
  <si>
    <t>#_ba7bcd6a-bce5-4d62-8ed3-1bec287b0f2d</t>
  </si>
  <si>
    <t>#_0bd854f3-111b-4b2e-9f41-b652f7a982e9</t>
  </si>
  <si>
    <t>#_ea123272-9723-4a10-924a-709a9b092d1a</t>
  </si>
  <si>
    <t>#_2fda2afe-0bee-4dfa-860f-0863ba243764</t>
  </si>
  <si>
    <t>#_429a6632-7628-4dfb-9afd-ccaa0a6f45ea</t>
  </si>
  <si>
    <t>#_69aec5f5-85c3-4114-9670-c3a5e0c46867</t>
  </si>
  <si>
    <t>#_92ba8ed5-efb6-4b83-9e8c-8921f8405e0b</t>
  </si>
  <si>
    <t>#_390915b2-dc6c-40d6-b0c1-35057ef66d0a</t>
  </si>
  <si>
    <t>#_89444f4c-81a1-4c8b-9f9e-5464ba476407</t>
  </si>
  <si>
    <t>#_10f764d5-7acb-43e6-a233-e479cecd8848</t>
  </si>
  <si>
    <t>#_070cc990-c8d6-4819-a4ff-c004b2b5170e</t>
  </si>
  <si>
    <t>#_02aee646-8867-4f45-9ae1-f5a39897e37a</t>
  </si>
  <si>
    <t>#_602c695d-f9e1-4d50-b1e6-ebb0f1d3e425</t>
  </si>
  <si>
    <t>#_9f246735-33b9-4e3e-ba95-23ae4d4ce206</t>
  </si>
  <si>
    <t>#_0cfe58a7-aed4-4d8c-b671-e2a8f957c257</t>
  </si>
  <si>
    <t>#_ec0d9663-c728-4f20-8fc1-4bd4d5ae1f30</t>
  </si>
  <si>
    <t>#_660f6169-e893-4ebd-889f-d890bf70a5b1</t>
  </si>
  <si>
    <t>#_99aa04e7-f6e6-4752-989d-61f9fdc57e72</t>
  </si>
  <si>
    <t>#_ba7321bf-8684-4a51-970d-dda789eb31ef</t>
  </si>
  <si>
    <t>#_50bca4ef-f6a2-49e1-8b46-cb0122ce642b</t>
  </si>
  <si>
    <t>#_52736e38-54ab-440e-853c-f9a9e2b3ad08</t>
  </si>
  <si>
    <t>#_cc986c64-d347-4d4c-90ba-4469fd6ddcab</t>
  </si>
  <si>
    <t>#_79741cc2-d30b-4982-aa8a-3b244bd4d227</t>
  </si>
  <si>
    <t>#_c99632b0-bdfd-43c0-b931-f00d41778a98</t>
  </si>
  <si>
    <t>#_564cbdbd-8997-4e42-9c83-f59689922d90</t>
  </si>
  <si>
    <t>_ce6dc2cd-6ee7-44d2-8613-e70d54c7d312</t>
  </si>
  <si>
    <t>ce6dc2cd-6ee7-44d2-8613-e70d54c7d312</t>
  </si>
  <si>
    <t>urn:immetingen:hoedanigheid:id:93</t>
  </si>
  <si>
    <t>urn:immetingen:parameter:id:1200</t>
  </si>
  <si>
    <t>&lt;20 mg/kgds</t>
  </si>
  <si>
    <t>urn:immetingen:eenheid:id:58</t>
  </si>
  <si>
    <t>_adb366b3-caf0-4784-b3fd-ac2b1988015c</t>
  </si>
  <si>
    <t>_de7b390d-6d29-4fc2-ae5d-45bc8c119c1b</t>
  </si>
  <si>
    <t>de7b390d-6d29-4fc2-ae5d-45bc8c119c1b</t>
  </si>
  <si>
    <t>urn:immetingen:parameter:id:1381</t>
  </si>
  <si>
    <t>&lt;1 µg/kgds</t>
  </si>
  <si>
    <t>_6a3f8e01-158b-44b1-866a-c9f3b292b499</t>
  </si>
  <si>
    <t>_0323cbaf-7e57-463d-a589-b2f3f76f065f</t>
  </si>
  <si>
    <t>0323cbaf-7e57-463d-a589-b2f3f76f065f</t>
  </si>
  <si>
    <t>urn:immetingen:parameter:id:1382</t>
  </si>
  <si>
    <t>_629ae551-9d8a-4c6b-88ea-8e66dfdbc385</t>
  </si>
  <si>
    <t>_8b1913ce-8f10-4a84-89b3-2fdf32cc79aa</t>
  </si>
  <si>
    <t>8b1913ce-8f10-4a84-89b3-2fdf32cc79aa</t>
  </si>
  <si>
    <t>urn:immetingen:parameter:id:1372</t>
  </si>
  <si>
    <t>_0f144f1c-5446-4175-9423-8a8f839f1964</t>
  </si>
  <si>
    <t>_cd4f2f6f-af97-43b8-a900-06e243f718af</t>
  </si>
  <si>
    <t>cd4f2f6f-af97-43b8-a900-06e243f718af</t>
  </si>
  <si>
    <t>urn:immetingen:parameter:id:1374</t>
  </si>
  <si>
    <t>_623ec8e2-bc41-40df-890e-60c2646947eb</t>
  </si>
  <si>
    <t>_49fbdf4b-7d4f-4d6a-b5b9-cd9201410a78</t>
  </si>
  <si>
    <t>49fbdf4b-7d4f-4d6a-b5b9-cd9201410a78</t>
  </si>
  <si>
    <t>urn:immetingen:parameter:id:1376</t>
  </si>
  <si>
    <t>_55dddaf2-08c3-4bd4-8ffe-bd5ce828f6d5</t>
  </si>
  <si>
    <t>_00ed5e89-e1b5-41b5-a9d1-1352c22544e7</t>
  </si>
  <si>
    <t>00ed5e89-e1b5-41b5-a9d1-1352c22544e7</t>
  </si>
  <si>
    <t>urn:immetingen:parameter:id:1377</t>
  </si>
  <si>
    <t>_b0665858-516c-47c8-8916-27154b721648</t>
  </si>
  <si>
    <t>_6d2ba0c1-41bf-4d3b-aa93-d81905a08550</t>
  </si>
  <si>
    <t>6d2ba0c1-41bf-4d3b-aa93-d81905a08550</t>
  </si>
  <si>
    <t>urn:immetingen:parameter:id:1380</t>
  </si>
  <si>
    <t>_5c9ed31d-1215-4b45-ae85-88e77c99ffcf</t>
  </si>
  <si>
    <t>_fdd61583-13f6-43bb-96f7-ce86abd7b6be</t>
  </si>
  <si>
    <t>fdd61583-13f6-43bb-96f7-ce86abd7b6be</t>
  </si>
  <si>
    <t>79.5 gew.-%</t>
  </si>
  <si>
    <t>_96440462-ba9d-4311-b7d8-65db104b6a41</t>
  </si>
  <si>
    <t>_9504ce1c-1f54-413e-99a9-6c967b89da0e</t>
  </si>
  <si>
    <t>9504ce1c-1f54-413e-99a9-6c967b89da0e</t>
  </si>
  <si>
    <t>urn:immetingen:parameter:id:1259</t>
  </si>
  <si>
    <t>&lt;0.01 mg/kgds</t>
  </si>
  <si>
    <t>_e44dd02c-0539-4ac0-a2a6-6837cf698a9e</t>
  </si>
  <si>
    <t>_7eece9ad-ef92-4d11-a85a-4c45ab863d15</t>
  </si>
  <si>
    <t>7eece9ad-ef92-4d11-a85a-4c45ab863d15</t>
  </si>
  <si>
    <t>urn:immetingen:parameter:id:746</t>
  </si>
  <si>
    <t>_4013dea3-5783-4fe2-97d5-7a348b5efb50</t>
  </si>
  <si>
    <t>_3b4c4e3b-bec9-43ce-9959-459b0e537dd9</t>
  </si>
  <si>
    <t>3b4c4e3b-bec9-43ce-9959-459b0e537dd9</t>
  </si>
  <si>
    <t>urn:immetingen:parameter:id:299</t>
  </si>
  <si>
    <t>_fe7276b0-e8a5-4d14-b56c-44319bc98711</t>
  </si>
  <si>
    <t>_66ff6ae2-1c35-4cd3-93a8-7d44ea9a4ad3</t>
  </si>
  <si>
    <t>66ff6ae2-1c35-4cd3-93a8-7d44ea9a4ad3</t>
  </si>
  <si>
    <t>urn:immetingen:parameter:id:775</t>
  </si>
  <si>
    <t>_3ceb1ec7-1dfe-46b4-956a-417592cbab50</t>
  </si>
  <si>
    <t>_59a56961-26c4-4d14-b10c-98967fd759f6</t>
  </si>
  <si>
    <t>59a56961-26c4-4d14-b10c-98967fd759f6</t>
  </si>
  <si>
    <t>urn:immetingen:parameter:id:518</t>
  </si>
  <si>
    <t>_c3cfe6dd-5477-4ff9-9f28-d8e15a1702e1</t>
  </si>
  <si>
    <t>_182504d9-ab1c-4795-8408-cdc6d62fa196</t>
  </si>
  <si>
    <t>182504d9-ab1c-4795-8408-cdc6d62fa196</t>
  </si>
  <si>
    <t>urn:immetingen:parameter:id:353</t>
  </si>
  <si>
    <t>_0dff5a36-b879-47e8-8d0d-f3160634da07</t>
  </si>
  <si>
    <t>_59362024-007e-4562-aa9e-f4b60e2ee4e6</t>
  </si>
  <si>
    <t>59362024-007e-4562-aa9e-f4b60e2ee4e6</t>
  </si>
  <si>
    <t>urn:immetingen:parameter:id:346</t>
  </si>
  <si>
    <t>_ebc56409-1a25-422b-9fef-6f69a23c048d</t>
  </si>
  <si>
    <t>_f31f0918-d287-4020-bfad-7172da6385e3</t>
  </si>
  <si>
    <t>f31f0918-d287-4020-bfad-7172da6385e3</t>
  </si>
  <si>
    <t>urn:immetingen:parameter:id:351</t>
  </si>
  <si>
    <t>_c032baee-d149-433c-aaf1-b2467d0a0178</t>
  </si>
  <si>
    <t>_c21b1980-6e25-487c-8479-6260e3a2e7c8</t>
  </si>
  <si>
    <t>c21b1980-6e25-487c-8479-6260e3a2e7c8</t>
  </si>
  <si>
    <t>urn:immetingen:parameter:id:882</t>
  </si>
  <si>
    <t>_1c2f0a1c-7c65-4b3f-94f2-b8ada44dcfc1</t>
  </si>
  <si>
    <t>_5ce8240e-7c40-44a0-a8b6-8194c2934572</t>
  </si>
  <si>
    <t>5ce8240e-7c40-44a0-a8b6-8194c2934572</t>
  </si>
  <si>
    <t>urn:immetingen:parameter:id:345</t>
  </si>
  <si>
    <t>_58138adb-2dce-485b-b158-380b06d006ff</t>
  </si>
  <si>
    <t>_0af4a9bb-d3db-4b54-829b-cdfd6e7e2cb0</t>
  </si>
  <si>
    <t>0af4a9bb-d3db-4b54-829b-cdfd6e7e2cb0</t>
  </si>
  <si>
    <t>urn:immetingen:hoedanigheid:id:2</t>
  </si>
  <si>
    <t>urn:immetingen:parameter:id:1118</t>
  </si>
  <si>
    <t>11 % vd DS</t>
  </si>
  <si>
    <t>_b9fca609-952f-4ea2-bb76-bda42c47b6f7</t>
  </si>
  <si>
    <t>_1477bbba-4016-4797-a87a-7a2a8838812b</t>
  </si>
  <si>
    <t>1477bbba-4016-4797-a87a-7a2a8838812b</t>
  </si>
  <si>
    <t>1.2 % vd DS</t>
  </si>
  <si>
    <t>_2a308ca1-2f75-4c0e-89dd-56380bd4cd73</t>
  </si>
  <si>
    <t>_0cb2a81d-2581-4d4d-934d-8982d55bba8a</t>
  </si>
  <si>
    <t>0cb2a81d-2581-4d4d-934d-8982d55bba8a</t>
  </si>
  <si>
    <t>urn:immetingen:parameter:id:1365</t>
  </si>
  <si>
    <t>4.9 µg/kgds</t>
  </si>
  <si>
    <t>_45038a55-7382-4240-a48e-c50f3b386687</t>
  </si>
  <si>
    <t>_89aa348b-a066-4b4b-802c-71429ac832df</t>
  </si>
  <si>
    <t>89aa348b-a066-4b4b-802c-71429ac832df</t>
  </si>
  <si>
    <t>urn:immetingen:parameter:id:1352</t>
  </si>
  <si>
    <t>0.07 mg/kgds</t>
  </si>
  <si>
    <t>_a6dd6275-5af9-456d-9dc3-424ce808d701</t>
  </si>
  <si>
    <t>_c7a8c7e9-2021-4261-a093-e9594eb98839</t>
  </si>
  <si>
    <t>c7a8c7e9-2021-4261-a093-e9594eb98839</t>
  </si>
  <si>
    <t>urn:immetingen:parameter:id:333</t>
  </si>
  <si>
    <t>_c35f9651-330a-4318-a3b8-3d4e44bf4da7</t>
  </si>
  <si>
    <t>_83ed301e-6add-473f-9804-6e0be0720fa8</t>
  </si>
  <si>
    <t>83ed301e-6add-473f-9804-6e0be0720fa8</t>
  </si>
  <si>
    <t>urn:immetingen:parameter:id:1693</t>
  </si>
  <si>
    <t>21 mg/kgds</t>
  </si>
  <si>
    <t>_e741f450-d379-4311-ad0f-3c9ee2cac129</t>
  </si>
  <si>
    <t>_e411bc2d-c0be-4e60-955f-ca7629e4ca98</t>
  </si>
  <si>
    <t>e411bc2d-c0be-4e60-955f-ca7629e4ca98</t>
  </si>
  <si>
    <t>urn:immetingen:parameter:id:310</t>
  </si>
  <si>
    <t>4.4 mg/kgds</t>
  </si>
  <si>
    <t>_df196e0a-f509-4af0-864b-c4741dcdf1c2</t>
  </si>
  <si>
    <t>_db14d09c-633a-443a-b078-3fd76b8b2e20</t>
  </si>
  <si>
    <t>db14d09c-633a-443a-b078-3fd76b8b2e20</t>
  </si>
  <si>
    <t>urn:immetingen:parameter:id:441</t>
  </si>
  <si>
    <t>&lt;0.2 mg/kgds</t>
  </si>
  <si>
    <t>_106fea4d-652c-46c6-a8df-e79b61b8dc99</t>
  </si>
  <si>
    <t>_c911dc74-4552-4856-a7e6-b3fe5b1a951b</t>
  </si>
  <si>
    <t>c911dc74-4552-4856-a7e6-b3fe5b1a951b</t>
  </si>
  <si>
    <t>urn:immetingen:parameter:id:527</t>
  </si>
  <si>
    <t>4.1 mg/kgds</t>
  </si>
  <si>
    <t>_13d94dc8-340b-41d2-a4a3-538a22c3513f</t>
  </si>
  <si>
    <t>_94eca948-f57d-4a1a-9f91-1f7b870b21cb</t>
  </si>
  <si>
    <t>94eca948-f57d-4a1a-9f91-1f7b870b21cb</t>
  </si>
  <si>
    <t>urn:immetingen:parameter:id:971</t>
  </si>
  <si>
    <t>&lt;5 mg/kgds</t>
  </si>
  <si>
    <t>_fc87f458-9e37-4574-8c38-18ce814a7276</t>
  </si>
  <si>
    <t>_0731400c-fbb2-4b82-a9a0-e7066e7ef3b4</t>
  </si>
  <si>
    <t>0731400c-fbb2-4b82-a9a0-e7066e7ef3b4</t>
  </si>
  <si>
    <t>urn:immetingen:parameter:id:1097</t>
  </si>
  <si>
    <t>&lt;0.05 mg/kgds</t>
  </si>
  <si>
    <t>_53c57913-7791-4458-8872-4cb22592fc7c</t>
  </si>
  <si>
    <t>_e2a740c4-bcc7-4f06-bee5-74d2df442db1</t>
  </si>
  <si>
    <t>e2a740c4-bcc7-4f06-bee5-74d2df442db1</t>
  </si>
  <si>
    <t>urn:immetingen:parameter:id:1243</t>
  </si>
  <si>
    <t>&lt;1.5 mg/kgds</t>
  </si>
  <si>
    <t>_190f9d09-1024-44c7-bd08-5e95e17da5fc</t>
  </si>
  <si>
    <t>_89d4fc7d-9715-4687-8abf-8127b9c44bf9</t>
  </si>
  <si>
    <t>89d4fc7d-9715-4687-8abf-8127b9c44bf9</t>
  </si>
  <si>
    <t>urn:immetingen:parameter:id:1267</t>
  </si>
  <si>
    <t>13 mg/kgds</t>
  </si>
  <si>
    <t>_53010179-0764-48f1-b129-21bcb03bba25</t>
  </si>
  <si>
    <t>_1e356a8d-880e-4f71-ba7c-b2ae1769eb4c</t>
  </si>
  <si>
    <t>1e356a8d-880e-4f71-ba7c-b2ae1769eb4c</t>
  </si>
  <si>
    <t>urn:immetingen:parameter:id:1116</t>
  </si>
  <si>
    <t>&lt;10 mg/kgds</t>
  </si>
  <si>
    <t>_98b4ac51-cfe6-4643-a010-eb90fe8f2150</t>
  </si>
  <si>
    <t>_b99065b0-ca05-4476-9762-bf8a7f484436</t>
  </si>
  <si>
    <t>b99065b0-ca05-4476-9762-bf8a7f484436</t>
  </si>
  <si>
    <t>_056d9bf9-3c42-4f96-8cb3-383c2c4c8426</t>
  </si>
  <si>
    <t>_9bf33ea0-7dc1-4cac-809e-0e488916c9a6</t>
  </si>
  <si>
    <t>9bf33ea0-7dc1-4cac-809e-0e488916c9a6</t>
  </si>
  <si>
    <t>_91aa7c4f-52dd-458a-a957-687d2a2121d8</t>
  </si>
  <si>
    <t>_eda1819c-3eb2-4492-b4b8-de2a07a4caf7</t>
  </si>
  <si>
    <t>eda1819c-3eb2-4492-b4b8-de2a07a4caf7</t>
  </si>
  <si>
    <t>_ebe190bf-18a6-4fe8-bf9a-699e13ea1e7e</t>
  </si>
  <si>
    <t>_dc72abff-785f-447f-95a9-b4f036a7079b</t>
  </si>
  <si>
    <t>dc72abff-785f-447f-95a9-b4f036a7079b</t>
  </si>
  <si>
    <t>_bb119942-aaa6-449f-a164-10687cff45ff</t>
  </si>
  <si>
    <t>_809c8c7c-1dd2-441a-a0c4-b0e5e962e18f</t>
  </si>
  <si>
    <t>809c8c7c-1dd2-441a-a0c4-b0e5e962e18f</t>
  </si>
  <si>
    <t>_ff243617-83d9-427b-bb25-a67f6f72a06f</t>
  </si>
  <si>
    <t>_e67e612e-698d-4c27-aed5-46e57f6404a2</t>
  </si>
  <si>
    <t>e67e612e-698d-4c27-aed5-46e57f6404a2</t>
  </si>
  <si>
    <t>urn:immetingen:parameter:id:3898</t>
  </si>
  <si>
    <t>_06c9a3d6-07e8-4908-be10-2be66f067bd9</t>
  </si>
  <si>
    <t>_bb1046c7-0391-40b7-9454-f37a3bb162ea</t>
  </si>
  <si>
    <t>bb1046c7-0391-40b7-9454-f37a3bb162ea</t>
  </si>
  <si>
    <t>_d0943890-6031-4e45-85ef-464201b44b3f</t>
  </si>
  <si>
    <t>_1644c892-1342-4cef-b31a-75f1295dcd33</t>
  </si>
  <si>
    <t>1644c892-1342-4cef-b31a-75f1295dcd33</t>
  </si>
  <si>
    <t>_e12a81bc-89e2-4a5c-931c-1e0f1e036ee8</t>
  </si>
  <si>
    <t>_8f7c2bed-654b-4b7b-bf6e-db5e07d64523</t>
  </si>
  <si>
    <t>8f7c2bed-654b-4b7b-bf6e-db5e07d64523</t>
  </si>
  <si>
    <t>_3a4161db-6b5b-4b3c-8f51-dadaf0cab858</t>
  </si>
  <si>
    <t>_996174d8-b5c7-4e07-b97a-be789db1bce8</t>
  </si>
  <si>
    <t>996174d8-b5c7-4e07-b97a-be789db1bce8</t>
  </si>
  <si>
    <t>_bf31c90a-81df-42c1-9d89-7048ee4893bc</t>
  </si>
  <si>
    <t>_0cb6fa0b-22ca-4356-9ab1-82745d943625</t>
  </si>
  <si>
    <t>0cb6fa0b-22ca-4356-9ab1-82745d943625</t>
  </si>
  <si>
    <t>_012b5d8a-e262-422b-b216-cb69ad7fa33b</t>
  </si>
  <si>
    <t>_10134bbc-f182-42d6-9e38-e38c78a866ea</t>
  </si>
  <si>
    <t>10134bbc-f182-42d6-9e38-e38c78a866ea</t>
  </si>
  <si>
    <t>_ec298a31-ad7d-4ad5-b2be-931194fb3608</t>
  </si>
  <si>
    <t>_8e0576ba-d28e-42ff-8925-e75f0f88cf14</t>
  </si>
  <si>
    <t>8e0576ba-d28e-42ff-8925-e75f0f88cf14</t>
  </si>
  <si>
    <t>_6eafc9ac-5a2f-434e-8fa8-faea1f3e4d77</t>
  </si>
  <si>
    <t>_de3272e9-86d2-48ea-8e5b-690a73b83748</t>
  </si>
  <si>
    <t>de3272e9-86d2-48ea-8e5b-690a73b83748</t>
  </si>
  <si>
    <t>_4e1696a6-6be6-4080-81b9-4da0a3ddf393</t>
  </si>
  <si>
    <t>_fdac6b24-744c-425d-94e9-5ebb600d79f9</t>
  </si>
  <si>
    <t>fdac6b24-744c-425d-94e9-5ebb600d79f9</t>
  </si>
  <si>
    <t>_b1cde6ec-f164-4f11-846d-6ee030376ff8</t>
  </si>
  <si>
    <t>_60d783d2-b186-4d27-92c1-5a6204dee375</t>
  </si>
  <si>
    <t>60d783d2-b186-4d27-92c1-5a6204dee375</t>
  </si>
  <si>
    <t>0.1 µg/kgds</t>
  </si>
  <si>
    <t>_af8cdac8-44d0-4aa2-a65a-89221e5f06c0</t>
  </si>
  <si>
    <t>_15495938-74f9-4dd4-a62e-5b8095b716e2</t>
  </si>
  <si>
    <t>15495938-74f9-4dd4-a62e-5b8095b716e2</t>
  </si>
  <si>
    <t>_3b8a020a-cbc4-45b8-8a60-86184564c371</t>
  </si>
  <si>
    <t>_ef2f86f9-879e-4a9c-b43d-6e4fc3cfae96</t>
  </si>
  <si>
    <t>ef2f86f9-879e-4a9c-b43d-6e4fc3cfae96</t>
  </si>
  <si>
    <t>_c0dcfe12-3c01-4111-8db0-c66c377899fe</t>
  </si>
  <si>
    <t>_368e1c9c-192e-48d9-b42c-40a51edcbc40</t>
  </si>
  <si>
    <t>368e1c9c-192e-48d9-b42c-40a51edcbc40</t>
  </si>
  <si>
    <t>_802f9fd6-f131-458a-a9e0-7a22539a1d8f</t>
  </si>
  <si>
    <t>_7414c10f-39a3-44fc-b416-118db3f20264</t>
  </si>
  <si>
    <t>7414c10f-39a3-44fc-b416-118db3f20264</t>
  </si>
  <si>
    <t>_d3bd1a9e-7dab-46d5-bfa7-400f2a9e2711</t>
  </si>
  <si>
    <t>_0952d15e-7792-4802-a7fc-727edf90a573</t>
  </si>
  <si>
    <t>0952d15e-7792-4802-a7fc-727edf90a573</t>
  </si>
  <si>
    <t>_a12a3212-3353-4212-b5d9-4d6332628124</t>
  </si>
  <si>
    <t>_bd098b04-ecb5-41c6-ba19-91e2e1f175f7</t>
  </si>
  <si>
    <t>bd098b04-ecb5-41c6-ba19-91e2e1f175f7</t>
  </si>
  <si>
    <t>_2bb1f7bb-3a15-4388-94bc-54047c7293e7</t>
  </si>
  <si>
    <t>_d7512183-2f89-48ec-88ee-b753822b4e1b</t>
  </si>
  <si>
    <t>d7512183-2f89-48ec-88ee-b753822b4e1b</t>
  </si>
  <si>
    <t>_c09e86b1-164e-41cc-bcfb-db856f6fc460</t>
  </si>
  <si>
    <t>_ae2a2607-d21c-4c3c-8929-f5e10cd44e82</t>
  </si>
  <si>
    <t>ae2a2607-d21c-4c3c-8929-f5e10cd44e82</t>
  </si>
  <si>
    <t>urn:immetingen:hoedanigheid:id:86</t>
  </si>
  <si>
    <t>_1d9bf51b-0807-48ca-97d8-e50127886902</t>
  </si>
  <si>
    <t>_f8608ba2-06fe-4632-a705-031c8c397a90</t>
  </si>
  <si>
    <t>f8608ba2-06fe-4632-a705-031c8c397a90</t>
  </si>
  <si>
    <t>urn:immetingen:hoedanigheid:id:99</t>
  </si>
  <si>
    <t>_5c304c63-dff5-488c-9868-9347ca34cffc</t>
  </si>
  <si>
    <t>_ea98ce30-b48e-40e2-a389-84dc49799fab</t>
  </si>
  <si>
    <t>ea98ce30-b48e-40e2-a389-84dc49799fab</t>
  </si>
  <si>
    <t>urn:immetingen:hoedanigheid:id:114</t>
  </si>
  <si>
    <t>_a8a14a97-0fc7-470c-bac9-8485900e5326</t>
  </si>
  <si>
    <t>_679f615b-206f-4b50-9f52-cdf4c63d1925</t>
  </si>
  <si>
    <t>679f615b-206f-4b50-9f52-cdf4c63d1925</t>
  </si>
  <si>
    <t>urn:immetingen:hoedanigheid:id:122</t>
  </si>
  <si>
    <t>_91525d15-6023-4b69-aaa4-2cbfd81de143</t>
  </si>
  <si>
    <t>_55f00512-94e3-4b53-8078-4b4792ba6247</t>
  </si>
  <si>
    <t>55f00512-94e3-4b53-8078-4b4792ba6247</t>
  </si>
  <si>
    <t>_bafc8f9d-5427-460e-83ae-f2359ac5eb77</t>
  </si>
  <si>
    <t>_e7dc3946-9714-41e3-80f9-51ad0cd40ebc</t>
  </si>
  <si>
    <t>e7dc3946-9714-41e3-80f9-51ad0cd40ebc</t>
  </si>
  <si>
    <t>_d00bb7ea-f007-40c8-af1c-bdba818523ba</t>
  </si>
  <si>
    <t>_d16e0444-c88b-47c7-90af-a115205c2e0c</t>
  </si>
  <si>
    <t>d16e0444-c88b-47c7-90af-a115205c2e0c</t>
  </si>
  <si>
    <t>_43a0c249-e062-453a-b6b0-3f54411c2ecd</t>
  </si>
  <si>
    <t>_c72f398f-9225-4fe5-a215-22a613464617</t>
  </si>
  <si>
    <t>c72f398f-9225-4fe5-a215-22a613464617</t>
  </si>
  <si>
    <t>_c0ad35ed-2607-485d-aff9-16e3438ad064</t>
  </si>
  <si>
    <t>_190197eb-62a7-4c1e-87b3-c64eed20d0f5</t>
  </si>
  <si>
    <t>190197eb-62a7-4c1e-87b3-c64eed20d0f5</t>
  </si>
  <si>
    <t>_4d10eb0c-9f05-4473-9dc8-f116069a6442</t>
  </si>
  <si>
    <t>_149a9ddd-16d6-438d-965b-3eaf92afdc46</t>
  </si>
  <si>
    <t>149a9ddd-16d6-438d-965b-3eaf92afdc46</t>
  </si>
  <si>
    <t>_28c3f87a-ca8f-4bf2-94f8-5e8a11a2f02f</t>
  </si>
  <si>
    <t>_01afd261-22b4-4b08-9ed9-32d4834fa97e</t>
  </si>
  <si>
    <t>01afd261-22b4-4b08-9ed9-32d4834fa97e</t>
  </si>
  <si>
    <t>_66126a7f-6b1c-4e12-b419-8c9f0ae2881d</t>
  </si>
  <si>
    <t>_5eceeaf7-1c1e-4012-89c3-45473674117f</t>
  </si>
  <si>
    <t>5eceeaf7-1c1e-4012-89c3-45473674117f</t>
  </si>
  <si>
    <t>_ea391d32-ce07-4133-9890-672adee2b05b</t>
  </si>
  <si>
    <t>_ca9c34d8-cf41-4b81-94f0-2b2d17a9ef49</t>
  </si>
  <si>
    <t>ca9c34d8-cf41-4b81-94f0-2b2d17a9ef49</t>
  </si>
  <si>
    <t>78.5 gew.-%</t>
  </si>
  <si>
    <t>_bf907127-fd1f-43b3-acf0-61a8e6c4898d</t>
  </si>
  <si>
    <t>_de4ed049-6ba8-4b39-9375-c55135b13228</t>
  </si>
  <si>
    <t>de4ed049-6ba8-4b39-9375-c55135b13228</t>
  </si>
  <si>
    <t>_7893984e-6221-4885-99d9-f93d3a7fcf14</t>
  </si>
  <si>
    <t>_8228180a-a5b6-4e1d-b597-d4dafec17882</t>
  </si>
  <si>
    <t>8228180a-a5b6-4e1d-b597-d4dafec17882</t>
  </si>
  <si>
    <t>_b3a5782a-8e3e-4723-a22c-32e3ec2e8d52</t>
  </si>
  <si>
    <t>_2bdbfca8-8919-4d7c-beec-3b73765188c3</t>
  </si>
  <si>
    <t>2bdbfca8-8919-4d7c-beec-3b73765188c3</t>
  </si>
  <si>
    <t>_f2eb0db8-1860-4ed2-acd5-59c496aebcef</t>
  </si>
  <si>
    <t>_7661c84e-1411-401e-9bea-9e51764ffe00</t>
  </si>
  <si>
    <t>7661c84e-1411-401e-9bea-9e51764ffe00</t>
  </si>
  <si>
    <t>_1361f5b8-7efa-47ea-a5d1-3c2ffe9fe275</t>
  </si>
  <si>
    <t>_37673803-4f0c-4c91-b263-131c7eea32d6</t>
  </si>
  <si>
    <t>37673803-4f0c-4c91-b263-131c7eea32d6</t>
  </si>
  <si>
    <t>_27e5dcbd-97e7-4e28-84d1-96a35a43bab2</t>
  </si>
  <si>
    <t>_bfee57cd-13d2-4472-8e21-748d1696befb</t>
  </si>
  <si>
    <t>bfee57cd-13d2-4472-8e21-748d1696befb</t>
  </si>
  <si>
    <t>_3cd454eb-8829-4e58-aca4-a7c6b167a1b2</t>
  </si>
  <si>
    <t>_d79fb427-5f8c-4085-b484-9c40bd0cf1f4</t>
  </si>
  <si>
    <t>d79fb427-5f8c-4085-b484-9c40bd0cf1f4</t>
  </si>
  <si>
    <t>_a31cb65e-2af5-4fad-938e-ad1d27c63da2</t>
  </si>
  <si>
    <t>_8a7bfec0-1b24-4999-b648-1baf1fe014ca</t>
  </si>
  <si>
    <t>8a7bfec0-1b24-4999-b648-1baf1fe014ca</t>
  </si>
  <si>
    <t>_e4bf8f87-3507-4e7b-b5e4-d1eefbd9f2f4</t>
  </si>
  <si>
    <t>_f36fd916-7354-45eb-8cbd-c29239bcae0c</t>
  </si>
  <si>
    <t>f36fd916-7354-45eb-8cbd-c29239bcae0c</t>
  </si>
  <si>
    <t>_260ee086-fc39-45e8-b291-4832b20741a7</t>
  </si>
  <si>
    <t>_0c5c39f9-b754-4e87-8af2-869c34eec0cf</t>
  </si>
  <si>
    <t>0c5c39f9-b754-4e87-8af2-869c34eec0cf</t>
  </si>
  <si>
    <t>_9c0d1961-fb37-4aff-867b-fec544240127</t>
  </si>
  <si>
    <t>_11f4af7f-05a8-4328-82eb-f8f679e4d9bf</t>
  </si>
  <si>
    <t>11f4af7f-05a8-4328-82eb-f8f679e4d9bf</t>
  </si>
  <si>
    <t>_b0310d8d-c9b7-4e7d-89c2-bb51ed0627d7</t>
  </si>
  <si>
    <t>_688e56a5-c371-4791-896a-85ab120fa5f7</t>
  </si>
  <si>
    <t>688e56a5-c371-4791-896a-85ab120fa5f7</t>
  </si>
  <si>
    <t>0.2 % vd DS</t>
  </si>
  <si>
    <t>_434d44cb-2e06-4fdc-a6e4-42171b6500f3</t>
  </si>
  <si>
    <t>_e6498023-ff51-4f80-a38f-3d7dc79cfc48</t>
  </si>
  <si>
    <t>e6498023-ff51-4f80-a38f-3d7dc79cfc48</t>
  </si>
  <si>
    <t>_7ed009a8-0824-4971-b61a-97d6616e6168</t>
  </si>
  <si>
    <t>_c4d597b9-b29e-4b9d-b59d-ff100c2a9da5</t>
  </si>
  <si>
    <t>c4d597b9-b29e-4b9d-b59d-ff100c2a9da5</t>
  </si>
  <si>
    <t>_d6b284eb-614f-48e9-8bca-3667a50476eb</t>
  </si>
  <si>
    <t>_bc325a9e-24c9-4c8a-850d-100872ebb2e1</t>
  </si>
  <si>
    <t>bc325a9e-24c9-4c8a-850d-100872ebb2e1</t>
  </si>
  <si>
    <t>_d0ec2679-f586-4fcd-8fd3-c1b7fb062a73</t>
  </si>
  <si>
    <t>_a1f0a32b-b10d-407a-a6de-61f357694ef3</t>
  </si>
  <si>
    <t>a1f0a32b-b10d-407a-a6de-61f357694ef3</t>
  </si>
  <si>
    <t>_b9a6ba2c-0b63-43fe-99a3-0af98d3b04db</t>
  </si>
  <si>
    <t>_f3aa6875-f5bb-406c-849c-c8e3b4c6ce61</t>
  </si>
  <si>
    <t>f3aa6875-f5bb-406c-849c-c8e3b4c6ce61</t>
  </si>
  <si>
    <t>&lt;4 mg/kgds</t>
  </si>
  <si>
    <t>_ad38ea81-6492-4de2-814b-f6aa6589807b</t>
  </si>
  <si>
    <t>_0aeca438-9716-4bc6-98cd-051fcda2a043</t>
  </si>
  <si>
    <t>0aeca438-9716-4bc6-98cd-051fcda2a043</t>
  </si>
  <si>
    <t>_4e805d36-10f0-44af-a3d6-5eb84585cb8f</t>
  </si>
  <si>
    <t>_07686c71-855b-4192-8f4b-847f3c87cb24</t>
  </si>
  <si>
    <t>07686c71-855b-4192-8f4b-847f3c87cb24</t>
  </si>
  <si>
    <t>&lt;3 mg/kgds</t>
  </si>
  <si>
    <t>_ad6264a3-2b99-4815-9627-32950a1bcec0</t>
  </si>
  <si>
    <t>_3ca4f89c-b10f-45ba-81f7-ab67095b8d96</t>
  </si>
  <si>
    <t>3ca4f89c-b10f-45ba-81f7-ab67095b8d96</t>
  </si>
  <si>
    <t>_1c3ced56-3724-4d2b-ba80-87ebbca4d026</t>
  </si>
  <si>
    <t>_b524d4c3-2e15-4660-964a-b3045bd2313c</t>
  </si>
  <si>
    <t>b524d4c3-2e15-4660-964a-b3045bd2313c</t>
  </si>
  <si>
    <t>_267c7a62-3509-4784-90d4-99ba0bd8e14c</t>
  </si>
  <si>
    <t>_500e8805-2516-42ad-9027-f3471bf27b65</t>
  </si>
  <si>
    <t>500e8805-2516-42ad-9027-f3471bf27b65</t>
  </si>
  <si>
    <t>_55d06788-f48f-4b45-9195-6efbb710d6f8</t>
  </si>
  <si>
    <t>_8acb7da1-4873-4fa7-b843-e53bbfc7d60f</t>
  </si>
  <si>
    <t>8acb7da1-4873-4fa7-b843-e53bbfc7d60f</t>
  </si>
  <si>
    <t>8.0 mg/kgds</t>
  </si>
  <si>
    <t>_8f716e72-105e-4448-b554-443e4223e97f</t>
  </si>
  <si>
    <t>_af73aee8-c200-469d-a315-7c951404b98c</t>
  </si>
  <si>
    <t>af73aee8-c200-469d-a315-7c951404b98c</t>
  </si>
  <si>
    <t>_67016f20-bb9d-4e98-b01c-6f1789b8f4d3</t>
  </si>
  <si>
    <t>_c0dd7985-c65d-42c1-a1fa-fe30e03c4761</t>
  </si>
  <si>
    <t>c0dd7985-c65d-42c1-a1fa-fe30e03c4761</t>
  </si>
  <si>
    <t>_7eb4b388-8d4c-4191-bb6c-25201380f29e</t>
  </si>
  <si>
    <t>_578dc420-1101-4baa-ab6a-bf98902b3c08</t>
  </si>
  <si>
    <t>578dc420-1101-4baa-ab6a-bf98902b3c08</t>
  </si>
  <si>
    <t>_7c9e262d-c5cf-4726-a099-309d88f03dff</t>
  </si>
  <si>
    <t>_58ced516-4b70-47ff-8972-5257068d3772</t>
  </si>
  <si>
    <t>58ced516-4b70-47ff-8972-5257068d3772</t>
  </si>
  <si>
    <t>_6aaad20a-e56e-4a05-a869-50119ed51ae5</t>
  </si>
  <si>
    <t>_431b5931-46e3-41b2-aea8-421004d4e773</t>
  </si>
  <si>
    <t>431b5931-46e3-41b2-aea8-421004d4e773</t>
  </si>
  <si>
    <t>_b7648703-1995-4839-910f-d6298e750a2a</t>
  </si>
  <si>
    <t>_aef769a7-623f-4ec3-aac4-217c86d77b47</t>
  </si>
  <si>
    <t>aef769a7-623f-4ec3-aac4-217c86d77b47</t>
  </si>
  <si>
    <t>_8ea84527-c9c1-4228-8ce8-a972f290e073</t>
  </si>
  <si>
    <t>_b1ee9bed-32c5-4976-b806-605148b2e615</t>
  </si>
  <si>
    <t>b1ee9bed-32c5-4976-b806-605148b2e615</t>
  </si>
  <si>
    <t>_45d3cc35-bdbf-459c-9ea0-a39748d962d2</t>
  </si>
  <si>
    <t>_a92fe417-f34a-4864-8a5d-b04d0c2c462a</t>
  </si>
  <si>
    <t>a92fe417-f34a-4864-8a5d-b04d0c2c462a</t>
  </si>
  <si>
    <t>_4bb80b2e-5aea-47b1-89e4-5f4f9b21eb18</t>
  </si>
  <si>
    <t>_4216c467-1c5e-4c2f-acd7-7ff484ec87ef</t>
  </si>
  <si>
    <t>4216c467-1c5e-4c2f-acd7-7ff484ec87ef</t>
  </si>
  <si>
    <t>_b61c866b-d58f-41f3-a920-9e62f3be3e42</t>
  </si>
  <si>
    <t>_a2fd2c1d-6647-4fa1-9999-51b8d30082a8</t>
  </si>
  <si>
    <t>a2fd2c1d-6647-4fa1-9999-51b8d30082a8</t>
  </si>
  <si>
    <t>_461b3425-5c2a-401b-a800-f7d68210f960</t>
  </si>
  <si>
    <t>_62574a8e-be16-4b4c-8e1b-5443990fb2a3</t>
  </si>
  <si>
    <t>62574a8e-be16-4b4c-8e1b-5443990fb2a3</t>
  </si>
  <si>
    <t>_6be6f79e-23b0-4e48-9a61-554b6e1a6ece</t>
  </si>
  <si>
    <t>_f79b7f13-bfcb-494a-9520-63bfcc5fa736</t>
  </si>
  <si>
    <t>f79b7f13-bfcb-494a-9520-63bfcc5fa736</t>
  </si>
  <si>
    <t>_4f11a07a-a875-48bd-b589-58a675849bd2</t>
  </si>
  <si>
    <t>_ad4b9e65-6c14-4fa9-a475-91816a2541a1</t>
  </si>
  <si>
    <t>ad4b9e65-6c14-4fa9-a475-91816a2541a1</t>
  </si>
  <si>
    <t>_0ad7db4f-a7bf-4de0-9aed-2edc047c572d</t>
  </si>
  <si>
    <t>_5906e8ee-cd8e-419e-9200-7044702102da</t>
  </si>
  <si>
    <t>5906e8ee-cd8e-419e-9200-7044702102da</t>
  </si>
  <si>
    <t>_4f864fb4-d0f0-4f31-b419-2e219f7ff6a8</t>
  </si>
  <si>
    <t>_a70bf477-042d-40a6-a0ea-4e27796f4772</t>
  </si>
  <si>
    <t>a70bf477-042d-40a6-a0ea-4e27796f4772</t>
  </si>
  <si>
    <t>_31ce2575-e032-460b-8380-40f3f9a6e384</t>
  </si>
  <si>
    <t>_e01b8628-48d6-4ac3-b9bc-e815c0cbdd43</t>
  </si>
  <si>
    <t>e01b8628-48d6-4ac3-b9bc-e815c0cbdd43</t>
  </si>
  <si>
    <t>_d014de54-6e4c-442f-906c-ebfbe51f6f15</t>
  </si>
  <si>
    <t>_abfa3d5f-4d2c-42a7-9341-32358b539494</t>
  </si>
  <si>
    <t>abfa3d5f-4d2c-42a7-9341-32358b539494</t>
  </si>
  <si>
    <t>_7a692ae2-5edf-422d-8d24-515d69b96f90</t>
  </si>
  <si>
    <t>_be2e0c96-5ad5-4e50-a8da-0b07059a23b3</t>
  </si>
  <si>
    <t>be2e0c96-5ad5-4e50-a8da-0b07059a23b3</t>
  </si>
  <si>
    <t>_383355fb-306b-46ed-a867-199c7dadb9cc</t>
  </si>
  <si>
    <t>_50a049e6-0c4c-4551-9d3f-d04da20e7852</t>
  </si>
  <si>
    <t>50a049e6-0c4c-4551-9d3f-d04da20e7852</t>
  </si>
  <si>
    <t>_6dcb0f87-f9ac-4686-b508-81ca2a50d1c4</t>
  </si>
  <si>
    <t>_74347084-0a52-43c2-896c-6f6254292acf</t>
  </si>
  <si>
    <t>74347084-0a52-43c2-896c-6f6254292acf</t>
  </si>
  <si>
    <t>_8250b3b0-277b-4814-9ca3-aacc659d0816</t>
  </si>
  <si>
    <t>_18996d1c-741a-4b32-b36c-8ac4ea7530eb</t>
  </si>
  <si>
    <t>18996d1c-741a-4b32-b36c-8ac4ea7530eb</t>
  </si>
  <si>
    <t>_256dfe8d-c8d0-4e6a-af68-738bdc182276</t>
  </si>
  <si>
    <t>_29551302-dccb-4050-aa49-6d2987fa1fa2</t>
  </si>
  <si>
    <t>29551302-dccb-4050-aa49-6d2987fa1fa2</t>
  </si>
  <si>
    <t>_d2b4caf7-c36a-4a58-8cb7-71790e04df52</t>
  </si>
  <si>
    <t>_2ec74f11-7339-4472-9da9-bf6d001f1962</t>
  </si>
  <si>
    <t>2ec74f11-7339-4472-9da9-bf6d001f1962</t>
  </si>
  <si>
    <t>_7466c7fa-30e5-4cd5-b3e8-cbd0683d0404</t>
  </si>
  <si>
    <t>_40770099-88c8-4da0-b564-f563c08f6342</t>
  </si>
  <si>
    <t>40770099-88c8-4da0-b564-f563c08f6342</t>
  </si>
  <si>
    <t>_e941de2b-db37-4370-8bab-8bbe9de79aee</t>
  </si>
  <si>
    <t>_2a1dab39-e292-4a23-bdb0-d539550a68dd</t>
  </si>
  <si>
    <t>2a1dab39-e292-4a23-bdb0-d539550a68dd</t>
  </si>
  <si>
    <t>_6b50bce0-e1ac-47bc-9d83-e8dc7cc832e6</t>
  </si>
  <si>
    <t>_fcc3fb75-9f46-4cf9-abd3-5ceee96b5764</t>
  </si>
  <si>
    <t>fcc3fb75-9f46-4cf9-abd3-5ceee96b5764</t>
  </si>
  <si>
    <t>_ed4844bf-1cc7-489a-abb9-ebb31a7827b7</t>
  </si>
  <si>
    <t>_2459a3cb-4c7d-4d41-b71b-716d19819a1d</t>
  </si>
  <si>
    <t>2459a3cb-4c7d-4d41-b71b-716d19819a1d</t>
  </si>
  <si>
    <t>_93987b1b-b801-43d6-bced-fa2ecd258d24</t>
  </si>
  <si>
    <t>_aaa669fb-6afe-4d07-be1a-50cef23d252b</t>
  </si>
  <si>
    <t>aaa669fb-6afe-4d07-be1a-50cef23d252b</t>
  </si>
  <si>
    <t>_fd75d3f6-8fbb-4150-9bf2-adbb90f7cfcb</t>
  </si>
  <si>
    <t>_a36b7307-7353-45bc-b8bb-c08d09291fd0</t>
  </si>
  <si>
    <t>a36b7307-7353-45bc-b8bb-c08d09291fd0</t>
  </si>
  <si>
    <t>_b51cb5c2-75be-4f43-ada2-143126ebdec5</t>
  </si>
  <si>
    <t>_07cfbc49-d1f5-45bf-8f60-b6837ce0b62b</t>
  </si>
  <si>
    <t>07cfbc49-d1f5-45bf-8f60-b6837ce0b62b</t>
  </si>
  <si>
    <t>_a04559c3-4ef1-43b0-8a13-7ed5e2502b73</t>
  </si>
  <si>
    <t>_227eecc9-661e-4d3d-850f-38035e2a8c5a</t>
  </si>
  <si>
    <t>227eecc9-661e-4d3d-850f-38035e2a8c5a</t>
  </si>
  <si>
    <t>_e5b7c92c-3da2-41ad-9902-cd521941f101</t>
  </si>
  <si>
    <t>_13de67c0-fbf0-4905-9dd3-679e61a2c3aa</t>
  </si>
  <si>
    <t>13de67c0-fbf0-4905-9dd3-679e61a2c3aa</t>
  </si>
  <si>
    <t>_be811def-4b2c-4870-8e97-1419bf79e3aa</t>
  </si>
  <si>
    <t>_9cffa1f4-13ad-4a0f-9254-b007ef53f496</t>
  </si>
  <si>
    <t>9cffa1f4-13ad-4a0f-9254-b007ef53f496</t>
  </si>
  <si>
    <t>_4412a52a-8ae6-4028-a0b9-2b79b8d8080a</t>
  </si>
  <si>
    <t>_3d315a1d-a798-4d59-929c-cf9b00c20be7</t>
  </si>
  <si>
    <t>3d315a1d-a798-4d59-929c-cf9b00c20be7</t>
  </si>
  <si>
    <t>_8d1dd591-f093-46c7-8566-8be13b18d506</t>
  </si>
  <si>
    <t>_b005a146-88a2-4d95-9cb3-d2c37607cd4a</t>
  </si>
  <si>
    <t>b005a146-88a2-4d95-9cb3-d2c37607cd4a</t>
  </si>
  <si>
    <t>_28cb414e-77f0-45d3-9f37-da43b52d2df8</t>
  </si>
  <si>
    <t>_dc16c3b0-e0b9-490d-9408-529798ac2f7f</t>
  </si>
  <si>
    <t>dc16c3b0-e0b9-490d-9408-529798ac2f7f</t>
  </si>
  <si>
    <t>_9a36c029-69bc-4643-b146-054611315200</t>
  </si>
  <si>
    <t>_0323cb6b-9f2d-4272-9d7d-f58dfc54dc13</t>
  </si>
  <si>
    <t>0323cb6b-9f2d-4272-9d7d-f58dfc54dc13</t>
  </si>
  <si>
    <t>76.9 gew.-%</t>
  </si>
  <si>
    <t>_41496cbc-e7fb-43b6-b493-80929350fbb5</t>
  </si>
  <si>
    <t>_0d80a0c6-4028-4701-a553-a02e0b033bbd</t>
  </si>
  <si>
    <t>0d80a0c6-4028-4701-a553-a02e0b033bbd</t>
  </si>
  <si>
    <t>_2f4b4522-f4aa-4f1d-943d-c32b7741a262</t>
  </si>
  <si>
    <t>_c24fa7b8-f47d-46b1-8e60-97d2f53efb46</t>
  </si>
  <si>
    <t>c24fa7b8-f47d-46b1-8e60-97d2f53efb46</t>
  </si>
  <si>
    <t>_cd4b3203-38a2-4ab2-bb05-b30e6f700634</t>
  </si>
  <si>
    <t>_9a438319-d414-4c71-bcea-ee60936b0179</t>
  </si>
  <si>
    <t>9a438319-d414-4c71-bcea-ee60936b0179</t>
  </si>
  <si>
    <t>_781d5d3e-3352-4a45-ba62-4e885424cd5b</t>
  </si>
  <si>
    <t>_2ce0108d-29bc-4fec-8e1b-22b96a3eecc8</t>
  </si>
  <si>
    <t>2ce0108d-29bc-4fec-8e1b-22b96a3eecc8</t>
  </si>
  <si>
    <t>_0b1e3c6d-97e2-455e-b8af-d55c9a0d2167</t>
  </si>
  <si>
    <t>_6249ffc9-707a-43c2-84be-89a78a9e72cd</t>
  </si>
  <si>
    <t>6249ffc9-707a-43c2-84be-89a78a9e72cd</t>
  </si>
  <si>
    <t>_b7fd4f5d-8df7-4e9a-b6a1-3a1475e9d390</t>
  </si>
  <si>
    <t>_3af1f968-88ab-43c0-87e1-cb1193260442</t>
  </si>
  <si>
    <t>3af1f968-88ab-43c0-87e1-cb1193260442</t>
  </si>
  <si>
    <t>_2425b0fe-41e5-4721-b0a8-db85222a607c</t>
  </si>
  <si>
    <t>_d8f9d71a-3bd8-46f5-bdd8-5b4dfdcf9494</t>
  </si>
  <si>
    <t>d8f9d71a-3bd8-46f5-bdd8-5b4dfdcf9494</t>
  </si>
  <si>
    <t>_85778f3b-0d2d-441d-9fac-2133d1a987db</t>
  </si>
  <si>
    <t>_74510712-8a40-48e9-98fe-80e73af5e978</t>
  </si>
  <si>
    <t>74510712-8a40-48e9-98fe-80e73af5e978</t>
  </si>
  <si>
    <t>_d041d9ac-ef11-4771-9a38-fd69091cc33f</t>
  </si>
  <si>
    <t>_3de8fd46-6a2a-471e-b195-ba033abdb568</t>
  </si>
  <si>
    <t>3de8fd46-6a2a-471e-b195-ba033abdb568</t>
  </si>
  <si>
    <t>_266783b7-83dd-49d8-8bff-250162ce49d9</t>
  </si>
  <si>
    <t>_8e5aef78-5054-473d-a0a4-3e3d5f93dc7b</t>
  </si>
  <si>
    <t>8e5aef78-5054-473d-a0a4-3e3d5f93dc7b</t>
  </si>
  <si>
    <t>_8041649b-d804-44f3-8504-a8b628a6f1a7</t>
  </si>
  <si>
    <t>_b26ddaa9-d846-41ea-bab3-eb453d490c8b</t>
  </si>
  <si>
    <t>b26ddaa9-d846-41ea-bab3-eb453d490c8b</t>
  </si>
  <si>
    <t>5.8 % vd DS</t>
  </si>
  <si>
    <t>_8786158e-2bc7-432c-a64d-51ddcd377d95</t>
  </si>
  <si>
    <t>_a97506e9-6dac-45b2-9801-c88522c93d77</t>
  </si>
  <si>
    <t>a97506e9-6dac-45b2-9801-c88522c93d77</t>
  </si>
  <si>
    <t>1.4 % vd DS</t>
  </si>
  <si>
    <t>_d246673f-fa8f-48e8-85a1-52d34de5d42c</t>
  </si>
  <si>
    <t>_e0592d56-7541-4f72-b2e4-b66c26dbeabb</t>
  </si>
  <si>
    <t>e0592d56-7541-4f72-b2e4-b66c26dbeabb</t>
  </si>
  <si>
    <t>_e96b36cb-8eb4-45b1-84cf-dd332f19aca2</t>
  </si>
  <si>
    <t>_f94bf791-7d8a-432d-a64a-9322b8717320</t>
  </si>
  <si>
    <t>f94bf791-7d8a-432d-a64a-9322b8717320</t>
  </si>
  <si>
    <t>_89ba6600-7391-44f4-ae74-798008fbb988</t>
  </si>
  <si>
    <t>_78c88873-dfa2-498d-8822-64b052496593</t>
  </si>
  <si>
    <t>78c88873-dfa2-498d-8822-64b052496593</t>
  </si>
  <si>
    <t>_77517b3e-ea4a-4a20-897b-652be2f9ad22</t>
  </si>
  <si>
    <t>_b4571428-b0d0-4ea1-af19-f14dfe61de95</t>
  </si>
  <si>
    <t>b4571428-b0d0-4ea1-af19-f14dfe61de95</t>
  </si>
  <si>
    <t>20 mg/kgds</t>
  </si>
  <si>
    <t>_76340d15-51db-466a-b771-f8398ec3ee86</t>
  </si>
  <si>
    <t>_f8d72cef-8b53-492a-8541-3375c81e3d56</t>
  </si>
  <si>
    <t>f8d72cef-8b53-492a-8541-3375c81e3d56</t>
  </si>
  <si>
    <t>5.0 mg/kgds</t>
  </si>
  <si>
    <t>_dab7c9f9-dcf1-4bba-8ed4-071e52d5b653</t>
  </si>
  <si>
    <t>_714374dc-08e3-4d53-8e1d-0e37d8862a6d</t>
  </si>
  <si>
    <t>714374dc-08e3-4d53-8e1d-0e37d8862a6d</t>
  </si>
  <si>
    <t>_866d14d8-b6ac-4e6a-8882-00d974df5589</t>
  </si>
  <si>
    <t>_285c588d-bf28-403d-837c-76ed81cf0041</t>
  </si>
  <si>
    <t>285c588d-bf28-403d-837c-76ed81cf0041</t>
  </si>
  <si>
    <t>3.4 mg/kgds</t>
  </si>
  <si>
    <t>_2e7df1ec-6239-449c-a1f2-816e38fd8b6c</t>
  </si>
  <si>
    <t>_58f858ae-176c-4673-a7b3-611bacd39ded</t>
  </si>
  <si>
    <t>58f858ae-176c-4673-a7b3-611bacd39ded</t>
  </si>
  <si>
    <t>_b298425d-9caa-4dab-9c19-21234391fd59</t>
  </si>
  <si>
    <t>_6c359bc4-9110-4d0e-828c-68e8285726ee</t>
  </si>
  <si>
    <t>6c359bc4-9110-4d0e-828c-68e8285726ee</t>
  </si>
  <si>
    <t>_e4617691-4a6d-4d53-8a69-fcc8376a87a1</t>
  </si>
  <si>
    <t>_68606326-6b45-4ba8-b432-c73b0d858a7f</t>
  </si>
  <si>
    <t>68606326-6b45-4ba8-b432-c73b0d858a7f</t>
  </si>
  <si>
    <t>_3af625ca-1ad1-4b59-8886-0b951d82ed33</t>
  </si>
  <si>
    <t>_2bb9cf5f-2978-4314-a9f2-462e1ad97f04</t>
  </si>
  <si>
    <t>2bb9cf5f-2978-4314-a9f2-462e1ad97f04</t>
  </si>
  <si>
    <t>10 mg/kgds</t>
  </si>
  <si>
    <t>_817d22f1-caaf-461d-90b9-bac389245732</t>
  </si>
  <si>
    <t>_a7f87ba0-c540-408e-bbc5-a4cd1d94b849</t>
  </si>
  <si>
    <t>a7f87ba0-c540-408e-bbc5-a4cd1d94b849</t>
  </si>
  <si>
    <t>_66ceb9d0-9050-4423-91e9-9d882555fd0b</t>
  </si>
  <si>
    <t>_7beaa33c-03c7-45af-9527-163e2c7fb916</t>
  </si>
  <si>
    <t>7beaa33c-03c7-45af-9527-163e2c7fb916</t>
  </si>
  <si>
    <t>_47e037a3-674b-4a88-9c38-5e1d50002031</t>
  </si>
  <si>
    <t>_a3d72883-95c6-46cc-ba3c-4e96c4000551</t>
  </si>
  <si>
    <t>a3d72883-95c6-46cc-ba3c-4e96c4000551</t>
  </si>
  <si>
    <t>_b6a94397-3157-452d-859b-3a070376ed4c</t>
  </si>
  <si>
    <t>_ba7bcd6a-bce5-4d62-8ed3-1bec287b0f2d</t>
  </si>
  <si>
    <t>ba7bcd6a-bce5-4d62-8ed3-1bec287b0f2d</t>
  </si>
  <si>
    <t>_d41e0e71-d678-4e68-b454-b0fe5a5317aa</t>
  </si>
  <si>
    <t>_0bd854f3-111b-4b2e-9f41-b652f7a982e9</t>
  </si>
  <si>
    <t>0bd854f3-111b-4b2e-9f41-b652f7a982e9</t>
  </si>
  <si>
    <t>_e2ac4058-f434-479a-a149-d136a9f2a839</t>
  </si>
  <si>
    <t>_ea123272-9723-4a10-924a-709a9b092d1a</t>
  </si>
  <si>
    <t>ea123272-9723-4a10-924a-709a9b092d1a</t>
  </si>
  <si>
    <t>_5b4e918f-1f53-41c8-80d4-c41a778fa681</t>
  </si>
  <si>
    <t>_2fda2afe-0bee-4dfa-860f-0863ba243764</t>
  </si>
  <si>
    <t>2fda2afe-0bee-4dfa-860f-0863ba243764</t>
  </si>
  <si>
    <t>_012b902a-02c3-4c70-8549-a1bcc7ca4a56</t>
  </si>
  <si>
    <t>_429a6632-7628-4dfb-9afd-ccaa0a6f45ea</t>
  </si>
  <si>
    <t>429a6632-7628-4dfb-9afd-ccaa0a6f45ea</t>
  </si>
  <si>
    <t>_b6cb197b-1539-4dec-8028-7986b45213f3</t>
  </si>
  <si>
    <t>_69aec5f5-85c3-4114-9670-c3a5e0c46867</t>
  </si>
  <si>
    <t>69aec5f5-85c3-4114-9670-c3a5e0c46867</t>
  </si>
  <si>
    <t>_67556a5f-e720-4f69-8f9e-e14d64e000a6</t>
  </si>
  <si>
    <t>_92ba8ed5-efb6-4b83-9e8c-8921f8405e0b</t>
  </si>
  <si>
    <t>92ba8ed5-efb6-4b83-9e8c-8921f8405e0b</t>
  </si>
  <si>
    <t>_c1196fce-d278-4a42-a434-2eff0e358558</t>
  </si>
  <si>
    <t>_390915b2-dc6c-40d6-b0c1-35057ef66d0a</t>
  </si>
  <si>
    <t>390915b2-dc6c-40d6-b0c1-35057ef66d0a</t>
  </si>
  <si>
    <t>_31241a33-9a88-4e9e-869f-0d7d87db741a</t>
  </si>
  <si>
    <t>_89444f4c-81a1-4c8b-9f9e-5464ba476407</t>
  </si>
  <si>
    <t>89444f4c-81a1-4c8b-9f9e-5464ba476407</t>
  </si>
  <si>
    <t>_0d40b326-760b-43d2-9474-2396cff64a7d</t>
  </si>
  <si>
    <t>_10f764d5-7acb-43e6-a233-e479cecd8848</t>
  </si>
  <si>
    <t>10f764d5-7acb-43e6-a233-e479cecd8848</t>
  </si>
  <si>
    <t>_964a595c-fdc5-477f-ab8f-41550fbc1d01</t>
  </si>
  <si>
    <t>_070cc990-c8d6-4819-a4ff-c004b2b5170e</t>
  </si>
  <si>
    <t>070cc990-c8d6-4819-a4ff-c004b2b5170e</t>
  </si>
  <si>
    <t>_0d657ed2-1d97-481f-b8bf-f067c32daf8a</t>
  </si>
  <si>
    <t>_02aee646-8867-4f45-9ae1-f5a39897e37a</t>
  </si>
  <si>
    <t>02aee646-8867-4f45-9ae1-f5a39897e37a</t>
  </si>
  <si>
    <t>_b792af7b-6569-46c1-8a28-3a4beb4a2544</t>
  </si>
  <si>
    <t>_602c695d-f9e1-4d50-b1e6-ebb0f1d3e425</t>
  </si>
  <si>
    <t>602c695d-f9e1-4d50-b1e6-ebb0f1d3e425</t>
  </si>
  <si>
    <t>_fc11b2bd-7a4b-4bd8-b0bc-605deed98ad6</t>
  </si>
  <si>
    <t>_9f246735-33b9-4e3e-ba95-23ae4d4ce206</t>
  </si>
  <si>
    <t>9f246735-33b9-4e3e-ba95-23ae4d4ce206</t>
  </si>
  <si>
    <t>_21e683c3-372a-4c6d-972a-afe9adb788ef</t>
  </si>
  <si>
    <t>_0cfe58a7-aed4-4d8c-b671-e2a8f957c257</t>
  </si>
  <si>
    <t>0cfe58a7-aed4-4d8c-b671-e2a8f957c257</t>
  </si>
  <si>
    <t>_f97f4e20-14f1-4a87-b433-f195d1cbc860</t>
  </si>
  <si>
    <t>_ec0d9663-c728-4f20-8fc1-4bd4d5ae1f30</t>
  </si>
  <si>
    <t>ec0d9663-c728-4f20-8fc1-4bd4d5ae1f30</t>
  </si>
  <si>
    <t>_c0db105f-7a9f-4714-b8f4-69c3ea55d46d</t>
  </si>
  <si>
    <t>_660f6169-e893-4ebd-889f-d890bf70a5b1</t>
  </si>
  <si>
    <t>660f6169-e893-4ebd-889f-d890bf70a5b1</t>
  </si>
  <si>
    <t>_5e95319a-76e2-4130-9be1-3a9d39fff734</t>
  </si>
  <si>
    <t>_99aa04e7-f6e6-4752-989d-61f9fdc57e72</t>
  </si>
  <si>
    <t>99aa04e7-f6e6-4752-989d-61f9fdc57e72</t>
  </si>
  <si>
    <t>_1ea2972b-4f0e-49de-94c1-8e83ceb469c3</t>
  </si>
  <si>
    <t>_ba7321bf-8684-4a51-970d-dda789eb31ef</t>
  </si>
  <si>
    <t>ba7321bf-8684-4a51-970d-dda789eb31ef</t>
  </si>
  <si>
    <t>_ae341dde-4129-4e1f-b9c4-6d277dce2f96</t>
  </si>
  <si>
    <t>_50bca4ef-f6a2-49e1-8b46-cb0122ce642b</t>
  </si>
  <si>
    <t>50bca4ef-f6a2-49e1-8b46-cb0122ce642b</t>
  </si>
  <si>
    <t>_3b733813-ddb7-4d6b-9354-b92e56a4543b</t>
  </si>
  <si>
    <t>_52736e38-54ab-440e-853c-f9a9e2b3ad08</t>
  </si>
  <si>
    <t>52736e38-54ab-440e-853c-f9a9e2b3ad08</t>
  </si>
  <si>
    <t>_9aec3a12-c179-4239-8ac5-7ca97a22da6c</t>
  </si>
  <si>
    <t>_cc986c64-d347-4d4c-90ba-4469fd6ddcab</t>
  </si>
  <si>
    <t>cc986c64-d347-4d4c-90ba-4469fd6ddcab</t>
  </si>
  <si>
    <t>_0a8468ce-f505-4617-b868-4cf3ce9cf3ee</t>
  </si>
  <si>
    <t>_79741cc2-d30b-4982-aa8a-3b244bd4d227</t>
  </si>
  <si>
    <t>79741cc2-d30b-4982-aa8a-3b244bd4d227</t>
  </si>
  <si>
    <t>_3a5f008b-0a89-419f-9662-cdd098a1b2e5</t>
  </si>
  <si>
    <t>_c99632b0-bdfd-43c0-b931-f00d41778a98</t>
  </si>
  <si>
    <t>c99632b0-bdfd-43c0-b931-f00d41778a98</t>
  </si>
  <si>
    <t>_94f621fc-c372-4a5d-a4da-ac4e921d422a</t>
  </si>
  <si>
    <t>_564cbdbd-8997-4e42-9c83-f59689922d90</t>
  </si>
  <si>
    <t>564cbdbd-8997-4e42-9c83-f59689922d90</t>
  </si>
  <si>
    <t>_770de7c6-142c-4f39-8097-bd29b9a1f57a</t>
  </si>
  <si>
    <t>Som van eenheid</t>
  </si>
  <si>
    <t>siltig zand</t>
  </si>
  <si>
    <t>grond onder verharding,</t>
  </si>
  <si>
    <t>ondergrond, siltig zand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</si>
</sst>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5"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
      <b/>
      <sz val="8"/>
      <color indexed="17"/>
      <name val="Segoe UI"/>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6">
    <border>
      <left/>
      <right/>
      <top/>
      <bottom/>
      <diagonal/>
    </border>
    <border>
      <left/>
      <right/>
      <top/>
      <bottom style="thin">
        <color auto="1"/>
      </bottom>
      <diagonal/>
    </border>
    <border>
      <left/>
      <right style="thin">
        <color auto="1"/>
      </right>
      <top/>
      <bottom/>
      <diagonal/>
    </border>
    <border>
      <left style="thin">
        <color auto="1"/>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bottom style="thin">
        <color rgb="FF999999"/>
      </bottom>
      <diagonal/>
    </border>
    <border>
      <left style="thin">
        <color rgb="FF999999"/>
      </left>
      <right/>
      <top style="thin">
        <color indexed="65"/>
      </top>
      <bottom/>
      <diagonal/>
    </border>
    <border>
      <left/>
      <right/>
      <top style="thin">
        <color auto="1"/>
      </top>
      <bottom/>
      <diagonal/>
    </border>
    <border>
      <left style="thin">
        <color indexed="65"/>
      </left>
      <right/>
      <top style="thin">
        <color rgb="FF999999"/>
      </top>
      <bottom/>
      <diagonal/>
    </border>
    <border>
      <left/>
      <right/>
      <top style="thin">
        <color rgb="FF999999"/>
      </top>
      <bottom/>
      <diagonal/>
    </border>
    <border>
      <left/>
      <right/>
      <top/>
      <bottom style="thin">
        <color rgb="FF999999"/>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213">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horizontal="right"/>
    </xf>
    <xf numFmtId="1" fontId="2"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1" fontId="5" fillId="0" borderId="0" xfId="0" applyNumberFormat="1" applyFont="1"/>
    <xf numFmtId="0" fontId="5" fillId="0" borderId="0" xfId="0" applyFont="1" applyAlignment="1">
      <alignment horizontal="left"/>
    </xf>
    <xf numFmtId="0" fontId="9" fillId="0" borderId="0" xfId="0" applyFont="1"/>
    <xf numFmtId="0" fontId="2" fillId="2" borderId="0" xfId="0" applyFont="1" applyFill="1" applyAlignment="1">
      <alignment horizontal="right"/>
    </xf>
    <xf numFmtId="0" fontId="2" fillId="2" borderId="0" xfId="0" applyFont="1" applyFill="1"/>
    <xf numFmtId="0" fontId="1" fillId="0" borderId="0" xfId="0" applyFont="1"/>
    <xf numFmtId="0" fontId="0" fillId="0" borderId="0" xfId="0" applyAlignment="1">
      <alignment wrapText="1"/>
    </xf>
    <xf numFmtId="11" fontId="0" fillId="0" borderId="0" xfId="0" applyNumberFormat="1"/>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12" fillId="0" borderId="0" xfId="0" applyFont="1"/>
    <xf numFmtId="0" fontId="0" fillId="0" borderId="11" xfId="0" applyBorder="1"/>
    <xf numFmtId="0" fontId="0" fillId="0" borderId="4" xfId="0" applyBorder="1" applyProtection="1">
      <protection locked="0"/>
    </xf>
    <xf numFmtId="0" fontId="0" fillId="0" borderId="11" xfId="0" applyBorder="1" applyProtection="1">
      <protection locked="0"/>
    </xf>
    <xf numFmtId="0" fontId="2" fillId="5" borderId="0" xfId="0" applyFont="1" applyFill="1"/>
    <xf numFmtId="0" fontId="0" fillId="4" borderId="0" xfId="0" applyFill="1"/>
    <xf numFmtId="0" fontId="2" fillId="0" borderId="0" xfId="0" applyFont="1" applyAlignment="1">
      <alignment horizontal="lef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Alignment="1">
      <alignment horizontal="right"/>
    </xf>
    <xf numFmtId="0" fontId="17" fillId="0" borderId="0" xfId="0" applyFont="1"/>
    <xf numFmtId="0" fontId="17" fillId="0" borderId="0" xfId="0" applyFont="1" applyAlignment="1">
      <alignment horizontal="center"/>
    </xf>
    <xf numFmtId="0" fontId="14" fillId="0" borderId="1" xfId="0" applyFont="1" applyBorder="1" applyAlignment="1">
      <alignment horizontal="left"/>
    </xf>
    <xf numFmtId="0" fontId="17" fillId="0" borderId="0" xfId="0" applyFont="1" applyAlignment="1">
      <alignment horizontal="left"/>
    </xf>
    <xf numFmtId="0" fontId="18" fillId="0" borderId="0" xfId="0" applyFont="1"/>
    <xf numFmtId="49" fontId="18" fillId="0" borderId="0" xfId="0" applyNumberFormat="1" applyFont="1"/>
    <xf numFmtId="0" fontId="19" fillId="0" borderId="0" xfId="0" applyFont="1"/>
    <xf numFmtId="0" fontId="18" fillId="0" borderId="0" xfId="0" applyFont="1" applyAlignment="1">
      <alignment horizontal="center"/>
    </xf>
    <xf numFmtId="0" fontId="18" fillId="0" borderId="0" xfId="0" applyFont="1" applyAlignment="1">
      <alignment horizontal="left"/>
    </xf>
    <xf numFmtId="0" fontId="21" fillId="0" borderId="0" xfId="0" applyFont="1" applyAlignment="1">
      <alignment horizontal="center"/>
    </xf>
    <xf numFmtId="49" fontId="18" fillId="0" borderId="0" xfId="0" applyNumberFormat="1" applyFont="1" applyAlignment="1">
      <alignment horizontal="center"/>
    </xf>
    <xf numFmtId="49" fontId="22" fillId="0" borderId="0" xfId="0" applyNumberFormat="1" applyFont="1" applyAlignment="1">
      <alignment horizontal="center"/>
    </xf>
    <xf numFmtId="0" fontId="22" fillId="0" borderId="0" xfId="0" applyFont="1" applyAlignment="1">
      <alignment horizontal="center"/>
    </xf>
    <xf numFmtId="0" fontId="20" fillId="3" borderId="0" xfId="0" applyFont="1" applyFill="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Alignment="1">
      <alignment horizontal="left"/>
    </xf>
    <xf numFmtId="49" fontId="18" fillId="0" borderId="0" xfId="0" quotePrefix="1" applyNumberFormat="1" applyFont="1" applyAlignment="1">
      <alignment horizontal="left"/>
    </xf>
    <xf numFmtId="0" fontId="9" fillId="2" borderId="0" xfId="0" applyFont="1" applyFill="1"/>
    <xf numFmtId="0" fontId="18" fillId="0" borderId="0" xfId="0" quotePrefix="1" applyFont="1"/>
    <xf numFmtId="0" fontId="18" fillId="0" borderId="0" xfId="0" applyFont="1" applyProtection="1">
      <protection locked="0"/>
    </xf>
    <xf numFmtId="0" fontId="18" fillId="0" borderId="0" xfId="0" applyFont="1" applyAlignment="1" applyProtection="1">
      <alignment horizontal="left"/>
      <protection locked="0"/>
    </xf>
    <xf numFmtId="0" fontId="22" fillId="0" borderId="0" xfId="0" quotePrefix="1" applyFont="1"/>
    <xf numFmtId="0" fontId="22" fillId="0" borderId="0" xfId="0" applyFont="1"/>
    <xf numFmtId="0" fontId="22" fillId="0" borderId="0" xfId="0" applyFont="1" applyAlignment="1">
      <alignment horizontal="left"/>
    </xf>
    <xf numFmtId="0" fontId="23" fillId="0" borderId="0" xfId="0" applyFont="1"/>
    <xf numFmtId="0" fontId="24" fillId="0" borderId="0" xfId="0" applyFont="1"/>
    <xf numFmtId="0" fontId="25" fillId="0" borderId="0" xfId="0" applyFont="1"/>
    <xf numFmtId="0" fontId="2" fillId="0" borderId="0" xfId="0" quotePrefix="1" applyFont="1"/>
    <xf numFmtId="0" fontId="2" fillId="7" borderId="0" xfId="0" applyFont="1" applyFill="1"/>
    <xf numFmtId="0" fontId="2" fillId="6" borderId="0" xfId="0" applyFont="1" applyFill="1" applyAlignment="1">
      <alignment horizontal="left"/>
    </xf>
    <xf numFmtId="0" fontId="2" fillId="8" borderId="0" xfId="0" applyFont="1" applyFill="1" applyProtection="1">
      <protection locked="0"/>
    </xf>
    <xf numFmtId="49" fontId="18" fillId="0" borderId="0" xfId="0" applyNumberFormat="1" applyFont="1" applyAlignment="1">
      <alignment wrapText="1"/>
    </xf>
    <xf numFmtId="49" fontId="18" fillId="0" borderId="0" xfId="0" applyNumberFormat="1" applyFont="1" applyAlignment="1">
      <alignment vertical="top"/>
    </xf>
    <xf numFmtId="49" fontId="18" fillId="0" borderId="0" xfId="0" applyNumberFormat="1" applyFont="1" applyAlignment="1">
      <alignment horizontal="left" vertical="center"/>
    </xf>
    <xf numFmtId="0" fontId="2" fillId="6" borderId="0" xfId="0" applyFont="1" applyFill="1"/>
    <xf numFmtId="0" fontId="26" fillId="0" borderId="0" xfId="0" applyFont="1"/>
    <xf numFmtId="166" fontId="9" fillId="2" borderId="0" xfId="0" applyNumberFormat="1" applyFont="1" applyFill="1"/>
    <xf numFmtId="0" fontId="2" fillId="9" borderId="0" xfId="0" applyFont="1" applyFill="1"/>
    <xf numFmtId="0" fontId="2" fillId="10" borderId="0" xfId="0" applyFont="1" applyFill="1"/>
    <xf numFmtId="0" fontId="2" fillId="10" borderId="0" xfId="0" applyFont="1" applyFill="1" applyProtection="1">
      <protection locked="0"/>
    </xf>
    <xf numFmtId="1" fontId="2" fillId="0" borderId="0" xfId="0" applyNumberFormat="1" applyFont="1" applyAlignment="1">
      <alignment horizontal="right"/>
    </xf>
    <xf numFmtId="165" fontId="2" fillId="0" borderId="0" xfId="0" applyNumberFormat="1" applyFont="1" applyAlignment="1">
      <alignment horizontal="right"/>
    </xf>
    <xf numFmtId="0" fontId="2" fillId="7" borderId="0" xfId="0" applyFont="1" applyFill="1" applyAlignment="1">
      <alignment horizontal="left"/>
    </xf>
    <xf numFmtId="14" fontId="2" fillId="0" borderId="0" xfId="0" applyNumberFormat="1" applyFont="1" applyAlignment="1">
      <alignment horizontal="left"/>
    </xf>
    <xf numFmtId="2" fontId="2" fillId="0" borderId="0" xfId="0" applyNumberFormat="1" applyFont="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xf numFmtId="49" fontId="2" fillId="0" borderId="0" xfId="0" applyNumberFormat="1" applyFont="1"/>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2" fillId="11" borderId="0" xfId="0" applyFont="1" applyFill="1" applyAlignment="1">
      <alignment horizontal="right"/>
    </xf>
    <xf numFmtId="0" fontId="2" fillId="2" borderId="0" xfId="0" applyFont="1" applyFill="1" applyAlignment="1">
      <alignment horizontal="center"/>
    </xf>
    <xf numFmtId="0" fontId="2" fillId="0" borderId="0" xfId="0" quotePrefix="1" applyFont="1" applyAlignment="1">
      <alignment horizontal="center"/>
    </xf>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0" fontId="20" fillId="0" borderId="0" xfId="0" applyFont="1" applyAlignment="1">
      <alignment horizontal="center"/>
    </xf>
    <xf numFmtId="0" fontId="29" fillId="0" borderId="0" xfId="0" applyFont="1"/>
    <xf numFmtId="0" fontId="30" fillId="13" borderId="0" xfId="0" applyFont="1" applyFill="1"/>
    <xf numFmtId="0" fontId="30" fillId="0" borderId="0" xfId="0" applyFont="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12"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12"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12" xfId="0" applyFont="1" applyFill="1" applyBorder="1"/>
    <xf numFmtId="0" fontId="30" fillId="13" borderId="12"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12" xfId="0" applyFont="1" applyFill="1" applyBorder="1" applyAlignment="1">
      <alignment vertical="center"/>
    </xf>
    <xf numFmtId="0" fontId="30" fillId="13" borderId="12" xfId="0" applyFont="1" applyFill="1" applyBorder="1" applyAlignment="1">
      <alignment horizontal="right" vertical="center"/>
    </xf>
    <xf numFmtId="0" fontId="30" fillId="13" borderId="1" xfId="0" applyFont="1" applyFill="1" applyBorder="1" applyAlignment="1">
      <alignment horizontal="left" indent="1"/>
    </xf>
    <xf numFmtId="0" fontId="18" fillId="0" borderId="12" xfId="0" applyFont="1" applyBorder="1" applyAlignment="1">
      <alignment horizontal="left" indent="1"/>
    </xf>
    <xf numFmtId="0" fontId="18" fillId="0" borderId="1" xfId="0" applyFont="1" applyBorder="1" applyAlignment="1">
      <alignment horizontal="left" indent="1"/>
    </xf>
    <xf numFmtId="0" fontId="32" fillId="13" borderId="12"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12"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12"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12"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6" fillId="0" borderId="0" xfId="0" applyFont="1" applyAlignment="1">
      <alignment horizontal="left"/>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12" xfId="0" applyNumberFormat="1" applyFont="1" applyBorder="1" applyAlignment="1">
      <alignment horizontal="right"/>
    </xf>
    <xf numFmtId="0" fontId="14" fillId="0" borderId="12" xfId="0" applyFont="1" applyBorder="1"/>
    <xf numFmtId="0" fontId="14" fillId="0" borderId="12" xfId="0" applyFont="1" applyBorder="1" applyAlignment="1">
      <alignment horizontal="center"/>
    </xf>
    <xf numFmtId="0" fontId="33" fillId="2" borderId="0" xfId="0" applyFont="1" applyFill="1"/>
    <xf numFmtId="0" fontId="2" fillId="4" borderId="0" xfId="0" applyFont="1" applyFill="1" applyAlignment="1">
      <alignment horizontal="right"/>
    </xf>
    <xf numFmtId="0" fontId="0" fillId="0" borderId="13" xfId="0" pivotButton="1" applyBorder="1"/>
    <xf numFmtId="0" fontId="0" fillId="0" borderId="13" xfId="0" applyBorder="1"/>
    <xf numFmtId="0" fontId="0" fillId="0" borderId="14" xfId="0" applyBorder="1"/>
    <xf numFmtId="0" fontId="0" fillId="0" borderId="9" xfId="0" applyBorder="1"/>
    <xf numFmtId="0" fontId="0" fillId="0" borderId="15" xfId="0" applyBorder="1"/>
    <xf numFmtId="0" fontId="0" fillId="0" borderId="10" xfId="0" applyBorder="1"/>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1" fontId="18" fillId="3" borderId="0" xfId="0" applyNumberFormat="1" applyFont="1" applyFill="1" applyAlignment="1" applyProtection="1">
      <alignment horizontal="center"/>
      <protection locked="0"/>
    </xf>
    <xf numFmtId="49" fontId="22" fillId="3" borderId="0" xfId="0" applyNumberFormat="1" applyFont="1" applyFill="1" applyAlignment="1" applyProtection="1">
      <alignment horizontal="center"/>
      <protection locked="0"/>
    </xf>
    <xf numFmtId="49" fontId="22" fillId="3" borderId="2" xfId="0" applyNumberFormat="1" applyFont="1" applyFill="1" applyBorder="1" applyAlignment="1" applyProtection="1">
      <alignment horizontal="center"/>
      <protection locked="0"/>
    </xf>
    <xf numFmtId="0" fontId="18" fillId="3" borderId="0" xfId="0" applyFont="1" applyFill="1" applyAlignment="1" applyProtection="1">
      <alignment horizontal="left"/>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49" fontId="18" fillId="3" borderId="0" xfId="0" applyNumberFormat="1" applyFont="1" applyFill="1" applyAlignment="1" applyProtection="1">
      <alignment horizontal="center"/>
      <protection locked="0"/>
    </xf>
    <xf numFmtId="49" fontId="18"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49" fontId="18" fillId="3" borderId="0" xfId="0" applyNumberFormat="1" applyFont="1" applyFill="1" applyAlignment="1" applyProtection="1">
      <alignment horizontal="right"/>
      <protection locked="0"/>
    </xf>
    <xf numFmtId="0" fontId="18" fillId="3" borderId="3" xfId="0"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0" fontId="18" fillId="0" borderId="0" xfId="0" applyFont="1" applyAlignment="1">
      <alignment horizontal="center"/>
    </xf>
    <xf numFmtId="0" fontId="14" fillId="0" borderId="0" xfId="0" applyFont="1" applyAlignment="1">
      <alignment horizontal="center"/>
    </xf>
    <xf numFmtId="0" fontId="14" fillId="0" borderId="0" xfId="0" applyFont="1" applyAlignment="1">
      <alignment horizontal="left"/>
    </xf>
    <xf numFmtId="0" fontId="15" fillId="0" borderId="0" xfId="0" applyFont="1" applyAlignment="1">
      <alignment horizontal="left" wrapText="1"/>
    </xf>
    <xf numFmtId="0" fontId="14" fillId="0" borderId="0" xfId="0" applyFont="1" applyAlignment="1">
      <alignment horizontal="right" wrapText="1"/>
    </xf>
    <xf numFmtId="0" fontId="16" fillId="0" borderId="0" xfId="0" applyFont="1" applyAlignment="1">
      <alignment horizontal="left"/>
    </xf>
    <xf numFmtId="0" fontId="14" fillId="0" borderId="1" xfId="0" applyFont="1" applyBorder="1" applyAlignment="1">
      <alignment horizontal="center"/>
    </xf>
    <xf numFmtId="49" fontId="14" fillId="0" borderId="0" xfId="0" applyNumberFormat="1" applyFont="1" applyAlignment="1">
      <alignment horizontal="left"/>
    </xf>
    <xf numFmtId="0" fontId="17" fillId="0" borderId="0" xfId="0" applyFont="1" applyAlignment="1">
      <alignment horizontal="left"/>
    </xf>
    <xf numFmtId="165" fontId="14" fillId="0" borderId="0" xfId="0" applyNumberFormat="1" applyFont="1" applyAlignment="1">
      <alignment horizontal="center"/>
    </xf>
    <xf numFmtId="49" fontId="16" fillId="0" borderId="0" xfId="0" applyNumberFormat="1" applyFont="1" applyAlignment="1">
      <alignment horizontal="left"/>
    </xf>
    <xf numFmtId="0" fontId="15" fillId="0" borderId="0" xfId="0" applyFont="1" applyAlignment="1">
      <alignment horizontal="left"/>
    </xf>
    <xf numFmtId="0" fontId="14" fillId="0" borderId="1" xfId="0" applyFont="1" applyBorder="1" applyAlignment="1">
      <alignment horizontal="left"/>
    </xf>
    <xf numFmtId="0" fontId="30" fillId="13" borderId="0" xfId="0" applyFont="1" applyFill="1" applyAlignment="1">
      <alignment horizontal="center"/>
    </xf>
    <xf numFmtId="0" fontId="30" fillId="13" borderId="0" xfId="0" applyFont="1" applyFill="1" applyAlignment="1">
      <alignment horizontal="center" vertical="top" wrapText="1"/>
    </xf>
    <xf numFmtId="0" fontId="18" fillId="0" borderId="0" xfId="0" applyFont="1" applyAlignment="1">
      <alignment horizontal="left" vertical="center"/>
    </xf>
    <xf numFmtId="0" fontId="25" fillId="0" borderId="0" xfId="0" applyFont="1" applyAlignment="1">
      <alignment horizontal="left" vertical="center"/>
    </xf>
    <xf numFmtId="0" fontId="30" fillId="13" borderId="0" xfId="0" applyFont="1" applyFill="1" applyAlignment="1">
      <alignment horizontal="center" vertical="center"/>
    </xf>
    <xf numFmtId="49" fontId="18" fillId="0" borderId="0" xfId="0" applyNumberFormat="1" applyFont="1" applyAlignment="1">
      <alignment horizontal="left"/>
    </xf>
    <xf numFmtId="167" fontId="18" fillId="0" borderId="0" xfId="0" applyNumberFormat="1" applyFont="1" applyAlignment="1">
      <alignment horizontal="left"/>
    </xf>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32">
    <dxf>
      <protection locked="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12</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14</xdr:row>
          <xdr:rowOff>19050</xdr:rowOff>
        </xdr:from>
        <xdr:to>
          <xdr:col>29</xdr:col>
          <xdr:colOff>276225</xdr:colOff>
          <xdr:row>17</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19</xdr:row>
          <xdr:rowOff>28575</xdr:rowOff>
        </xdr:from>
        <xdr:to>
          <xdr:col>29</xdr:col>
          <xdr:colOff>276225</xdr:colOff>
          <xdr:row>24</xdr:row>
          <xdr:rowOff>9525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25</xdr:row>
          <xdr:rowOff>19050</xdr:rowOff>
        </xdr:from>
        <xdr:to>
          <xdr:col>29</xdr:col>
          <xdr:colOff>276225</xdr:colOff>
          <xdr:row>33</xdr:row>
          <xdr:rowOff>57150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35</xdr:row>
          <xdr:rowOff>76200</xdr:rowOff>
        </xdr:from>
        <xdr:to>
          <xdr:col>29</xdr:col>
          <xdr:colOff>276225</xdr:colOff>
          <xdr:row>46</xdr:row>
          <xdr:rowOff>47625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8000"/>
                  </a:solidFill>
                  <a:latin typeface="Segoe UI"/>
                  <a:cs typeface="Segoe UI"/>
                </a:rPr>
                <a:t>Geëxporteerd naar QGIS!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2" name="TSlogobreed">
          <a:extLst>
            <a:ext uri="{FF2B5EF4-FFF2-40B4-BE49-F238E27FC236}">
              <a16:creationId xmlns:a16="http://schemas.microsoft.com/office/drawing/2014/main" id="{EC84F610-DAFE-484F-97F6-BE1030B197AE}"/>
            </a:ext>
          </a:extLst>
        </xdr:cNvPr>
        <xdr:cNvGrpSpPr>
          <a:grpSpLocks noChangeAspect="1"/>
        </xdr:cNvGrpSpPr>
      </xdr:nvGrpSpPr>
      <xdr:grpSpPr bwMode="auto">
        <a:xfrm>
          <a:off x="0" y="0"/>
          <a:ext cx="8876875" cy="401783"/>
          <a:chOff x="0" y="0"/>
          <a:chExt cx="14789" cy="609"/>
        </a:xfrm>
      </xdr:grpSpPr>
      <xdr:pic>
        <xdr:nvPicPr>
          <xdr:cNvPr id="3" name="Picture 6" descr="terra">
            <a:extLst>
              <a:ext uri="{FF2B5EF4-FFF2-40B4-BE49-F238E27FC236}">
                <a16:creationId xmlns:a16="http://schemas.microsoft.com/office/drawing/2014/main" id="{420974B5-AE8E-5F58-A2D8-66775333FC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 name="Line 7">
            <a:extLst>
              <a:ext uri="{FF2B5EF4-FFF2-40B4-BE49-F238E27FC236}">
                <a16:creationId xmlns:a16="http://schemas.microsoft.com/office/drawing/2014/main" id="{22D06226-6498-5F15-6F68-B092B0AE9166}"/>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5" name="Line 8">
            <a:extLst>
              <a:ext uri="{FF2B5EF4-FFF2-40B4-BE49-F238E27FC236}">
                <a16:creationId xmlns:a16="http://schemas.microsoft.com/office/drawing/2014/main" id="{C0FE2BAC-416E-0864-7CC6-FB0B765C55BF}"/>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els Langeveld - Terrascan" refreshedDate="45811.684534143518" createdVersion="6" refreshedVersion="8"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187"/>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9">
        <n v="0"/>
        <s v="urn:immetingen:hoedanigheid:id:93"/>
        <s v="urn:immetingen:hoedanigheid:id:1"/>
        <s v="urn:immetingen:hoedanigheid:id:2"/>
        <s v="urn:immetingen:hoedanigheid:id:86"/>
        <s v="urn:immetingen:hoedanigheid:id:99"/>
        <s v="urn:immetingen:hoedanigheid:id:114"/>
        <s v="urn:immetingen:hoedanigheid:id:122"/>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57">
        <n v="0"/>
        <s v="urn:immetingen:parameter:id:1200"/>
        <s v="urn:immetingen:parameter:id:1381"/>
        <s v="urn:immetingen:parameter:id:1382"/>
        <s v="urn:immetingen:parameter:id:1372"/>
        <s v="urn:immetingen:parameter:id:1374"/>
        <s v="urn:immetingen:parameter:id:1376"/>
        <s v="urn:immetingen:parameter:id:1377"/>
        <s v="urn:immetingen:parameter:id:1380"/>
        <s v="urn:immetingen:parameter:id:692"/>
        <s v="urn:immetingen:parameter:id:1259"/>
        <s v="urn:immetingen:parameter:id:746"/>
        <s v="urn:immetingen:parameter:id:299"/>
        <s v="urn:immetingen:parameter:id:775"/>
        <s v="urn:immetingen:parameter:id:518"/>
        <s v="urn:immetingen:parameter:id:353"/>
        <s v="urn:immetingen:parameter:id:346"/>
        <s v="urn:immetingen:parameter:id:351"/>
        <s v="urn:immetingen:parameter:id:882"/>
        <s v="urn:immetingen:parameter:id:345"/>
        <s v="urn:immetingen:parameter:id:1319"/>
        <s v="urn:immetingen:parameter:id:1365"/>
        <s v="urn:immetingen:parameter:id:1352"/>
        <s v="urn:immetingen:parameter:id:333"/>
        <s v="urn:immetingen:parameter:id:1693"/>
        <s v="urn:immetingen:parameter:id:310"/>
        <s v="urn:immetingen:parameter:id:441"/>
        <s v="urn:immetingen:parameter:id:527"/>
        <s v="urn:immetingen:parameter:id:971"/>
        <s v="urn:immetingen:parameter:id:1097"/>
        <s v="urn:immetingen:parameter:id:1243"/>
        <s v="urn:immetingen:parameter:id:1267"/>
        <s v="urn:immetingen:parameter:id:1116"/>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4445"/>
        <s v="urn:immetingen:parameter:id:6040"/>
        <s v="urn:immetingen:parameter:id:5518"/>
        <s v="urn:immetingen:parameter:id:4443"/>
        <s v="urn:immetingen:parameter:id:6039"/>
        <s v="urn:immetingen:parameter:id:5577"/>
        <s v="urn:immetingen:parameter:id:5935"/>
        <s v="urn:immetingen:parameter:id:4448"/>
        <s v="urn:immetingen:parameter:id:4451"/>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811"/>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3">
        <s v=""/>
        <s v="MM05 04 (150-200) 05 (150-200)"/>
        <s v="MM04 04 (100-150) 05 (100-150)"/>
        <s v="MM06 04 (200-250) 04 (250-300) 05 (200-250) 05 (250-300)"/>
        <m/>
        <s v="MMS04_x000a_MMS04 S11 (80-130) S12 (105-155) S13 (95-145) S14 (95-145) S15 (100-150) S16 (105-155) S17 (105-155) S18 (110-160) S19 (105-155) S20 (105-155)" u="1"/>
        <s v="#_9447972" u="1"/>
        <s v="MM27_x000a_MM27 212 (100-130) 214 (100-150) 216 (100-150)" u="1"/>
        <s v="MM29_x000a_MM29 219 (100-150) 219 (150-200)" u="1"/>
        <s v="06-1-1_x000a_06-1-1 06 (180-280)" u="1"/>
        <s v="MM28_x000a_MM28 212 (130-180) 212 (180-200) 214 (150-200) 216 (150-200)"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79.5"/>
    </cacheField>
    <cacheField name="/imsikb0101:featureMember/immetingen:Analysis/om:result/immetingen:numericValue/#agg" numFmtId="0">
      <sharedItems containsString="0" containsBlank="1" containsNumber="1" minValue="0" maxValue="79.5"/>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131"/>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811.649976851855"/>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6"/>
    </cacheField>
    <cacheField name="/imsikb0101:featureMember/imsikb0101:LabAssignment/imsikb0101:analysisRequest/imsikb0101:SampleAnalysisRequest/imsikb0101:certificateOrder/#agg" numFmtId="0">
      <sharedItems containsString="0" containsBlank="1" containsNumber="1" containsInteger="1" minValue="0" maxValue="6"/>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811"/>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08287"/>
    </cacheField>
    <cacheField name="/imsikb0101:featureMember/imsikb0101:LabAssignment/imsikb0101:certificate/imsikb0101:LabAssignmentCertificate/imsikb0101:labCertificateNumber/#agg" numFmtId="0">
      <sharedItems containsString="0" containsBlank="1" containsNumber="1" containsInteger="1" minValue="0" maxValue="14308287"/>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811.651331018518"/>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10"/>
    </cacheField>
    <cacheField name="/imsikb0101:featureMember/imsikb0101:LabAssignment/imsikb0101:status/imsikb0101:LabAssignmentStatus/imsikb0101:dateExpected" numFmtId="0">
      <sharedItems containsString="0" containsBlank="1" containsNumber="1" containsInteger="1" minValue="0" maxValue="45811"/>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810"/>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810"/>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811"/>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811"/>
    </cacheField>
    <cacheField name="/imsikb0101:metaData/imsikb0101:sender" numFmtId="0">
      <sharedItems containsString="0" containsBlank="1" containsNumber="1" containsInteger="1" minValue="0" maxValue="0"/>
    </cacheField>
    <cacheField name="/imsikb0101:metaData/imsikb0101:sender2"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0d250787-4030-4a7c-b726-9b31817eb466"/>
    <s v="NL.IE.rtd.INFO@sgs.com"/>
    <s v="+31 (0) 10 416 30 34"/>
    <s v="0d250787-4030-4a7c-b726-9b31817eb466"/>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a13c9c27-ac45-4ff5-8e2b-08bc80806939"/>
    <s v="a13c9c27-ac45-4ff5-8e2b-08bc80806939"/>
    <s v="SIKB"/>
    <s v="GOH 09-27, HWA onder baan"/>
    <s v="T.25.13603"/>
    <n v="0"/>
    <n v="0"/>
    <n v="0"/>
    <n v="0"/>
    <n v="0"/>
    <n v="0"/>
    <n v="0"/>
    <n v="0"/>
    <n v="0"/>
    <n v="0"/>
    <n v="0"/>
    <n v="0"/>
    <s v="urn:imsikb0101:Applicaties:id:16"/>
    <s v="urn:imsikb0101:DatastroomType:id:1"/>
    <n v="45811"/>
    <s v="SGS, Rotterdam"/>
    <s v="LABRESULTAAT SGS"/>
    <n v="45811"/>
    <n v="0"/>
    <n v="0"/>
  </r>
  <r>
    <s v="LABRESULTAAT"/>
    <n v="3"/>
    <n v="0"/>
    <n v="0"/>
    <n v="0"/>
    <x v="0"/>
    <n v="0"/>
    <x v="0"/>
    <n v="0"/>
    <n v="0"/>
    <n v="0"/>
    <n v="0"/>
    <n v="0"/>
    <n v="0"/>
    <n v="0"/>
    <x v="0"/>
    <n v="0"/>
    <n v="0"/>
    <n v="0"/>
    <n v="0"/>
    <n v="0"/>
    <n v="0"/>
    <n v="0"/>
    <n v="0"/>
    <n v="0"/>
    <n v="0"/>
    <n v="0"/>
    <n v="0"/>
    <n v="0"/>
    <n v="0"/>
    <n v="0"/>
    <n v="0"/>
    <n v="0"/>
    <n v="0"/>
    <n v="0"/>
    <n v="0"/>
    <n v="0"/>
    <n v="0"/>
    <n v="0"/>
    <n v="0"/>
    <s v="_d05a23ee-1009-493d-911d-d09a2d17781c"/>
    <s v="d05a23ee-1009-493d-911d-d09a2d17781c"/>
    <s v="SIKB"/>
    <s v="Niels Langeveld"/>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
    <n v="0"/>
    <n v="0"/>
    <n v="0"/>
    <x v="0"/>
    <n v="0"/>
    <x v="0"/>
    <n v="0"/>
    <n v="0"/>
    <n v="0"/>
    <n v="0"/>
    <n v="0"/>
    <n v="0"/>
    <n v="0"/>
    <x v="0"/>
    <n v="0"/>
    <n v="0"/>
    <n v="0"/>
    <n v="0"/>
    <n v="0"/>
    <n v="0"/>
    <n v="0"/>
    <n v="0"/>
    <n v="0"/>
    <n v="0"/>
    <n v="0"/>
    <n v="0"/>
    <n v="0"/>
    <n v="0"/>
    <n v="0"/>
    <n v="0"/>
    <n v="0"/>
    <n v="0"/>
    <n v="0"/>
    <n v="0"/>
    <n v="0"/>
    <n v="0"/>
    <n v="0"/>
    <n v="0"/>
    <n v="0"/>
    <n v="0"/>
    <n v="0"/>
    <n v="0"/>
    <s v="_cb134b3d-e6a0-4e98-8a0f-f566415a229b"/>
    <n v="5"/>
    <n v="5"/>
    <s v="AG3"/>
    <s v="MM05 04 (150-200) 05 (150-200)"/>
    <s v="#_f2f55274-7708-48c8-9f23-34f94e9519db"/>
    <s v="urn:immeringen:CertificeringsCode:id:5"/>
    <n v="45811"/>
    <n v="0"/>
    <s v="urn:immetingen:LabopdrachtStatus:id:4"/>
    <s v="#_a13c9c27-ac45-4ff5-8e2b-08bc80806939"/>
    <n v="0"/>
    <n v="14308287"/>
    <n v="14308287"/>
    <n v="103126"/>
    <n v="103126"/>
    <n v="45811.651331018518"/>
    <s v="cb134b3d-e6a0-4e98-8a0f-f566415a229b"/>
    <s v="www.sikb.nl"/>
    <s v="urn:immetingen:Meetinstantie:id:7"/>
    <s v="#_d05a23ee-1009-493d-911d-d09a2d17781c"/>
    <s v="TERRASCAN LIJNDEN (103126)"/>
    <n v="45810"/>
    <n v="45811"/>
    <s v="SGS status:Reported"/>
    <s v="urn:immetingen:LabopdrachtStatus:id:5"/>
    <n v="0"/>
    <n v="0"/>
    <n v="0"/>
    <n v="0"/>
    <n v="0"/>
    <n v="0"/>
    <n v="0"/>
    <n v="0"/>
    <n v="0"/>
    <n v="0"/>
    <n v="0"/>
    <n v="0"/>
    <n v="0"/>
    <n v="0"/>
    <n v="0"/>
    <n v="0"/>
    <n v="0"/>
    <s v="urn:imsikb0101:Applicaties:id:16"/>
    <s v="urn:imsikb0101:DatastroomType:id:1"/>
    <n v="45811"/>
    <s v="SGS, Rotterdam"/>
    <s v="LABRESULTAAT SGS"/>
    <n v="45811"/>
    <n v="0"/>
    <n v="0"/>
  </r>
  <r>
    <s v="LABRESULTAAT"/>
    <n v="4"/>
    <n v="0"/>
    <n v="0"/>
    <n v="0"/>
    <x v="0"/>
    <n v="0"/>
    <x v="0"/>
    <n v="0"/>
    <n v="0"/>
    <n v="0"/>
    <n v="0"/>
    <n v="0"/>
    <n v="0"/>
    <n v="0"/>
    <x v="0"/>
    <n v="0"/>
    <n v="0"/>
    <n v="0"/>
    <n v="0"/>
    <n v="0"/>
    <n v="0"/>
    <n v="0"/>
    <n v="0"/>
    <n v="0"/>
    <n v="0"/>
    <n v="0"/>
    <n v="0"/>
    <n v="0"/>
    <n v="0"/>
    <n v="0"/>
    <n v="0"/>
    <n v="0"/>
    <n v="0"/>
    <n v="0"/>
    <n v="0"/>
    <n v="0"/>
    <n v="0"/>
    <n v="0"/>
    <n v="0"/>
    <n v="0"/>
    <n v="0"/>
    <n v="0"/>
    <n v="0"/>
    <s v="_cb134b3d-e6a0-4e98-8a0f-f566415a229b"/>
    <n v="4"/>
    <n v="4"/>
    <s v="AG3"/>
    <s v="MM04 04 (100-150) 05 (100-150)"/>
    <s v="#_4e495d1b-09c8-432b-8c45-258ce8733b11"/>
    <s v="urn:immeringen:CertificeringsCode:id:5"/>
    <n v="45811"/>
    <n v="0"/>
    <s v="urn:immetingen:LabopdrachtStatus:id:4"/>
    <s v="#_a13c9c27-ac45-4ff5-8e2b-08bc80806939"/>
    <n v="0"/>
    <n v="14308287"/>
    <n v="0"/>
    <n v="103126"/>
    <n v="0"/>
    <n v="45811.651331018518"/>
    <s v="cb134b3d-e6a0-4e98-8a0f-f566415a229b"/>
    <s v="www.sikb.nl"/>
    <s v="urn:immetingen:Meetinstantie:id:7"/>
    <s v="#_d05a23ee-1009-493d-911d-d09a2d17781c"/>
    <s v="TERRASCAN LIJNDEN (103126)"/>
    <n v="45810"/>
    <n v="45811"/>
    <s v="SGS status:Reported"/>
    <s v="urn:immetingen:LabopdrachtStatus:id:5"/>
    <n v="0"/>
    <n v="0"/>
    <n v="0"/>
    <n v="0"/>
    <n v="0"/>
    <n v="0"/>
    <n v="0"/>
    <n v="0"/>
    <n v="0"/>
    <n v="0"/>
    <n v="0"/>
    <n v="0"/>
    <n v="0"/>
    <n v="0"/>
    <n v="0"/>
    <n v="0"/>
    <n v="0"/>
    <s v="urn:imsikb0101:Applicaties:id:16"/>
    <s v="urn:imsikb0101:DatastroomType:id:1"/>
    <n v="45811"/>
    <s v="SGS, Rotterdam"/>
    <s v="LABRESULTAAT SGS"/>
    <n v="45811"/>
    <n v="0"/>
    <n v="0"/>
  </r>
  <r>
    <s v="LABRESULTAAT"/>
    <n v="4"/>
    <n v="0"/>
    <n v="0"/>
    <n v="0"/>
    <x v="0"/>
    <n v="0"/>
    <x v="0"/>
    <n v="0"/>
    <n v="0"/>
    <n v="0"/>
    <n v="0"/>
    <n v="0"/>
    <n v="0"/>
    <n v="0"/>
    <x v="0"/>
    <n v="0"/>
    <n v="0"/>
    <n v="0"/>
    <n v="0"/>
    <n v="0"/>
    <n v="0"/>
    <n v="0"/>
    <n v="0"/>
    <n v="0"/>
    <n v="0"/>
    <n v="0"/>
    <n v="0"/>
    <n v="0"/>
    <n v="0"/>
    <n v="0"/>
    <n v="0"/>
    <n v="0"/>
    <n v="0"/>
    <n v="0"/>
    <n v="0"/>
    <n v="0"/>
    <n v="0"/>
    <n v="0"/>
    <n v="0"/>
    <n v="0"/>
    <n v="0"/>
    <n v="0"/>
    <n v="0"/>
    <s v="_cb134b3d-e6a0-4e98-8a0f-f566415a229b"/>
    <n v="6"/>
    <n v="6"/>
    <s v="AG3"/>
    <s v="MM06 04 (200-250) 04 (250-300) 05 (200-250) 05 (250-300)"/>
    <s v="#_64cefbfc-c86e-49fa-99bc-0eb47d1104c4"/>
    <s v="urn:immeringen:CertificeringsCode:id:5"/>
    <n v="45811"/>
    <n v="0"/>
    <s v="urn:immetingen:LabopdrachtStatus:id:4"/>
    <s v="#_a13c9c27-ac45-4ff5-8e2b-08bc80806939"/>
    <n v="0"/>
    <n v="14308287"/>
    <n v="0"/>
    <n v="103126"/>
    <n v="0"/>
    <n v="45811.651331018518"/>
    <s v="cb134b3d-e6a0-4e98-8a0f-f566415a229b"/>
    <s v="www.sikb.nl"/>
    <s v="urn:immetingen:Meetinstantie:id:7"/>
    <s v="#_d05a23ee-1009-493d-911d-d09a2d17781c"/>
    <s v="TERRASCAN LIJNDEN (103126)"/>
    <n v="45810"/>
    <n v="45811"/>
    <s v="SGS status:Reported"/>
    <s v="urn:immetingen:LabopdrachtStatus:id:5"/>
    <n v="0"/>
    <n v="0"/>
    <n v="0"/>
    <n v="0"/>
    <n v="0"/>
    <n v="0"/>
    <n v="0"/>
    <n v="0"/>
    <n v="0"/>
    <n v="0"/>
    <n v="0"/>
    <n v="0"/>
    <n v="0"/>
    <n v="0"/>
    <n v="0"/>
    <n v="0"/>
    <n v="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5f00512-94e3-4b53-8078-4b4792ba6247"/>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e7dc3946-9714-41e3-80f9-51ad0cd40ebc"/>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d16e0444-c88b-47c7-90af-a115205c2e0c"/>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c72f398f-9225-4fe5-a215-22a613464617"/>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190197eb-62a7-4c1e-87b3-c64eed20d0f5"/>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149a9ddd-16d6-438d-965b-3eaf92afdc46"/>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01afd261-22b4-4b08-9ed9-32d4834fa97e"/>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eceeaf7-1c1e-4012-89c3-45473674117f"/>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ca9c34d8-cf41-4b81-94f0-2b2d17a9ef49"/>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de4ed049-6ba8-4b39-9375-c55135b13228"/>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8228180a-a5b6-4e1d-b597-d4dafec1788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2bdbfca8-8919-4d7c-beec-3b73765188c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7661c84e-1411-401e-9bea-9e51764ffe00"/>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37673803-4f0c-4c91-b263-131c7eea32d6"/>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bfee57cd-13d2-4472-8e21-748d1696befb"/>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d79fb427-5f8c-4085-b484-9c40bd0cf1f4"/>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8a7bfec0-1b24-4999-b648-1baf1fe014ca"/>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f36fd916-7354-45eb-8cbd-c29239bcae0c"/>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0c5c39f9-b754-4e87-8af2-869c34eec0cf"/>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11f4af7f-05a8-4328-82eb-f8f679e4d9bf"/>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688e56a5-c371-4791-896a-85ab120fa5f7"/>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e6498023-ff51-4f80-a38f-3d7dc79cfc48"/>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c4d597b9-b29e-4b9d-b59d-ff100c2a9da5"/>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bc325a9e-24c9-4c8a-850d-100872ebb2e1"/>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1f0a32b-b10d-407a-a6de-61f357694ef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f3aa6875-f5bb-406c-849c-c8e3b4c6ce61"/>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0aeca438-9716-4bc6-98cd-051fcda2a04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07686c71-855b-4192-8f4b-847f3c87cb24"/>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3ca4f89c-b10f-45ba-81f7-ab67095b8d96"/>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b524d4c3-2e15-4660-964a-b3045bd2313c"/>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00e8805-2516-42ad-9027-f3471bf27b65"/>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8acb7da1-4873-4fa7-b843-e53bbfc7d60f"/>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f73aee8-c200-469d-a315-7c951404b98c"/>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c0dd7985-c65d-42c1-a1fa-fe30e03c4761"/>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78dc420-1101-4baa-ab6a-bf98902b3c08"/>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8ced516-4b70-47ff-8972-5257068d377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431b5931-46e3-41b2-aea8-421004d4e77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ef769a7-623f-4ec3-aac4-217c86d77b47"/>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b1ee9bed-32c5-4976-b806-605148b2e615"/>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92fe417-f34a-4864-8a5d-b04d0c2c462a"/>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4216c467-1c5e-4c2f-acd7-7ff484ec87ef"/>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2fd2c1d-6647-4fa1-9999-51b8d30082a8"/>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62574a8e-be16-4b4c-8e1b-5443990fb2a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f79b7f13-bfcb-494a-9520-63bfcc5fa736"/>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d4b9e65-6c14-4fa9-a475-91816a2541a1"/>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906e8ee-cd8e-419e-9200-7044702102da"/>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70bf477-042d-40a6-a0ea-4e27796f477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e01b8628-48d6-4ac3-b9bc-e815c0cbdd4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bfa3d5f-4d2c-42a7-9341-32358b539494"/>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be2e0c96-5ad5-4e50-a8da-0b07059a23b3"/>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50a049e6-0c4c-4551-9d3f-d04da20e785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74347084-0a52-43c2-896c-6f6254292acf"/>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18996d1c-741a-4b32-b36c-8ac4ea7530eb"/>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29551302-dccb-4050-aa49-6d2987fa1fa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2ec74f11-7339-4472-9da9-bf6d001f196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40770099-88c8-4da0-b564-f563c08f6342"/>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2a1dab39-e292-4a23-bdb0-d539550a68dd"/>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fcc3fb75-9f46-4cf9-abd3-5ceee96b5764"/>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2459a3cb-4c7d-4d41-b71b-716d19819a1d"/>
    <n v="0"/>
    <s v="urn:immetingen:compartiment:id:1"/>
    <s v="_TI-65023565"/>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e495d1b-09c8-432b-8c45-258ce8733b11"/>
    <s v="4e495d1b-09c8-432b-8c45-258ce8733b11"/>
    <s v="SIKB"/>
    <s v="MM04 04 (100-150) 05 (100-150)"/>
    <n v="45810"/>
    <s v="#_a13c9c27-ac45-4ff5-8e2b-08bc80806939"/>
    <s v="#_aaa669fb-6afe-4d07-be1a-50cef23d252b"/>
    <n v="0"/>
    <s v="urn:immetingen:compartiment:id:1"/>
    <s v="_TI-65023565"/>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ce6dc2cd-6ee7-44d2-8613-e70d54c7d312"/>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de7b390d-6d29-4fc2-ae5d-45bc8c119c1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323cbaf-7e57-463d-a589-b2f3f76f065f"/>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b1913ce-8f10-4a84-89b3-2fdf32cc79aa"/>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cd4f2f6f-af97-43b8-a900-06e243f718af"/>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49fbdf4b-7d4f-4d6a-b5b9-cd9201410a78"/>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0ed5e89-e1b5-41b5-a9d1-1352c22544e7"/>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6d2ba0c1-41bf-4d3b-aa93-d81905a08550"/>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fdd61583-13f6-43bb-96f7-ce86abd7b6be"/>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9504ce1c-1f54-413e-99a9-6c967b89da0e"/>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7eece9ad-ef92-4d11-a85a-4c45ab863d15"/>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3b4c4e3b-bec9-43ce-9959-459b0e537dd9"/>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66ff6ae2-1c35-4cd3-93a8-7d44ea9a4ad3"/>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59a56961-26c4-4d14-b10c-98967fd759f6"/>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182504d9-ab1c-4795-8408-cdc6d62fa196"/>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59362024-007e-4562-aa9e-f4b60e2ee4e6"/>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f31f0918-d287-4020-bfad-7172da6385e3"/>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c21b1980-6e25-487c-8479-6260e3a2e7c8"/>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5ce8240e-7c40-44a0-a8b6-8194c2934572"/>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af4a9bb-d3db-4b54-829b-cdfd6e7e2cb0"/>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1477bbba-4016-4797-a87a-7a2a8838812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cb2a81d-2581-4d4d-934d-8982d55bba8a"/>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9aa348b-a066-4b4b-802c-71429ac832df"/>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c7a8c7e9-2021-4261-a093-e9594eb98839"/>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3ed301e-6add-473f-9804-6e0be0720fa8"/>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e411bc2d-c0be-4e60-955f-ca7629e4ca98"/>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db14d09c-633a-443a-b078-3fd76b8b2e20"/>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c911dc74-4552-4856-a7e6-b3fe5b1a951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94eca948-f57d-4a1a-9f91-1f7b870b21c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731400c-fbb2-4b82-a9a0-e7066e7ef3b4"/>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e2a740c4-bcc7-4f06-bee5-74d2df442db1"/>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9d4fc7d-9715-4687-8abf-8127b9c44bf9"/>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1e356a8d-880e-4f71-ba7c-b2ae1769eb4c"/>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b99065b0-ca05-4476-9762-bf8a7f484436"/>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9bf33ea0-7dc1-4cac-809e-0e488916c9a6"/>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eda1819c-3eb2-4492-b4b8-de2a07a4caf7"/>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dc72abff-785f-447f-95a9-b4f036a7079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09c8c7c-1dd2-441a-a0c4-b0e5e962e18f"/>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e67e612e-698d-4c27-aed5-46e57f6404a2"/>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bb1046c7-0391-40b7-9454-f37a3bb162ea"/>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1644c892-1342-4cef-b31a-75f1295dcd33"/>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f7c2bed-654b-4b7b-bf6e-db5e07d64523"/>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996174d8-b5c7-4e07-b97a-be789db1bce8"/>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cb6fa0b-22ca-4356-9ab1-82745d943625"/>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10134bbc-f182-42d6-9e38-e38c78a866ea"/>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8e0576ba-d28e-42ff-8925-e75f0f88cf14"/>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de3272e9-86d2-48ea-8e5b-690a73b83748"/>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fdac6b24-744c-425d-94e9-5ebb600d79f9"/>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60d783d2-b186-4d27-92c1-5a6204dee375"/>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15495938-74f9-4dd4-a62e-5b8095b716e2"/>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ef2f86f9-879e-4a9c-b43d-6e4fc3cfae96"/>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368e1c9c-192e-48d9-b42c-40a51edcbc40"/>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7414c10f-39a3-44fc-b416-118db3f20264"/>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0952d15e-7792-4802-a7fc-727edf90a573"/>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bd098b04-ecb5-41c6-ba19-91e2e1f175f7"/>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d7512183-2f89-48ec-88ee-b753822b4e1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ae2a2607-d21c-4c3c-8929-f5e10cd44e82"/>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f8608ba2-06fe-4632-a705-031c8c397a90"/>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ea98ce30-b48e-40e2-a389-84dc49799fab"/>
    <n v="0"/>
    <s v="urn:immetingen:compartiment:id:1"/>
    <s v="_TI-65023564"/>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2f55274-7708-48c8-9f23-34f94e9519db"/>
    <s v="f2f55274-7708-48c8-9f23-34f94e9519db"/>
    <s v="SIKB"/>
    <s v="MM05 04 (150-200) 05 (150-200)"/>
    <n v="45810"/>
    <s v="#_a13c9c27-ac45-4ff5-8e2b-08bc80806939"/>
    <s v="#_679f615b-206f-4b50-9f52-cdf4c63d1925"/>
    <n v="0"/>
    <s v="urn:immetingen:compartiment:id:1"/>
    <s v="_TI-65023564"/>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a36b7307-7353-45bc-b8bb-c08d09291fd0"/>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7cfbc49-d1f5-45bf-8f60-b6837ce0b62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227eecc9-661e-4d3d-850f-38035e2a8c5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13de67c0-fbf0-4905-9dd3-679e61a2c3a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9cffa1f4-13ad-4a0f-9254-b007ef53f496"/>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3d315a1d-a798-4d59-929c-cf9b00c20be7"/>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b005a146-88a2-4d95-9cb3-d2c37607cd4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dc16c3b0-e0b9-490d-9408-529798ac2f7f"/>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323cb6b-9f2d-4272-9d7d-f58dfc54dc13"/>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d80a0c6-4028-4701-a553-a02e0b033bbd"/>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c24fa7b8-f47d-46b1-8e60-97d2f53efb46"/>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9a438319-d414-4c71-bcea-ee60936b0179"/>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2ce0108d-29bc-4fec-8e1b-22b96a3eecc8"/>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6249ffc9-707a-43c2-84be-89a78a9e72cd"/>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3af1f968-88ab-43c0-87e1-cb1193260442"/>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d8f9d71a-3bd8-46f5-bdd8-5b4dfdcf9494"/>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74510712-8a40-48e9-98fe-80e73af5e978"/>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3de8fd46-6a2a-471e-b195-ba033abdb568"/>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8e5aef78-5054-473d-a0a4-3e3d5f93dc7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b26ddaa9-d846-41ea-bab3-eb453d490c8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a97506e9-6dac-45b2-9801-c88522c93d77"/>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e0592d56-7541-4f72-b2e4-b66c26dbeab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f94bf791-7d8a-432d-a64a-9322b8717320"/>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78c88873-dfa2-498d-8822-64b052496593"/>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b4571428-b0d0-4ea1-af19-f14dfe61de95"/>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f8d72cef-8b53-492a-8541-3375c81e3d56"/>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714374dc-08e3-4d53-8e1d-0e37d8862a6d"/>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285c588d-bf28-403d-837c-76ed81cf0041"/>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58f858ae-176c-4673-a7b3-611bacd39ded"/>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6c359bc4-9110-4d0e-828c-68e8285726ee"/>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68606326-6b45-4ba8-b432-c73b0d858a7f"/>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2bb9cf5f-2978-4314-a9f2-462e1ad97f04"/>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a7f87ba0-c540-408e-bbc5-a4cd1d94b849"/>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7beaa33c-03c7-45af-9527-163e2c7fb916"/>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a3d72883-95c6-46cc-ba3c-4e96c4000551"/>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ba7bcd6a-bce5-4d62-8ed3-1bec287b0f2d"/>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bd854f3-111b-4b2e-9f41-b652f7a982e9"/>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ea123272-9723-4a10-924a-709a9b092d1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2fda2afe-0bee-4dfa-860f-0863ba243764"/>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429a6632-7628-4dfb-9afd-ccaa0a6f45e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69aec5f5-85c3-4114-9670-c3a5e0c46867"/>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92ba8ed5-efb6-4b83-9e8c-8921f8405e0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390915b2-dc6c-40d6-b0c1-35057ef66d0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89444f4c-81a1-4c8b-9f9e-5464ba476407"/>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10f764d5-7acb-43e6-a233-e479cecd8848"/>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70cc990-c8d6-4819-a4ff-c004b2b5170e"/>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2aee646-8867-4f45-9ae1-f5a39897e37a"/>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602c695d-f9e1-4d50-b1e6-ebb0f1d3e425"/>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9f246735-33b9-4e3e-ba95-23ae4d4ce206"/>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0cfe58a7-aed4-4d8c-b671-e2a8f957c257"/>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ec0d9663-c728-4f20-8fc1-4bd4d5ae1f30"/>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660f6169-e893-4ebd-889f-d890bf70a5b1"/>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99aa04e7-f6e6-4752-989d-61f9fdc57e72"/>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ba7321bf-8684-4a51-970d-dda789eb31ef"/>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50bca4ef-f6a2-49e1-8b46-cb0122ce642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52736e38-54ab-440e-853c-f9a9e2b3ad08"/>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cc986c64-d347-4d4c-90ba-4469fd6ddcab"/>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79741cc2-d30b-4982-aa8a-3b244bd4d227"/>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c99632b0-bdfd-43c0-b931-f00d41778a98"/>
    <n v="0"/>
    <s v="urn:immetingen:compartiment:id:1"/>
    <s v="_TI-65023568"/>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4cefbfc-c86e-49fa-99bc-0eb47d1104c4"/>
    <s v="64cefbfc-c86e-49fa-99bc-0eb47d1104c4"/>
    <s v="SIKB"/>
    <s v="MM06 04 (200-250) 04 (250-300) 05 (200-250) 05 (250-300)"/>
    <n v="45810"/>
    <s v="#_a13c9c27-ac45-4ff5-8e2b-08bc80806939"/>
    <s v="#_564cbdbd-8997-4e42-9c83-f59689922d90"/>
    <n v="0"/>
    <s v="urn:immetingen:compartiment:id:1"/>
    <s v="_TI-65023568"/>
    <n v="45810"/>
    <s v="urn:immetingen:monstertype:id:10"/>
    <s v="urn:imsikb0101:Applicaties:id:16"/>
    <s v="urn:imsikb0101:DatastroomType:id:1"/>
    <n v="45811"/>
    <s v="SGS, Rotterdam"/>
    <s v="LABRESULTAAT SGS"/>
    <n v="45811"/>
    <n v="0"/>
    <n v="0"/>
  </r>
  <r>
    <s v="LABRESULTAAT"/>
    <n v="8"/>
    <s v="_ce6dc2cd-6ee7-44d2-8613-e70d54c7d312"/>
    <s v="ce6dc2cd-6ee7-44d2-8613-e70d54c7d312"/>
    <s v="SIKB"/>
    <x v="1"/>
    <s v="www.sikb.nl"/>
    <x v="1"/>
    <s v="www.sikb.nl"/>
    <s v="urn:immetingen:parameter:id:2725"/>
    <s v="www.sikb.nl"/>
    <n v="45811"/>
    <s v="urn:immetingen:LabopdrachtStatus:id:5"/>
    <n v="1"/>
    <n v="1"/>
    <x v="1"/>
    <n v="0"/>
    <n v="0"/>
    <n v="0"/>
    <s v="immetingen:AnalyticResultType"/>
    <s v="&lt;20 mg/kgds"/>
    <n v="1"/>
    <n v="20"/>
    <n v="20"/>
    <s v="urn:immetingen:eenheid:id:58"/>
    <n v="58"/>
    <s v="urn:immetingen:kwaliteitsoordeel:id:0"/>
    <s v="www.sikb.nl"/>
    <s v="urn:immetingen:waardebewerkingsmethode:id:5"/>
    <s v="www.sikb.nl"/>
    <s v="_adb366b3-caf0-4784-b3fd-ac2b1988015c"/>
    <n v="45811.3216666666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
    <s v="_de7b390d-6d29-4fc2-ae5d-45bc8c119c1b"/>
    <s v="de7b390d-6d29-4fc2-ae5d-45bc8c119c1b"/>
    <s v="SIKB"/>
    <x v="2"/>
    <s v="www.sikb.nl"/>
    <x v="2"/>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6a3f8e01-158b-44b1-866a-c9f3b292b499"/>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
    <s v="_0323cbaf-7e57-463d-a589-b2f3f76f065f"/>
    <s v="0323cbaf-7e57-463d-a589-b2f3f76f065f"/>
    <s v="SIKB"/>
    <x v="2"/>
    <s v="www.sikb.nl"/>
    <x v="3"/>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629ae551-9d8a-4c6b-88ea-8e66dfdbc385"/>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
    <s v="_8b1913ce-8f10-4a84-89b3-2fdf32cc79aa"/>
    <s v="8b1913ce-8f10-4a84-89b3-2fdf32cc79aa"/>
    <s v="SIKB"/>
    <x v="2"/>
    <s v="www.sikb.nl"/>
    <x v="4"/>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0f144f1c-5446-4175-9423-8a8f839f1964"/>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
    <s v="_cd4f2f6f-af97-43b8-a900-06e243f718af"/>
    <s v="cd4f2f6f-af97-43b8-a900-06e243f718af"/>
    <s v="SIKB"/>
    <x v="2"/>
    <s v="www.sikb.nl"/>
    <x v="5"/>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623ec8e2-bc41-40df-890e-60c2646947eb"/>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
    <s v="_49fbdf4b-7d4f-4d6a-b5b9-cd9201410a78"/>
    <s v="49fbdf4b-7d4f-4d6a-b5b9-cd9201410a78"/>
    <s v="SIKB"/>
    <x v="2"/>
    <s v="www.sikb.nl"/>
    <x v="6"/>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55dddaf2-08c3-4bd4-8ffe-bd5ce828f6d5"/>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
    <s v="_00ed5e89-e1b5-41b5-a9d1-1352c22544e7"/>
    <s v="00ed5e89-e1b5-41b5-a9d1-1352c22544e7"/>
    <s v="SIKB"/>
    <x v="2"/>
    <s v="www.sikb.nl"/>
    <x v="7"/>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b0665858-516c-47c8-8916-27154b721648"/>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
    <s v="_6d2ba0c1-41bf-4d3b-aa93-d81905a08550"/>
    <s v="6d2ba0c1-41bf-4d3b-aa93-d81905a08550"/>
    <s v="SIKB"/>
    <x v="2"/>
    <s v="www.sikb.nl"/>
    <x v="8"/>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5c9ed31d-1215-4b45-ae85-88e77c99ffcf"/>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
    <s v="_fdd61583-13f6-43bb-96f7-ce86abd7b6be"/>
    <s v="fdd61583-13f6-43bb-96f7-ce86abd7b6be"/>
    <s v="SIKB"/>
    <x v="2"/>
    <s v="www.sikb.nl"/>
    <x v="9"/>
    <s v="www.sikb.nl"/>
    <s v="urn:immetingen:parameter:id:2725"/>
    <s v="www.sikb.nl"/>
    <n v="45811"/>
    <s v="urn:immetingen:LabopdrachtStatus:id:5"/>
    <n v="1"/>
    <n v="1"/>
    <x v="1"/>
    <n v="0"/>
    <n v="0"/>
    <n v="0"/>
    <s v="immetingen:AnalyticResultType"/>
    <s v="79.5 gew.-%"/>
    <n v="0"/>
    <n v="79.5"/>
    <n v="79.5"/>
    <s v="urn:immetingen:eenheid:id:1"/>
    <n v="1"/>
    <s v="urn:immetingen:kwaliteitsoordeel:id:0"/>
    <s v="www.sikb.nl"/>
    <s v="urn:immetingen:waardebewerkingsmethode:id:5"/>
    <s v="www.sikb.nl"/>
    <s v="_96440462-ba9d-4311-b7d8-65db104b6a41"/>
    <n v="45811.203958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
    <s v="_9504ce1c-1f54-413e-99a9-6c967b89da0e"/>
    <s v="9504ce1c-1f54-413e-99a9-6c967b89da0e"/>
    <s v="SIKB"/>
    <x v="2"/>
    <s v="www.sikb.nl"/>
    <x v="10"/>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e44dd02c-0539-4ac0-a2a6-6837cf698a9e"/>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
    <s v="_7eece9ad-ef92-4d11-a85a-4c45ab863d15"/>
    <s v="7eece9ad-ef92-4d11-a85a-4c45ab863d15"/>
    <s v="SIKB"/>
    <x v="2"/>
    <s v="www.sikb.nl"/>
    <x v="11"/>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4013dea3-5783-4fe2-97d5-7a348b5efb50"/>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9"/>
    <s v="_3b4c4e3b-bec9-43ce-9959-459b0e537dd9"/>
    <s v="3b4c4e3b-bec9-43ce-9959-459b0e537dd9"/>
    <s v="SIKB"/>
    <x v="2"/>
    <s v="www.sikb.nl"/>
    <x v="12"/>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fe7276b0-e8a5-4d14-b56c-44319bc98711"/>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0"/>
    <s v="_66ff6ae2-1c35-4cd3-93a8-7d44ea9a4ad3"/>
    <s v="66ff6ae2-1c35-4cd3-93a8-7d44ea9a4ad3"/>
    <s v="SIKB"/>
    <x v="2"/>
    <s v="www.sikb.nl"/>
    <x v="13"/>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3ceb1ec7-1dfe-46b4-956a-417592cbab50"/>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1"/>
    <s v="_59a56961-26c4-4d14-b10c-98967fd759f6"/>
    <s v="59a56961-26c4-4d14-b10c-98967fd759f6"/>
    <s v="SIKB"/>
    <x v="2"/>
    <s v="www.sikb.nl"/>
    <x v="14"/>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c3cfe6dd-5477-4ff9-9f28-d8e15a1702e1"/>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2"/>
    <s v="_182504d9-ab1c-4795-8408-cdc6d62fa196"/>
    <s v="182504d9-ab1c-4795-8408-cdc6d62fa196"/>
    <s v="SIKB"/>
    <x v="2"/>
    <s v="www.sikb.nl"/>
    <x v="15"/>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0dff5a36-b879-47e8-8d0d-f3160634da07"/>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3"/>
    <s v="_59362024-007e-4562-aa9e-f4b60e2ee4e6"/>
    <s v="59362024-007e-4562-aa9e-f4b60e2ee4e6"/>
    <s v="SIKB"/>
    <x v="2"/>
    <s v="www.sikb.nl"/>
    <x v="16"/>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ebc56409-1a25-422b-9fef-6f69a23c048d"/>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4"/>
    <s v="_f31f0918-d287-4020-bfad-7172da6385e3"/>
    <s v="f31f0918-d287-4020-bfad-7172da6385e3"/>
    <s v="SIKB"/>
    <x v="2"/>
    <s v="www.sikb.nl"/>
    <x v="17"/>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c032baee-d149-433c-aaf1-b2467d0a0178"/>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5"/>
    <s v="_c21b1980-6e25-487c-8479-6260e3a2e7c8"/>
    <s v="c21b1980-6e25-487c-8479-6260e3a2e7c8"/>
    <s v="SIKB"/>
    <x v="2"/>
    <s v="www.sikb.nl"/>
    <x v="18"/>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1c2f0a1c-7c65-4b3f-94f2-b8ada44dcfc1"/>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6"/>
    <s v="_5ce8240e-7c40-44a0-a8b6-8194c2934572"/>
    <s v="5ce8240e-7c40-44a0-a8b6-8194c2934572"/>
    <s v="SIKB"/>
    <x v="2"/>
    <s v="www.sikb.nl"/>
    <x v="19"/>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58138adb-2dce-485b-b158-380b06d006ff"/>
    <n v="45811.30936342592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7"/>
    <s v="_0af4a9bb-d3db-4b54-829b-cdfd6e7e2cb0"/>
    <s v="0af4a9bb-d3db-4b54-829b-cdfd6e7e2cb0"/>
    <s v="SIKB"/>
    <x v="3"/>
    <s v="www.sikb.nl"/>
    <x v="0"/>
    <n v="0"/>
    <s v="urn:immetingen:parameter:id:1118"/>
    <s v="www.sikb.nl"/>
    <n v="45811"/>
    <s v="urn:immetingen:LabopdrachtStatus:id:5"/>
    <n v="1"/>
    <n v="1"/>
    <x v="1"/>
    <n v="0"/>
    <n v="0"/>
    <n v="0"/>
    <s v="immetingen:AnalyticResultType"/>
    <s v="11 % vd DS"/>
    <n v="0"/>
    <n v="11"/>
    <n v="11"/>
    <s v="urn:immetingen:eenheid:id:1"/>
    <n v="1"/>
    <s v="urn:immetingen:kwaliteitsoordeel:id:0"/>
    <s v="www.sikb.nl"/>
    <s v="urn:immetingen:waardebewerkingsmethode:id:5"/>
    <s v="www.sikb.nl"/>
    <s v="_b9fca609-952f-4ea2-bb76-bda42c47b6f7"/>
    <n v="45811.54890046296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8"/>
    <s v="_1477bbba-4016-4797-a87a-7a2a8838812b"/>
    <s v="1477bbba-4016-4797-a87a-7a2a8838812b"/>
    <s v="SIKB"/>
    <x v="2"/>
    <s v="www.sikb.nl"/>
    <x v="20"/>
    <s v="www.sikb.nl"/>
    <s v="urn:immetingen:parameter:id:2725"/>
    <s v="www.sikb.nl"/>
    <n v="45811"/>
    <s v="urn:immetingen:LabopdrachtStatus:id:5"/>
    <n v="1"/>
    <n v="1"/>
    <x v="1"/>
    <n v="0"/>
    <n v="0"/>
    <n v="0"/>
    <s v="immetingen:AnalyticResultType"/>
    <s v="1.2 % vd DS"/>
    <n v="0"/>
    <n v="1.2"/>
    <n v="1.2"/>
    <s v="urn:immetingen:eenheid:id:1"/>
    <n v="1"/>
    <s v="urn:immetingen:kwaliteitsoordeel:id:0"/>
    <s v="www.sikb.nl"/>
    <s v="urn:immetingen:waardebewerkingsmethode:id:5"/>
    <s v="www.sikb.nl"/>
    <s v="_2a308ca1-2f75-4c0e-89dd-56380bd4cd73"/>
    <n v="45811.6499652777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9"/>
    <s v="_0cb2a81d-2581-4d4d-934d-8982d55bba8a"/>
    <s v="0cb2a81d-2581-4d4d-934d-8982d55bba8a"/>
    <s v="SIKB"/>
    <x v="2"/>
    <s v="www.sikb.nl"/>
    <x v="21"/>
    <s v="www.sikb.nl"/>
    <s v="urn:immetingen:parameter:id:2725"/>
    <s v="www.sikb.nl"/>
    <n v="45811"/>
    <s v="urn:immetingen:LabopdrachtStatus:id:5"/>
    <n v="1"/>
    <n v="1"/>
    <x v="1"/>
    <n v="0"/>
    <n v="0"/>
    <n v="0"/>
    <s v="immetingen:AnalyticResultType"/>
    <s v="4.9 µg/kgds"/>
    <n v="0"/>
    <n v="4.9000000000000004"/>
    <n v="4.9000000000000004"/>
    <s v="urn:immetingen:eenheid:id:131"/>
    <n v="131"/>
    <s v="urn:immetingen:kwaliteitsoordeel:id:0"/>
    <s v="www.sikb.nl"/>
    <s v="urn:immetingen:waardebewerkingsmethode:id:5"/>
    <s v="www.sikb.nl"/>
    <s v="_45038a55-7382-4240-a48e-c50f3b386687"/>
    <n v="45811.309768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0"/>
    <s v="_89aa348b-a066-4b4b-802c-71429ac832df"/>
    <s v="89aa348b-a066-4b4b-802c-71429ac832df"/>
    <s v="SIKB"/>
    <x v="2"/>
    <s v="www.sikb.nl"/>
    <x v="22"/>
    <s v="www.sikb.nl"/>
    <s v="urn:immetingen:parameter:id:2725"/>
    <s v="www.sikb.nl"/>
    <n v="45811"/>
    <s v="urn:immetingen:LabopdrachtStatus:id:5"/>
    <n v="1"/>
    <n v="1"/>
    <x v="1"/>
    <n v="0"/>
    <n v="0"/>
    <n v="0"/>
    <s v="immetingen:AnalyticResultType"/>
    <s v="0.07 mg/kgds"/>
    <n v="0"/>
    <n v="7.0000000000000007E-2"/>
    <n v="7.0000000000000007E-2"/>
    <s v="urn:immetingen:eenheid:id:58"/>
    <n v="58"/>
    <s v="urn:immetingen:kwaliteitsoordeel:id:0"/>
    <s v="www.sikb.nl"/>
    <s v="urn:immetingen:waardebewerkingsmethode:id:5"/>
    <s v="www.sikb.nl"/>
    <s v="_a6dd6275-5af9-456d-9dc3-424ce808d701"/>
    <n v="45811.309768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1"/>
    <s v="_c7a8c7e9-2021-4261-a093-e9594eb98839"/>
    <s v="c7a8c7e9-2021-4261-a093-e9594eb98839"/>
    <s v="SIKB"/>
    <x v="2"/>
    <s v="www.sikb.nl"/>
    <x v="23"/>
    <s v="www.sikb.nl"/>
    <s v="urn:immetingen:parameter:id:2725"/>
    <s v="www.sikb.nl"/>
    <n v="45811"/>
    <s v="urn:immetingen:LabopdrachtStatus:id:5"/>
    <n v="1"/>
    <n v="1"/>
    <x v="1"/>
    <n v="0"/>
    <n v="0"/>
    <n v="0"/>
    <s v="immetingen:AnalyticResultType"/>
    <s v="&lt;20 mg/kgds"/>
    <n v="1"/>
    <n v="20"/>
    <n v="20"/>
    <s v="urn:immetingen:eenheid:id:58"/>
    <n v="58"/>
    <s v="urn:immetingen:kwaliteitsoordeel:id:0"/>
    <s v="www.sikb.nl"/>
    <s v="urn:immetingen:waardebewerkingsmethode:id:5"/>
    <s v="www.sikb.nl"/>
    <s v="_c35f9651-330a-4318-a3b8-3d4e44bf4da7"/>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2"/>
    <s v="_83ed301e-6add-473f-9804-6e0be0720fa8"/>
    <s v="83ed301e-6add-473f-9804-6e0be0720fa8"/>
    <s v="SIKB"/>
    <x v="2"/>
    <s v="www.sikb.nl"/>
    <x v="24"/>
    <s v="www.sikb.nl"/>
    <s v="urn:immetingen:parameter:id:2725"/>
    <s v="www.sikb.nl"/>
    <n v="45811"/>
    <s v="urn:immetingen:LabopdrachtStatus:id:5"/>
    <n v="1"/>
    <n v="1"/>
    <x v="1"/>
    <n v="0"/>
    <n v="0"/>
    <n v="0"/>
    <s v="immetingen:AnalyticResultType"/>
    <s v="21 mg/kgds"/>
    <n v="0"/>
    <n v="21"/>
    <n v="21"/>
    <s v="urn:immetingen:eenheid:id:58"/>
    <n v="58"/>
    <s v="urn:immetingen:kwaliteitsoordeel:id:0"/>
    <s v="www.sikb.nl"/>
    <s v="urn:immetingen:waardebewerkingsmethode:id:5"/>
    <s v="www.sikb.nl"/>
    <s v="_e741f450-d379-4311-ad0f-3c9ee2cac129"/>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3"/>
    <s v="_e411bc2d-c0be-4e60-955f-ca7629e4ca98"/>
    <s v="e411bc2d-c0be-4e60-955f-ca7629e4ca98"/>
    <s v="SIKB"/>
    <x v="2"/>
    <s v="www.sikb.nl"/>
    <x v="25"/>
    <s v="www.sikb.nl"/>
    <s v="urn:immetingen:parameter:id:2725"/>
    <s v="www.sikb.nl"/>
    <n v="45811"/>
    <s v="urn:immetingen:LabopdrachtStatus:id:5"/>
    <n v="1"/>
    <n v="1"/>
    <x v="1"/>
    <n v="0"/>
    <n v="0"/>
    <n v="0"/>
    <s v="immetingen:AnalyticResultType"/>
    <s v="4.4 mg/kgds"/>
    <n v="0"/>
    <n v="4.4000000000000004"/>
    <n v="4.4000000000000004"/>
    <s v="urn:immetingen:eenheid:id:58"/>
    <n v="58"/>
    <s v="urn:immetingen:kwaliteitsoordeel:id:0"/>
    <s v="www.sikb.nl"/>
    <s v="urn:immetingen:waardebewerkingsmethode:id:5"/>
    <s v="www.sikb.nl"/>
    <s v="_df196e0a-f509-4af0-864b-c4741dcdf1c2"/>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4"/>
    <s v="_db14d09c-633a-443a-b078-3fd76b8b2e20"/>
    <s v="db14d09c-633a-443a-b078-3fd76b8b2e20"/>
    <s v="SIKB"/>
    <x v="2"/>
    <s v="www.sikb.nl"/>
    <x v="26"/>
    <s v="www.sikb.nl"/>
    <s v="urn:immetingen:parameter:id:2725"/>
    <s v="www.sikb.nl"/>
    <n v="45811"/>
    <s v="urn:immetingen:LabopdrachtStatus:id:5"/>
    <n v="1"/>
    <n v="1"/>
    <x v="1"/>
    <n v="0"/>
    <n v="0"/>
    <n v="0"/>
    <s v="immetingen:AnalyticResultType"/>
    <s v="&lt;0.2 mg/kgds"/>
    <n v="1"/>
    <n v="0.2"/>
    <n v="0.2"/>
    <s v="urn:immetingen:eenheid:id:58"/>
    <n v="58"/>
    <s v="urn:immetingen:kwaliteitsoordeel:id:0"/>
    <s v="www.sikb.nl"/>
    <s v="urn:immetingen:waardebewerkingsmethode:id:5"/>
    <s v="www.sikb.nl"/>
    <s v="_106fea4d-652c-46c6-a8df-e79b61b8dc99"/>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5"/>
    <s v="_c911dc74-4552-4856-a7e6-b3fe5b1a951b"/>
    <s v="c911dc74-4552-4856-a7e6-b3fe5b1a951b"/>
    <s v="SIKB"/>
    <x v="2"/>
    <s v="www.sikb.nl"/>
    <x v="27"/>
    <s v="www.sikb.nl"/>
    <s v="urn:immetingen:parameter:id:2725"/>
    <s v="www.sikb.nl"/>
    <n v="45811"/>
    <s v="urn:immetingen:LabopdrachtStatus:id:5"/>
    <n v="1"/>
    <n v="1"/>
    <x v="1"/>
    <n v="0"/>
    <n v="0"/>
    <n v="0"/>
    <s v="immetingen:AnalyticResultType"/>
    <s v="4.1 mg/kgds"/>
    <n v="0"/>
    <n v="4.0999999999999996"/>
    <n v="4.0999999999999996"/>
    <s v="urn:immetingen:eenheid:id:58"/>
    <n v="58"/>
    <s v="urn:immetingen:kwaliteitsoordeel:id:0"/>
    <s v="www.sikb.nl"/>
    <s v="urn:immetingen:waardebewerkingsmethode:id:5"/>
    <s v="www.sikb.nl"/>
    <s v="_13d94dc8-340b-41d2-a4a3-538a22c3513f"/>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6"/>
    <s v="_94eca948-f57d-4a1a-9f91-1f7b870b21cb"/>
    <s v="94eca948-f57d-4a1a-9f91-1f7b870b21cb"/>
    <s v="SIKB"/>
    <x v="2"/>
    <s v="www.sikb.nl"/>
    <x v="28"/>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fc87f458-9e37-4574-8c38-18ce814a7276"/>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7"/>
    <s v="_0731400c-fbb2-4b82-a9a0-e7066e7ef3b4"/>
    <s v="0731400c-fbb2-4b82-a9a0-e7066e7ef3b4"/>
    <s v="SIKB"/>
    <x v="2"/>
    <s v="www.sikb.nl"/>
    <x v="29"/>
    <s v="www.sikb.nl"/>
    <s v="urn:immetingen:parameter:id:2725"/>
    <s v="www.sikb.nl"/>
    <n v="45811"/>
    <s v="urn:immetingen:LabopdrachtStatus:id:5"/>
    <n v="1"/>
    <n v="1"/>
    <x v="1"/>
    <n v="0"/>
    <n v="0"/>
    <n v="0"/>
    <s v="immetingen:AnalyticResultType"/>
    <s v="&lt;0.05 mg/kgds"/>
    <n v="1"/>
    <n v="0.05"/>
    <n v="0.05"/>
    <s v="urn:immetingen:eenheid:id:58"/>
    <n v="58"/>
    <s v="urn:immetingen:kwaliteitsoordeel:id:0"/>
    <s v="www.sikb.nl"/>
    <s v="urn:immetingen:waardebewerkingsmethode:id:5"/>
    <s v="www.sikb.nl"/>
    <s v="_53c57913-7791-4458-8872-4cb22592fc7c"/>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8"/>
    <s v="_e2a740c4-bcc7-4f06-bee5-74d2df442db1"/>
    <s v="e2a740c4-bcc7-4f06-bee5-74d2df442db1"/>
    <s v="SIKB"/>
    <x v="2"/>
    <s v="www.sikb.nl"/>
    <x v="30"/>
    <s v="www.sikb.nl"/>
    <s v="urn:immetingen:parameter:id:2725"/>
    <s v="www.sikb.nl"/>
    <n v="45811"/>
    <s v="urn:immetingen:LabopdrachtStatus:id:5"/>
    <n v="1"/>
    <n v="1"/>
    <x v="1"/>
    <n v="0"/>
    <n v="0"/>
    <n v="0"/>
    <s v="immetingen:AnalyticResultType"/>
    <s v="&lt;1.5 mg/kgds"/>
    <n v="1"/>
    <n v="1.5"/>
    <n v="1.5"/>
    <s v="urn:immetingen:eenheid:id:58"/>
    <n v="58"/>
    <s v="urn:immetingen:kwaliteitsoordeel:id:0"/>
    <s v="www.sikb.nl"/>
    <s v="urn:immetingen:waardebewerkingsmethode:id:5"/>
    <s v="www.sikb.nl"/>
    <s v="_190f9d09-1024-44c7-bd08-5e95e17da5fc"/>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9"/>
    <s v="_89d4fc7d-9715-4687-8abf-8127b9c44bf9"/>
    <s v="89d4fc7d-9715-4687-8abf-8127b9c44bf9"/>
    <s v="SIKB"/>
    <x v="2"/>
    <s v="www.sikb.nl"/>
    <x v="31"/>
    <s v="www.sikb.nl"/>
    <s v="urn:immetingen:parameter:id:2725"/>
    <s v="www.sikb.nl"/>
    <n v="45811"/>
    <s v="urn:immetingen:LabopdrachtStatus:id:5"/>
    <n v="1"/>
    <n v="1"/>
    <x v="1"/>
    <n v="0"/>
    <n v="0"/>
    <n v="0"/>
    <s v="immetingen:AnalyticResultType"/>
    <s v="13 mg/kgds"/>
    <n v="0"/>
    <n v="13"/>
    <n v="13"/>
    <s v="urn:immetingen:eenheid:id:58"/>
    <n v="58"/>
    <s v="urn:immetingen:kwaliteitsoordeel:id:0"/>
    <s v="www.sikb.nl"/>
    <s v="urn:immetingen:waardebewerkingsmethode:id:5"/>
    <s v="www.sikb.nl"/>
    <s v="_53010179-0764-48f1-b129-21bcb03bba25"/>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0"/>
    <s v="_1e356a8d-880e-4f71-ba7c-b2ae1769eb4c"/>
    <s v="1e356a8d-880e-4f71-ba7c-b2ae1769eb4c"/>
    <s v="SIKB"/>
    <x v="2"/>
    <s v="www.sikb.nl"/>
    <x v="32"/>
    <s v="www.sikb.nl"/>
    <s v="urn:immetingen:parameter:id:2725"/>
    <s v="www.sikb.nl"/>
    <n v="45811"/>
    <s v="urn:immetingen:LabopdrachtStatus:id:5"/>
    <n v="1"/>
    <n v="1"/>
    <x v="1"/>
    <n v="0"/>
    <n v="0"/>
    <n v="0"/>
    <s v="immetingen:AnalyticResultType"/>
    <s v="&lt;10 mg/kgds"/>
    <n v="1"/>
    <n v="10"/>
    <n v="10"/>
    <s v="urn:immetingen:eenheid:id:58"/>
    <n v="58"/>
    <s v="urn:immetingen:kwaliteitsoordeel:id:0"/>
    <s v="www.sikb.nl"/>
    <s v="urn:immetingen:waardebewerkingsmethode:id:5"/>
    <s v="www.sikb.nl"/>
    <s v="_98b4ac51-cfe6-4643-a010-eb90fe8f2150"/>
    <n v="45811.6495833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1"/>
    <s v="_b99065b0-ca05-4476-9762-bf8a7f484436"/>
    <s v="b99065b0-ca05-4476-9762-bf8a7f484436"/>
    <s v="SIKB"/>
    <x v="2"/>
    <s v="www.sikb.nl"/>
    <x v="33"/>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56d9bf9-3c42-4f96-8cb3-383c2c4c8426"/>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2"/>
    <s v="_9bf33ea0-7dc1-4cac-809e-0e488916c9a6"/>
    <s v="9bf33ea0-7dc1-4cac-809e-0e488916c9a6"/>
    <s v="SIKB"/>
    <x v="2"/>
    <s v="www.sikb.nl"/>
    <x v="34"/>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1aa7c4f-52dd-458a-a957-687d2a2121d8"/>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3"/>
    <s v="_eda1819c-3eb2-4492-b4b8-de2a07a4caf7"/>
    <s v="eda1819c-3eb2-4492-b4b8-de2a07a4caf7"/>
    <s v="SIKB"/>
    <x v="2"/>
    <s v="www.sikb.nl"/>
    <x v="35"/>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ebe190bf-18a6-4fe8-bf9a-699e13ea1e7e"/>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4"/>
    <s v="_dc72abff-785f-447f-95a9-b4f036a7079b"/>
    <s v="dc72abff-785f-447f-95a9-b4f036a7079b"/>
    <s v="SIKB"/>
    <x v="2"/>
    <s v="www.sikb.nl"/>
    <x v="36"/>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b119942-aaa6-449f-a164-10687cff45ff"/>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5"/>
    <s v="_809c8c7c-1dd2-441a-a0c4-b0e5e962e18f"/>
    <s v="809c8c7c-1dd2-441a-a0c4-b0e5e962e18f"/>
    <s v="SIKB"/>
    <x v="2"/>
    <s v="www.sikb.nl"/>
    <x v="37"/>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ff243617-83d9-427b-bb25-a67f6f72a06f"/>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6"/>
    <s v="_e67e612e-698d-4c27-aed5-46e57f6404a2"/>
    <s v="e67e612e-698d-4c27-aed5-46e57f6404a2"/>
    <s v="SIKB"/>
    <x v="2"/>
    <s v="www.sikb.nl"/>
    <x v="38"/>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6c9a3d6-07e8-4908-be10-2be66f067bd9"/>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7"/>
    <s v="_bb1046c7-0391-40b7-9454-f37a3bb162ea"/>
    <s v="bb1046c7-0391-40b7-9454-f37a3bb162ea"/>
    <s v="SIKB"/>
    <x v="2"/>
    <s v="www.sikb.nl"/>
    <x v="39"/>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d0943890-6031-4e45-85ef-464201b44b3f"/>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8"/>
    <s v="_1644c892-1342-4cef-b31a-75f1295dcd33"/>
    <s v="1644c892-1342-4cef-b31a-75f1295dcd33"/>
    <s v="SIKB"/>
    <x v="2"/>
    <s v="www.sikb.nl"/>
    <x v="40"/>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e12a81bc-89e2-4a5c-931c-1e0f1e036ee8"/>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9"/>
    <s v="_8f7c2bed-654b-4b7b-bf6e-db5e07d64523"/>
    <s v="8f7c2bed-654b-4b7b-bf6e-db5e07d64523"/>
    <s v="SIKB"/>
    <x v="2"/>
    <s v="www.sikb.nl"/>
    <x v="41"/>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a4161db-6b5b-4b3c-8f51-dadaf0cab858"/>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0"/>
    <s v="_996174d8-b5c7-4e07-b97a-be789db1bce8"/>
    <s v="996174d8-b5c7-4e07-b97a-be789db1bce8"/>
    <s v="SIKB"/>
    <x v="2"/>
    <s v="www.sikb.nl"/>
    <x v="42"/>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f31c90a-81df-42c1-9d89-7048ee4893bc"/>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1"/>
    <s v="_0cb6fa0b-22ca-4356-9ab1-82745d943625"/>
    <s v="0cb6fa0b-22ca-4356-9ab1-82745d943625"/>
    <s v="SIKB"/>
    <x v="2"/>
    <s v="www.sikb.nl"/>
    <x v="43"/>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12b5d8a-e262-422b-b216-cb69ad7fa33b"/>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2"/>
    <s v="_10134bbc-f182-42d6-9e38-e38c78a866ea"/>
    <s v="10134bbc-f182-42d6-9e38-e38c78a866ea"/>
    <s v="SIKB"/>
    <x v="2"/>
    <s v="www.sikb.nl"/>
    <x v="44"/>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ec298a31-ad7d-4ad5-b2be-931194fb3608"/>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3"/>
    <s v="_8e0576ba-d28e-42ff-8925-e75f0f88cf14"/>
    <s v="8e0576ba-d28e-42ff-8925-e75f0f88cf14"/>
    <s v="SIKB"/>
    <x v="2"/>
    <s v="www.sikb.nl"/>
    <x v="45"/>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eafc9ac-5a2f-434e-8fa8-faea1f3e4d77"/>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4"/>
    <s v="_de3272e9-86d2-48ea-8e5b-690a73b83748"/>
    <s v="de3272e9-86d2-48ea-8e5b-690a73b83748"/>
    <s v="SIKB"/>
    <x v="2"/>
    <s v="www.sikb.nl"/>
    <x v="46"/>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4e1696a6-6be6-4080-81b9-4da0a3ddf393"/>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5"/>
    <s v="_fdac6b24-744c-425d-94e9-5ebb600d79f9"/>
    <s v="fdac6b24-744c-425d-94e9-5ebb600d79f9"/>
    <s v="SIKB"/>
    <x v="2"/>
    <s v="www.sikb.nl"/>
    <x v="47"/>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1cde6ec-f164-4f11-846d-6ee030376ff8"/>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6"/>
    <s v="_60d783d2-b186-4d27-92c1-5a6204dee375"/>
    <s v="60d783d2-b186-4d27-92c1-5a6204dee375"/>
    <s v="SIKB"/>
    <x v="2"/>
    <s v="www.sikb.nl"/>
    <x v="48"/>
    <s v="www.sikb.nl"/>
    <s v="urn:immetingen:parameter:id:2725"/>
    <s v="www.sikb.nl"/>
    <n v="45811"/>
    <s v="urn:immetingen:LabopdrachtStatus:id:5"/>
    <n v="1"/>
    <n v="1"/>
    <x v="1"/>
    <n v="0"/>
    <n v="0"/>
    <n v="0"/>
    <s v="immetingen:AnalyticResultType"/>
    <s v="0.1 µg/kgds"/>
    <n v="0"/>
    <n v="0.1"/>
    <n v="0.1"/>
    <s v="urn:immetingen:eenheid:id:131"/>
    <n v="131"/>
    <s v="urn:immetingen:kwaliteitsoordeel:id:0"/>
    <s v="www.sikb.nl"/>
    <s v="urn:immetingen:waardebewerkingsmethode:id:5"/>
    <s v="www.sikb.nl"/>
    <s v="_af8cdac8-44d0-4aa2-a65a-89221e5f06c0"/>
    <n v="45811.6183680555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7"/>
    <s v="_15495938-74f9-4dd4-a62e-5b8095b716e2"/>
    <s v="15495938-74f9-4dd4-a62e-5b8095b716e2"/>
    <s v="SIKB"/>
    <x v="2"/>
    <s v="www.sikb.nl"/>
    <x v="49"/>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b8a020a-cbc4-45b8-8a60-86184564c371"/>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8"/>
    <s v="_ef2f86f9-879e-4a9c-b43d-6e4fc3cfae96"/>
    <s v="ef2f86f9-879e-4a9c-b43d-6e4fc3cfae96"/>
    <s v="SIKB"/>
    <x v="2"/>
    <s v="www.sikb.nl"/>
    <x v="50"/>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c0dcfe12-3c01-4111-8db0-c66c377899fe"/>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9"/>
    <s v="_368e1c9c-192e-48d9-b42c-40a51edcbc40"/>
    <s v="368e1c9c-192e-48d9-b42c-40a51edcbc40"/>
    <s v="SIKB"/>
    <x v="2"/>
    <s v="www.sikb.nl"/>
    <x v="51"/>
    <s v="www.sikb.nl"/>
    <s v="urn:immetingen:parameter:id:2725"/>
    <s v="www.sikb.nl"/>
    <n v="45811"/>
    <s v="urn:immetingen:LabopdrachtStatus:id:5"/>
    <n v="1"/>
    <n v="1"/>
    <x v="1"/>
    <n v="0"/>
    <n v="0"/>
    <n v="0"/>
    <s v="immetingen:AnalyticResultType"/>
    <s v="0.1 µg/kgds"/>
    <n v="0"/>
    <n v="0.1"/>
    <n v="0.1"/>
    <s v="urn:immetingen:eenheid:id:131"/>
    <n v="131"/>
    <s v="urn:immetingen:kwaliteitsoordeel:id:0"/>
    <s v="www.sikb.nl"/>
    <s v="urn:immetingen:waardebewerkingsmethode:id:5"/>
    <s v="www.sikb.nl"/>
    <s v="_802f9fd6-f131-458a-a9e0-7a22539a1d8f"/>
    <n v="45811.6183680555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0"/>
    <s v="_7414c10f-39a3-44fc-b416-118db3f20264"/>
    <s v="7414c10f-39a3-44fc-b416-118db3f20264"/>
    <s v="SIKB"/>
    <x v="2"/>
    <s v="www.sikb.nl"/>
    <x v="52"/>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d3bd1a9e-7dab-46d5-bfa7-400f2a9e2711"/>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1"/>
    <s v="_0952d15e-7792-4802-a7fc-727edf90a573"/>
    <s v="0952d15e-7792-4802-a7fc-727edf90a573"/>
    <s v="SIKB"/>
    <x v="2"/>
    <s v="www.sikb.nl"/>
    <x v="53"/>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a12a3212-3353-4212-b5d9-4d6332628124"/>
    <n v="45811.6181481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2"/>
    <s v="_bd098b04-ecb5-41c6-ba19-91e2e1f175f7"/>
    <s v="bd098b04-ecb5-41c6-ba19-91e2e1f175f7"/>
    <s v="SIKB"/>
    <x v="2"/>
    <s v="www.sikb.nl"/>
    <x v="54"/>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2bb1f7bb-3a15-4388-94bc-54047c7293e7"/>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3"/>
    <s v="_d7512183-2f89-48ec-88ee-b753822b4e1b"/>
    <s v="d7512183-2f89-48ec-88ee-b753822b4e1b"/>
    <s v="SIKB"/>
    <x v="2"/>
    <s v="www.sikb.nl"/>
    <x v="55"/>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c09e86b1-164e-41cc-bcfb-db856f6fc460"/>
    <n v="45811.6181365740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4"/>
    <s v="_ae2a2607-d21c-4c3c-8929-f5e10cd44e82"/>
    <s v="ae2a2607-d21c-4c3c-8929-f5e10cd44e82"/>
    <s v="SIKB"/>
    <x v="4"/>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1d9bf51b-0807-48ca-97d8-e50127886902"/>
    <n v="45811.3215740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5"/>
    <s v="_f8608ba2-06fe-4632-a705-031c8c397a90"/>
    <s v="f8608ba2-06fe-4632-a705-031c8c397a90"/>
    <s v="SIKB"/>
    <x v="5"/>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5c304c63-dff5-488c-9868-9347ca34cffc"/>
    <n v="45811.3215740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6"/>
    <s v="_ea98ce30-b48e-40e2-a389-84dc49799fab"/>
    <s v="ea98ce30-b48e-40e2-a389-84dc49799fab"/>
    <s v="SIKB"/>
    <x v="6"/>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a8a14a97-0fc7-470c-bac9-8485900e5326"/>
    <n v="45811.3215740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7"/>
    <s v="_679f615b-206f-4b50-9f52-cdf4c63d1925"/>
    <s v="679f615b-206f-4b50-9f52-cdf4c63d1925"/>
    <s v="SIKB"/>
    <x v="7"/>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91525d15-6023-4b69-aaa4-2cbfd81de143"/>
    <n v="45811.3215740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8"/>
    <s v="_55f00512-94e3-4b53-8078-4b4792ba6247"/>
    <s v="55f00512-94e3-4b53-8078-4b4792ba6247"/>
    <s v="SIKB"/>
    <x v="1"/>
    <s v="www.sikb.nl"/>
    <x v="1"/>
    <s v="www.sikb.nl"/>
    <s v="urn:immetingen:parameter:id:2725"/>
    <s v="www.sikb.nl"/>
    <n v="45811"/>
    <s v="urn:immetingen:LabopdrachtStatus:id:5"/>
    <n v="1"/>
    <n v="1"/>
    <x v="2"/>
    <n v="0"/>
    <n v="0"/>
    <n v="0"/>
    <s v="immetingen:AnalyticResultType"/>
    <s v="&lt;20 mg/kgds"/>
    <n v="1"/>
    <n v="20"/>
    <n v="20"/>
    <s v="urn:immetingen:eenheid:id:58"/>
    <n v="58"/>
    <s v="urn:immetingen:kwaliteitsoordeel:id:0"/>
    <s v="www.sikb.nl"/>
    <s v="urn:immetingen:waardebewerkingsmethode:id:5"/>
    <s v="www.sikb.nl"/>
    <s v="_bafc8f9d-5427-460e-83ae-f2359ac5eb77"/>
    <n v="45811.32190972222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9"/>
    <s v="_e7dc3946-9714-41e3-80f9-51ad0cd40ebc"/>
    <s v="e7dc3946-9714-41e3-80f9-51ad0cd40ebc"/>
    <s v="SIKB"/>
    <x v="2"/>
    <s v="www.sikb.nl"/>
    <x v="2"/>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d00bb7ea-f007-40c8-af1c-bdba818523ba"/>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0"/>
    <s v="_d16e0444-c88b-47c7-90af-a115205c2e0c"/>
    <s v="d16e0444-c88b-47c7-90af-a115205c2e0c"/>
    <s v="SIKB"/>
    <x v="2"/>
    <s v="www.sikb.nl"/>
    <x v="3"/>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43a0c249-e062-453a-b6b0-3f54411c2ecd"/>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1"/>
    <s v="_c72f398f-9225-4fe5-a215-22a613464617"/>
    <s v="c72f398f-9225-4fe5-a215-22a613464617"/>
    <s v="SIKB"/>
    <x v="2"/>
    <s v="www.sikb.nl"/>
    <x v="4"/>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c0ad35ed-2607-485d-aff9-16e3438ad064"/>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2"/>
    <s v="_190197eb-62a7-4c1e-87b3-c64eed20d0f5"/>
    <s v="190197eb-62a7-4c1e-87b3-c64eed20d0f5"/>
    <s v="SIKB"/>
    <x v="2"/>
    <s v="www.sikb.nl"/>
    <x v="5"/>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4d10eb0c-9f05-4473-9dc8-f116069a6442"/>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3"/>
    <s v="_149a9ddd-16d6-438d-965b-3eaf92afdc46"/>
    <s v="149a9ddd-16d6-438d-965b-3eaf92afdc46"/>
    <s v="SIKB"/>
    <x v="2"/>
    <s v="www.sikb.nl"/>
    <x v="6"/>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28c3f87a-ca8f-4bf2-94f8-5e8a11a2f02f"/>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4"/>
    <s v="_01afd261-22b4-4b08-9ed9-32d4834fa97e"/>
    <s v="01afd261-22b4-4b08-9ed9-32d4834fa97e"/>
    <s v="SIKB"/>
    <x v="2"/>
    <s v="www.sikb.nl"/>
    <x v="7"/>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66126a7f-6b1c-4e12-b419-8c9f0ae2881d"/>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5"/>
    <s v="_5eceeaf7-1c1e-4012-89c3-45473674117f"/>
    <s v="5eceeaf7-1c1e-4012-89c3-45473674117f"/>
    <s v="SIKB"/>
    <x v="2"/>
    <s v="www.sikb.nl"/>
    <x v="8"/>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ea391d32-ce07-4133-9890-672adee2b05b"/>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6"/>
    <s v="_ca9c34d8-cf41-4b81-94f0-2b2d17a9ef49"/>
    <s v="ca9c34d8-cf41-4b81-94f0-2b2d17a9ef49"/>
    <s v="SIKB"/>
    <x v="2"/>
    <s v="www.sikb.nl"/>
    <x v="9"/>
    <s v="www.sikb.nl"/>
    <s v="urn:immetingen:parameter:id:2725"/>
    <s v="www.sikb.nl"/>
    <n v="45811"/>
    <s v="urn:immetingen:LabopdrachtStatus:id:5"/>
    <n v="1"/>
    <n v="1"/>
    <x v="2"/>
    <n v="0"/>
    <n v="0"/>
    <n v="0"/>
    <s v="immetingen:AnalyticResultType"/>
    <s v="78.5 gew.-%"/>
    <n v="0"/>
    <n v="78.5"/>
    <n v="78.5"/>
    <s v="urn:immetingen:eenheid:id:1"/>
    <n v="1"/>
    <s v="urn:immetingen:kwaliteitsoordeel:id:0"/>
    <s v="www.sikb.nl"/>
    <s v="urn:immetingen:waardebewerkingsmethode:id:5"/>
    <s v="www.sikb.nl"/>
    <s v="_bf907127-fd1f-43b3-acf0-61a8e6c4898d"/>
    <n v="45811.20420138888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7"/>
    <s v="_de4ed049-6ba8-4b39-9375-c55135b13228"/>
    <s v="de4ed049-6ba8-4b39-9375-c55135b13228"/>
    <s v="SIKB"/>
    <x v="2"/>
    <s v="www.sikb.nl"/>
    <x v="10"/>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7893984e-6221-4885-99d9-f93d3a7fcf14"/>
    <n v="45811.30925925925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8"/>
    <s v="_8228180a-a5b6-4e1d-b597-d4dafec17882"/>
    <s v="8228180a-a5b6-4e1d-b597-d4dafec17882"/>
    <s v="SIKB"/>
    <x v="2"/>
    <s v="www.sikb.nl"/>
    <x v="11"/>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b3a5782a-8e3e-4723-a22c-32e3ec2e8d52"/>
    <n v="45811.30925925925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9"/>
    <s v="_2bdbfca8-8919-4d7c-beec-3b73765188c3"/>
    <s v="2bdbfca8-8919-4d7c-beec-3b73765188c3"/>
    <s v="SIKB"/>
    <x v="2"/>
    <s v="www.sikb.nl"/>
    <x v="12"/>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f2eb0db8-1860-4ed2-acd5-59c496aebcef"/>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0"/>
    <s v="_7661c84e-1411-401e-9bea-9e51764ffe00"/>
    <s v="7661c84e-1411-401e-9bea-9e51764ffe00"/>
    <s v="SIKB"/>
    <x v="2"/>
    <s v="www.sikb.nl"/>
    <x v="13"/>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1361f5b8-7efa-47ea-a5d1-3c2ffe9fe275"/>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1"/>
    <s v="_37673803-4f0c-4c91-b263-131c7eea32d6"/>
    <s v="37673803-4f0c-4c91-b263-131c7eea32d6"/>
    <s v="SIKB"/>
    <x v="2"/>
    <s v="www.sikb.nl"/>
    <x v="14"/>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27e5dcbd-97e7-4e28-84d1-96a35a43bab2"/>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2"/>
    <s v="_bfee57cd-13d2-4472-8e21-748d1696befb"/>
    <s v="bfee57cd-13d2-4472-8e21-748d1696befb"/>
    <s v="SIKB"/>
    <x v="2"/>
    <s v="www.sikb.nl"/>
    <x v="15"/>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3cd454eb-8829-4e58-aca4-a7c6b167a1b2"/>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3"/>
    <s v="_d79fb427-5f8c-4085-b484-9c40bd0cf1f4"/>
    <s v="d79fb427-5f8c-4085-b484-9c40bd0cf1f4"/>
    <s v="SIKB"/>
    <x v="2"/>
    <s v="www.sikb.nl"/>
    <x v="16"/>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a31cb65e-2af5-4fad-938e-ad1d27c63da2"/>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4"/>
    <s v="_8a7bfec0-1b24-4999-b648-1baf1fe014ca"/>
    <s v="8a7bfec0-1b24-4999-b648-1baf1fe014ca"/>
    <s v="SIKB"/>
    <x v="2"/>
    <s v="www.sikb.nl"/>
    <x v="17"/>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e4bf8f87-3507-4e7b-b5e4-d1eefbd9f2f4"/>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5"/>
    <s v="_f36fd916-7354-45eb-8cbd-c29239bcae0c"/>
    <s v="f36fd916-7354-45eb-8cbd-c29239bcae0c"/>
    <s v="SIKB"/>
    <x v="2"/>
    <s v="www.sikb.nl"/>
    <x v="18"/>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260ee086-fc39-45e8-b291-4832b20741a7"/>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6"/>
    <s v="_0c5c39f9-b754-4e87-8af2-869c34eec0cf"/>
    <s v="0c5c39f9-b754-4e87-8af2-869c34eec0cf"/>
    <s v="SIKB"/>
    <x v="2"/>
    <s v="www.sikb.nl"/>
    <x v="19"/>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9c0d1961-fb37-4aff-867b-fec544240127"/>
    <n v="45811.3092708333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7"/>
    <s v="_11f4af7f-05a8-4328-82eb-f8f679e4d9bf"/>
    <s v="11f4af7f-05a8-4328-82eb-f8f679e4d9bf"/>
    <s v="SIKB"/>
    <x v="3"/>
    <s v="www.sikb.nl"/>
    <x v="0"/>
    <n v="0"/>
    <s v="urn:immetingen:parameter:id:1118"/>
    <s v="www.sikb.nl"/>
    <n v="45811"/>
    <s v="urn:immetingen:LabopdrachtStatus:id:5"/>
    <n v="1"/>
    <n v="1"/>
    <x v="2"/>
    <n v="0"/>
    <n v="0"/>
    <n v="0"/>
    <s v="immetingen:AnalyticResultType"/>
    <s v="&lt;2 % vd DS"/>
    <n v="1"/>
    <n v="2"/>
    <n v="2"/>
    <s v="urn:immetingen:eenheid:id:1"/>
    <n v="1"/>
    <s v="urn:immetingen:kwaliteitsoordeel:id:0"/>
    <s v="www.sikb.nl"/>
    <s v="urn:immetingen:waardebewerkingsmethode:id:5"/>
    <s v="www.sikb.nl"/>
    <s v="_b0310d8d-c9b7-4e7d-89c2-bb51ed0627d7"/>
    <n v="45811.2824305555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8"/>
    <s v="_688e56a5-c371-4791-896a-85ab120fa5f7"/>
    <s v="688e56a5-c371-4791-896a-85ab120fa5f7"/>
    <s v="SIKB"/>
    <x v="2"/>
    <s v="www.sikb.nl"/>
    <x v="20"/>
    <s v="www.sikb.nl"/>
    <s v="urn:immetingen:parameter:id:2725"/>
    <s v="www.sikb.nl"/>
    <n v="45811"/>
    <s v="urn:immetingen:LabopdrachtStatus:id:5"/>
    <n v="1"/>
    <n v="1"/>
    <x v="2"/>
    <n v="0"/>
    <n v="0"/>
    <n v="0"/>
    <s v="immetingen:AnalyticResultType"/>
    <s v="0.2 % vd DS"/>
    <n v="0"/>
    <n v="0.2"/>
    <n v="0.2"/>
    <s v="urn:immetingen:eenheid:id:1"/>
    <n v="1"/>
    <s v="urn:immetingen:kwaliteitsoordeel:id:0"/>
    <s v="www.sikb.nl"/>
    <s v="urn:immetingen:waardebewerkingsmethode:id:5"/>
    <s v="www.sikb.nl"/>
    <s v="_434d44cb-2e06-4fdc-a6e4-42171b6500f3"/>
    <n v="45811.6105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9"/>
    <s v="_e6498023-ff51-4f80-a38f-3d7dc79cfc48"/>
    <s v="e6498023-ff51-4f80-a38f-3d7dc79cfc48"/>
    <s v="SIKB"/>
    <x v="2"/>
    <s v="www.sikb.nl"/>
    <x v="21"/>
    <s v="www.sikb.nl"/>
    <s v="urn:immetingen:parameter:id:2725"/>
    <s v="www.sikb.nl"/>
    <n v="45811"/>
    <s v="urn:immetingen:LabopdrachtStatus:id:5"/>
    <n v="1"/>
    <n v="1"/>
    <x v="2"/>
    <n v="0"/>
    <n v="0"/>
    <n v="0"/>
    <s v="immetingen:AnalyticResultType"/>
    <s v="4.9 µg/kgds"/>
    <n v="0"/>
    <n v="4.9000000000000004"/>
    <n v="4.9000000000000004"/>
    <s v="urn:immetingen:eenheid:id:131"/>
    <n v="131"/>
    <s v="urn:immetingen:kwaliteitsoordeel:id:0"/>
    <s v="www.sikb.nl"/>
    <s v="urn:immetingen:waardebewerkingsmethode:id:5"/>
    <s v="www.sikb.nl"/>
    <s v="_7ed009a8-0824-4971-b61a-97d6616e6168"/>
    <n v="45811.30947916666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0"/>
    <s v="_c4d597b9-b29e-4b9d-b59d-ff100c2a9da5"/>
    <s v="c4d597b9-b29e-4b9d-b59d-ff100c2a9da5"/>
    <s v="SIKB"/>
    <x v="2"/>
    <s v="www.sikb.nl"/>
    <x v="22"/>
    <s v="www.sikb.nl"/>
    <s v="urn:immetingen:parameter:id:2725"/>
    <s v="www.sikb.nl"/>
    <n v="45811"/>
    <s v="urn:immetingen:LabopdrachtStatus:id:5"/>
    <n v="1"/>
    <n v="1"/>
    <x v="2"/>
    <n v="0"/>
    <n v="0"/>
    <n v="0"/>
    <s v="immetingen:AnalyticResultType"/>
    <s v="0.07 mg/kgds"/>
    <n v="0"/>
    <n v="7.0000000000000007E-2"/>
    <n v="7.0000000000000007E-2"/>
    <s v="urn:immetingen:eenheid:id:58"/>
    <n v="58"/>
    <s v="urn:immetingen:kwaliteitsoordeel:id:0"/>
    <s v="www.sikb.nl"/>
    <s v="urn:immetingen:waardebewerkingsmethode:id:5"/>
    <s v="www.sikb.nl"/>
    <s v="_d6b284eb-614f-48e9-8bca-3667a50476eb"/>
    <n v="45811.30947916666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1"/>
    <s v="_bc325a9e-24c9-4c8a-850d-100872ebb2e1"/>
    <s v="bc325a9e-24c9-4c8a-850d-100872ebb2e1"/>
    <s v="SIKB"/>
    <x v="2"/>
    <s v="www.sikb.nl"/>
    <x v="23"/>
    <s v="www.sikb.nl"/>
    <s v="urn:immetingen:parameter:id:2725"/>
    <s v="www.sikb.nl"/>
    <n v="45811"/>
    <s v="urn:immetingen:LabopdrachtStatus:id:5"/>
    <n v="1"/>
    <n v="1"/>
    <x v="2"/>
    <n v="0"/>
    <n v="0"/>
    <n v="0"/>
    <s v="immetingen:AnalyticResultType"/>
    <s v="&lt;20 mg/kgds"/>
    <n v="1"/>
    <n v="20"/>
    <n v="20"/>
    <s v="urn:immetingen:eenheid:id:58"/>
    <n v="58"/>
    <s v="urn:immetingen:kwaliteitsoordeel:id:0"/>
    <s v="www.sikb.nl"/>
    <s v="urn:immetingen:waardebewerkingsmethode:id:5"/>
    <s v="www.sikb.nl"/>
    <s v="_d0ec2679-f586-4fcd-8fd3-c1b7fb062a73"/>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2"/>
    <s v="_a1f0a32b-b10d-407a-a6de-61f357694ef3"/>
    <s v="a1f0a32b-b10d-407a-a6de-61f357694ef3"/>
    <s v="SIKB"/>
    <x v="2"/>
    <s v="www.sikb.nl"/>
    <x v="24"/>
    <s v="www.sikb.nl"/>
    <s v="urn:immetingen:parameter:id:2725"/>
    <s v="www.sikb.nl"/>
    <n v="45811"/>
    <s v="urn:immetingen:LabopdrachtStatus:id:5"/>
    <n v="1"/>
    <n v="1"/>
    <x v="2"/>
    <n v="0"/>
    <n v="0"/>
    <n v="0"/>
    <s v="immetingen:AnalyticResultType"/>
    <s v="&lt;20 mg/kgds"/>
    <n v="1"/>
    <n v="20"/>
    <n v="20"/>
    <s v="urn:immetingen:eenheid:id:58"/>
    <n v="58"/>
    <s v="urn:immetingen:kwaliteitsoordeel:id:0"/>
    <s v="www.sikb.nl"/>
    <s v="urn:immetingen:waardebewerkingsmethode:id:5"/>
    <s v="www.sikb.nl"/>
    <s v="_b9a6ba2c-0b63-43fe-99a3-0af98d3b04db"/>
    <n v="45811.6099421296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3"/>
    <s v="_f3aa6875-f5bb-406c-849c-c8e3b4c6ce61"/>
    <s v="f3aa6875-f5bb-406c-849c-c8e3b4c6ce61"/>
    <s v="SIKB"/>
    <x v="2"/>
    <s v="www.sikb.nl"/>
    <x v="25"/>
    <s v="www.sikb.nl"/>
    <s v="urn:immetingen:parameter:id:2725"/>
    <s v="www.sikb.nl"/>
    <n v="45811"/>
    <s v="urn:immetingen:LabopdrachtStatus:id:5"/>
    <n v="1"/>
    <n v="1"/>
    <x v="2"/>
    <n v="0"/>
    <n v="0"/>
    <n v="0"/>
    <s v="immetingen:AnalyticResultType"/>
    <s v="&lt;4 mg/kgds"/>
    <n v="1"/>
    <n v="4"/>
    <n v="4"/>
    <s v="urn:immetingen:eenheid:id:58"/>
    <n v="58"/>
    <s v="urn:immetingen:kwaliteitsoordeel:id:0"/>
    <s v="www.sikb.nl"/>
    <s v="urn:immetingen:waardebewerkingsmethode:id:5"/>
    <s v="www.sikb.nl"/>
    <s v="_ad38ea81-6492-4de2-814b-f6aa6589807b"/>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4"/>
    <s v="_0aeca438-9716-4bc6-98cd-051fcda2a043"/>
    <s v="0aeca438-9716-4bc6-98cd-051fcda2a043"/>
    <s v="SIKB"/>
    <x v="2"/>
    <s v="www.sikb.nl"/>
    <x v="26"/>
    <s v="www.sikb.nl"/>
    <s v="urn:immetingen:parameter:id:2725"/>
    <s v="www.sikb.nl"/>
    <n v="45811"/>
    <s v="urn:immetingen:LabopdrachtStatus:id:5"/>
    <n v="1"/>
    <n v="1"/>
    <x v="2"/>
    <n v="0"/>
    <n v="0"/>
    <n v="0"/>
    <s v="immetingen:AnalyticResultType"/>
    <s v="&lt;0.2 mg/kgds"/>
    <n v="1"/>
    <n v="0.2"/>
    <n v="0.2"/>
    <s v="urn:immetingen:eenheid:id:58"/>
    <n v="58"/>
    <s v="urn:immetingen:kwaliteitsoordeel:id:0"/>
    <s v="www.sikb.nl"/>
    <s v="urn:immetingen:waardebewerkingsmethode:id:5"/>
    <s v="www.sikb.nl"/>
    <s v="_4e805d36-10f0-44af-a3d6-5eb84585cb8f"/>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5"/>
    <s v="_07686c71-855b-4192-8f4b-847f3c87cb24"/>
    <s v="07686c71-855b-4192-8f4b-847f3c87cb24"/>
    <s v="SIKB"/>
    <x v="2"/>
    <s v="www.sikb.nl"/>
    <x v="27"/>
    <s v="www.sikb.nl"/>
    <s v="urn:immetingen:parameter:id:2725"/>
    <s v="www.sikb.nl"/>
    <n v="45811"/>
    <s v="urn:immetingen:LabopdrachtStatus:id:5"/>
    <n v="1"/>
    <n v="1"/>
    <x v="2"/>
    <n v="0"/>
    <n v="0"/>
    <n v="0"/>
    <s v="immetingen:AnalyticResultType"/>
    <s v="&lt;3 mg/kgds"/>
    <n v="1"/>
    <n v="3"/>
    <n v="3"/>
    <s v="urn:immetingen:eenheid:id:58"/>
    <n v="58"/>
    <s v="urn:immetingen:kwaliteitsoordeel:id:0"/>
    <s v="www.sikb.nl"/>
    <s v="urn:immetingen:waardebewerkingsmethode:id:5"/>
    <s v="www.sikb.nl"/>
    <s v="_ad6264a3-2b99-4815-9627-32950a1bcec0"/>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6"/>
    <s v="_3ca4f89c-b10f-45ba-81f7-ab67095b8d96"/>
    <s v="3ca4f89c-b10f-45ba-81f7-ab67095b8d96"/>
    <s v="SIKB"/>
    <x v="2"/>
    <s v="www.sikb.nl"/>
    <x v="28"/>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1c3ced56-3724-4d2b-ba80-87ebbca4d026"/>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7"/>
    <s v="_b524d4c3-2e15-4660-964a-b3045bd2313c"/>
    <s v="b524d4c3-2e15-4660-964a-b3045bd2313c"/>
    <s v="SIKB"/>
    <x v="2"/>
    <s v="www.sikb.nl"/>
    <x v="29"/>
    <s v="www.sikb.nl"/>
    <s v="urn:immetingen:parameter:id:2725"/>
    <s v="www.sikb.nl"/>
    <n v="45811"/>
    <s v="urn:immetingen:LabopdrachtStatus:id:5"/>
    <n v="1"/>
    <n v="1"/>
    <x v="2"/>
    <n v="0"/>
    <n v="0"/>
    <n v="0"/>
    <s v="immetingen:AnalyticResultType"/>
    <s v="&lt;0.05 mg/kgds"/>
    <n v="1"/>
    <n v="0.05"/>
    <n v="0.05"/>
    <s v="urn:immetingen:eenheid:id:58"/>
    <n v="58"/>
    <s v="urn:immetingen:kwaliteitsoordeel:id:0"/>
    <s v="www.sikb.nl"/>
    <s v="urn:immetingen:waardebewerkingsmethode:id:5"/>
    <s v="www.sikb.nl"/>
    <s v="_267c7a62-3509-4784-90d4-99ba0bd8e14c"/>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8"/>
    <s v="_500e8805-2516-42ad-9027-f3471bf27b65"/>
    <s v="500e8805-2516-42ad-9027-f3471bf27b65"/>
    <s v="SIKB"/>
    <x v="2"/>
    <s v="www.sikb.nl"/>
    <x v="30"/>
    <s v="www.sikb.nl"/>
    <s v="urn:immetingen:parameter:id:2725"/>
    <s v="www.sikb.nl"/>
    <n v="45811"/>
    <s v="urn:immetingen:LabopdrachtStatus:id:5"/>
    <n v="1"/>
    <n v="1"/>
    <x v="2"/>
    <n v="0"/>
    <n v="0"/>
    <n v="0"/>
    <s v="immetingen:AnalyticResultType"/>
    <s v="&lt;1.5 mg/kgds"/>
    <n v="1"/>
    <n v="1.5"/>
    <n v="1.5"/>
    <s v="urn:immetingen:eenheid:id:58"/>
    <n v="58"/>
    <s v="urn:immetingen:kwaliteitsoordeel:id:0"/>
    <s v="www.sikb.nl"/>
    <s v="urn:immetingen:waardebewerkingsmethode:id:5"/>
    <s v="www.sikb.nl"/>
    <s v="_55d06788-f48f-4b45-9195-6efbb710d6f8"/>
    <n v="45811.6099305555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9"/>
    <s v="_8acb7da1-4873-4fa7-b843-e53bbfc7d60f"/>
    <s v="8acb7da1-4873-4fa7-b843-e53bbfc7d60f"/>
    <s v="SIKB"/>
    <x v="2"/>
    <s v="www.sikb.nl"/>
    <x v="31"/>
    <s v="www.sikb.nl"/>
    <s v="urn:immetingen:parameter:id:2725"/>
    <s v="www.sikb.nl"/>
    <n v="45811"/>
    <s v="urn:immetingen:LabopdrachtStatus:id:5"/>
    <n v="1"/>
    <n v="1"/>
    <x v="2"/>
    <n v="0"/>
    <n v="0"/>
    <n v="0"/>
    <s v="immetingen:AnalyticResultType"/>
    <s v="8.0 mg/kgds"/>
    <n v="0"/>
    <n v="8"/>
    <n v="8"/>
    <s v="urn:immetingen:eenheid:id:58"/>
    <n v="58"/>
    <s v="urn:immetingen:kwaliteitsoordeel:id:0"/>
    <s v="www.sikb.nl"/>
    <s v="urn:immetingen:waardebewerkingsmethode:id:5"/>
    <s v="www.sikb.nl"/>
    <s v="_8f716e72-105e-4448-b554-443e4223e97f"/>
    <n v="45811.6099421296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0"/>
    <s v="_af73aee8-c200-469d-a315-7c951404b98c"/>
    <s v="af73aee8-c200-469d-a315-7c951404b98c"/>
    <s v="SIKB"/>
    <x v="2"/>
    <s v="www.sikb.nl"/>
    <x v="32"/>
    <s v="www.sikb.nl"/>
    <s v="urn:immetingen:parameter:id:2725"/>
    <s v="www.sikb.nl"/>
    <n v="45811"/>
    <s v="urn:immetingen:LabopdrachtStatus:id:5"/>
    <n v="1"/>
    <n v="1"/>
    <x v="2"/>
    <n v="0"/>
    <n v="0"/>
    <n v="0"/>
    <s v="immetingen:AnalyticResultType"/>
    <s v="&lt;10 mg/kgds"/>
    <n v="1"/>
    <n v="10"/>
    <n v="10"/>
    <s v="urn:immetingen:eenheid:id:58"/>
    <n v="58"/>
    <s v="urn:immetingen:kwaliteitsoordeel:id:0"/>
    <s v="www.sikb.nl"/>
    <s v="urn:immetingen:waardebewerkingsmethode:id:5"/>
    <s v="www.sikb.nl"/>
    <s v="_67016f20-bb9d-4e98-b01c-6f1789b8f4d3"/>
    <n v="45811.60994212963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1"/>
    <s v="_c0dd7985-c65d-42c1-a1fa-fe30e03c4761"/>
    <s v="c0dd7985-c65d-42c1-a1fa-fe30e03c4761"/>
    <s v="SIKB"/>
    <x v="2"/>
    <s v="www.sikb.nl"/>
    <x v="33"/>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eb4b388-8d4c-4191-bb6c-25201380f29e"/>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2"/>
    <s v="_578dc420-1101-4baa-ab6a-bf98902b3c08"/>
    <s v="578dc420-1101-4baa-ab6a-bf98902b3c08"/>
    <s v="SIKB"/>
    <x v="2"/>
    <s v="www.sikb.nl"/>
    <x v="34"/>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c9e262d-c5cf-4726-a099-309d88f03dff"/>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3"/>
    <s v="_58ced516-4b70-47ff-8972-5257068d3772"/>
    <s v="58ced516-4b70-47ff-8972-5257068d3772"/>
    <s v="SIKB"/>
    <x v="2"/>
    <s v="www.sikb.nl"/>
    <x v="35"/>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aaad20a-e56e-4a05-a869-50119ed51ae5"/>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4"/>
    <s v="_431b5931-46e3-41b2-aea8-421004d4e773"/>
    <s v="431b5931-46e3-41b2-aea8-421004d4e773"/>
    <s v="SIKB"/>
    <x v="2"/>
    <s v="www.sikb.nl"/>
    <x v="36"/>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7648703-1995-4839-910f-d6298e750a2a"/>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5"/>
    <s v="_aef769a7-623f-4ec3-aac4-217c86d77b47"/>
    <s v="aef769a7-623f-4ec3-aac4-217c86d77b47"/>
    <s v="SIKB"/>
    <x v="2"/>
    <s v="www.sikb.nl"/>
    <x v="37"/>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ea84527-c9c1-4228-8ce8-a972f290e073"/>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6"/>
    <s v="_b1ee9bed-32c5-4976-b806-605148b2e615"/>
    <s v="b1ee9bed-32c5-4976-b806-605148b2e615"/>
    <s v="SIKB"/>
    <x v="2"/>
    <s v="www.sikb.nl"/>
    <x v="38"/>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5d3cc35-bdbf-459c-9ea0-a39748d962d2"/>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7"/>
    <s v="_a92fe417-f34a-4864-8a5d-b04d0c2c462a"/>
    <s v="a92fe417-f34a-4864-8a5d-b04d0c2c462a"/>
    <s v="SIKB"/>
    <x v="2"/>
    <s v="www.sikb.nl"/>
    <x v="39"/>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bb80b2e-5aea-47b1-89e4-5f4f9b21eb18"/>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8"/>
    <s v="_4216c467-1c5e-4c2f-acd7-7ff484ec87ef"/>
    <s v="4216c467-1c5e-4c2f-acd7-7ff484ec87ef"/>
    <s v="SIKB"/>
    <x v="2"/>
    <s v="www.sikb.nl"/>
    <x v="40"/>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61c866b-d58f-41f3-a920-9e62f3be3e42"/>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9"/>
    <s v="_a2fd2c1d-6647-4fa1-9999-51b8d30082a8"/>
    <s v="a2fd2c1d-6647-4fa1-9999-51b8d30082a8"/>
    <s v="SIKB"/>
    <x v="2"/>
    <s v="www.sikb.nl"/>
    <x v="41"/>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61b3425-5c2a-401b-a800-f7d68210f960"/>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0"/>
    <s v="_62574a8e-be16-4b4c-8e1b-5443990fb2a3"/>
    <s v="62574a8e-be16-4b4c-8e1b-5443990fb2a3"/>
    <s v="SIKB"/>
    <x v="2"/>
    <s v="www.sikb.nl"/>
    <x v="42"/>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be6f79e-23b0-4e48-9a61-554b6e1a6ece"/>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1"/>
    <s v="_f79b7f13-bfcb-494a-9520-63bfcc5fa736"/>
    <s v="f79b7f13-bfcb-494a-9520-63bfcc5fa736"/>
    <s v="SIKB"/>
    <x v="2"/>
    <s v="www.sikb.nl"/>
    <x v="43"/>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f11a07a-a875-48bd-b589-58a675849bd2"/>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2"/>
    <s v="_ad4b9e65-6c14-4fa9-a475-91816a2541a1"/>
    <s v="ad4b9e65-6c14-4fa9-a475-91816a2541a1"/>
    <s v="SIKB"/>
    <x v="2"/>
    <s v="www.sikb.nl"/>
    <x v="44"/>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0ad7db4f-a7bf-4de0-9aed-2edc047c572d"/>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3"/>
    <s v="_5906e8ee-cd8e-419e-9200-7044702102da"/>
    <s v="5906e8ee-cd8e-419e-9200-7044702102da"/>
    <s v="SIKB"/>
    <x v="2"/>
    <s v="www.sikb.nl"/>
    <x v="45"/>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f864fb4-d0f0-4f31-b419-2e219f7ff6a8"/>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4"/>
    <s v="_a70bf477-042d-40a6-a0ea-4e27796f4772"/>
    <s v="a70bf477-042d-40a6-a0ea-4e27796f4772"/>
    <s v="SIKB"/>
    <x v="2"/>
    <s v="www.sikb.nl"/>
    <x v="46"/>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1ce2575-e032-460b-8380-40f3f9a6e384"/>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5"/>
    <s v="_e01b8628-48d6-4ac3-b9bc-e815c0cbdd43"/>
    <s v="e01b8628-48d6-4ac3-b9bc-e815c0cbdd43"/>
    <s v="SIKB"/>
    <x v="2"/>
    <s v="www.sikb.nl"/>
    <x v="47"/>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014de54-6e4c-442f-906c-ebfbe51f6f15"/>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6"/>
    <s v="_abfa3d5f-4d2c-42a7-9341-32358b539494"/>
    <s v="abfa3d5f-4d2c-42a7-9341-32358b539494"/>
    <s v="SIKB"/>
    <x v="2"/>
    <s v="www.sikb.nl"/>
    <x v="48"/>
    <s v="www.sikb.nl"/>
    <s v="urn:immetingen:parameter:id:2725"/>
    <s v="www.sikb.nl"/>
    <n v="45811"/>
    <s v="urn:immetingen:LabopdrachtStatus:id:5"/>
    <n v="1"/>
    <n v="1"/>
    <x v="2"/>
    <n v="0"/>
    <n v="0"/>
    <n v="0"/>
    <s v="immetingen:AnalyticResultType"/>
    <s v="0.1 µg/kgds"/>
    <n v="0"/>
    <n v="0.1"/>
    <n v="0.1"/>
    <s v="urn:immetingen:eenheid:id:131"/>
    <n v="131"/>
    <s v="urn:immetingen:kwaliteitsoordeel:id:0"/>
    <s v="www.sikb.nl"/>
    <s v="urn:immetingen:waardebewerkingsmethode:id:5"/>
    <s v="www.sikb.nl"/>
    <s v="_7a692ae2-5edf-422d-8d24-515d69b96f90"/>
    <n v="45811.6183217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7"/>
    <s v="_be2e0c96-5ad5-4e50-a8da-0b07059a23b3"/>
    <s v="be2e0c96-5ad5-4e50-a8da-0b07059a23b3"/>
    <s v="SIKB"/>
    <x v="2"/>
    <s v="www.sikb.nl"/>
    <x v="49"/>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83355fb-306b-46ed-a867-199c7dadb9cc"/>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8"/>
    <s v="_50a049e6-0c4c-4551-9d3f-d04da20e7852"/>
    <s v="50a049e6-0c4c-4551-9d3f-d04da20e7852"/>
    <s v="SIKB"/>
    <x v="2"/>
    <s v="www.sikb.nl"/>
    <x v="50"/>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dcb0f87-f9ac-4686-b508-81ca2a50d1c4"/>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9"/>
    <s v="_74347084-0a52-43c2-896c-6f6254292acf"/>
    <s v="74347084-0a52-43c2-896c-6f6254292acf"/>
    <s v="SIKB"/>
    <x v="2"/>
    <s v="www.sikb.nl"/>
    <x v="51"/>
    <s v="www.sikb.nl"/>
    <s v="urn:immetingen:parameter:id:2725"/>
    <s v="www.sikb.nl"/>
    <n v="45811"/>
    <s v="urn:immetingen:LabopdrachtStatus:id:5"/>
    <n v="1"/>
    <n v="1"/>
    <x v="2"/>
    <n v="0"/>
    <n v="0"/>
    <n v="0"/>
    <s v="immetingen:AnalyticResultType"/>
    <s v="0.1 µg/kgds"/>
    <n v="0"/>
    <n v="0.1"/>
    <n v="0.1"/>
    <s v="urn:immetingen:eenheid:id:131"/>
    <n v="131"/>
    <s v="urn:immetingen:kwaliteitsoordeel:id:0"/>
    <s v="www.sikb.nl"/>
    <s v="urn:immetingen:waardebewerkingsmethode:id:5"/>
    <s v="www.sikb.nl"/>
    <s v="_8250b3b0-277b-4814-9ca3-aacc659d0816"/>
    <n v="45811.6183217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0"/>
    <s v="_18996d1c-741a-4b32-b36c-8ac4ea7530eb"/>
    <s v="18996d1c-741a-4b32-b36c-8ac4ea7530eb"/>
    <s v="SIKB"/>
    <x v="2"/>
    <s v="www.sikb.nl"/>
    <x v="52"/>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56dfe8d-c8d0-4e6a-af68-738bdc182276"/>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1"/>
    <s v="_29551302-dccb-4050-aa49-6d2987fa1fa2"/>
    <s v="29551302-dccb-4050-aa49-6d2987fa1fa2"/>
    <s v="SIKB"/>
    <x v="2"/>
    <s v="www.sikb.nl"/>
    <x v="53"/>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2b4caf7-c36a-4a58-8cb7-71790e04df52"/>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2"/>
    <s v="_2ec74f11-7339-4472-9da9-bf6d001f1962"/>
    <s v="2ec74f11-7339-4472-9da9-bf6d001f1962"/>
    <s v="SIKB"/>
    <x v="2"/>
    <s v="www.sikb.nl"/>
    <x v="54"/>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466c7fa-30e5-4cd5-b3e8-cbd0683d0404"/>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3"/>
    <s v="_40770099-88c8-4da0-b564-f563c08f6342"/>
    <s v="40770099-88c8-4da0-b564-f563c08f6342"/>
    <s v="SIKB"/>
    <x v="2"/>
    <s v="www.sikb.nl"/>
    <x v="55"/>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e941de2b-db37-4370-8bab-8bbe9de79aee"/>
    <n v="45811.618101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4"/>
    <s v="_2a1dab39-e292-4a23-bdb0-d539550a68dd"/>
    <s v="2a1dab39-e292-4a23-bdb0-d539550a68dd"/>
    <s v="SIKB"/>
    <x v="4"/>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6b50bce0-e1ac-47bc-9d83-e8dc7cc832e6"/>
    <n v="45811.32168981481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5"/>
    <s v="_fcc3fb75-9f46-4cf9-abd3-5ceee96b5764"/>
    <s v="fcc3fb75-9f46-4cf9-abd3-5ceee96b5764"/>
    <s v="SIKB"/>
    <x v="5"/>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ed4844bf-1cc7-489a-abb9-ebb31a7827b7"/>
    <n v="45811.32168981481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6"/>
    <s v="_2459a3cb-4c7d-4d41-b71b-716d19819a1d"/>
    <s v="2459a3cb-4c7d-4d41-b71b-716d19819a1d"/>
    <s v="SIKB"/>
    <x v="6"/>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93987b1b-b801-43d6-bced-fa2ecd258d24"/>
    <n v="45811.32168981481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7"/>
    <s v="_aaa669fb-6afe-4d07-be1a-50cef23d252b"/>
    <s v="aaa669fb-6afe-4d07-be1a-50cef23d252b"/>
    <s v="SIKB"/>
    <x v="7"/>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fd75d3f6-8fbb-4150-9bf2-adbb90f7cfcb"/>
    <n v="45811.32168981481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8"/>
    <s v="_a36b7307-7353-45bc-b8bb-c08d09291fd0"/>
    <s v="a36b7307-7353-45bc-b8bb-c08d09291fd0"/>
    <s v="SIKB"/>
    <x v="1"/>
    <s v="www.sikb.nl"/>
    <x v="1"/>
    <s v="www.sikb.nl"/>
    <s v="urn:immetingen:parameter:id:2725"/>
    <s v="www.sikb.nl"/>
    <n v="45811"/>
    <s v="urn:immetingen:LabopdrachtStatus:id:5"/>
    <n v="1"/>
    <n v="1"/>
    <x v="3"/>
    <n v="0"/>
    <n v="0"/>
    <n v="0"/>
    <s v="immetingen:AnalyticResultType"/>
    <s v="&lt;20 mg/kgds"/>
    <n v="1"/>
    <n v="20"/>
    <n v="20"/>
    <s v="urn:immetingen:eenheid:id:58"/>
    <n v="58"/>
    <s v="urn:immetingen:kwaliteitsoordeel:id:0"/>
    <s v="www.sikb.nl"/>
    <s v="urn:immetingen:waardebewerkingsmethode:id:5"/>
    <s v="www.sikb.nl"/>
    <s v="_b51cb5c2-75be-4f43-ada2-143126ebdec5"/>
    <n v="45811.3216782407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9"/>
    <s v="_07cfbc49-d1f5-45bf-8f60-b6837ce0b62b"/>
    <s v="07cfbc49-d1f5-45bf-8f60-b6837ce0b62b"/>
    <s v="SIKB"/>
    <x v="2"/>
    <s v="www.sikb.nl"/>
    <x v="2"/>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a04559c3-4ef1-43b0-8a13-7ed5e2502b73"/>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0"/>
    <s v="_227eecc9-661e-4d3d-850f-38035e2a8c5a"/>
    <s v="227eecc9-661e-4d3d-850f-38035e2a8c5a"/>
    <s v="SIKB"/>
    <x v="2"/>
    <s v="www.sikb.nl"/>
    <x v="3"/>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e5b7c92c-3da2-41ad-9902-cd521941f101"/>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1"/>
    <s v="_13de67c0-fbf0-4905-9dd3-679e61a2c3aa"/>
    <s v="13de67c0-fbf0-4905-9dd3-679e61a2c3aa"/>
    <s v="SIKB"/>
    <x v="2"/>
    <s v="www.sikb.nl"/>
    <x v="4"/>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be811def-4b2c-4870-8e97-1419bf79e3aa"/>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2"/>
    <s v="_9cffa1f4-13ad-4a0f-9254-b007ef53f496"/>
    <s v="9cffa1f4-13ad-4a0f-9254-b007ef53f496"/>
    <s v="SIKB"/>
    <x v="2"/>
    <s v="www.sikb.nl"/>
    <x v="5"/>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4412a52a-8ae6-4028-a0b9-2b79b8d8080a"/>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3"/>
    <s v="_3d315a1d-a798-4d59-929c-cf9b00c20be7"/>
    <s v="3d315a1d-a798-4d59-929c-cf9b00c20be7"/>
    <s v="SIKB"/>
    <x v="2"/>
    <s v="www.sikb.nl"/>
    <x v="6"/>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8d1dd591-f093-46c7-8566-8be13b18d506"/>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4"/>
    <s v="_b005a146-88a2-4d95-9cb3-d2c37607cd4a"/>
    <s v="b005a146-88a2-4d95-9cb3-d2c37607cd4a"/>
    <s v="SIKB"/>
    <x v="2"/>
    <s v="www.sikb.nl"/>
    <x v="7"/>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28cb414e-77f0-45d3-9f37-da43b52d2df8"/>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5"/>
    <s v="_dc16c3b0-e0b9-490d-9408-529798ac2f7f"/>
    <s v="dc16c3b0-e0b9-490d-9408-529798ac2f7f"/>
    <s v="SIKB"/>
    <x v="2"/>
    <s v="www.sikb.nl"/>
    <x v="8"/>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9a36c029-69bc-4643-b146-054611315200"/>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6"/>
    <s v="_0323cb6b-9f2d-4272-9d7d-f58dfc54dc13"/>
    <s v="0323cb6b-9f2d-4272-9d7d-f58dfc54dc13"/>
    <s v="SIKB"/>
    <x v="2"/>
    <s v="www.sikb.nl"/>
    <x v="9"/>
    <s v="www.sikb.nl"/>
    <s v="urn:immetingen:parameter:id:2725"/>
    <s v="www.sikb.nl"/>
    <n v="45811"/>
    <s v="urn:immetingen:LabopdrachtStatus:id:5"/>
    <n v="1"/>
    <n v="1"/>
    <x v="3"/>
    <n v="0"/>
    <n v="0"/>
    <n v="0"/>
    <s v="immetingen:AnalyticResultType"/>
    <s v="76.9 gew.-%"/>
    <n v="0"/>
    <n v="76.900000000000006"/>
    <n v="76.900000000000006"/>
    <s v="urn:immetingen:eenheid:id:1"/>
    <n v="1"/>
    <s v="urn:immetingen:kwaliteitsoordeel:id:0"/>
    <s v="www.sikb.nl"/>
    <s v="urn:immetingen:waardebewerkingsmethode:id:5"/>
    <s v="www.sikb.nl"/>
    <s v="_41496cbc-e7fb-43b6-b493-80929350fbb5"/>
    <n v="45811.2041782407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7"/>
    <s v="_0d80a0c6-4028-4701-a553-a02e0b033bbd"/>
    <s v="0d80a0c6-4028-4701-a553-a02e0b033bbd"/>
    <s v="SIKB"/>
    <x v="2"/>
    <s v="www.sikb.nl"/>
    <x v="10"/>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2f4b4522-f4aa-4f1d-943d-c32b7741a262"/>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8"/>
    <s v="_c24fa7b8-f47d-46b1-8e60-97d2f53efb46"/>
    <s v="c24fa7b8-f47d-46b1-8e60-97d2f53efb46"/>
    <s v="SIKB"/>
    <x v="2"/>
    <s v="www.sikb.nl"/>
    <x v="11"/>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cd4b3203-38a2-4ab2-bb05-b30e6f700634"/>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9"/>
    <s v="_9a438319-d414-4c71-bcea-ee60936b0179"/>
    <s v="9a438319-d414-4c71-bcea-ee60936b0179"/>
    <s v="SIKB"/>
    <x v="2"/>
    <s v="www.sikb.nl"/>
    <x v="12"/>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781d5d3e-3352-4a45-ba62-4e885424cd5b"/>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0"/>
    <s v="_2ce0108d-29bc-4fec-8e1b-22b96a3eecc8"/>
    <s v="2ce0108d-29bc-4fec-8e1b-22b96a3eecc8"/>
    <s v="SIKB"/>
    <x v="2"/>
    <s v="www.sikb.nl"/>
    <x v="13"/>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0b1e3c6d-97e2-455e-b8af-d55c9a0d2167"/>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1"/>
    <s v="_6249ffc9-707a-43c2-84be-89a78a9e72cd"/>
    <s v="6249ffc9-707a-43c2-84be-89a78a9e72cd"/>
    <s v="SIKB"/>
    <x v="2"/>
    <s v="www.sikb.nl"/>
    <x v="14"/>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b7fd4f5d-8df7-4e9a-b6a1-3a1475e9d390"/>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2"/>
    <s v="_3af1f968-88ab-43c0-87e1-cb1193260442"/>
    <s v="3af1f968-88ab-43c0-87e1-cb1193260442"/>
    <s v="SIKB"/>
    <x v="2"/>
    <s v="www.sikb.nl"/>
    <x v="15"/>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2425b0fe-41e5-4721-b0a8-db85222a607c"/>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3"/>
    <s v="_d8f9d71a-3bd8-46f5-bdd8-5b4dfdcf9494"/>
    <s v="d8f9d71a-3bd8-46f5-bdd8-5b4dfdcf9494"/>
    <s v="SIKB"/>
    <x v="2"/>
    <s v="www.sikb.nl"/>
    <x v="16"/>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85778f3b-0d2d-441d-9fac-2133d1a987db"/>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4"/>
    <s v="_74510712-8a40-48e9-98fe-80e73af5e978"/>
    <s v="74510712-8a40-48e9-98fe-80e73af5e978"/>
    <s v="SIKB"/>
    <x v="2"/>
    <s v="www.sikb.nl"/>
    <x v="17"/>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d041d9ac-ef11-4771-9a38-fd69091cc33f"/>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5"/>
    <s v="_3de8fd46-6a2a-471e-b195-ba033abdb568"/>
    <s v="3de8fd46-6a2a-471e-b195-ba033abdb568"/>
    <s v="SIKB"/>
    <x v="2"/>
    <s v="www.sikb.nl"/>
    <x v="18"/>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266783b7-83dd-49d8-8bff-250162ce49d9"/>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6"/>
    <s v="_8e5aef78-5054-473d-a0a4-3e3d5f93dc7b"/>
    <s v="8e5aef78-5054-473d-a0a4-3e3d5f93dc7b"/>
    <s v="SIKB"/>
    <x v="2"/>
    <s v="www.sikb.nl"/>
    <x v="19"/>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8041649b-d804-44f3-8504-a8b628a6f1a7"/>
    <n v="45811.3093402777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7"/>
    <s v="_b26ddaa9-d846-41ea-bab3-eb453d490c8b"/>
    <s v="b26ddaa9-d846-41ea-bab3-eb453d490c8b"/>
    <s v="SIKB"/>
    <x v="3"/>
    <s v="www.sikb.nl"/>
    <x v="0"/>
    <n v="0"/>
    <s v="urn:immetingen:parameter:id:1118"/>
    <s v="www.sikb.nl"/>
    <n v="45811"/>
    <s v="urn:immetingen:LabopdrachtStatus:id:5"/>
    <n v="1"/>
    <n v="1"/>
    <x v="3"/>
    <n v="0"/>
    <n v="0"/>
    <n v="0"/>
    <s v="immetingen:AnalyticResultType"/>
    <s v="5.8 % vd DS"/>
    <n v="0"/>
    <n v="5.8"/>
    <n v="5.8"/>
    <s v="urn:immetingen:eenheid:id:1"/>
    <n v="1"/>
    <s v="urn:immetingen:kwaliteitsoordeel:id:0"/>
    <s v="www.sikb.nl"/>
    <s v="urn:immetingen:waardebewerkingsmethode:id:5"/>
    <s v="www.sikb.nl"/>
    <s v="_8786158e-2bc7-432c-a64d-51ddcd377d95"/>
    <n v="45811.54871527777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8"/>
    <s v="_a97506e9-6dac-45b2-9801-c88522c93d77"/>
    <s v="a97506e9-6dac-45b2-9801-c88522c93d77"/>
    <s v="SIKB"/>
    <x v="2"/>
    <s v="www.sikb.nl"/>
    <x v="20"/>
    <s v="www.sikb.nl"/>
    <s v="urn:immetingen:parameter:id:2725"/>
    <s v="www.sikb.nl"/>
    <n v="45811"/>
    <s v="urn:immetingen:LabopdrachtStatus:id:5"/>
    <n v="1"/>
    <n v="1"/>
    <x v="3"/>
    <n v="0"/>
    <n v="0"/>
    <n v="0"/>
    <s v="immetingen:AnalyticResultType"/>
    <s v="1.4 % vd DS"/>
    <n v="0"/>
    <n v="1.4"/>
    <n v="1.4"/>
    <s v="urn:immetingen:eenheid:id:1"/>
    <n v="1"/>
    <s v="urn:immetingen:kwaliteitsoordeel:id:0"/>
    <s v="www.sikb.nl"/>
    <s v="urn:immetingen:waardebewerkingsmethode:id:5"/>
    <s v="www.sikb.nl"/>
    <s v="_d246673f-fa8f-48e8-85a1-52d34de5d42c"/>
    <n v="45811.64997685185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9"/>
    <s v="_e0592d56-7541-4f72-b2e4-b66c26dbeabb"/>
    <s v="e0592d56-7541-4f72-b2e4-b66c26dbeabb"/>
    <s v="SIKB"/>
    <x v="2"/>
    <s v="www.sikb.nl"/>
    <x v="21"/>
    <s v="www.sikb.nl"/>
    <s v="urn:immetingen:parameter:id:2725"/>
    <s v="www.sikb.nl"/>
    <n v="45811"/>
    <s v="urn:immetingen:LabopdrachtStatus:id:5"/>
    <n v="1"/>
    <n v="1"/>
    <x v="3"/>
    <n v="0"/>
    <n v="0"/>
    <n v="0"/>
    <s v="immetingen:AnalyticResultType"/>
    <s v="4.9 µg/kgds"/>
    <n v="0"/>
    <n v="4.9000000000000004"/>
    <n v="4.9000000000000004"/>
    <s v="urn:immetingen:eenheid:id:131"/>
    <n v="131"/>
    <s v="urn:immetingen:kwaliteitsoordeel:id:0"/>
    <s v="www.sikb.nl"/>
    <s v="urn:immetingen:waardebewerkingsmethode:id:5"/>
    <s v="www.sikb.nl"/>
    <s v="_e96b36cb-8eb4-45b1-84cf-dd332f19aca2"/>
    <n v="45811.30952546296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0"/>
    <s v="_f94bf791-7d8a-432d-a64a-9322b8717320"/>
    <s v="f94bf791-7d8a-432d-a64a-9322b8717320"/>
    <s v="SIKB"/>
    <x v="2"/>
    <s v="www.sikb.nl"/>
    <x v="22"/>
    <s v="www.sikb.nl"/>
    <s v="urn:immetingen:parameter:id:2725"/>
    <s v="www.sikb.nl"/>
    <n v="45811"/>
    <s v="urn:immetingen:LabopdrachtStatus:id:5"/>
    <n v="1"/>
    <n v="1"/>
    <x v="3"/>
    <n v="0"/>
    <n v="0"/>
    <n v="0"/>
    <s v="immetingen:AnalyticResultType"/>
    <s v="0.07 mg/kgds"/>
    <n v="0"/>
    <n v="7.0000000000000007E-2"/>
    <n v="7.0000000000000007E-2"/>
    <s v="urn:immetingen:eenheid:id:58"/>
    <n v="58"/>
    <s v="urn:immetingen:kwaliteitsoordeel:id:0"/>
    <s v="www.sikb.nl"/>
    <s v="urn:immetingen:waardebewerkingsmethode:id:5"/>
    <s v="www.sikb.nl"/>
    <s v="_89ba6600-7391-44f4-ae74-798008fbb988"/>
    <n v="45811.30952546296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1"/>
    <s v="_78c88873-dfa2-498d-8822-64b052496593"/>
    <s v="78c88873-dfa2-498d-8822-64b052496593"/>
    <s v="SIKB"/>
    <x v="2"/>
    <s v="www.sikb.nl"/>
    <x v="23"/>
    <s v="www.sikb.nl"/>
    <s v="urn:immetingen:parameter:id:2725"/>
    <s v="www.sikb.nl"/>
    <n v="45811"/>
    <s v="urn:immetingen:LabopdrachtStatus:id:5"/>
    <n v="1"/>
    <n v="1"/>
    <x v="3"/>
    <n v="0"/>
    <n v="0"/>
    <n v="0"/>
    <s v="immetingen:AnalyticResultType"/>
    <s v="&lt;20 mg/kgds"/>
    <n v="1"/>
    <n v="20"/>
    <n v="20"/>
    <s v="urn:immetingen:eenheid:id:58"/>
    <n v="58"/>
    <s v="urn:immetingen:kwaliteitsoordeel:id:0"/>
    <s v="www.sikb.nl"/>
    <s v="urn:immetingen:waardebewerkingsmethode:id:5"/>
    <s v="www.sikb.nl"/>
    <s v="_77517b3e-ea4a-4a20-897b-652be2f9ad22"/>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2"/>
    <s v="_b4571428-b0d0-4ea1-af19-f14dfe61de95"/>
    <s v="b4571428-b0d0-4ea1-af19-f14dfe61de95"/>
    <s v="SIKB"/>
    <x v="2"/>
    <s v="www.sikb.nl"/>
    <x v="24"/>
    <s v="www.sikb.nl"/>
    <s v="urn:immetingen:parameter:id:2725"/>
    <s v="www.sikb.nl"/>
    <n v="45811"/>
    <s v="urn:immetingen:LabopdrachtStatus:id:5"/>
    <n v="1"/>
    <n v="1"/>
    <x v="3"/>
    <n v="0"/>
    <n v="0"/>
    <n v="0"/>
    <s v="immetingen:AnalyticResultType"/>
    <s v="20 mg/kgds"/>
    <n v="0"/>
    <n v="20"/>
    <n v="20"/>
    <s v="urn:immetingen:eenheid:id:58"/>
    <n v="58"/>
    <s v="urn:immetingen:kwaliteitsoordeel:id:0"/>
    <s v="www.sikb.nl"/>
    <s v="urn:immetingen:waardebewerkingsmethode:id:5"/>
    <s v="www.sikb.nl"/>
    <s v="_76340d15-51db-466a-b771-f8398ec3ee86"/>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3"/>
    <s v="_f8d72cef-8b53-492a-8541-3375c81e3d56"/>
    <s v="f8d72cef-8b53-492a-8541-3375c81e3d56"/>
    <s v="SIKB"/>
    <x v="2"/>
    <s v="www.sikb.nl"/>
    <x v="25"/>
    <s v="www.sikb.nl"/>
    <s v="urn:immetingen:parameter:id:2725"/>
    <s v="www.sikb.nl"/>
    <n v="45811"/>
    <s v="urn:immetingen:LabopdrachtStatus:id:5"/>
    <n v="1"/>
    <n v="1"/>
    <x v="3"/>
    <n v="0"/>
    <n v="0"/>
    <n v="0"/>
    <s v="immetingen:AnalyticResultType"/>
    <s v="5.0 mg/kgds"/>
    <n v="0"/>
    <n v="5"/>
    <n v="5"/>
    <s v="urn:immetingen:eenheid:id:58"/>
    <n v="58"/>
    <s v="urn:immetingen:kwaliteitsoordeel:id:0"/>
    <s v="www.sikb.nl"/>
    <s v="urn:immetingen:waardebewerkingsmethode:id:5"/>
    <s v="www.sikb.nl"/>
    <s v="_dab7c9f9-dcf1-4bba-8ed4-071e52d5b653"/>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4"/>
    <s v="_714374dc-08e3-4d53-8e1d-0e37d8862a6d"/>
    <s v="714374dc-08e3-4d53-8e1d-0e37d8862a6d"/>
    <s v="SIKB"/>
    <x v="2"/>
    <s v="www.sikb.nl"/>
    <x v="26"/>
    <s v="www.sikb.nl"/>
    <s v="urn:immetingen:parameter:id:2725"/>
    <s v="www.sikb.nl"/>
    <n v="45811"/>
    <s v="urn:immetingen:LabopdrachtStatus:id:5"/>
    <n v="1"/>
    <n v="1"/>
    <x v="3"/>
    <n v="0"/>
    <n v="0"/>
    <n v="0"/>
    <s v="immetingen:AnalyticResultType"/>
    <s v="&lt;0.2 mg/kgds"/>
    <n v="1"/>
    <n v="0.2"/>
    <n v="0.2"/>
    <s v="urn:immetingen:eenheid:id:58"/>
    <n v="58"/>
    <s v="urn:immetingen:kwaliteitsoordeel:id:0"/>
    <s v="www.sikb.nl"/>
    <s v="urn:immetingen:waardebewerkingsmethode:id:5"/>
    <s v="www.sikb.nl"/>
    <s v="_866d14d8-b6ac-4e6a-8882-00d974df5589"/>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5"/>
    <s v="_285c588d-bf28-403d-837c-76ed81cf0041"/>
    <s v="285c588d-bf28-403d-837c-76ed81cf0041"/>
    <s v="SIKB"/>
    <x v="2"/>
    <s v="www.sikb.nl"/>
    <x v="27"/>
    <s v="www.sikb.nl"/>
    <s v="urn:immetingen:parameter:id:2725"/>
    <s v="www.sikb.nl"/>
    <n v="45811"/>
    <s v="urn:immetingen:LabopdrachtStatus:id:5"/>
    <n v="1"/>
    <n v="1"/>
    <x v="3"/>
    <n v="0"/>
    <n v="0"/>
    <n v="0"/>
    <s v="immetingen:AnalyticResultType"/>
    <s v="3.4 mg/kgds"/>
    <n v="0"/>
    <n v="3.4"/>
    <n v="3.4"/>
    <s v="urn:immetingen:eenheid:id:58"/>
    <n v="58"/>
    <s v="urn:immetingen:kwaliteitsoordeel:id:0"/>
    <s v="www.sikb.nl"/>
    <s v="urn:immetingen:waardebewerkingsmethode:id:5"/>
    <s v="www.sikb.nl"/>
    <s v="_2e7df1ec-6239-449c-a1f2-816e38fd8b6c"/>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6"/>
    <s v="_58f858ae-176c-4673-a7b3-611bacd39ded"/>
    <s v="58f858ae-176c-4673-a7b3-611bacd39ded"/>
    <s v="SIKB"/>
    <x v="2"/>
    <s v="www.sikb.nl"/>
    <x v="28"/>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b298425d-9caa-4dab-9c19-21234391fd59"/>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7"/>
    <s v="_6c359bc4-9110-4d0e-828c-68e8285726ee"/>
    <s v="6c359bc4-9110-4d0e-828c-68e8285726ee"/>
    <s v="SIKB"/>
    <x v="2"/>
    <s v="www.sikb.nl"/>
    <x v="29"/>
    <s v="www.sikb.nl"/>
    <s v="urn:immetingen:parameter:id:2725"/>
    <s v="www.sikb.nl"/>
    <n v="45811"/>
    <s v="urn:immetingen:LabopdrachtStatus:id:5"/>
    <n v="1"/>
    <n v="1"/>
    <x v="3"/>
    <n v="0"/>
    <n v="0"/>
    <n v="0"/>
    <s v="immetingen:AnalyticResultType"/>
    <s v="&lt;0.05 mg/kgds"/>
    <n v="1"/>
    <n v="0.05"/>
    <n v="0.05"/>
    <s v="urn:immetingen:eenheid:id:58"/>
    <n v="58"/>
    <s v="urn:immetingen:kwaliteitsoordeel:id:0"/>
    <s v="www.sikb.nl"/>
    <s v="urn:immetingen:waardebewerkingsmethode:id:5"/>
    <s v="www.sikb.nl"/>
    <s v="_e4617691-4a6d-4d53-8a69-fcc8376a87a1"/>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8"/>
    <s v="_68606326-6b45-4ba8-b432-c73b0d858a7f"/>
    <s v="68606326-6b45-4ba8-b432-c73b0d858a7f"/>
    <s v="SIKB"/>
    <x v="2"/>
    <s v="www.sikb.nl"/>
    <x v="30"/>
    <s v="www.sikb.nl"/>
    <s v="urn:immetingen:parameter:id:2725"/>
    <s v="www.sikb.nl"/>
    <n v="45811"/>
    <s v="urn:immetingen:LabopdrachtStatus:id:5"/>
    <n v="1"/>
    <n v="1"/>
    <x v="3"/>
    <n v="0"/>
    <n v="0"/>
    <n v="0"/>
    <s v="immetingen:AnalyticResultType"/>
    <s v="&lt;1.5 mg/kgds"/>
    <n v="1"/>
    <n v="1.5"/>
    <n v="1.5"/>
    <s v="urn:immetingen:eenheid:id:58"/>
    <n v="58"/>
    <s v="urn:immetingen:kwaliteitsoordeel:id:0"/>
    <s v="www.sikb.nl"/>
    <s v="urn:immetingen:waardebewerkingsmethode:id:5"/>
    <s v="www.sikb.nl"/>
    <s v="_3af625ca-1ad1-4b59-8886-0b951d82ed33"/>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9"/>
    <s v="_2bb9cf5f-2978-4314-a9f2-462e1ad97f04"/>
    <s v="2bb9cf5f-2978-4314-a9f2-462e1ad97f04"/>
    <s v="SIKB"/>
    <x v="2"/>
    <s v="www.sikb.nl"/>
    <x v="31"/>
    <s v="www.sikb.nl"/>
    <s v="urn:immetingen:parameter:id:2725"/>
    <s v="www.sikb.nl"/>
    <n v="45811"/>
    <s v="urn:immetingen:LabopdrachtStatus:id:5"/>
    <n v="1"/>
    <n v="1"/>
    <x v="3"/>
    <n v="0"/>
    <n v="0"/>
    <n v="0"/>
    <s v="immetingen:AnalyticResultType"/>
    <s v="10 mg/kgds"/>
    <n v="0"/>
    <n v="10"/>
    <n v="10"/>
    <s v="urn:immetingen:eenheid:id:58"/>
    <n v="58"/>
    <s v="urn:immetingen:kwaliteitsoordeel:id:0"/>
    <s v="www.sikb.nl"/>
    <s v="urn:immetingen:waardebewerkingsmethode:id:5"/>
    <s v="www.sikb.nl"/>
    <s v="_817d22f1-caaf-461d-90b9-bac389245732"/>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0"/>
    <s v="_a7f87ba0-c540-408e-bbc5-a4cd1d94b849"/>
    <s v="a7f87ba0-c540-408e-bbc5-a4cd1d94b849"/>
    <s v="SIKB"/>
    <x v="2"/>
    <s v="www.sikb.nl"/>
    <x v="32"/>
    <s v="www.sikb.nl"/>
    <s v="urn:immetingen:parameter:id:2725"/>
    <s v="www.sikb.nl"/>
    <n v="45811"/>
    <s v="urn:immetingen:LabopdrachtStatus:id:5"/>
    <n v="1"/>
    <n v="1"/>
    <x v="3"/>
    <n v="0"/>
    <n v="0"/>
    <n v="0"/>
    <s v="immetingen:AnalyticResultType"/>
    <s v="&lt;10 mg/kgds"/>
    <n v="1"/>
    <n v="10"/>
    <n v="10"/>
    <s v="urn:immetingen:eenheid:id:58"/>
    <n v="58"/>
    <s v="urn:immetingen:kwaliteitsoordeel:id:0"/>
    <s v="www.sikb.nl"/>
    <s v="urn:immetingen:waardebewerkingsmethode:id:5"/>
    <s v="www.sikb.nl"/>
    <s v="_66ceb9d0-9050-4423-91e9-9d882555fd0b"/>
    <n v="45811.6496064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1"/>
    <s v="_7beaa33c-03c7-45af-9527-163e2c7fb916"/>
    <s v="7beaa33c-03c7-45af-9527-163e2c7fb916"/>
    <s v="SIKB"/>
    <x v="2"/>
    <s v="www.sikb.nl"/>
    <x v="33"/>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7e037a3-674b-4a88-9c38-5e1d50002031"/>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2"/>
    <s v="_a3d72883-95c6-46cc-ba3c-4e96c4000551"/>
    <s v="a3d72883-95c6-46cc-ba3c-4e96c4000551"/>
    <s v="SIKB"/>
    <x v="2"/>
    <s v="www.sikb.nl"/>
    <x v="34"/>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6a94397-3157-452d-859b-3a070376ed4c"/>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3"/>
    <s v="_ba7bcd6a-bce5-4d62-8ed3-1bec287b0f2d"/>
    <s v="ba7bcd6a-bce5-4d62-8ed3-1bec287b0f2d"/>
    <s v="SIKB"/>
    <x v="2"/>
    <s v="www.sikb.nl"/>
    <x v="35"/>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d41e0e71-d678-4e68-b454-b0fe5a5317aa"/>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4"/>
    <s v="_0bd854f3-111b-4b2e-9f41-b652f7a982e9"/>
    <s v="0bd854f3-111b-4b2e-9f41-b652f7a982e9"/>
    <s v="SIKB"/>
    <x v="2"/>
    <s v="www.sikb.nl"/>
    <x v="36"/>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e2ac4058-f434-479a-a149-d136a9f2a839"/>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5"/>
    <s v="_ea123272-9723-4a10-924a-709a9b092d1a"/>
    <s v="ea123272-9723-4a10-924a-709a9b092d1a"/>
    <s v="SIKB"/>
    <x v="2"/>
    <s v="www.sikb.nl"/>
    <x v="37"/>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5b4e918f-1f53-41c8-80d4-c41a778fa681"/>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6"/>
    <s v="_2fda2afe-0bee-4dfa-860f-0863ba243764"/>
    <s v="2fda2afe-0bee-4dfa-860f-0863ba243764"/>
    <s v="SIKB"/>
    <x v="2"/>
    <s v="www.sikb.nl"/>
    <x v="38"/>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12b902a-02c3-4c70-8549-a1bcc7ca4a56"/>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7"/>
    <s v="_429a6632-7628-4dfb-9afd-ccaa0a6f45ea"/>
    <s v="429a6632-7628-4dfb-9afd-ccaa0a6f45ea"/>
    <s v="SIKB"/>
    <x v="2"/>
    <s v="www.sikb.nl"/>
    <x v="39"/>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6cb197b-1539-4dec-8028-7986b45213f3"/>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8"/>
    <s v="_69aec5f5-85c3-4114-9670-c3a5e0c46867"/>
    <s v="69aec5f5-85c3-4114-9670-c3a5e0c46867"/>
    <s v="SIKB"/>
    <x v="2"/>
    <s v="www.sikb.nl"/>
    <x v="40"/>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67556a5f-e720-4f69-8f9e-e14d64e000a6"/>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9"/>
    <s v="_92ba8ed5-efb6-4b83-9e8c-8921f8405e0b"/>
    <s v="92ba8ed5-efb6-4b83-9e8c-8921f8405e0b"/>
    <s v="SIKB"/>
    <x v="2"/>
    <s v="www.sikb.nl"/>
    <x v="41"/>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1196fce-d278-4a42-a434-2eff0e358558"/>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0"/>
    <s v="_390915b2-dc6c-40d6-b0c1-35057ef66d0a"/>
    <s v="390915b2-dc6c-40d6-b0c1-35057ef66d0a"/>
    <s v="SIKB"/>
    <x v="2"/>
    <s v="www.sikb.nl"/>
    <x v="42"/>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31241a33-9a88-4e9e-869f-0d7d87db741a"/>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1"/>
    <s v="_89444f4c-81a1-4c8b-9f9e-5464ba476407"/>
    <s v="89444f4c-81a1-4c8b-9f9e-5464ba476407"/>
    <s v="SIKB"/>
    <x v="2"/>
    <s v="www.sikb.nl"/>
    <x v="43"/>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d40b326-760b-43d2-9474-2396cff64a7d"/>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2"/>
    <s v="_10f764d5-7acb-43e6-a233-e479cecd8848"/>
    <s v="10f764d5-7acb-43e6-a233-e479cecd8848"/>
    <s v="SIKB"/>
    <x v="2"/>
    <s v="www.sikb.nl"/>
    <x v="44"/>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964a595c-fdc5-477f-ab8f-41550fbc1d01"/>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3"/>
    <s v="_070cc990-c8d6-4819-a4ff-c004b2b5170e"/>
    <s v="070cc990-c8d6-4819-a4ff-c004b2b5170e"/>
    <s v="SIKB"/>
    <x v="2"/>
    <s v="www.sikb.nl"/>
    <x v="45"/>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d657ed2-1d97-481f-b8bf-f067c32daf8a"/>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4"/>
    <s v="_02aee646-8867-4f45-9ae1-f5a39897e37a"/>
    <s v="02aee646-8867-4f45-9ae1-f5a39897e37a"/>
    <s v="SIKB"/>
    <x v="2"/>
    <s v="www.sikb.nl"/>
    <x v="46"/>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792af7b-6569-46c1-8a28-3a4beb4a2544"/>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5"/>
    <s v="_602c695d-f9e1-4d50-b1e6-ebb0f1d3e425"/>
    <s v="602c695d-f9e1-4d50-b1e6-ebb0f1d3e425"/>
    <s v="SIKB"/>
    <x v="2"/>
    <s v="www.sikb.nl"/>
    <x v="47"/>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fc11b2bd-7a4b-4bd8-b0bc-605deed98ad6"/>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6"/>
    <s v="_9f246735-33b9-4e3e-ba95-23ae4d4ce206"/>
    <s v="9f246735-33b9-4e3e-ba95-23ae4d4ce206"/>
    <s v="SIKB"/>
    <x v="2"/>
    <s v="www.sikb.nl"/>
    <x v="48"/>
    <s v="www.sikb.nl"/>
    <s v="urn:immetingen:parameter:id:2725"/>
    <s v="www.sikb.nl"/>
    <n v="45811"/>
    <s v="urn:immetingen:LabopdrachtStatus:id:5"/>
    <n v="1"/>
    <n v="1"/>
    <x v="3"/>
    <n v="0"/>
    <n v="0"/>
    <n v="0"/>
    <s v="immetingen:AnalyticResultType"/>
    <s v="0.1 µg/kgds"/>
    <n v="0"/>
    <n v="0.1"/>
    <n v="0.1"/>
    <s v="urn:immetingen:eenheid:id:131"/>
    <n v="131"/>
    <s v="urn:immetingen:kwaliteitsoordeel:id:0"/>
    <s v="www.sikb.nl"/>
    <s v="urn:immetingen:waardebewerkingsmethode:id:5"/>
    <s v="www.sikb.nl"/>
    <s v="_21e683c3-372a-4c6d-972a-afe9adb788ef"/>
    <n v="45811.61848379629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7"/>
    <s v="_0cfe58a7-aed4-4d8c-b671-e2a8f957c257"/>
    <s v="0cfe58a7-aed4-4d8c-b671-e2a8f957c257"/>
    <s v="SIKB"/>
    <x v="2"/>
    <s v="www.sikb.nl"/>
    <x v="49"/>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f97f4e20-14f1-4a87-b433-f195d1cbc860"/>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8"/>
    <s v="_ec0d9663-c728-4f20-8fc1-4bd4d5ae1f30"/>
    <s v="ec0d9663-c728-4f20-8fc1-4bd4d5ae1f30"/>
    <s v="SIKB"/>
    <x v="2"/>
    <s v="www.sikb.nl"/>
    <x v="50"/>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0db105f-7a9f-4714-b8f4-69c3ea55d46d"/>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9"/>
    <s v="_660f6169-e893-4ebd-889f-d890bf70a5b1"/>
    <s v="660f6169-e893-4ebd-889f-d890bf70a5b1"/>
    <s v="SIKB"/>
    <x v="2"/>
    <s v="www.sikb.nl"/>
    <x v="51"/>
    <s v="www.sikb.nl"/>
    <s v="urn:immetingen:parameter:id:2725"/>
    <s v="www.sikb.nl"/>
    <n v="45811"/>
    <s v="urn:immetingen:LabopdrachtStatus:id:5"/>
    <n v="1"/>
    <n v="1"/>
    <x v="3"/>
    <n v="0"/>
    <n v="0"/>
    <n v="0"/>
    <s v="immetingen:AnalyticResultType"/>
    <s v="0.1 µg/kgds"/>
    <n v="0"/>
    <n v="0.1"/>
    <n v="0.1"/>
    <s v="urn:immetingen:eenheid:id:131"/>
    <n v="131"/>
    <s v="urn:immetingen:kwaliteitsoordeel:id:0"/>
    <s v="www.sikb.nl"/>
    <s v="urn:immetingen:waardebewerkingsmethode:id:5"/>
    <s v="www.sikb.nl"/>
    <s v="_5e95319a-76e2-4130-9be1-3a9d39fff734"/>
    <n v="45811.61848379629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0"/>
    <s v="_99aa04e7-f6e6-4752-989d-61f9fdc57e72"/>
    <s v="99aa04e7-f6e6-4752-989d-61f9fdc57e72"/>
    <s v="SIKB"/>
    <x v="2"/>
    <s v="www.sikb.nl"/>
    <x v="52"/>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1ea2972b-4f0e-49de-94c1-8e83ceb469c3"/>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1"/>
    <s v="_ba7321bf-8684-4a51-970d-dda789eb31ef"/>
    <s v="ba7321bf-8684-4a51-970d-dda789eb31ef"/>
    <s v="SIKB"/>
    <x v="2"/>
    <s v="www.sikb.nl"/>
    <x v="53"/>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ae341dde-4129-4e1f-b9c4-6d277dce2f96"/>
    <n v="45811.6181828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2"/>
    <s v="_50bca4ef-f6a2-49e1-8b46-cb0122ce642b"/>
    <s v="50bca4ef-f6a2-49e1-8b46-cb0122ce642b"/>
    <s v="SIKB"/>
    <x v="2"/>
    <s v="www.sikb.nl"/>
    <x v="54"/>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3b733813-ddb7-4d6b-9354-b92e56a4543b"/>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3"/>
    <s v="_52736e38-54ab-440e-853c-f9a9e2b3ad08"/>
    <s v="52736e38-54ab-440e-853c-f9a9e2b3ad08"/>
    <s v="SIKB"/>
    <x v="2"/>
    <s v="www.sikb.nl"/>
    <x v="55"/>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9aec3a12-c179-4239-8ac5-7ca97a22da6c"/>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4"/>
    <s v="_cc986c64-d347-4d4c-90ba-4469fd6ddcab"/>
    <s v="cc986c64-d347-4d4c-90ba-4469fd6ddcab"/>
    <s v="SIKB"/>
    <x v="4"/>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0a8468ce-f505-4617-b868-4cf3ce9cf3ee"/>
    <n v="45811.3215856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5"/>
    <s v="_79741cc2-d30b-4982-aa8a-3b244bd4d227"/>
    <s v="79741cc2-d30b-4982-aa8a-3b244bd4d227"/>
    <s v="SIKB"/>
    <x v="5"/>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3a5f008b-0a89-419f-9662-cdd098a1b2e5"/>
    <n v="45811.3215856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6"/>
    <s v="_c99632b0-bdfd-43c0-b931-f00d41778a98"/>
    <s v="c99632b0-bdfd-43c0-b931-f00d41778a98"/>
    <s v="SIKB"/>
    <x v="6"/>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94f621fc-c372-4a5d-a4da-ac4e921d422a"/>
    <n v="45811.3215856481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7"/>
    <s v="_564cbdbd-8997-4e42-9c83-f59689922d90"/>
    <s v="564cbdbd-8997-4e42-9c83-f59689922d90"/>
    <s v="SIKB"/>
    <x v="7"/>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770de7c6-142c-4f39-8097-bd29b9a1f57a"/>
    <n v="45811.32159722222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8"/>
    <m/>
    <x v="56"/>
    <m/>
    <m/>
    <m/>
    <m/>
    <m/>
    <m/>
    <m/>
    <x v="4"/>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0"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S1:AB10"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0">
        <item x="8"/>
        <item x="0"/>
        <item x="2"/>
        <item x="1"/>
        <item x="3"/>
        <item x="4"/>
        <item x="5"/>
        <item x="6"/>
        <item x="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2"/>
        <item x="1"/>
        <item x="3"/>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7">
    <i>
      <x v="2"/>
    </i>
    <i>
      <x v="3"/>
    </i>
    <i>
      <x v="4"/>
    </i>
    <i>
      <x v="5"/>
    </i>
    <i>
      <x v="6"/>
    </i>
    <i>
      <x v="7"/>
    </i>
    <i>
      <x v="8"/>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0"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J59"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8">
        <item x="56"/>
        <item x="0"/>
        <item x="20"/>
        <item x="9"/>
        <item x="34"/>
        <item x="44"/>
        <item x="43"/>
        <item x="52"/>
        <item x="50"/>
        <item x="51"/>
        <item x="49"/>
        <item x="33"/>
        <item x="35"/>
        <item x="37"/>
        <item x="36"/>
        <item x="39"/>
        <item x="40"/>
        <item x="41"/>
        <item x="45"/>
        <item x="46"/>
        <item x="54"/>
        <item x="53"/>
        <item x="55"/>
        <item x="42"/>
        <item x="47"/>
        <item x="48"/>
        <item x="1"/>
        <item x="2"/>
        <item x="3"/>
        <item x="4"/>
        <item x="5"/>
        <item x="6"/>
        <item x="7"/>
        <item x="8"/>
        <item x="10"/>
        <item x="11"/>
        <item x="12"/>
        <item x="13"/>
        <item x="14"/>
        <item x="15"/>
        <item x="16"/>
        <item x="17"/>
        <item x="18"/>
        <item x="19"/>
        <item x="21"/>
        <item x="22"/>
        <item x="23"/>
        <item x="24"/>
        <item x="25"/>
        <item x="26"/>
        <item x="27"/>
        <item x="28"/>
        <item x="29"/>
        <item x="30"/>
        <item x="31"/>
        <item x="32"/>
        <item x="38"/>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2"/>
        <item x="1"/>
        <item x="3"/>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5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0">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8">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204" name="GM0394" tableColumnId="4"/>
      <queryTableField id="205" name="PV27" tableColumnId="5"/>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4" xr3:uid="{F029FB6D-41D0-42EB-B06E-EBDC87AD9A83}" uniqueName="4" name="GM0394" queryTableFieldId="204"/>
    <tableColumn id="5" xr3:uid="{88A85035-7615-43F9-8506-DA91C605AC17}" uniqueName="5" name="PV27" queryTableFieldId="205"/>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49" customWidth="1"/>
    <col min="2" max="2" width="15.7109375" style="49" customWidth="1"/>
    <col min="3" max="3" width="4.7109375" style="52" customWidth="1"/>
    <col min="4" max="4" width="14.7109375" style="52" customWidth="1"/>
    <col min="5" max="5" width="4.7109375" style="52" customWidth="1"/>
    <col min="6" max="6" width="14.7109375" style="52" customWidth="1"/>
    <col min="7" max="7" width="4.7109375" style="52" customWidth="1"/>
    <col min="8" max="8" width="14.7109375" style="52" customWidth="1"/>
    <col min="9" max="10" width="8.85546875" style="49"/>
    <col min="11" max="11" width="17.140625" style="49" customWidth="1"/>
    <col min="12" max="12" width="9.85546875" style="53" customWidth="1"/>
    <col min="13" max="13" width="11.42578125" style="49" customWidth="1"/>
    <col min="14" max="14" width="17.140625" style="49" customWidth="1"/>
    <col min="15" max="15" width="11.42578125" style="49" customWidth="1"/>
    <col min="16" max="16" width="8.85546875" style="49" customWidth="1"/>
    <col min="17" max="17" width="12.28515625" style="49" customWidth="1"/>
    <col min="18" max="18" width="8.85546875" style="49" customWidth="1"/>
    <col min="19" max="23" width="8.85546875" style="66" hidden="1" customWidth="1"/>
    <col min="24" max="24" width="8.85546875" style="49" customWidth="1"/>
    <col min="25" max="16384" width="8.85546875" style="49"/>
  </cols>
  <sheetData>
    <row r="1" spans="1:24" x14ac:dyDescent="0.2">
      <c r="A1" s="66"/>
    </row>
    <row r="2" spans="1:24" x14ac:dyDescent="0.2">
      <c r="A2" s="49" t="s">
        <v>803</v>
      </c>
      <c r="S2" s="67" t="b">
        <v>1</v>
      </c>
      <c r="T2" s="67" t="b">
        <v>0</v>
      </c>
      <c r="U2" s="67" t="str">
        <f>IF(S2=TRUE,"Terrascan","MOS")</f>
        <v>Terrascan</v>
      </c>
      <c r="V2" s="67"/>
      <c r="W2" s="67"/>
      <c r="X2" s="53"/>
    </row>
    <row r="3" spans="1:24" x14ac:dyDescent="0.2">
      <c r="P3" s="53"/>
      <c r="S3" s="67" t="s">
        <v>577</v>
      </c>
      <c r="T3" s="67" t="s">
        <v>581</v>
      </c>
      <c r="U3" s="67" t="s">
        <v>576</v>
      </c>
      <c r="V3" s="67" t="s">
        <v>579</v>
      </c>
      <c r="W3" s="67" t="s">
        <v>578</v>
      </c>
      <c r="X3" s="53"/>
    </row>
    <row r="4" spans="1:24" x14ac:dyDescent="0.2">
      <c r="A4" s="49" t="s">
        <v>580</v>
      </c>
      <c r="I4" s="53"/>
      <c r="S4" s="67" t="s">
        <v>1317</v>
      </c>
      <c r="T4" s="67">
        <f>MATCH(S4,I!C$1:C$501,0)</f>
        <v>113</v>
      </c>
      <c r="U4" s="67" t="str">
        <f>INDEX(I!A$1:F$501,$T4,2)</f>
        <v>GM0394</v>
      </c>
      <c r="V4" s="67" t="str">
        <f>INDEX(I!A$1:F$501,$T4,6)</f>
        <v>Noord-Holland</v>
      </c>
      <c r="W4" s="67" t="str">
        <f>INDEX(I!A$1:F$501,$T4,5)</f>
        <v>PV27</v>
      </c>
      <c r="X4" s="53"/>
    </row>
    <row r="5" spans="1:24" x14ac:dyDescent="0.2">
      <c r="G5" s="98" t="str">
        <f>IF(E!A2="","","LET OP: voor deze gemeente is geen lokaal beleid doorgevoerd.")</f>
        <v/>
      </c>
      <c r="I5" s="53"/>
      <c r="S5" s="67" t="s">
        <v>2006</v>
      </c>
      <c r="T5" s="67"/>
      <c r="U5" s="67" t="str">
        <f>IF(T6=TRUE,"GM9999",U4)</f>
        <v>GM0394</v>
      </c>
      <c r="V5" s="67"/>
      <c r="W5" s="67"/>
      <c r="X5" s="53"/>
    </row>
    <row r="6" spans="1:24" ht="12.75" customHeight="1" x14ac:dyDescent="0.2">
      <c r="A6" s="49" t="s">
        <v>2005</v>
      </c>
      <c r="G6" s="98" t="str">
        <f>IF(E!A2="","","Er is getoetst aan het generieke beleid.")</f>
        <v/>
      </c>
      <c r="P6" s="53"/>
      <c r="S6" s="67" t="b">
        <v>1</v>
      </c>
      <c r="T6" s="67" t="b">
        <v>0</v>
      </c>
      <c r="U6" s="67"/>
      <c r="V6" s="67"/>
      <c r="W6" s="67"/>
      <c r="X6" s="53"/>
    </row>
    <row r="7" spans="1:24" ht="12.75" customHeight="1" x14ac:dyDescent="0.2">
      <c r="S7" s="67"/>
      <c r="T7" s="67"/>
      <c r="U7" s="67"/>
      <c r="V7" s="67"/>
      <c r="W7" s="67"/>
      <c r="X7" s="53"/>
    </row>
    <row r="8" spans="1:24" x14ac:dyDescent="0.2">
      <c r="A8" s="49" t="s">
        <v>497</v>
      </c>
      <c r="C8" s="190" t="s">
        <v>2423</v>
      </c>
      <c r="D8" s="190"/>
      <c r="E8" s="50" t="s">
        <v>498</v>
      </c>
      <c r="F8" s="50"/>
      <c r="G8" s="51"/>
      <c r="S8" s="67" t="str">
        <f>CONCATENATE(C8,".xml")</f>
        <v>n.xml</v>
      </c>
      <c r="T8" s="67"/>
      <c r="U8" s="67"/>
      <c r="V8" s="67"/>
      <c r="W8" s="67"/>
      <c r="X8" s="53"/>
    </row>
    <row r="9" spans="1:24" ht="12.75" customHeight="1" x14ac:dyDescent="0.2">
      <c r="S9" s="67"/>
      <c r="T9" s="67"/>
      <c r="U9" s="67"/>
      <c r="V9" s="67"/>
      <c r="W9" s="67"/>
      <c r="X9" s="53"/>
    </row>
    <row r="10" spans="1:24" ht="10.15" customHeight="1" x14ac:dyDescent="0.2">
      <c r="A10" s="53" t="s">
        <v>537</v>
      </c>
      <c r="B10" s="177">
        <v>2</v>
      </c>
      <c r="C10" s="53"/>
      <c r="D10" s="53"/>
      <c r="E10" s="53"/>
      <c r="F10" s="53"/>
      <c r="G10" s="53"/>
      <c r="H10" s="53"/>
      <c r="I10" s="53"/>
    </row>
    <row r="11" spans="1:24" x14ac:dyDescent="0.2">
      <c r="A11" s="53" t="s">
        <v>215</v>
      </c>
      <c r="B11" s="177">
        <v>2</v>
      </c>
      <c r="C11" s="193" t="s">
        <v>216</v>
      </c>
      <c r="D11" s="193"/>
      <c r="E11" s="181">
        <v>2</v>
      </c>
      <c r="F11" s="181"/>
      <c r="G11" s="53"/>
      <c r="H11" s="53"/>
      <c r="I11" s="53"/>
    </row>
    <row r="13" spans="1:24" x14ac:dyDescent="0.2">
      <c r="A13" s="184" t="str">
        <f>IF(E11=1,CONCATENATE("Bijlage ",B10,". Analyseresultaten en toetsing grond"),CONCATENATE("Bijlage ",B10,". Analyseresultaten en toetsing grond ","(",B11,"/",E11,")"))</f>
        <v>Bijlage 2. Analyseresultaten en toetsing grond (2/2)</v>
      </c>
      <c r="B13" s="184"/>
      <c r="C13" s="184"/>
      <c r="D13" s="184"/>
      <c r="E13" s="184"/>
      <c r="F13" s="184"/>
      <c r="G13" s="184"/>
      <c r="H13" s="184"/>
      <c r="I13" s="184"/>
    </row>
    <row r="14" spans="1:24" x14ac:dyDescent="0.2">
      <c r="A14" s="184" t="str">
        <f ca="1">CONCATENATE(D!C9," ",D!C11)</f>
        <v>T.25.13603 GOH 09-27, HWA onder baan</v>
      </c>
      <c r="B14" s="184"/>
      <c r="C14" s="184"/>
      <c r="D14" s="184"/>
      <c r="E14" s="184"/>
      <c r="F14" s="184"/>
      <c r="G14" s="184"/>
      <c r="H14" s="184"/>
      <c r="I14" s="184"/>
    </row>
    <row r="16" spans="1:24" x14ac:dyDescent="0.2">
      <c r="A16" s="49" t="s">
        <v>60</v>
      </c>
      <c r="C16" s="185">
        <v>1</v>
      </c>
      <c r="D16" s="186"/>
      <c r="E16" s="191">
        <v>2</v>
      </c>
      <c r="F16" s="186"/>
      <c r="G16" s="191">
        <v>3</v>
      </c>
      <c r="H16" s="185"/>
    </row>
    <row r="17" spans="1:20" x14ac:dyDescent="0.2">
      <c r="C17" s="54">
        <f t="shared" ref="C17:G17" si="0">IF(C16=0,99,C16)</f>
        <v>1</v>
      </c>
      <c r="D17" s="54"/>
      <c r="E17" s="54">
        <f t="shared" si="0"/>
        <v>2</v>
      </c>
      <c r="F17" s="54"/>
      <c r="G17" s="54">
        <f t="shared" si="0"/>
        <v>3</v>
      </c>
      <c r="H17" s="54"/>
    </row>
    <row r="18" spans="1:20" x14ac:dyDescent="0.2">
      <c r="A18" s="49" t="s">
        <v>59</v>
      </c>
      <c r="C18" s="187" t="str">
        <f>IFERROR(D!E32,"")</f>
        <v>MM04</v>
      </c>
      <c r="D18" s="188"/>
      <c r="E18" s="192" t="str">
        <f>IFERROR(D!E33,"")</f>
        <v>MM05</v>
      </c>
      <c r="F18" s="188"/>
      <c r="G18" s="192" t="str">
        <f>IFERROR(D!E34,"")</f>
        <v>MM06</v>
      </c>
      <c r="H18" s="187"/>
    </row>
    <row r="19" spans="1:20" x14ac:dyDescent="0.2">
      <c r="C19" s="55"/>
      <c r="D19" s="55"/>
      <c r="E19" s="55"/>
      <c r="F19" s="55"/>
      <c r="G19" s="55"/>
      <c r="H19" s="55"/>
    </row>
    <row r="20" spans="1:20" x14ac:dyDescent="0.2">
      <c r="A20" s="49" t="s">
        <v>33</v>
      </c>
      <c r="C20" s="182"/>
      <c r="D20" s="183"/>
      <c r="E20" s="189"/>
      <c r="F20" s="183"/>
      <c r="G20" s="189"/>
      <c r="H20" s="182"/>
    </row>
    <row r="21" spans="1:20" x14ac:dyDescent="0.2">
      <c r="C21" s="182"/>
      <c r="D21" s="183"/>
      <c r="E21" s="189"/>
      <c r="F21" s="183"/>
      <c r="G21" s="189"/>
      <c r="H21" s="182"/>
    </row>
    <row r="22" spans="1:20" x14ac:dyDescent="0.2">
      <c r="C22" s="56"/>
      <c r="D22" s="56"/>
      <c r="E22" s="56"/>
      <c r="F22" s="56"/>
      <c r="G22" s="56"/>
      <c r="H22" s="56"/>
    </row>
    <row r="23" spans="1:20" x14ac:dyDescent="0.2">
      <c r="A23" s="49" t="s">
        <v>36</v>
      </c>
      <c r="C23" s="182" t="s">
        <v>3254</v>
      </c>
      <c r="D23" s="183"/>
      <c r="E23" s="189" t="s">
        <v>3255</v>
      </c>
      <c r="F23" s="183"/>
      <c r="G23" s="189" t="s">
        <v>3255</v>
      </c>
      <c r="H23" s="182"/>
      <c r="T23" s="67"/>
    </row>
    <row r="24" spans="1:20" x14ac:dyDescent="0.2">
      <c r="C24" s="182" t="s">
        <v>3253</v>
      </c>
      <c r="D24" s="183"/>
      <c r="E24" s="189"/>
      <c r="F24" s="183"/>
      <c r="G24" s="189"/>
      <c r="H24" s="182"/>
      <c r="T24" s="67"/>
    </row>
    <row r="25" spans="1:20" x14ac:dyDescent="0.2">
      <c r="C25" s="57"/>
      <c r="D25" s="57"/>
      <c r="E25" s="57"/>
      <c r="F25" s="57"/>
      <c r="G25" s="57"/>
      <c r="H25" s="57"/>
      <c r="K25" s="51" t="s">
        <v>1317</v>
      </c>
      <c r="T25" s="67"/>
    </row>
    <row r="26" spans="1:20" x14ac:dyDescent="0.2">
      <c r="C26" s="57" t="s">
        <v>237</v>
      </c>
      <c r="D26" s="57" t="s">
        <v>417</v>
      </c>
      <c r="E26" s="57" t="s">
        <v>237</v>
      </c>
      <c r="F26" s="57" t="s">
        <v>417</v>
      </c>
      <c r="G26" s="57" t="s">
        <v>237</v>
      </c>
      <c r="H26" s="57" t="s">
        <v>417</v>
      </c>
      <c r="T26" s="67"/>
    </row>
    <row r="27" spans="1:20" x14ac:dyDescent="0.2">
      <c r="A27" s="49" t="s">
        <v>43</v>
      </c>
      <c r="C27" s="178" t="str">
        <f>IFERROR(IF(VLOOKUP(F!$C8,'C'!$A$1:$N$1998,3,FALSE)=1,"&lt;",""),"")</f>
        <v/>
      </c>
      <c r="D27" s="179">
        <f>IFERROR(VLOOKUP(F!$C8,'C'!$A$1:$N$1998,2,FALSE),0)</f>
        <v>0.2</v>
      </c>
      <c r="E27" s="180" t="str">
        <f>IFERROR(IF(VLOOKUP(F!$C8,'C'!$A$1:$N$1998,6,FALSE)=1,"&lt;",""),"")</f>
        <v/>
      </c>
      <c r="F27" s="179">
        <f>IFERROR(VLOOKUP(F!$C8,'C'!$A$1:$N$1998,5,FALSE),0)</f>
        <v>1.2</v>
      </c>
      <c r="G27" s="180" t="str">
        <f>IFERROR(IF(VLOOKUP(F!$C8,'C'!$A$1:$N$1998,9,FALSE)=1,"&lt;",""),"")</f>
        <v/>
      </c>
      <c r="H27" s="178">
        <f>IFERROR(VLOOKUP(F!$C8,'C'!$A$1:$N$1998,8,FALSE),0)</f>
        <v>1.4</v>
      </c>
      <c r="T27" s="67"/>
    </row>
    <row r="28" spans="1:20" x14ac:dyDescent="0.2">
      <c r="A28" s="49" t="s">
        <v>44</v>
      </c>
      <c r="C28" s="178" t="str">
        <f>IFERROR(IF(VLOOKUP(F!$C9,'C'!$S$1:$AE$1998,3,FALSE)=1,"&lt;",""),"")</f>
        <v>&lt;</v>
      </c>
      <c r="D28" s="179">
        <f>IFERROR(VLOOKUP(F!$C9,'C'!$S$1:$AE$1998,2,FALSE),0)</f>
        <v>2</v>
      </c>
      <c r="E28" s="180" t="str">
        <f>IFERROR(IF(VLOOKUP(F!$C9,'C'!$S$1:$AE$1998,6,FALSE)=1,"&lt;",""),"")</f>
        <v/>
      </c>
      <c r="F28" s="179">
        <f>IFERROR(VLOOKUP(F!$C9,'C'!$S$1:$AE$1998,5,FALSE),0)</f>
        <v>11</v>
      </c>
      <c r="G28" s="180" t="str">
        <f>IFERROR(IF(VLOOKUP(F!$C9,'C'!$S$1:$AE$1998,9,FALSE)=1,"&lt;",""),"")</f>
        <v/>
      </c>
      <c r="H28" s="178">
        <f>IFERROR(VLOOKUP(F!C9,'C'!$S$1:$AE$1998,8,FALSE),0)</f>
        <v>5.8</v>
      </c>
      <c r="T28" s="67"/>
    </row>
    <row r="29" spans="1:20" x14ac:dyDescent="0.2">
      <c r="P29" s="53"/>
    </row>
    <row r="30" spans="1:20" x14ac:dyDescent="0.2">
      <c r="A30" s="49" t="s">
        <v>2115</v>
      </c>
      <c r="P30" s="53"/>
      <c r="S30" s="67" t="b">
        <v>0</v>
      </c>
      <c r="T30" s="67" t="b">
        <v>1</v>
      </c>
    </row>
    <row r="31" spans="1:20" x14ac:dyDescent="0.2">
      <c r="A31" s="49" t="s">
        <v>2116</v>
      </c>
      <c r="P31" s="53"/>
    </row>
    <row r="32" spans="1:20" x14ac:dyDescent="0.2">
      <c r="P32" s="53"/>
    </row>
    <row r="33" spans="1:20" x14ac:dyDescent="0.2">
      <c r="A33" s="49" t="s">
        <v>582</v>
      </c>
      <c r="P33" s="53"/>
      <c r="S33" s="67" t="b">
        <v>0</v>
      </c>
      <c r="T33" s="67" t="b">
        <v>1</v>
      </c>
    </row>
    <row r="34" spans="1:20" x14ac:dyDescent="0.2">
      <c r="P34" s="53"/>
      <c r="T34" s="67"/>
    </row>
    <row r="35" spans="1:20" x14ac:dyDescent="0.2">
      <c r="A35" s="49" t="s">
        <v>742</v>
      </c>
      <c r="P35" s="53"/>
      <c r="S35" s="67" t="b">
        <v>0</v>
      </c>
      <c r="T35" s="67" t="b">
        <v>1</v>
      </c>
    </row>
    <row r="36" spans="1:20" x14ac:dyDescent="0.2">
      <c r="P36" s="53"/>
    </row>
    <row r="37" spans="1:20" x14ac:dyDescent="0.2">
      <c r="A37" s="49" t="s">
        <v>719</v>
      </c>
      <c r="H37" s="53"/>
      <c r="I37" s="107"/>
      <c r="P37" s="53"/>
    </row>
    <row r="38" spans="1:20" x14ac:dyDescent="0.2">
      <c r="A38" s="49" t="s">
        <v>720</v>
      </c>
      <c r="H38" s="53"/>
      <c r="I38" s="107"/>
      <c r="P38" s="53"/>
    </row>
    <row r="39" spans="1:20" x14ac:dyDescent="0.2">
      <c r="A39" s="65"/>
      <c r="H39" s="53"/>
      <c r="I39" s="107"/>
      <c r="P39" s="53"/>
    </row>
    <row r="40" spans="1:20" x14ac:dyDescent="0.2">
      <c r="A40" s="68" t="s">
        <v>59</v>
      </c>
      <c r="B40" s="69"/>
      <c r="C40" s="182" t="str">
        <f>C18</f>
        <v>MM04</v>
      </c>
      <c r="D40" s="183"/>
      <c r="E40" s="189" t="str">
        <f>E18</f>
        <v>MM05</v>
      </c>
      <c r="F40" s="183"/>
      <c r="G40" s="189" t="str">
        <f>G18</f>
        <v>MM06</v>
      </c>
      <c r="H40" s="182"/>
      <c r="I40" s="107"/>
      <c r="P40" s="53"/>
    </row>
    <row r="41" spans="1:20" ht="3" customHeight="1" x14ac:dyDescent="0.2">
      <c r="A41" s="68"/>
      <c r="B41" s="69"/>
      <c r="C41" s="57"/>
      <c r="D41" s="57"/>
      <c r="E41" s="57"/>
      <c r="F41" s="57"/>
      <c r="G41" s="57"/>
      <c r="H41" s="70"/>
      <c r="I41" s="107"/>
      <c r="P41" s="53"/>
    </row>
    <row r="42" spans="1:20" x14ac:dyDescent="0.2">
      <c r="A42" s="68"/>
      <c r="B42" s="69"/>
      <c r="C42" s="57" t="s">
        <v>237</v>
      </c>
      <c r="D42" s="57" t="s">
        <v>417</v>
      </c>
      <c r="E42" s="57" t="s">
        <v>237</v>
      </c>
      <c r="F42" s="57" t="s">
        <v>417</v>
      </c>
      <c r="G42" s="57" t="s">
        <v>237</v>
      </c>
      <c r="H42" s="57" t="s">
        <v>417</v>
      </c>
      <c r="I42" s="107"/>
      <c r="P42" s="53"/>
    </row>
    <row r="43" spans="1:20" x14ac:dyDescent="0.2">
      <c r="A43" s="69" t="s">
        <v>722</v>
      </c>
      <c r="B43" s="69"/>
      <c r="C43" s="178"/>
      <c r="D43" s="179"/>
      <c r="E43" s="180"/>
      <c r="F43" s="179"/>
      <c r="G43" s="180"/>
      <c r="H43" s="178"/>
      <c r="I43" s="107"/>
      <c r="P43" s="53"/>
    </row>
    <row r="44" spans="1:20" x14ac:dyDescent="0.2">
      <c r="A44" s="69" t="s">
        <v>723</v>
      </c>
      <c r="B44" s="69"/>
      <c r="C44" s="178"/>
      <c r="D44" s="179"/>
      <c r="E44" s="180"/>
      <c r="F44" s="179"/>
      <c r="G44" s="180"/>
      <c r="H44" s="178"/>
      <c r="I44" s="107"/>
      <c r="P44" s="53"/>
    </row>
    <row r="45" spans="1:20" x14ac:dyDescent="0.2">
      <c r="A45" s="69" t="s">
        <v>734</v>
      </c>
      <c r="B45" s="69"/>
      <c r="C45" s="178"/>
      <c r="D45" s="179"/>
      <c r="E45" s="180"/>
      <c r="F45" s="179"/>
      <c r="G45" s="180"/>
      <c r="H45" s="178"/>
      <c r="I45" s="107"/>
      <c r="P45" s="53"/>
    </row>
    <row r="46" spans="1:20" x14ac:dyDescent="0.2">
      <c r="A46" s="69" t="s">
        <v>735</v>
      </c>
      <c r="B46" s="69"/>
      <c r="C46" s="178"/>
      <c r="D46" s="179"/>
      <c r="E46" s="180"/>
      <c r="F46" s="179"/>
      <c r="G46" s="180"/>
      <c r="H46" s="178"/>
      <c r="I46" s="107"/>
      <c r="P46" s="53"/>
    </row>
    <row r="47" spans="1:20" x14ac:dyDescent="0.2">
      <c r="A47" s="69" t="s">
        <v>721</v>
      </c>
      <c r="B47" s="69"/>
      <c r="C47" s="178"/>
      <c r="D47" s="179"/>
      <c r="E47" s="180"/>
      <c r="F47" s="179"/>
      <c r="G47" s="180"/>
      <c r="H47" s="178"/>
      <c r="I47" s="107"/>
      <c r="P47" s="53"/>
    </row>
    <row r="48" spans="1:20" x14ac:dyDescent="0.2">
      <c r="A48" s="69" t="s">
        <v>736</v>
      </c>
      <c r="B48" s="69"/>
      <c r="C48" s="178"/>
      <c r="D48" s="179"/>
      <c r="E48" s="180"/>
      <c r="F48" s="179"/>
      <c r="G48" s="180"/>
      <c r="H48" s="178"/>
      <c r="I48" s="107"/>
      <c r="P48" s="53"/>
    </row>
    <row r="49" spans="1:9" x14ac:dyDescent="0.2">
      <c r="A49" s="69" t="s">
        <v>724</v>
      </c>
      <c r="B49" s="69"/>
      <c r="C49" s="178"/>
      <c r="D49" s="179"/>
      <c r="E49" s="180"/>
      <c r="F49" s="179"/>
      <c r="G49" s="180"/>
      <c r="H49" s="178"/>
      <c r="I49" s="107"/>
    </row>
    <row r="50" spans="1:9" x14ac:dyDescent="0.2">
      <c r="A50" s="69" t="s">
        <v>725</v>
      </c>
      <c r="B50" s="69"/>
      <c r="C50" s="178"/>
      <c r="D50" s="179"/>
      <c r="E50" s="180"/>
      <c r="F50" s="179"/>
      <c r="G50" s="180"/>
      <c r="H50" s="178"/>
      <c r="I50" s="107"/>
    </row>
    <row r="51" spans="1:9" x14ac:dyDescent="0.2">
      <c r="A51" s="69" t="s">
        <v>726</v>
      </c>
      <c r="B51" s="69"/>
      <c r="C51" s="178"/>
      <c r="D51" s="179"/>
      <c r="E51" s="180"/>
      <c r="F51" s="179"/>
      <c r="G51" s="180"/>
      <c r="H51" s="178"/>
      <c r="I51" s="107"/>
    </row>
    <row r="52" spans="1:9" x14ac:dyDescent="0.2">
      <c r="A52" s="69" t="s">
        <v>727</v>
      </c>
      <c r="B52" s="69"/>
      <c r="C52" s="178"/>
      <c r="D52" s="179"/>
      <c r="E52" s="180"/>
      <c r="F52" s="179"/>
      <c r="G52" s="180"/>
      <c r="H52" s="178"/>
      <c r="I52" s="107"/>
    </row>
    <row r="53" spans="1:9" x14ac:dyDescent="0.2">
      <c r="A53" s="69" t="s">
        <v>728</v>
      </c>
      <c r="B53" s="69"/>
      <c r="C53" s="178"/>
      <c r="D53" s="179"/>
      <c r="E53" s="180"/>
      <c r="F53" s="179"/>
      <c r="G53" s="180"/>
      <c r="H53" s="178"/>
      <c r="I53" s="107"/>
    </row>
    <row r="54" spans="1:9" x14ac:dyDescent="0.2">
      <c r="A54" s="69" t="s">
        <v>733</v>
      </c>
      <c r="B54" s="69"/>
      <c r="C54" s="178"/>
      <c r="D54" s="179"/>
      <c r="E54" s="180"/>
      <c r="F54" s="179"/>
      <c r="G54" s="180"/>
      <c r="H54" s="178"/>
      <c r="I54" s="107"/>
    </row>
    <row r="55" spans="1:9" x14ac:dyDescent="0.2">
      <c r="A55" s="69" t="s">
        <v>737</v>
      </c>
      <c r="B55" s="69"/>
      <c r="C55" s="178"/>
      <c r="D55" s="179"/>
      <c r="E55" s="180"/>
      <c r="F55" s="179"/>
      <c r="G55" s="180"/>
      <c r="H55" s="178"/>
      <c r="I55" s="107"/>
    </row>
    <row r="56" spans="1:9" x14ac:dyDescent="0.2">
      <c r="A56" s="69" t="s">
        <v>729</v>
      </c>
      <c r="B56" s="69"/>
      <c r="C56" s="178"/>
      <c r="D56" s="179"/>
      <c r="E56" s="180"/>
      <c r="F56" s="179"/>
      <c r="G56" s="180"/>
      <c r="H56" s="178"/>
      <c r="I56" s="107"/>
    </row>
    <row r="57" spans="1:9" x14ac:dyDescent="0.2">
      <c r="A57" s="69" t="s">
        <v>730</v>
      </c>
      <c r="B57" s="69"/>
      <c r="C57" s="58"/>
      <c r="D57" s="59"/>
      <c r="E57" s="60"/>
      <c r="F57" s="59"/>
      <c r="G57" s="60"/>
      <c r="H57" s="58"/>
      <c r="I57" s="107"/>
    </row>
    <row r="58" spans="1:9" x14ac:dyDescent="0.2">
      <c r="A58" s="69" t="s">
        <v>731</v>
      </c>
      <c r="B58" s="69"/>
      <c r="C58" s="58"/>
      <c r="D58" s="59"/>
      <c r="E58" s="60"/>
      <c r="F58" s="59"/>
      <c r="G58" s="60"/>
      <c r="H58" s="58"/>
    </row>
    <row r="59" spans="1:9" x14ac:dyDescent="0.2">
      <c r="A59" s="69" t="s">
        <v>732</v>
      </c>
      <c r="B59" s="69"/>
      <c r="C59" s="58"/>
      <c r="D59" s="59"/>
      <c r="E59" s="60"/>
      <c r="F59" s="59"/>
      <c r="G59" s="60"/>
      <c r="H59" s="58"/>
    </row>
  </sheetData>
  <sheetProtection formatCells="0" selectLockedCells="1"/>
  <mergeCells count="26">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 ref="E11:F11"/>
    <mergeCell ref="C21:D21"/>
    <mergeCell ref="C23:D23"/>
    <mergeCell ref="C24:D24"/>
    <mergeCell ref="A13:I13"/>
    <mergeCell ref="A14:I14"/>
    <mergeCell ref="C16:D16"/>
    <mergeCell ref="C18:D18"/>
    <mergeCell ref="C20:D20"/>
    <mergeCell ref="E23:F23"/>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1" r:id="rId4" name="OptionButton8">
          <controlPr defaultSize="0" autoLine="0" linkedCell="T2" r:id="rId5">
            <anchor moveWithCells="1">
              <from>
                <xdr:col>1</xdr:col>
                <xdr:colOff>885825</xdr:colOff>
                <xdr:row>0</xdr:row>
                <xdr:rowOff>114300</xdr:rowOff>
              </from>
              <to>
                <xdr:col>3</xdr:col>
                <xdr:colOff>247650</xdr:colOff>
                <xdr:row>2</xdr:row>
                <xdr:rowOff>38100</xdr:rowOff>
              </to>
            </anchor>
          </controlPr>
        </control>
      </mc:Choice>
      <mc:Fallback>
        <control shapeId="14361" r:id="rId4" name="OptionButton8"/>
      </mc:Fallback>
    </mc:AlternateContent>
    <mc:AlternateContent xmlns:mc="http://schemas.openxmlformats.org/markup-compatibility/2006">
      <mc:Choice Requires="x14">
        <control shapeId="14360" r:id="rId6" name="OptionButton7">
          <controlPr defaultSize="0" autoLine="0" linkedCell="S2" r:id="rId7">
            <anchor moveWithCells="1">
              <from>
                <xdr:col>1</xdr:col>
                <xdr:colOff>19050</xdr:colOff>
                <xdr:row>0</xdr:row>
                <xdr:rowOff>114300</xdr:rowOff>
              </from>
              <to>
                <xdr:col>1</xdr:col>
                <xdr:colOff>676275</xdr:colOff>
                <xdr:row>2</xdr:row>
                <xdr:rowOff>38100</xdr:rowOff>
              </to>
            </anchor>
          </controlPr>
        </control>
      </mc:Choice>
      <mc:Fallback>
        <control shapeId="14360" r:id="rId6" name="OptionButton7"/>
      </mc:Fallback>
    </mc:AlternateContent>
    <mc:AlternateContent xmlns:mc="http://schemas.openxmlformats.org/markup-compatibility/2006">
      <mc:Choice Requires="x14">
        <control shapeId="14357" r:id="rId8" name="OptionButton6">
          <controlPr defaultSize="0" autoLine="0" autoPict="0" linkedCell="T35" r:id="rId9">
            <anchor moveWithCells="1">
              <from>
                <xdr:col>6</xdr:col>
                <xdr:colOff>19050</xdr:colOff>
                <xdr:row>33</xdr:row>
                <xdr:rowOff>123825</xdr:rowOff>
              </from>
              <to>
                <xdr:col>7</xdr:col>
                <xdr:colOff>104775</xdr:colOff>
                <xdr:row>35</xdr:row>
                <xdr:rowOff>85725</xdr:rowOff>
              </to>
            </anchor>
          </controlPr>
        </control>
      </mc:Choice>
      <mc:Fallback>
        <control shapeId="14357" r:id="rId8" name="OptionButton6"/>
      </mc:Fallback>
    </mc:AlternateContent>
    <mc:AlternateContent xmlns:mc="http://schemas.openxmlformats.org/markup-compatibility/2006">
      <mc:Choice Requires="x14">
        <control shapeId="14356" r:id="rId10" name="OptionButton5">
          <controlPr defaultSize="0" autoLine="0" autoPict="0" linkedCell="S35" r:id="rId11">
            <anchor moveWithCells="1">
              <from>
                <xdr:col>5</xdr:col>
                <xdr:colOff>400050</xdr:colOff>
                <xdr:row>33</xdr:row>
                <xdr:rowOff>123825</xdr:rowOff>
              </from>
              <to>
                <xdr:col>5</xdr:col>
                <xdr:colOff>752475</xdr:colOff>
                <xdr:row>35</xdr:row>
                <xdr:rowOff>85725</xdr:rowOff>
              </to>
            </anchor>
          </controlPr>
        </control>
      </mc:Choice>
      <mc:Fallback>
        <control shapeId="14356" r:id="rId10" name="OptionButton5"/>
      </mc:Fallback>
    </mc:AlternateContent>
    <mc:AlternateContent xmlns:mc="http://schemas.openxmlformats.org/markup-compatibility/2006">
      <mc:Choice Requires="x14">
        <control shapeId="14353" r:id="rId12" name="OptionButton4">
          <controlPr defaultSize="0" autoLine="0" autoPict="0" linkedCell="T33" r:id="rId13">
            <anchor moveWithCells="1">
              <from>
                <xdr:col>6</xdr:col>
                <xdr:colOff>19050</xdr:colOff>
                <xdr:row>32</xdr:row>
                <xdr:rowOff>0</xdr:rowOff>
              </from>
              <to>
                <xdr:col>7</xdr:col>
                <xdr:colOff>104775</xdr:colOff>
                <xdr:row>33</xdr:row>
                <xdr:rowOff>95250</xdr:rowOff>
              </to>
            </anchor>
          </controlPr>
        </control>
      </mc:Choice>
      <mc:Fallback>
        <control shapeId="14353" r:id="rId12" name="OptionButton4"/>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0" r:id="rId16" name="OptionButton2">
          <controlPr defaultSize="0" autoLine="0" linkedCell="T6" r:id="rId17">
            <anchor moveWithCells="1">
              <from>
                <xdr:col>4</xdr:col>
                <xdr:colOff>209550</xdr:colOff>
                <xdr:row>5</xdr:row>
                <xdr:rowOff>0</xdr:rowOff>
              </from>
              <to>
                <xdr:col>5</xdr:col>
                <xdr:colOff>514350</xdr:colOff>
                <xdr:row>6</xdr:row>
                <xdr:rowOff>47625</xdr:rowOff>
              </to>
            </anchor>
          </controlPr>
        </control>
      </mc:Choice>
      <mc:Fallback>
        <control shapeId="14350" r:id="rId16" name="OptionButton2"/>
      </mc:Fallback>
    </mc:AlternateContent>
    <mc:AlternateContent xmlns:mc="http://schemas.openxmlformats.org/markup-compatibility/2006">
      <mc:Choice Requires="x14">
        <control shapeId="14349" r:id="rId18" name="OptionButton1">
          <controlPr defaultSize="0" autoLine="0" autoPict="0" linkedCell="S6" r:id="rId19">
            <anchor moveWithCells="1">
              <from>
                <xdr:col>2</xdr:col>
                <xdr:colOff>238125</xdr:colOff>
                <xdr:row>5</xdr:row>
                <xdr:rowOff>0</xdr:rowOff>
              </from>
              <to>
                <xdr:col>4</xdr:col>
                <xdr:colOff>85725</xdr:colOff>
                <xdr:row>6</xdr:row>
                <xdr:rowOff>47625</xdr:rowOff>
              </to>
            </anchor>
          </controlPr>
        </control>
      </mc:Choice>
      <mc:Fallback>
        <control shapeId="14349" r:id="rId18" name="OptionButton1"/>
      </mc:Fallback>
    </mc:AlternateContent>
    <mc:AlternateContent xmlns:mc="http://schemas.openxmlformats.org/markup-compatibility/2006">
      <mc:Choice Requires="x14">
        <control shapeId="14345" r:id="rId20" name="ComboBox1">
          <controlPr defaultSize="0" autoLine="0" autoPict="0" altText="Gemeente" linkedCell="S4" listFillRange="I!C3:C344" r:id="rId21">
            <anchor moveWithCells="1">
              <from>
                <xdr:col>2</xdr:col>
                <xdr:colOff>247650</xdr:colOff>
                <xdr:row>2</xdr:row>
                <xdr:rowOff>133350</xdr:rowOff>
              </from>
              <to>
                <xdr:col>5</xdr:col>
                <xdr:colOff>133350</xdr:colOff>
                <xdr:row>4</xdr:row>
                <xdr:rowOff>66675</xdr:rowOff>
              </to>
            </anchor>
          </controlPr>
        </control>
      </mc:Choice>
      <mc:Fallback>
        <control shapeId="14345" r:id="rId20" name="ComboBox1"/>
      </mc:Fallback>
    </mc:AlternateContent>
    <mc:AlternateContent xmlns:mc="http://schemas.openxmlformats.org/markup-compatibility/2006">
      <mc:Choice Requires="x14">
        <control shapeId="14364" r:id="rId22" name="OptionButton11">
          <controlPr defaultSize="0" autoLine="0" linkedCell="S30" r:id="rId23">
            <anchor moveWithCells="1">
              <from>
                <xdr:col>5</xdr:col>
                <xdr:colOff>400050</xdr:colOff>
                <xdr:row>28</xdr:row>
                <xdr:rowOff>123825</xdr:rowOff>
              </from>
              <to>
                <xdr:col>5</xdr:col>
                <xdr:colOff>714375</xdr:colOff>
                <xdr:row>30</xdr:row>
                <xdr:rowOff>47625</xdr:rowOff>
              </to>
            </anchor>
          </controlPr>
        </control>
      </mc:Choice>
      <mc:Fallback>
        <control shapeId="14364" r:id="rId22" name="OptionButton11"/>
      </mc:Fallback>
    </mc:AlternateContent>
    <mc:AlternateContent xmlns:mc="http://schemas.openxmlformats.org/markup-compatibility/2006">
      <mc:Choice Requires="x14">
        <control shapeId="14365" r:id="rId24" name="OptionButton12">
          <controlPr defaultSize="0" autoLine="0" linkedCell="T30" r:id="rId25">
            <anchor moveWithCells="1">
              <from>
                <xdr:col>6</xdr:col>
                <xdr:colOff>19050</xdr:colOff>
                <xdr:row>28</xdr:row>
                <xdr:rowOff>123825</xdr:rowOff>
              </from>
              <to>
                <xdr:col>7</xdr:col>
                <xdr:colOff>104775</xdr:colOff>
                <xdr:row>30</xdr:row>
                <xdr:rowOff>47625</xdr:rowOff>
              </to>
            </anchor>
          </controlPr>
        </control>
      </mc:Choice>
      <mc:Fallback>
        <control shapeId="14365" r:id="rId24" name="OptionButton12"/>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F943"/>
  <sheetViews>
    <sheetView showGridLines="0" tabSelected="1" zoomScaleNormal="100" workbookViewId="0">
      <selection sqref="A1:C1"/>
    </sheetView>
  </sheetViews>
  <sheetFormatPr defaultColWidth="10.7109375" defaultRowHeight="9" customHeight="1" x14ac:dyDescent="0.15"/>
  <cols>
    <col min="1" max="1" width="4.7109375" style="34" customWidth="1"/>
    <col min="2" max="2" width="1.42578125" style="34" customWidth="1"/>
    <col min="3" max="3" width="11.85546875" style="34" customWidth="1"/>
    <col min="4" max="4" width="1.140625" style="34" customWidth="1"/>
    <col min="5" max="5" width="4.140625" style="34" customWidth="1"/>
    <col min="6" max="6" width="3" style="35" customWidth="1"/>
    <col min="7" max="7" width="1.140625" style="35" customWidth="1"/>
    <col min="8" max="8" width="4.140625" style="35" customWidth="1"/>
    <col min="9" max="9" width="3.5703125" style="35" customWidth="1"/>
    <col min="10" max="10" width="2.42578125" style="35" customWidth="1"/>
    <col min="11" max="11" width="4" style="35" customWidth="1"/>
    <col min="12" max="12" width="1.140625" style="34" customWidth="1"/>
    <col min="13" max="13" width="4.140625" style="34" customWidth="1"/>
    <col min="14" max="14" width="3" style="35" customWidth="1"/>
    <col min="15" max="15" width="1.140625" style="35" customWidth="1"/>
    <col min="16" max="16" width="4.140625" style="35" customWidth="1"/>
    <col min="17" max="17" width="3.5703125" style="35" customWidth="1"/>
    <col min="18" max="18" width="2.42578125" style="35" customWidth="1"/>
    <col min="19" max="19" width="4" style="35" customWidth="1"/>
    <col min="20" max="20" width="1.140625" style="34" customWidth="1"/>
    <col min="21" max="21" width="4.140625" style="34" customWidth="1"/>
    <col min="22" max="22" width="3" style="34" customWidth="1"/>
    <col min="23" max="23" width="1.140625" style="35" customWidth="1"/>
    <col min="24" max="24" width="4.140625" style="35" customWidth="1"/>
    <col min="25" max="25" width="3.5703125" style="35" customWidth="1"/>
    <col min="26" max="26" width="2.42578125" style="34" customWidth="1"/>
    <col min="27" max="27" width="2.28515625" style="34" customWidth="1"/>
    <col min="28" max="29" width="10.7109375" style="34"/>
    <col min="30" max="30" width="10.7109375" style="72"/>
    <col min="31" max="31" width="8.85546875" style="72" hidden="1" customWidth="1"/>
    <col min="32" max="32" width="10.7109375" style="72"/>
    <col min="33" max="16384" width="10.7109375" style="34"/>
  </cols>
  <sheetData>
    <row r="1" spans="1:31" ht="9" customHeight="1" x14ac:dyDescent="0.15">
      <c r="A1" s="194"/>
      <c r="B1" s="194"/>
      <c r="C1" s="194"/>
      <c r="AE1" s="72" t="s">
        <v>495</v>
      </c>
    </row>
    <row r="2" spans="1:31" ht="7.5" customHeight="1" x14ac:dyDescent="0.15">
      <c r="A2" s="194"/>
      <c r="B2" s="194"/>
      <c r="C2" s="194"/>
    </row>
    <row r="3" spans="1:31" ht="12" customHeight="1" x14ac:dyDescent="0.2">
      <c r="A3" s="204" t="str">
        <f>Invoer!A13</f>
        <v>Bijlage 2. Analyseresultaten en toetsing grond (2/2)</v>
      </c>
      <c r="B3" s="204"/>
      <c r="C3" s="204"/>
      <c r="D3" s="204"/>
      <c r="E3" s="204"/>
      <c r="F3" s="204"/>
      <c r="G3" s="204"/>
      <c r="H3" s="204"/>
      <c r="I3" s="204"/>
      <c r="J3" s="204"/>
      <c r="K3" s="204"/>
      <c r="L3" s="204"/>
      <c r="M3" s="204"/>
      <c r="N3" s="204"/>
      <c r="O3" s="204"/>
      <c r="P3" s="204"/>
      <c r="Q3" s="204"/>
      <c r="R3" s="204"/>
      <c r="S3" s="204"/>
      <c r="T3" s="204"/>
      <c r="U3" s="204"/>
      <c r="V3" s="204"/>
      <c r="W3" s="204"/>
      <c r="X3" s="204"/>
      <c r="Y3" s="204"/>
      <c r="Z3" s="204"/>
      <c r="AA3" s="204"/>
    </row>
    <row r="4" spans="1:31" ht="5.0999999999999996" customHeight="1" x14ac:dyDescent="0.15">
      <c r="A4" s="195"/>
      <c r="B4" s="195"/>
      <c r="C4" s="195"/>
      <c r="D4" s="36"/>
      <c r="E4" s="36"/>
      <c r="F4" s="37"/>
      <c r="G4" s="36"/>
      <c r="H4" s="36"/>
      <c r="I4" s="36"/>
      <c r="J4" s="37"/>
      <c r="K4" s="36"/>
      <c r="L4" s="36"/>
      <c r="M4" s="36"/>
      <c r="N4" s="37"/>
      <c r="O4" s="36"/>
      <c r="P4" s="36"/>
      <c r="Q4" s="36"/>
      <c r="R4" s="37"/>
      <c r="S4" s="36"/>
      <c r="T4" s="36"/>
      <c r="U4" s="36"/>
      <c r="V4" s="37"/>
      <c r="W4" s="36"/>
      <c r="X4" s="36"/>
      <c r="Y4" s="36"/>
      <c r="Z4" s="37"/>
    </row>
    <row r="5" spans="1:31" ht="12" customHeight="1" x14ac:dyDescent="0.2">
      <c r="A5" s="196" t="str">
        <f ca="1">Invoer!A14</f>
        <v>T.25.13603 GOH 09-27, HWA onder baan</v>
      </c>
      <c r="B5" s="196"/>
      <c r="C5" s="196"/>
      <c r="D5" s="196"/>
      <c r="E5" s="196"/>
      <c r="F5" s="196"/>
      <c r="G5" s="196"/>
      <c r="H5" s="196"/>
      <c r="I5" s="196"/>
      <c r="J5" s="196"/>
      <c r="K5" s="196"/>
      <c r="L5" s="196"/>
      <c r="M5" s="196"/>
      <c r="N5" s="196"/>
      <c r="O5" s="97"/>
      <c r="P5" s="197" t="str">
        <f>H!B3</f>
        <v>Toetsing: gemeente Haarlemmermeer</v>
      </c>
      <c r="Q5" s="197"/>
      <c r="R5" s="197"/>
      <c r="S5" s="197"/>
      <c r="T5" s="197"/>
      <c r="U5" s="197"/>
      <c r="V5" s="197"/>
      <c r="W5" s="197"/>
      <c r="X5" s="197"/>
      <c r="Y5" s="197"/>
      <c r="Z5" s="197"/>
      <c r="AA5" s="197"/>
    </row>
    <row r="6" spans="1:31" ht="4.5" customHeight="1" x14ac:dyDescent="0.15">
      <c r="A6" s="205"/>
      <c r="B6" s="205"/>
      <c r="C6" s="205"/>
      <c r="D6" s="38"/>
      <c r="E6" s="38"/>
      <c r="F6" s="39"/>
      <c r="G6" s="39"/>
      <c r="H6" s="39"/>
      <c r="I6" s="39"/>
      <c r="J6" s="39"/>
      <c r="K6" s="39"/>
      <c r="L6" s="38"/>
      <c r="M6" s="38"/>
      <c r="N6" s="39"/>
      <c r="O6" s="39"/>
      <c r="P6" s="39"/>
      <c r="Q6" s="39"/>
      <c r="R6" s="39"/>
      <c r="S6" s="39"/>
      <c r="T6" s="38"/>
      <c r="U6" s="38"/>
      <c r="V6" s="38"/>
      <c r="W6" s="39"/>
      <c r="X6" s="39"/>
      <c r="Y6" s="39"/>
      <c r="Z6" s="38"/>
      <c r="AA6" s="38"/>
    </row>
    <row r="7" spans="1:31" ht="5.0999999999999996" customHeight="1" x14ac:dyDescent="0.15">
      <c r="A7" s="195"/>
      <c r="B7" s="195"/>
      <c r="C7" s="195"/>
    </row>
    <row r="8" spans="1:31" ht="9" hidden="1" customHeight="1" x14ac:dyDescent="0.15">
      <c r="A8" s="200" t="s">
        <v>33</v>
      </c>
      <c r="B8" s="200"/>
      <c r="C8" s="200"/>
      <c r="D8" s="200">
        <f>HLOOKUP(SMALL(Invoer!$C$17:$G$17,1),Invoer!$C$17:$G$28,4,FALSE)</f>
        <v>0</v>
      </c>
      <c r="E8" s="200"/>
      <c r="F8" s="200"/>
      <c r="G8" s="200"/>
      <c r="H8" s="200"/>
      <c r="I8" s="200"/>
      <c r="J8" s="200"/>
      <c r="K8" s="37"/>
      <c r="L8" s="200">
        <f>HLOOKUP(SMALL(Invoer!$C$17:$G$17,2),Invoer!$C$17:$G$28,4,FALSE)</f>
        <v>0</v>
      </c>
      <c r="M8" s="200"/>
      <c r="N8" s="200"/>
      <c r="O8" s="200"/>
      <c r="P8" s="200"/>
      <c r="Q8" s="200"/>
      <c r="R8" s="200"/>
      <c r="S8" s="37"/>
      <c r="T8" s="200">
        <f>HLOOKUP(SMALL(Invoer!$C$17:$G$17,3),Invoer!$C$17:$G$28,4,FALSE)</f>
        <v>0</v>
      </c>
      <c r="U8" s="200"/>
      <c r="V8" s="200"/>
      <c r="W8" s="200"/>
      <c r="X8" s="200"/>
      <c r="Y8" s="200"/>
      <c r="Z8" s="200"/>
      <c r="AA8" s="35"/>
      <c r="AE8" s="72">
        <f>IF(AND(OR(D8="",D8=0),OR(L8="",L8=0),OR(T8="",T8=0)),1,0)</f>
        <v>1</v>
      </c>
    </row>
    <row r="9" spans="1:31" ht="9" hidden="1" customHeight="1" x14ac:dyDescent="0.15">
      <c r="A9" s="200"/>
      <c r="B9" s="200"/>
      <c r="C9" s="200"/>
      <c r="D9" s="200">
        <f>HLOOKUP(SMALL(Invoer!$C$17:$G$17,1),Invoer!$C$17:$G$28,5,FALSE)</f>
        <v>0</v>
      </c>
      <c r="E9" s="200"/>
      <c r="F9" s="200"/>
      <c r="G9" s="200"/>
      <c r="H9" s="200"/>
      <c r="I9" s="200"/>
      <c r="J9" s="200"/>
      <c r="K9" s="37"/>
      <c r="L9" s="200">
        <f>HLOOKUP(SMALL(Invoer!$C$17:$G$17,2),Invoer!$C$17:$G$28,5,FALSE)</f>
        <v>0</v>
      </c>
      <c r="M9" s="200"/>
      <c r="N9" s="200"/>
      <c r="O9" s="200"/>
      <c r="P9" s="200"/>
      <c r="Q9" s="200"/>
      <c r="R9" s="200"/>
      <c r="S9" s="37"/>
      <c r="T9" s="200">
        <f>HLOOKUP(SMALL(Invoer!$C$17:$G$17,3),Invoer!$C$17:$G$28,5,FALSE)</f>
        <v>0</v>
      </c>
      <c r="U9" s="200"/>
      <c r="V9" s="200"/>
      <c r="W9" s="200"/>
      <c r="X9" s="200"/>
      <c r="Y9" s="200"/>
      <c r="Z9" s="200"/>
      <c r="AA9" s="35"/>
      <c r="AE9" s="72">
        <f>IF(AND(OR(D9="",D9=0),OR(L9="",L9=0),OR(T9="",T9=0)),1,0)</f>
        <v>1</v>
      </c>
    </row>
    <row r="10" spans="1:31" ht="3.95" hidden="1" customHeight="1" x14ac:dyDescent="0.15">
      <c r="A10" s="200"/>
      <c r="B10" s="200"/>
      <c r="C10" s="200"/>
      <c r="E10" s="36"/>
      <c r="F10" s="37"/>
      <c r="G10" s="37"/>
      <c r="H10" s="37"/>
      <c r="I10" s="37"/>
      <c r="J10" s="37"/>
      <c r="K10" s="37"/>
      <c r="L10" s="36"/>
      <c r="M10" s="36"/>
      <c r="N10" s="37"/>
      <c r="O10" s="37"/>
      <c r="P10" s="37"/>
      <c r="Q10" s="37"/>
      <c r="R10" s="37"/>
      <c r="S10" s="37"/>
      <c r="T10" s="36"/>
      <c r="U10" s="36"/>
      <c r="V10" s="36"/>
      <c r="W10" s="37"/>
      <c r="X10" s="37"/>
      <c r="Y10" s="37"/>
      <c r="Z10" s="36"/>
      <c r="AE10" s="72">
        <f>IF(COUNTIF(AE8:AE9,1)=COUNT(AE8:AE9),1,0)</f>
        <v>1</v>
      </c>
    </row>
    <row r="11" spans="1:31" ht="9" customHeight="1" x14ac:dyDescent="0.15">
      <c r="A11" s="200" t="s">
        <v>34</v>
      </c>
      <c r="B11" s="200"/>
      <c r="C11" s="200"/>
      <c r="D11" s="203" t="str">
        <f>IFERROR(G!AP6,"")</f>
        <v>MM04</v>
      </c>
      <c r="E11" s="203"/>
      <c r="F11" s="203"/>
      <c r="G11" s="203"/>
      <c r="H11" s="203"/>
      <c r="I11" s="203"/>
      <c r="J11" s="203"/>
      <c r="K11" s="37"/>
      <c r="L11" s="203" t="str">
        <f>IFERROR(G!AV6,"")</f>
        <v>MM05</v>
      </c>
      <c r="M11" s="203"/>
      <c r="N11" s="203"/>
      <c r="O11" s="203"/>
      <c r="P11" s="203"/>
      <c r="Q11" s="203"/>
      <c r="R11" s="203"/>
      <c r="S11" s="37"/>
      <c r="T11" s="203" t="str">
        <f>IFERROR(G!BB6,"")</f>
        <v>MM06</v>
      </c>
      <c r="U11" s="203"/>
      <c r="V11" s="203"/>
      <c r="W11" s="203"/>
      <c r="X11" s="203"/>
      <c r="Y11" s="203"/>
      <c r="Z11" s="203"/>
      <c r="AA11" s="37"/>
    </row>
    <row r="12" spans="1:31" ht="9" customHeight="1" x14ac:dyDescent="0.15">
      <c r="A12" s="200" t="s">
        <v>35</v>
      </c>
      <c r="B12" s="200"/>
      <c r="C12" s="200"/>
      <c r="D12" s="200" t="str">
        <f>HLOOKUP(SMALL(Invoer!$C$17:$G$17,1),Invoer!$C$17:$G$28,7,FALSE)</f>
        <v>grond onder verharding,</v>
      </c>
      <c r="E12" s="200"/>
      <c r="F12" s="200"/>
      <c r="G12" s="200"/>
      <c r="H12" s="200"/>
      <c r="I12" s="200"/>
      <c r="J12" s="200"/>
      <c r="K12" s="37"/>
      <c r="L12" s="200" t="str">
        <f>HLOOKUP(SMALL(Invoer!$C$17:$G$17,2),Invoer!$C$17:$G$28,7,FALSE)</f>
        <v>ondergrond, siltig zand</v>
      </c>
      <c r="M12" s="200"/>
      <c r="N12" s="200"/>
      <c r="O12" s="200"/>
      <c r="P12" s="200"/>
      <c r="Q12" s="200"/>
      <c r="R12" s="200"/>
      <c r="S12" s="37"/>
      <c r="T12" s="200" t="str">
        <f>HLOOKUP(SMALL(Invoer!$C$17:$G$17,3),Invoer!$C$17:$G$28,7,FALSE)</f>
        <v>ondergrond, siltig zand</v>
      </c>
      <c r="U12" s="200"/>
      <c r="V12" s="200"/>
      <c r="W12" s="200"/>
      <c r="X12" s="200"/>
      <c r="Y12" s="200"/>
      <c r="Z12" s="200"/>
      <c r="AA12" s="35"/>
      <c r="AE12" s="72">
        <f>IF(AND(OR(D12="",D12=0),OR(L12="",L12=0),OR(T12="",T12=0)),1,0)</f>
        <v>0</v>
      </c>
    </row>
    <row r="13" spans="1:31" ht="9" customHeight="1" x14ac:dyDescent="0.15">
      <c r="A13" s="200"/>
      <c r="B13" s="200"/>
      <c r="C13" s="200"/>
      <c r="D13" s="200" t="str">
        <f>HLOOKUP(SMALL(Invoer!$C$17:$G$17,1),Invoer!$C$17:$G$28,8,FALSE)</f>
        <v>siltig zand</v>
      </c>
      <c r="E13" s="200"/>
      <c r="F13" s="200"/>
      <c r="G13" s="200"/>
      <c r="H13" s="200"/>
      <c r="I13" s="200"/>
      <c r="J13" s="200"/>
      <c r="K13" s="37"/>
      <c r="L13" s="200">
        <f>HLOOKUP(SMALL(Invoer!$C$17:$G$17,2),Invoer!$C$17:$G$28,8,FALSE)</f>
        <v>0</v>
      </c>
      <c r="M13" s="200"/>
      <c r="N13" s="200"/>
      <c r="O13" s="200"/>
      <c r="P13" s="200"/>
      <c r="Q13" s="200"/>
      <c r="R13" s="200"/>
      <c r="S13" s="37"/>
      <c r="T13" s="200">
        <f>HLOOKUP(SMALL(Invoer!$C$17:$G$17,3),Invoer!$C$17:$G$28,8,FALSE)</f>
        <v>0</v>
      </c>
      <c r="U13" s="200"/>
      <c r="V13" s="200"/>
      <c r="W13" s="200"/>
      <c r="X13" s="200"/>
      <c r="Y13" s="200"/>
      <c r="Z13" s="200"/>
      <c r="AA13" s="35"/>
      <c r="AE13" s="72">
        <f>IF(AND(OR(D13="",D13=0),OR(L13="",L13=0),OR(T13="",T13=0)),1,0)</f>
        <v>0</v>
      </c>
    </row>
    <row r="14" spans="1:31" ht="3.95" customHeight="1" x14ac:dyDescent="0.15">
      <c r="A14" s="200"/>
      <c r="B14" s="200"/>
      <c r="C14" s="200"/>
      <c r="E14" s="36"/>
      <c r="F14" s="37"/>
      <c r="G14" s="37"/>
      <c r="H14" s="37"/>
      <c r="I14" s="37"/>
      <c r="J14" s="37"/>
      <c r="K14" s="37"/>
      <c r="L14" s="36"/>
      <c r="M14" s="36"/>
      <c r="N14" s="37"/>
      <c r="O14" s="37"/>
      <c r="P14" s="37"/>
      <c r="Q14" s="37"/>
      <c r="R14" s="37"/>
      <c r="S14" s="37"/>
      <c r="T14" s="36"/>
      <c r="U14" s="36"/>
      <c r="V14" s="36"/>
      <c r="W14" s="37"/>
      <c r="X14" s="37"/>
      <c r="Y14" s="37"/>
      <c r="Z14" s="36"/>
      <c r="AE14" s="72">
        <f ca="1">IF(COUNTIF(AE15:AE19,1)=COUNT(AE15:AE19),1,0)</f>
        <v>0</v>
      </c>
    </row>
    <row r="15" spans="1:31" ht="9" customHeight="1" x14ac:dyDescent="0.15">
      <c r="A15" s="200" t="s">
        <v>37</v>
      </c>
      <c r="B15" s="200"/>
      <c r="C15" s="200"/>
      <c r="D15" s="201" t="str">
        <f ca="1">IFERROR(D!BC14,"")</f>
        <v>04 (1,00-1,50)</v>
      </c>
      <c r="E15" s="201"/>
      <c r="F15" s="201"/>
      <c r="G15" s="201"/>
      <c r="H15" s="201" t="str">
        <f ca="1">IFERROR(D!BC19,"")</f>
        <v>zz</v>
      </c>
      <c r="I15" s="201"/>
      <c r="J15" s="201"/>
      <c r="K15" s="40"/>
      <c r="L15" s="201" t="str">
        <f ca="1">IFERROR(D!BF14,"")</f>
        <v>04 (1,50-2,00)</v>
      </c>
      <c r="M15" s="201"/>
      <c r="N15" s="201"/>
      <c r="O15" s="201"/>
      <c r="P15" s="201" t="str">
        <f ca="1">IFERROR(D!BF19,"")</f>
        <v>zz</v>
      </c>
      <c r="Q15" s="201"/>
      <c r="R15" s="201"/>
      <c r="S15" s="40"/>
      <c r="T15" s="201" t="str">
        <f ca="1">IFERROR(D!BI14,"")</f>
        <v>04 (2,00-2,50)</v>
      </c>
      <c r="U15" s="201"/>
      <c r="V15" s="201"/>
      <c r="W15" s="201"/>
      <c r="X15" s="201" t="str">
        <f ca="1">IFERROR(D!BI19,"")</f>
        <v>zz</v>
      </c>
      <c r="Y15" s="201"/>
      <c r="Z15" s="201"/>
      <c r="AA15" s="35"/>
      <c r="AE15" s="72">
        <f ca="1">IF(AND(OR(D15="",D15="zz"),OR(H15="",H15="zz"),OR(L15="",L15="zz"),OR(P15="",P15="zz"),OR(T15="",T15="zz"),OR(X15="",X15="zz")),1,0)</f>
        <v>0</v>
      </c>
    </row>
    <row r="16" spans="1:31" ht="9" customHeight="1" x14ac:dyDescent="0.15">
      <c r="A16" s="200" t="s">
        <v>38</v>
      </c>
      <c r="B16" s="200"/>
      <c r="C16" s="200"/>
      <c r="D16" s="201" t="str">
        <f ca="1">IFERROR(D!BC15,"")</f>
        <v>05 (1,00-1,50)</v>
      </c>
      <c r="E16" s="201"/>
      <c r="F16" s="201"/>
      <c r="G16" s="201"/>
      <c r="H16" s="201" t="str">
        <f ca="1">IFERROR(D!BC20,"")</f>
        <v>zz</v>
      </c>
      <c r="I16" s="201"/>
      <c r="J16" s="201"/>
      <c r="K16" s="40"/>
      <c r="L16" s="201" t="str">
        <f ca="1">IFERROR(D!BF15,"")</f>
        <v>05 (1,50-2,00)</v>
      </c>
      <c r="M16" s="201"/>
      <c r="N16" s="201"/>
      <c r="O16" s="201"/>
      <c r="P16" s="201" t="str">
        <f ca="1">IFERROR(D!BF20,"")</f>
        <v>zz</v>
      </c>
      <c r="Q16" s="201"/>
      <c r="R16" s="201"/>
      <c r="S16" s="40"/>
      <c r="T16" s="201" t="str">
        <f ca="1">IFERROR(D!BI15,"")</f>
        <v>04 (2,50-3,00)</v>
      </c>
      <c r="U16" s="201"/>
      <c r="V16" s="201"/>
      <c r="W16" s="201"/>
      <c r="X16" s="201" t="str">
        <f ca="1">IFERROR(D!BI20,"")</f>
        <v>zz</v>
      </c>
      <c r="Y16" s="201"/>
      <c r="Z16" s="201"/>
      <c r="AA16" s="35"/>
      <c r="AE16" s="72">
        <f ca="1">AE15</f>
        <v>0</v>
      </c>
    </row>
    <row r="17" spans="1:31" ht="9" customHeight="1" x14ac:dyDescent="0.15">
      <c r="A17" s="200"/>
      <c r="B17" s="200"/>
      <c r="C17" s="200"/>
      <c r="D17" s="201" t="str">
        <f ca="1">IFERROR(D!BC16,"")</f>
        <v>zz</v>
      </c>
      <c r="E17" s="201"/>
      <c r="F17" s="201"/>
      <c r="G17" s="201"/>
      <c r="H17" s="201" t="str">
        <f ca="1">IFERROR(D!BC21,"")</f>
        <v>zz</v>
      </c>
      <c r="I17" s="201"/>
      <c r="J17" s="201"/>
      <c r="K17" s="40"/>
      <c r="L17" s="201" t="str">
        <f ca="1">IFERROR(D!BF16,"")</f>
        <v>zz</v>
      </c>
      <c r="M17" s="201"/>
      <c r="N17" s="201"/>
      <c r="O17" s="201"/>
      <c r="P17" s="201" t="str">
        <f ca="1">IFERROR(D!BF21,"")</f>
        <v>zz</v>
      </c>
      <c r="Q17" s="201"/>
      <c r="R17" s="201"/>
      <c r="S17" s="40"/>
      <c r="T17" s="201" t="str">
        <f ca="1">IFERROR(D!BI16,"")</f>
        <v>05 (2,00-2,50)</v>
      </c>
      <c r="U17" s="201"/>
      <c r="V17" s="201"/>
      <c r="W17" s="201"/>
      <c r="X17" s="201" t="str">
        <f ca="1">IFERROR(D!BI21,"")</f>
        <v>zz</v>
      </c>
      <c r="Y17" s="201"/>
      <c r="Z17" s="201"/>
      <c r="AA17" s="35"/>
      <c r="AE17" s="72">
        <f t="shared" ref="AE17:AE19" ca="1" si="0">IF(AND(OR(D17="",D17="zz"),OR(H17="",H17="zz"),OR(L17="",L17="zz"),OR(P17="",P17="zz"),OR(T17="",T17="zz"),OR(X17="",X17="zz")),1,0)</f>
        <v>0</v>
      </c>
    </row>
    <row r="18" spans="1:31" ht="9" customHeight="1" x14ac:dyDescent="0.15">
      <c r="A18" s="200"/>
      <c r="B18" s="200"/>
      <c r="C18" s="200"/>
      <c r="D18" s="201" t="str">
        <f ca="1">IFERROR(D!BC17,"")</f>
        <v>zz</v>
      </c>
      <c r="E18" s="201"/>
      <c r="F18" s="201"/>
      <c r="G18" s="201"/>
      <c r="H18" s="201" t="str">
        <f ca="1">IFERROR(D!BC22,"")</f>
        <v>zz</v>
      </c>
      <c r="I18" s="201"/>
      <c r="J18" s="201"/>
      <c r="K18" s="40"/>
      <c r="L18" s="201" t="str">
        <f ca="1">IFERROR(D!BF17,"")</f>
        <v>zz</v>
      </c>
      <c r="M18" s="201"/>
      <c r="N18" s="201"/>
      <c r="O18" s="201"/>
      <c r="P18" s="201" t="str">
        <f ca="1">IFERROR(D!BF22,"")</f>
        <v>zz</v>
      </c>
      <c r="Q18" s="201"/>
      <c r="R18" s="201"/>
      <c r="S18" s="40"/>
      <c r="T18" s="201" t="str">
        <f ca="1">IFERROR(D!BI17,"")</f>
        <v>05 (2,50-3,00)</v>
      </c>
      <c r="U18" s="201"/>
      <c r="V18" s="201"/>
      <c r="W18" s="201"/>
      <c r="X18" s="201" t="str">
        <f ca="1">IFERROR(D!BI22,"")</f>
        <v>zz</v>
      </c>
      <c r="Y18" s="201"/>
      <c r="Z18" s="201"/>
      <c r="AA18" s="35"/>
      <c r="AE18" s="72">
        <f t="shared" ca="1" si="0"/>
        <v>0</v>
      </c>
    </row>
    <row r="19" spans="1:31" ht="9" hidden="1" customHeight="1" x14ac:dyDescent="0.15">
      <c r="A19" s="200"/>
      <c r="B19" s="200"/>
      <c r="C19" s="200"/>
      <c r="D19" s="201" t="str">
        <f ca="1">IFERROR(D!BC18,"")</f>
        <v>zz</v>
      </c>
      <c r="E19" s="201"/>
      <c r="F19" s="201"/>
      <c r="G19" s="201"/>
      <c r="H19" s="201" t="str">
        <f ca="1">IFERROR(D!BC23,"")</f>
        <v>zz</v>
      </c>
      <c r="I19" s="201"/>
      <c r="J19" s="201"/>
      <c r="K19" s="40"/>
      <c r="L19" s="201" t="str">
        <f ca="1">IFERROR(D!BF18,"")</f>
        <v>zz</v>
      </c>
      <c r="M19" s="201"/>
      <c r="N19" s="201"/>
      <c r="O19" s="201"/>
      <c r="P19" s="201" t="str">
        <f ca="1">IFERROR(D!BF23,"")</f>
        <v>zz</v>
      </c>
      <c r="Q19" s="201"/>
      <c r="R19" s="201"/>
      <c r="S19" s="40"/>
      <c r="T19" s="201" t="str">
        <f ca="1">IFERROR(D!BI18,"")</f>
        <v>zz</v>
      </c>
      <c r="U19" s="201"/>
      <c r="V19" s="201"/>
      <c r="W19" s="201"/>
      <c r="X19" s="201" t="str">
        <f ca="1">IFERROR(D!BI23,"")</f>
        <v>zz</v>
      </c>
      <c r="Y19" s="201"/>
      <c r="Z19" s="201"/>
      <c r="AA19" s="35"/>
      <c r="AE19" s="72">
        <f t="shared" ca="1" si="0"/>
        <v>1</v>
      </c>
    </row>
    <row r="20" spans="1:31" ht="3.95" customHeight="1" x14ac:dyDescent="0.15">
      <c r="A20" s="205"/>
      <c r="B20" s="205"/>
      <c r="C20" s="205"/>
      <c r="D20" s="38"/>
      <c r="E20" s="38"/>
      <c r="F20" s="39"/>
      <c r="G20" s="39"/>
      <c r="H20" s="39"/>
      <c r="I20" s="39"/>
      <c r="J20" s="39"/>
      <c r="K20" s="39"/>
      <c r="L20" s="38"/>
      <c r="M20" s="38"/>
      <c r="N20" s="39"/>
      <c r="O20" s="39"/>
      <c r="P20" s="39"/>
      <c r="Q20" s="39"/>
      <c r="R20" s="39"/>
      <c r="S20" s="39"/>
      <c r="T20" s="38"/>
      <c r="U20" s="38"/>
      <c r="V20" s="38"/>
      <c r="W20" s="39"/>
      <c r="X20" s="39"/>
      <c r="Y20" s="39"/>
      <c r="Z20" s="38"/>
      <c r="AA20" s="38"/>
    </row>
    <row r="21" spans="1:31" ht="3.95" customHeight="1" x14ac:dyDescent="0.15">
      <c r="A21" s="195"/>
      <c r="B21" s="195"/>
      <c r="C21" s="195"/>
    </row>
    <row r="22" spans="1:31" ht="9" customHeight="1" x14ac:dyDescent="0.15">
      <c r="A22" s="41"/>
      <c r="B22" s="41"/>
      <c r="C22" s="41"/>
      <c r="D22" s="194" t="s">
        <v>154</v>
      </c>
      <c r="E22" s="194"/>
      <c r="F22" s="194"/>
      <c r="G22" s="202" t="s">
        <v>178</v>
      </c>
      <c r="H22" s="202"/>
      <c r="I22" s="202"/>
      <c r="J22" s="202"/>
      <c r="K22" s="42"/>
      <c r="L22" s="202" t="s">
        <v>154</v>
      </c>
      <c r="M22" s="202"/>
      <c r="N22" s="202"/>
      <c r="O22" s="202" t="s">
        <v>178</v>
      </c>
      <c r="P22" s="202"/>
      <c r="Q22" s="202"/>
      <c r="R22" s="202"/>
      <c r="S22" s="42"/>
      <c r="T22" s="202" t="s">
        <v>154</v>
      </c>
      <c r="U22" s="202"/>
      <c r="V22" s="202"/>
      <c r="W22" s="202" t="s">
        <v>178</v>
      </c>
      <c r="X22" s="202"/>
      <c r="Y22" s="202"/>
      <c r="Z22" s="202"/>
      <c r="AA22" s="43"/>
    </row>
    <row r="23" spans="1:31" ht="9" customHeight="1" x14ac:dyDescent="0.15">
      <c r="A23" s="41"/>
      <c r="B23" s="41"/>
      <c r="C23" s="41"/>
      <c r="D23" s="194" t="s">
        <v>181</v>
      </c>
      <c r="E23" s="194"/>
      <c r="F23" s="194"/>
      <c r="G23" s="202" t="s">
        <v>175</v>
      </c>
      <c r="H23" s="202"/>
      <c r="I23" s="202"/>
      <c r="J23" s="202"/>
      <c r="K23" s="42"/>
      <c r="L23" s="202" t="s">
        <v>181</v>
      </c>
      <c r="M23" s="202"/>
      <c r="N23" s="202"/>
      <c r="O23" s="202" t="s">
        <v>175</v>
      </c>
      <c r="P23" s="202"/>
      <c r="Q23" s="202"/>
      <c r="R23" s="202"/>
      <c r="S23" s="42"/>
      <c r="T23" s="202" t="s">
        <v>181</v>
      </c>
      <c r="U23" s="202"/>
      <c r="V23" s="202"/>
      <c r="W23" s="202" t="s">
        <v>175</v>
      </c>
      <c r="X23" s="202"/>
      <c r="Y23" s="202"/>
      <c r="Z23" s="202"/>
      <c r="AA23" s="43"/>
    </row>
    <row r="24" spans="1:31" ht="3.95" customHeight="1" x14ac:dyDescent="0.15">
      <c r="A24" s="195"/>
      <c r="B24" s="195"/>
      <c r="C24" s="195"/>
      <c r="D24" s="44"/>
      <c r="E24" s="44"/>
      <c r="L24" s="44"/>
      <c r="M24" s="44"/>
      <c r="T24" s="44"/>
      <c r="U24" s="44"/>
      <c r="V24" s="44"/>
      <c r="Z24" s="44"/>
      <c r="AA24" s="44"/>
    </row>
    <row r="25" spans="1:31" ht="9" customHeight="1" x14ac:dyDescent="0.15">
      <c r="A25" s="195" t="str">
        <f>F!A7</f>
        <v>Droge stof (gew.%)</v>
      </c>
      <c r="B25" s="195"/>
      <c r="C25" s="195"/>
      <c r="D25" s="44" t="str">
        <f>G!AQ7</f>
        <v/>
      </c>
      <c r="E25" s="43">
        <f>G!AP7</f>
        <v>78.5</v>
      </c>
      <c r="F25" s="42"/>
      <c r="G25" s="42" t="str">
        <f>G!AS7</f>
        <v/>
      </c>
      <c r="H25" s="43">
        <f>G!AR7</f>
        <v>78.5</v>
      </c>
      <c r="I25" s="42" t="str">
        <f>G!AT7</f>
        <v/>
      </c>
      <c r="J25" s="42" t="str">
        <f>G!AU7</f>
        <v/>
      </c>
      <c r="K25" s="42"/>
      <c r="L25" s="43" t="str">
        <f>G!AW7</f>
        <v/>
      </c>
      <c r="M25" s="43">
        <f>G!AV7</f>
        <v>79.5</v>
      </c>
      <c r="N25" s="42"/>
      <c r="O25" s="42" t="str">
        <f>G!AY7</f>
        <v/>
      </c>
      <c r="P25" s="43">
        <f>G!AX7</f>
        <v>79.5</v>
      </c>
      <c r="Q25" s="42" t="str">
        <f>G!AZ7</f>
        <v/>
      </c>
      <c r="R25" s="42" t="str">
        <f>G!BA7</f>
        <v/>
      </c>
      <c r="S25" s="42"/>
      <c r="T25" s="43" t="str">
        <f>G!BC7</f>
        <v/>
      </c>
      <c r="U25" s="43">
        <f>G!BB7</f>
        <v>76.900000000000006</v>
      </c>
      <c r="V25" s="43"/>
      <c r="W25" s="42" t="str">
        <f>G!BE7</f>
        <v/>
      </c>
      <c r="X25" s="43">
        <f>G!BD7</f>
        <v>76.900000000000006</v>
      </c>
      <c r="Y25" s="42" t="str">
        <f>G!BF7</f>
        <v/>
      </c>
      <c r="Z25" s="42" t="str">
        <f>G!BG7</f>
        <v/>
      </c>
      <c r="AA25" s="43"/>
      <c r="AE25" s="72">
        <f>IF(AND(E25="--",M25="--",U25="--"),1,0)</f>
        <v>0</v>
      </c>
    </row>
    <row r="26" spans="1:31" ht="9" customHeight="1" x14ac:dyDescent="0.15">
      <c r="A26" s="195" t="str">
        <f>F!A8</f>
        <v>Organische stof (gew.%ds)</v>
      </c>
      <c r="B26" s="195"/>
      <c r="C26" s="195"/>
      <c r="D26" s="44" t="str">
        <f>G!AQ8</f>
        <v/>
      </c>
      <c r="E26" s="43">
        <f>G!AP8</f>
        <v>0.2</v>
      </c>
      <c r="F26" s="42"/>
      <c r="G26" s="42" t="str">
        <f>G!AS8</f>
        <v/>
      </c>
      <c r="H26" s="96">
        <f>G!AR8</f>
        <v>10</v>
      </c>
      <c r="I26" s="42" t="str">
        <f>G!AT8</f>
        <v/>
      </c>
      <c r="J26" s="42" t="str">
        <f>G!AU8</f>
        <v/>
      </c>
      <c r="K26" s="42"/>
      <c r="L26" s="43" t="str">
        <f>G!AW8</f>
        <v/>
      </c>
      <c r="M26" s="43">
        <f>G!AV8</f>
        <v>1.2</v>
      </c>
      <c r="N26" s="42"/>
      <c r="O26" s="42" t="str">
        <f>G!AY8</f>
        <v/>
      </c>
      <c r="P26" s="96">
        <f>G!AX8</f>
        <v>10</v>
      </c>
      <c r="Q26" s="42" t="str">
        <f>G!AZ8</f>
        <v/>
      </c>
      <c r="R26" s="42" t="str">
        <f>G!BA8</f>
        <v/>
      </c>
      <c r="S26" s="42"/>
      <c r="T26" s="43" t="str">
        <f>G!BC8</f>
        <v/>
      </c>
      <c r="U26" s="43">
        <f>G!BB8</f>
        <v>1.4</v>
      </c>
      <c r="V26" s="43"/>
      <c r="W26" s="42" t="str">
        <f>G!BE8</f>
        <v/>
      </c>
      <c r="X26" s="96">
        <f>G!BD8</f>
        <v>10</v>
      </c>
      <c r="Y26" s="42" t="str">
        <f>G!BF8</f>
        <v/>
      </c>
      <c r="Z26" s="42" t="str">
        <f>G!BG8</f>
        <v/>
      </c>
      <c r="AA26" s="43"/>
      <c r="AE26" s="72">
        <f t="shared" ref="AE26:AE67" si="1">IF(AND(E26="--",M26="--",U26="--"),1,0)</f>
        <v>0</v>
      </c>
    </row>
    <row r="27" spans="1:31" ht="9" customHeight="1" x14ac:dyDescent="0.15">
      <c r="A27" s="195" t="str">
        <f>F!A9</f>
        <v>Lutum (gew.%ds)</v>
      </c>
      <c r="B27" s="195"/>
      <c r="C27" s="195"/>
      <c r="D27" s="44" t="str">
        <f>G!AQ9</f>
        <v>&lt;</v>
      </c>
      <c r="E27" s="43">
        <f>G!AP9</f>
        <v>2</v>
      </c>
      <c r="F27" s="42"/>
      <c r="G27" s="42" t="str">
        <f>G!AS9</f>
        <v/>
      </c>
      <c r="H27" s="96">
        <f>G!AR9</f>
        <v>25</v>
      </c>
      <c r="I27" s="42" t="str">
        <f>G!AT9</f>
        <v/>
      </c>
      <c r="J27" s="42" t="str">
        <f>G!AU9</f>
        <v/>
      </c>
      <c r="K27" s="42"/>
      <c r="L27" s="43" t="str">
        <f>G!AW9</f>
        <v/>
      </c>
      <c r="M27" s="43">
        <f>G!AV9</f>
        <v>11</v>
      </c>
      <c r="N27" s="42"/>
      <c r="O27" s="42" t="str">
        <f>G!AY9</f>
        <v/>
      </c>
      <c r="P27" s="96">
        <f>G!AX9</f>
        <v>25</v>
      </c>
      <c r="Q27" s="42" t="str">
        <f>G!AZ9</f>
        <v/>
      </c>
      <c r="R27" s="42" t="str">
        <f>G!BA9</f>
        <v/>
      </c>
      <c r="S27" s="42"/>
      <c r="T27" s="43" t="str">
        <f>G!BC9</f>
        <v/>
      </c>
      <c r="U27" s="43">
        <f>G!BB9</f>
        <v>5.8</v>
      </c>
      <c r="V27" s="43"/>
      <c r="W27" s="42" t="str">
        <f>G!BE9</f>
        <v/>
      </c>
      <c r="X27" s="96">
        <f>G!BD9</f>
        <v>25</v>
      </c>
      <c r="Y27" s="42" t="str">
        <f>G!BF9</f>
        <v/>
      </c>
      <c r="Z27" s="42" t="str">
        <f>G!BG9</f>
        <v/>
      </c>
      <c r="AA27" s="43"/>
      <c r="AE27" s="72">
        <f t="shared" si="1"/>
        <v>0</v>
      </c>
    </row>
    <row r="28" spans="1:31" ht="9" hidden="1" customHeight="1" x14ac:dyDescent="0.15">
      <c r="A28" s="195" t="str">
        <f>F!A10</f>
        <v>pH(CaCl2)</v>
      </c>
      <c r="B28" s="195"/>
      <c r="C28" s="195"/>
      <c r="D28" s="44" t="str">
        <f>G!AQ10</f>
        <v/>
      </c>
      <c r="E28" s="43" t="str">
        <f>G!AP10</f>
        <v>--</v>
      </c>
      <c r="F28" s="42"/>
      <c r="G28" s="42" t="str">
        <f>G!AS10</f>
        <v/>
      </c>
      <c r="H28" s="43" t="str">
        <f>G!AR10</f>
        <v>--</v>
      </c>
      <c r="I28" s="42" t="str">
        <f>G!AT10</f>
        <v/>
      </c>
      <c r="J28" s="42" t="str">
        <f>G!AU10</f>
        <v/>
      </c>
      <c r="K28" s="42"/>
      <c r="L28" s="43" t="str">
        <f>G!AW10</f>
        <v/>
      </c>
      <c r="M28" s="43" t="str">
        <f>G!AV10</f>
        <v>--</v>
      </c>
      <c r="N28" s="42"/>
      <c r="O28" s="42" t="str">
        <f>G!AY10</f>
        <v/>
      </c>
      <c r="P28" s="43" t="str">
        <f>G!AX10</f>
        <v>--</v>
      </c>
      <c r="Q28" s="42" t="str">
        <f>G!AZ10</f>
        <v/>
      </c>
      <c r="R28" s="42" t="str">
        <f>G!BA10</f>
        <v/>
      </c>
      <c r="S28" s="42"/>
      <c r="T28" s="43" t="str">
        <f>G!BC10</f>
        <v/>
      </c>
      <c r="U28" s="43" t="str">
        <f>G!BB10</f>
        <v>--</v>
      </c>
      <c r="V28" s="43"/>
      <c r="W28" s="42" t="str">
        <f>G!BE10</f>
        <v/>
      </c>
      <c r="X28" s="43" t="str">
        <f>G!BD10</f>
        <v>--</v>
      </c>
      <c r="Y28" s="42" t="str">
        <f>G!BF10</f>
        <v/>
      </c>
      <c r="Z28" s="42" t="str">
        <f>G!BG10</f>
        <v/>
      </c>
      <c r="AA28" s="43"/>
      <c r="AE28" s="72">
        <f t="shared" si="1"/>
        <v>1</v>
      </c>
    </row>
    <row r="29" spans="1:31" ht="9" hidden="1" customHeight="1" x14ac:dyDescent="0.15">
      <c r="A29" s="195" t="str">
        <f>F!A11</f>
        <v>Temperatuur t.b.v. pH (°C)</v>
      </c>
      <c r="B29" s="195"/>
      <c r="C29" s="195"/>
      <c r="D29" s="44" t="str">
        <f>G!AQ11</f>
        <v/>
      </c>
      <c r="E29" s="43" t="str">
        <f>G!AP11</f>
        <v>--</v>
      </c>
      <c r="F29" s="42"/>
      <c r="G29" s="42" t="str">
        <f>G!AS11</f>
        <v/>
      </c>
      <c r="H29" s="43" t="str">
        <f>G!AR11</f>
        <v>--</v>
      </c>
      <c r="I29" s="42" t="str">
        <f>G!AT11</f>
        <v/>
      </c>
      <c r="J29" s="42" t="str">
        <f>G!AU11</f>
        <v/>
      </c>
      <c r="K29" s="42"/>
      <c r="L29" s="43" t="str">
        <f>G!AW11</f>
        <v/>
      </c>
      <c r="M29" s="43" t="str">
        <f>G!AV11</f>
        <v>--</v>
      </c>
      <c r="N29" s="42"/>
      <c r="O29" s="42" t="str">
        <f>G!AY11</f>
        <v/>
      </c>
      <c r="P29" s="43" t="str">
        <f>G!AX11</f>
        <v>--</v>
      </c>
      <c r="Q29" s="42" t="str">
        <f>G!AZ11</f>
        <v/>
      </c>
      <c r="R29" s="42" t="str">
        <f>G!BA11</f>
        <v/>
      </c>
      <c r="S29" s="42"/>
      <c r="T29" s="43" t="str">
        <f>G!BC11</f>
        <v/>
      </c>
      <c r="U29" s="43" t="str">
        <f>G!BB11</f>
        <v>--</v>
      </c>
      <c r="V29" s="43"/>
      <c r="W29" s="42" t="str">
        <f>G!BE11</f>
        <v/>
      </c>
      <c r="X29" s="43" t="str">
        <f>G!BD11</f>
        <v>--</v>
      </c>
      <c r="Y29" s="42" t="str">
        <f>G!BF11</f>
        <v/>
      </c>
      <c r="Z29" s="42" t="str">
        <f>G!BG11</f>
        <v/>
      </c>
      <c r="AA29" s="43"/>
      <c r="AE29" s="72">
        <f t="shared" si="1"/>
        <v>1</v>
      </c>
    </row>
    <row r="30" spans="1:31" ht="3.95" customHeight="1" x14ac:dyDescent="0.15">
      <c r="A30" s="41"/>
      <c r="B30" s="41"/>
      <c r="C30" s="41"/>
      <c r="D30" s="44"/>
      <c r="E30" s="43"/>
      <c r="F30" s="42"/>
      <c r="G30" s="42"/>
      <c r="H30" s="43"/>
      <c r="I30" s="42"/>
      <c r="J30" s="42"/>
      <c r="K30" s="42"/>
      <c r="L30" s="43"/>
      <c r="M30" s="43"/>
      <c r="N30" s="42"/>
      <c r="O30" s="42"/>
      <c r="P30" s="43"/>
      <c r="Q30" s="42"/>
      <c r="R30" s="42"/>
      <c r="S30" s="42"/>
      <c r="T30" s="43"/>
      <c r="U30" s="43"/>
      <c r="V30" s="43"/>
      <c r="W30" s="42"/>
      <c r="X30" s="43"/>
      <c r="Y30" s="42"/>
      <c r="Z30" s="43"/>
      <c r="AA30" s="43"/>
      <c r="AE30" s="94">
        <f>AE31</f>
        <v>0</v>
      </c>
    </row>
    <row r="31" spans="1:31" ht="9" customHeight="1" x14ac:dyDescent="0.15">
      <c r="A31" s="198" t="str">
        <f>IF(COUNTIF(F!D12:D32,131)&gt;0,"Metalen (µg/kgds)","Metalen (mg/kgds)")</f>
        <v>Metalen (mg/kgds)</v>
      </c>
      <c r="B31" s="198"/>
      <c r="C31" s="198"/>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98"/>
      <c r="AE31" s="94">
        <f>IF(COUNTIF(AE32:AE52,1)=COUNT(AE32:AE52),1,0)</f>
        <v>0</v>
      </c>
    </row>
    <row r="32" spans="1:31" ht="9" hidden="1" customHeight="1" x14ac:dyDescent="0.15">
      <c r="A32" s="195" t="str">
        <f>F!A12</f>
        <v>Antimoon</v>
      </c>
      <c r="B32" s="195"/>
      <c r="C32" s="195"/>
      <c r="D32" s="44" t="str">
        <f>G!AQ12</f>
        <v/>
      </c>
      <c r="E32" s="44" t="str">
        <f>G!AP12</f>
        <v>--</v>
      </c>
      <c r="G32" s="35" t="str">
        <f>G!AS12</f>
        <v/>
      </c>
      <c r="H32" s="44" t="str">
        <f>G!AR12</f>
        <v>--</v>
      </c>
      <c r="I32" s="35" t="str">
        <f>G!AT12</f>
        <v/>
      </c>
      <c r="J32" s="35" t="str">
        <f>G!AU12</f>
        <v/>
      </c>
      <c r="L32" s="44" t="str">
        <f>G!AW12</f>
        <v/>
      </c>
      <c r="M32" s="44" t="str">
        <f>G!AV12</f>
        <v>--</v>
      </c>
      <c r="O32" s="35" t="str">
        <f>G!AY12</f>
        <v/>
      </c>
      <c r="P32" s="44" t="str">
        <f>G!AX12</f>
        <v>--</v>
      </c>
      <c r="Q32" s="35" t="str">
        <f>G!AZ12</f>
        <v/>
      </c>
      <c r="R32" s="35" t="str">
        <f>G!BA12</f>
        <v/>
      </c>
      <c r="T32" s="44" t="str">
        <f>G!BC12</f>
        <v/>
      </c>
      <c r="U32" s="44" t="str">
        <f>G!BB12</f>
        <v>--</v>
      </c>
      <c r="V32" s="44"/>
      <c r="W32" s="35" t="str">
        <f>G!BE12</f>
        <v/>
      </c>
      <c r="X32" s="44" t="str">
        <f>G!BD12</f>
        <v>--</v>
      </c>
      <c r="Y32" s="35" t="str">
        <f>G!BF12</f>
        <v/>
      </c>
      <c r="Z32" s="35" t="str">
        <f>G!BG12</f>
        <v/>
      </c>
      <c r="AA32" s="44"/>
      <c r="AE32" s="72">
        <f t="shared" si="1"/>
        <v>1</v>
      </c>
    </row>
    <row r="33" spans="1:31" ht="9" customHeight="1" x14ac:dyDescent="0.15">
      <c r="A33" s="195" t="str">
        <f>F!A13</f>
        <v>Arseen</v>
      </c>
      <c r="B33" s="195"/>
      <c r="C33" s="195"/>
      <c r="D33" s="44" t="str">
        <f>G!AQ13</f>
        <v>&lt;</v>
      </c>
      <c r="E33" s="44" t="str">
        <f>G!AP13</f>
        <v>4,0</v>
      </c>
      <c r="G33" s="35" t="str">
        <f>G!AS13</f>
        <v>&lt;</v>
      </c>
      <c r="H33" s="44" t="str">
        <f>G!AR13</f>
        <v>rg</v>
      </c>
      <c r="I33" s="35" t="str">
        <f>G!AT13</f>
        <v>-</v>
      </c>
      <c r="J33" s="35" t="str">
        <f>G!AU13</f>
        <v/>
      </c>
      <c r="L33" s="44" t="str">
        <f>G!AW13</f>
        <v/>
      </c>
      <c r="M33" s="44" t="str">
        <f>G!AV13</f>
        <v>4,4</v>
      </c>
      <c r="O33" s="35" t="str">
        <f>G!AY13</f>
        <v/>
      </c>
      <c r="P33" s="44" t="str">
        <f>G!AX13</f>
        <v>6,32</v>
      </c>
      <c r="Q33" s="35" t="str">
        <f>G!AZ13</f>
        <v>-</v>
      </c>
      <c r="R33" s="35" t="str">
        <f>G!BA13</f>
        <v/>
      </c>
      <c r="T33" s="44" t="str">
        <f>G!BC13</f>
        <v/>
      </c>
      <c r="U33" s="44" t="str">
        <f>G!BB13</f>
        <v>5,0</v>
      </c>
      <c r="V33" s="44"/>
      <c r="W33" s="35" t="str">
        <f>G!BE13</f>
        <v/>
      </c>
      <c r="X33" s="44" t="str">
        <f>G!BD13</f>
        <v>8,00</v>
      </c>
      <c r="Y33" s="35" t="str">
        <f>G!BF13</f>
        <v>-</v>
      </c>
      <c r="Z33" s="35" t="str">
        <f>G!BG13</f>
        <v/>
      </c>
      <c r="AA33" s="44"/>
      <c r="AE33" s="72">
        <f t="shared" si="1"/>
        <v>0</v>
      </c>
    </row>
    <row r="34" spans="1:31" ht="9" customHeight="1" x14ac:dyDescent="0.15">
      <c r="A34" s="195" t="str">
        <f>F!A14</f>
        <v>Barium</v>
      </c>
      <c r="B34" s="195"/>
      <c r="C34" s="195"/>
      <c r="D34" s="44" t="str">
        <f>G!AQ14</f>
        <v>&lt;</v>
      </c>
      <c r="E34" s="44" t="str">
        <f>G!AP14</f>
        <v>20</v>
      </c>
      <c r="G34" s="35" t="str">
        <f>G!AS14</f>
        <v>&lt;</v>
      </c>
      <c r="H34" s="44" t="str">
        <f>G!AR14</f>
        <v>rg</v>
      </c>
      <c r="I34" s="35" t="str">
        <f>G!AT14</f>
        <v/>
      </c>
      <c r="J34" s="35" t="str">
        <f>G!AU14</f>
        <v/>
      </c>
      <c r="L34" s="44" t="str">
        <f>G!AW14</f>
        <v>&lt;</v>
      </c>
      <c r="M34" s="44" t="str">
        <f>G!AV14</f>
        <v>20</v>
      </c>
      <c r="O34" s="35" t="str">
        <f>G!AY14</f>
        <v>&lt;</v>
      </c>
      <c r="P34" s="44" t="str">
        <f>G!AX14</f>
        <v>rg</v>
      </c>
      <c r="Q34" s="35" t="str">
        <f>G!AZ14</f>
        <v/>
      </c>
      <c r="R34" s="35" t="str">
        <f>G!BA14</f>
        <v/>
      </c>
      <c r="T34" s="44" t="str">
        <f>G!BC14</f>
        <v>&lt;</v>
      </c>
      <c r="U34" s="44" t="str">
        <f>G!BB14</f>
        <v>20</v>
      </c>
      <c r="V34" s="44"/>
      <c r="W34" s="35" t="str">
        <f>G!BE14</f>
        <v>&lt;</v>
      </c>
      <c r="X34" s="44" t="str">
        <f>G!BD14</f>
        <v>rg</v>
      </c>
      <c r="Y34" s="35" t="str">
        <f>G!BF14</f>
        <v/>
      </c>
      <c r="Z34" s="35" t="str">
        <f>G!BG14</f>
        <v/>
      </c>
      <c r="AA34" s="44"/>
      <c r="AE34" s="72">
        <f t="shared" si="1"/>
        <v>0</v>
      </c>
    </row>
    <row r="35" spans="1:31" ht="9" hidden="1" customHeight="1" x14ac:dyDescent="0.15">
      <c r="A35" s="195" t="str">
        <f>F!A15</f>
        <v>Berylium</v>
      </c>
      <c r="B35" s="195"/>
      <c r="C35" s="195"/>
      <c r="D35" s="44" t="str">
        <f>G!AQ15</f>
        <v/>
      </c>
      <c r="E35" s="44" t="str">
        <f>G!AP15</f>
        <v>--</v>
      </c>
      <c r="G35" s="35" t="str">
        <f>G!AS15</f>
        <v/>
      </c>
      <c r="H35" s="44" t="str">
        <f>G!AR15</f>
        <v>--</v>
      </c>
      <c r="I35" s="35" t="str">
        <f>G!AT15</f>
        <v/>
      </c>
      <c r="J35" s="35" t="str">
        <f>G!AU15</f>
        <v/>
      </c>
      <c r="L35" s="44" t="str">
        <f>G!AW15</f>
        <v/>
      </c>
      <c r="M35" s="44" t="str">
        <f>G!AV15</f>
        <v>--</v>
      </c>
      <c r="O35" s="35" t="str">
        <f>G!AY15</f>
        <v/>
      </c>
      <c r="P35" s="44" t="str">
        <f>G!AX15</f>
        <v>--</v>
      </c>
      <c r="Q35" s="35" t="str">
        <f>G!AZ15</f>
        <v/>
      </c>
      <c r="R35" s="35" t="str">
        <f>G!BA15</f>
        <v/>
      </c>
      <c r="T35" s="44" t="str">
        <f>G!BC15</f>
        <v/>
      </c>
      <c r="U35" s="44" t="str">
        <f>G!BB15</f>
        <v>--</v>
      </c>
      <c r="V35" s="44"/>
      <c r="W35" s="35" t="str">
        <f>G!BE15</f>
        <v/>
      </c>
      <c r="X35" s="44" t="str">
        <f>G!BD15</f>
        <v>--</v>
      </c>
      <c r="Y35" s="35" t="str">
        <f>G!BF15</f>
        <v/>
      </c>
      <c r="Z35" s="35" t="str">
        <f>G!BG15</f>
        <v/>
      </c>
      <c r="AA35" s="44"/>
      <c r="AE35" s="72">
        <f t="shared" si="1"/>
        <v>1</v>
      </c>
    </row>
    <row r="36" spans="1:31" ht="9" customHeight="1" x14ac:dyDescent="0.15">
      <c r="A36" s="195" t="str">
        <f>F!A16</f>
        <v>Cadmium</v>
      </c>
      <c r="B36" s="195"/>
      <c r="C36" s="195"/>
      <c r="D36" s="44" t="str">
        <f>G!AQ16</f>
        <v>&lt;</v>
      </c>
      <c r="E36" s="44" t="str">
        <f>G!AP16</f>
        <v>0,20</v>
      </c>
      <c r="G36" s="35" t="str">
        <f>G!AS16</f>
        <v>&lt;</v>
      </c>
      <c r="H36" s="44" t="str">
        <f>G!AR16</f>
        <v>rg</v>
      </c>
      <c r="I36" s="35" t="str">
        <f>G!AT16</f>
        <v>-</v>
      </c>
      <c r="J36" s="35" t="str">
        <f>G!AU16</f>
        <v/>
      </c>
      <c r="L36" s="44" t="str">
        <f>G!AW16</f>
        <v>&lt;</v>
      </c>
      <c r="M36" s="44" t="str">
        <f>G!AV16</f>
        <v>0,20</v>
      </c>
      <c r="O36" s="35" t="str">
        <f>G!AY16</f>
        <v>&lt;</v>
      </c>
      <c r="P36" s="44" t="str">
        <f>G!AX16</f>
        <v>rg</v>
      </c>
      <c r="Q36" s="35" t="str">
        <f>G!AZ16</f>
        <v>-</v>
      </c>
      <c r="R36" s="35" t="str">
        <f>G!BA16</f>
        <v/>
      </c>
      <c r="T36" s="44" t="str">
        <f>G!BC16</f>
        <v>&lt;</v>
      </c>
      <c r="U36" s="44" t="str">
        <f>G!BB16</f>
        <v>0,20</v>
      </c>
      <c r="V36" s="44"/>
      <c r="W36" s="35" t="str">
        <f>G!BE16</f>
        <v>&lt;</v>
      </c>
      <c r="X36" s="44" t="str">
        <f>G!BD16</f>
        <v>rg</v>
      </c>
      <c r="Y36" s="35" t="str">
        <f>G!BF16</f>
        <v>-</v>
      </c>
      <c r="Z36" s="35" t="str">
        <f>G!BG16</f>
        <v/>
      </c>
      <c r="AA36" s="44"/>
      <c r="AE36" s="72">
        <f t="shared" si="1"/>
        <v>0</v>
      </c>
    </row>
    <row r="37" spans="1:31" ht="9" hidden="1" customHeight="1" x14ac:dyDescent="0.15">
      <c r="A37" s="195" t="str">
        <f>F!A17</f>
        <v>Chroom</v>
      </c>
      <c r="B37" s="195"/>
      <c r="C37" s="195"/>
      <c r="D37" s="44" t="str">
        <f>G!AQ17</f>
        <v/>
      </c>
      <c r="E37" s="44" t="str">
        <f>G!AP17</f>
        <v>--</v>
      </c>
      <c r="G37" s="35" t="str">
        <f>G!AS17</f>
        <v/>
      </c>
      <c r="H37" s="44" t="str">
        <f>G!AR17</f>
        <v>--</v>
      </c>
      <c r="I37" s="35" t="str">
        <f>G!AT17</f>
        <v/>
      </c>
      <c r="J37" s="35" t="str">
        <f>G!AU17</f>
        <v/>
      </c>
      <c r="L37" s="44" t="str">
        <f>G!AW17</f>
        <v/>
      </c>
      <c r="M37" s="44" t="str">
        <f>G!AV17</f>
        <v>--</v>
      </c>
      <c r="O37" s="35" t="str">
        <f>G!AY17</f>
        <v/>
      </c>
      <c r="P37" s="44" t="str">
        <f>G!AX17</f>
        <v>--</v>
      </c>
      <c r="Q37" s="35" t="str">
        <f>G!AZ17</f>
        <v/>
      </c>
      <c r="R37" s="35" t="str">
        <f>G!BA17</f>
        <v/>
      </c>
      <c r="T37" s="44" t="str">
        <f>G!BC17</f>
        <v/>
      </c>
      <c r="U37" s="44" t="str">
        <f>G!BB17</f>
        <v>--</v>
      </c>
      <c r="V37" s="44"/>
      <c r="W37" s="35" t="str">
        <f>G!BE17</f>
        <v/>
      </c>
      <c r="X37" s="44" t="str">
        <f>G!BD17</f>
        <v>--</v>
      </c>
      <c r="Y37" s="35" t="str">
        <f>G!BF17</f>
        <v/>
      </c>
      <c r="Z37" s="35" t="str">
        <f>G!BG17</f>
        <v/>
      </c>
      <c r="AA37" s="44"/>
      <c r="AE37" s="72">
        <f t="shared" si="1"/>
        <v>1</v>
      </c>
    </row>
    <row r="38" spans="1:31" ht="9" hidden="1" customHeight="1" x14ac:dyDescent="0.15">
      <c r="A38" s="195" t="str">
        <f>F!A18</f>
        <v>Chroom III</v>
      </c>
      <c r="B38" s="195"/>
      <c r="C38" s="195"/>
      <c r="D38" s="44" t="str">
        <f>G!AQ18</f>
        <v/>
      </c>
      <c r="E38" s="44" t="str">
        <f>G!AP18</f>
        <v>--</v>
      </c>
      <c r="G38" s="35" t="str">
        <f>G!AS18</f>
        <v/>
      </c>
      <c r="H38" s="44" t="str">
        <f>G!AR18</f>
        <v>--</v>
      </c>
      <c r="I38" s="35" t="str">
        <f>G!AT18</f>
        <v/>
      </c>
      <c r="J38" s="35" t="str">
        <f>G!AU18</f>
        <v/>
      </c>
      <c r="L38" s="44" t="str">
        <f>G!AW18</f>
        <v/>
      </c>
      <c r="M38" s="44" t="str">
        <f>G!AV18</f>
        <v>--</v>
      </c>
      <c r="O38" s="35" t="str">
        <f>G!AY18</f>
        <v/>
      </c>
      <c r="P38" s="44" t="str">
        <f>G!AX18</f>
        <v>--</v>
      </c>
      <c r="Q38" s="35" t="str">
        <f>G!AZ18</f>
        <v/>
      </c>
      <c r="R38" s="35" t="str">
        <f>G!BA18</f>
        <v/>
      </c>
      <c r="T38" s="44" t="str">
        <f>G!BC18</f>
        <v/>
      </c>
      <c r="U38" s="44" t="str">
        <f>G!BB18</f>
        <v>--</v>
      </c>
      <c r="V38" s="44"/>
      <c r="W38" s="35" t="str">
        <f>G!BE18</f>
        <v/>
      </c>
      <c r="X38" s="44" t="str">
        <f>G!BD18</f>
        <v>--</v>
      </c>
      <c r="Y38" s="35" t="str">
        <f>G!BF18</f>
        <v/>
      </c>
      <c r="Z38" s="35" t="str">
        <f>G!BG18</f>
        <v/>
      </c>
      <c r="AA38" s="44"/>
      <c r="AE38" s="72">
        <f t="shared" si="1"/>
        <v>1</v>
      </c>
    </row>
    <row r="39" spans="1:31" ht="9" hidden="1" customHeight="1" x14ac:dyDescent="0.15">
      <c r="A39" s="195" t="str">
        <f>F!A19</f>
        <v>Chroom VI</v>
      </c>
      <c r="B39" s="195"/>
      <c r="C39" s="195"/>
      <c r="D39" s="44" t="str">
        <f>G!AQ19</f>
        <v/>
      </c>
      <c r="E39" s="44" t="str">
        <f>G!AP19</f>
        <v>--</v>
      </c>
      <c r="G39" s="35" t="str">
        <f>G!AS19</f>
        <v/>
      </c>
      <c r="H39" s="44" t="str">
        <f>G!AR19</f>
        <v>--</v>
      </c>
      <c r="I39" s="35" t="str">
        <f>G!AT19</f>
        <v/>
      </c>
      <c r="J39" s="35" t="str">
        <f>G!AU19</f>
        <v/>
      </c>
      <c r="L39" s="44" t="str">
        <f>G!AW19</f>
        <v/>
      </c>
      <c r="M39" s="44" t="str">
        <f>G!AV19</f>
        <v>--</v>
      </c>
      <c r="O39" s="35" t="str">
        <f>G!AY19</f>
        <v/>
      </c>
      <c r="P39" s="44" t="str">
        <f>G!AX19</f>
        <v>--</v>
      </c>
      <c r="Q39" s="35" t="str">
        <f>G!AZ19</f>
        <v/>
      </c>
      <c r="R39" s="35" t="str">
        <f>G!BA19</f>
        <v/>
      </c>
      <c r="T39" s="44" t="str">
        <f>G!BC19</f>
        <v/>
      </c>
      <c r="U39" s="44" t="str">
        <f>G!BB19</f>
        <v>--</v>
      </c>
      <c r="V39" s="44"/>
      <c r="W39" s="35" t="str">
        <f>G!BE19</f>
        <v/>
      </c>
      <c r="X39" s="44" t="str">
        <f>G!BD19</f>
        <v>--</v>
      </c>
      <c r="Y39" s="35" t="str">
        <f>G!BF19</f>
        <v/>
      </c>
      <c r="Z39" s="35" t="str">
        <f>G!BG19</f>
        <v/>
      </c>
      <c r="AA39" s="44"/>
      <c r="AE39" s="72">
        <f t="shared" si="1"/>
        <v>1</v>
      </c>
    </row>
    <row r="40" spans="1:31" ht="9" hidden="1" customHeight="1" x14ac:dyDescent="0.15">
      <c r="A40" s="195" t="str">
        <f>F!A20</f>
        <v>Kalium</v>
      </c>
      <c r="B40" s="195"/>
      <c r="C40" s="195"/>
      <c r="D40" s="44" t="str">
        <f>G!AQ20</f>
        <v/>
      </c>
      <c r="E40" s="44" t="str">
        <f>G!AP20</f>
        <v>--</v>
      </c>
      <c r="G40" s="35" t="str">
        <f>G!AS20</f>
        <v/>
      </c>
      <c r="H40" s="44" t="str">
        <f>G!AR20</f>
        <v>--</v>
      </c>
      <c r="I40" s="35" t="str">
        <f>G!AT20</f>
        <v/>
      </c>
      <c r="J40" s="35" t="str">
        <f>G!AU20</f>
        <v/>
      </c>
      <c r="L40" s="44" t="str">
        <f>G!AW20</f>
        <v/>
      </c>
      <c r="M40" s="44" t="str">
        <f>G!AV20</f>
        <v>--</v>
      </c>
      <c r="O40" s="35" t="str">
        <f>G!AY20</f>
        <v/>
      </c>
      <c r="P40" s="44" t="str">
        <f>G!AX20</f>
        <v>--</v>
      </c>
      <c r="Q40" s="35" t="str">
        <f>G!AZ20</f>
        <v/>
      </c>
      <c r="R40" s="35" t="str">
        <f>G!BA20</f>
        <v/>
      </c>
      <c r="T40" s="44" t="str">
        <f>G!BC20</f>
        <v/>
      </c>
      <c r="U40" s="44" t="str">
        <f>G!BB20</f>
        <v>--</v>
      </c>
      <c r="V40" s="44"/>
      <c r="W40" s="35" t="str">
        <f>G!BE20</f>
        <v/>
      </c>
      <c r="X40" s="44" t="str">
        <f>G!BD20</f>
        <v>--</v>
      </c>
      <c r="Y40" s="35" t="str">
        <f>G!BF20</f>
        <v/>
      </c>
      <c r="Z40" s="35" t="str">
        <f>G!BG20</f>
        <v/>
      </c>
      <c r="AA40" s="44"/>
      <c r="AE40" s="72">
        <f t="shared" si="1"/>
        <v>1</v>
      </c>
    </row>
    <row r="41" spans="1:31" ht="9" customHeight="1" x14ac:dyDescent="0.15">
      <c r="A41" s="195" t="str">
        <f>F!A21</f>
        <v>Kobalt</v>
      </c>
      <c r="B41" s="195"/>
      <c r="C41" s="195"/>
      <c r="D41" s="44" t="str">
        <f>G!AQ21</f>
        <v>&lt;</v>
      </c>
      <c r="E41" s="44" t="str">
        <f>G!AP21</f>
        <v>3,0</v>
      </c>
      <c r="G41" s="35" t="str">
        <f>G!AS21</f>
        <v>&lt;</v>
      </c>
      <c r="H41" s="44" t="str">
        <f>G!AR21</f>
        <v>rg</v>
      </c>
      <c r="I41" s="35" t="str">
        <f>G!AT21</f>
        <v>-</v>
      </c>
      <c r="J41" s="35" t="str">
        <f>G!AU21</f>
        <v/>
      </c>
      <c r="L41" s="44" t="str">
        <f>G!AW21</f>
        <v/>
      </c>
      <c r="M41" s="44" t="str">
        <f>G!AV21</f>
        <v>4,1</v>
      </c>
      <c r="O41" s="35" t="str">
        <f>G!AY21</f>
        <v/>
      </c>
      <c r="P41" s="44" t="str">
        <f>G!AX21</f>
        <v>7,26</v>
      </c>
      <c r="Q41" s="35" t="str">
        <f>G!AZ21</f>
        <v>-</v>
      </c>
      <c r="R41" s="35" t="str">
        <f>G!BA21</f>
        <v/>
      </c>
      <c r="T41" s="44" t="str">
        <f>G!BC21</f>
        <v/>
      </c>
      <c r="U41" s="44" t="str">
        <f>G!BB21</f>
        <v>3,4</v>
      </c>
      <c r="V41" s="44"/>
      <c r="W41" s="35" t="str">
        <f>G!BE21</f>
        <v/>
      </c>
      <c r="X41" s="44" t="str">
        <f>G!BD21</f>
        <v>8,44</v>
      </c>
      <c r="Y41" s="35" t="str">
        <f>G!BF21</f>
        <v>-</v>
      </c>
      <c r="Z41" s="35" t="str">
        <f>G!BG21</f>
        <v/>
      </c>
      <c r="AA41" s="44"/>
      <c r="AE41" s="72">
        <f t="shared" si="1"/>
        <v>0</v>
      </c>
    </row>
    <row r="42" spans="1:31" ht="9" customHeight="1" x14ac:dyDescent="0.15">
      <c r="A42" s="195" t="str">
        <f>F!A22</f>
        <v>Koper</v>
      </c>
      <c r="B42" s="195"/>
      <c r="C42" s="195"/>
      <c r="D42" s="44" t="str">
        <f>G!AQ22</f>
        <v>&lt;</v>
      </c>
      <c r="E42" s="44" t="str">
        <f>G!AP22</f>
        <v>5,0</v>
      </c>
      <c r="G42" s="35" t="str">
        <f>G!AS22</f>
        <v>&lt;</v>
      </c>
      <c r="H42" s="44" t="str">
        <f>G!AR22</f>
        <v>rg</v>
      </c>
      <c r="I42" s="35" t="str">
        <f>G!AT22</f>
        <v>-</v>
      </c>
      <c r="J42" s="35" t="str">
        <f>G!AU22</f>
        <v/>
      </c>
      <c r="L42" s="44" t="str">
        <f>G!AW22</f>
        <v>&lt;</v>
      </c>
      <c r="M42" s="44" t="str">
        <f>G!AV22</f>
        <v>5,0</v>
      </c>
      <c r="O42" s="35" t="str">
        <f>G!AY22</f>
        <v>&lt;</v>
      </c>
      <c r="P42" s="44" t="str">
        <f>G!AX22</f>
        <v>rg</v>
      </c>
      <c r="Q42" s="35" t="str">
        <f>G!AZ22</f>
        <v>-</v>
      </c>
      <c r="R42" s="35" t="str">
        <f>G!BA22</f>
        <v/>
      </c>
      <c r="T42" s="44" t="str">
        <f>G!BC22</f>
        <v>&lt;</v>
      </c>
      <c r="U42" s="44" t="str">
        <f>G!BB22</f>
        <v>5,0</v>
      </c>
      <c r="V42" s="44"/>
      <c r="W42" s="35" t="str">
        <f>G!BE22</f>
        <v>&lt;</v>
      </c>
      <c r="X42" s="44" t="str">
        <f>G!BD22</f>
        <v>rg</v>
      </c>
      <c r="Y42" s="35" t="str">
        <f>G!BF22</f>
        <v>-</v>
      </c>
      <c r="Z42" s="35" t="str">
        <f>G!BG22</f>
        <v/>
      </c>
      <c r="AA42" s="44"/>
      <c r="AE42" s="72">
        <f t="shared" si="1"/>
        <v>0</v>
      </c>
    </row>
    <row r="43" spans="1:31" ht="9" customHeight="1" x14ac:dyDescent="0.15">
      <c r="A43" s="195" t="str">
        <f>F!A23</f>
        <v>Kwik</v>
      </c>
      <c r="B43" s="195"/>
      <c r="C43" s="195"/>
      <c r="D43" s="44" t="str">
        <f>G!AQ23</f>
        <v>&lt;</v>
      </c>
      <c r="E43" s="44" t="str">
        <f>G!AP23</f>
        <v>0,05</v>
      </c>
      <c r="G43" s="35" t="str">
        <f>G!AS23</f>
        <v>&lt;</v>
      </c>
      <c r="H43" s="44" t="str">
        <f>G!AR23</f>
        <v>rg</v>
      </c>
      <c r="I43" s="35" t="str">
        <f>G!AT23</f>
        <v>-</v>
      </c>
      <c r="J43" s="35" t="str">
        <f>G!AU23</f>
        <v/>
      </c>
      <c r="L43" s="44" t="str">
        <f>G!AW23</f>
        <v>&lt;</v>
      </c>
      <c r="M43" s="44" t="str">
        <f>G!AV23</f>
        <v>0,05</v>
      </c>
      <c r="O43" s="35" t="str">
        <f>G!AY23</f>
        <v>&lt;</v>
      </c>
      <c r="P43" s="44" t="str">
        <f>G!AX23</f>
        <v>rg</v>
      </c>
      <c r="Q43" s="35" t="str">
        <f>G!AZ23</f>
        <v>-</v>
      </c>
      <c r="R43" s="35" t="str">
        <f>G!BA23</f>
        <v/>
      </c>
      <c r="T43" s="44" t="str">
        <f>G!BC23</f>
        <v>&lt;</v>
      </c>
      <c r="U43" s="44" t="str">
        <f>G!BB23</f>
        <v>0,05</v>
      </c>
      <c r="V43" s="44"/>
      <c r="W43" s="35" t="str">
        <f>G!BE23</f>
        <v>&lt;</v>
      </c>
      <c r="X43" s="44" t="str">
        <f>G!BD23</f>
        <v>rg</v>
      </c>
      <c r="Y43" s="35" t="str">
        <f>G!BF23</f>
        <v>-</v>
      </c>
      <c r="Z43" s="35" t="str">
        <f>G!BG23</f>
        <v/>
      </c>
      <c r="AA43" s="44"/>
      <c r="AE43" s="72">
        <f t="shared" si="1"/>
        <v>0</v>
      </c>
    </row>
    <row r="44" spans="1:31" ht="9" hidden="1" customHeight="1" x14ac:dyDescent="0.15">
      <c r="A44" s="195" t="str">
        <f>F!A24</f>
        <v>Kwik (anorganisch)</v>
      </c>
      <c r="B44" s="195"/>
      <c r="C44" s="195"/>
      <c r="D44" s="44" t="str">
        <f>G!AQ24</f>
        <v/>
      </c>
      <c r="E44" s="44" t="str">
        <f>G!AP24</f>
        <v>--</v>
      </c>
      <c r="G44" s="35" t="str">
        <f>G!AS24</f>
        <v/>
      </c>
      <c r="H44" s="44" t="str">
        <f>G!AR24</f>
        <v>--</v>
      </c>
      <c r="I44" s="35" t="str">
        <f>G!AT24</f>
        <v/>
      </c>
      <c r="J44" s="35" t="str">
        <f>G!AU24</f>
        <v/>
      </c>
      <c r="L44" s="44" t="str">
        <f>G!AW24</f>
        <v/>
      </c>
      <c r="M44" s="44" t="str">
        <f>G!AV24</f>
        <v>--</v>
      </c>
      <c r="O44" s="35" t="str">
        <f>G!AY24</f>
        <v/>
      </c>
      <c r="P44" s="44" t="str">
        <f>G!AX24</f>
        <v>--</v>
      </c>
      <c r="Q44" s="35" t="str">
        <f>G!AZ24</f>
        <v/>
      </c>
      <c r="R44" s="35" t="str">
        <f>G!BA24</f>
        <v/>
      </c>
      <c r="T44" s="44" t="str">
        <f>G!BC24</f>
        <v/>
      </c>
      <c r="U44" s="44" t="str">
        <f>G!BB24</f>
        <v>--</v>
      </c>
      <c r="V44" s="44"/>
      <c r="W44" s="35" t="str">
        <f>G!BE24</f>
        <v/>
      </c>
      <c r="X44" s="44" t="str">
        <f>G!BD24</f>
        <v>--</v>
      </c>
      <c r="Y44" s="35" t="str">
        <f>G!BF24</f>
        <v/>
      </c>
      <c r="Z44" s="35" t="str">
        <f>G!BG24</f>
        <v/>
      </c>
      <c r="AA44" s="44"/>
      <c r="AE44" s="72">
        <f t="shared" si="1"/>
        <v>1</v>
      </c>
    </row>
    <row r="45" spans="1:31" ht="9" hidden="1" customHeight="1" x14ac:dyDescent="0.15">
      <c r="A45" s="195" t="str">
        <f>F!A25</f>
        <v>Kwik (organisch)</v>
      </c>
      <c r="B45" s="195"/>
      <c r="C45" s="195"/>
      <c r="D45" s="44" t="str">
        <f>G!AQ25</f>
        <v/>
      </c>
      <c r="E45" s="44" t="str">
        <f>G!AP25</f>
        <v>--</v>
      </c>
      <c r="G45" s="35" t="str">
        <f>G!AS25</f>
        <v/>
      </c>
      <c r="H45" s="44" t="str">
        <f>G!AR25</f>
        <v>--</v>
      </c>
      <c r="I45" s="35" t="str">
        <f>G!AT25</f>
        <v/>
      </c>
      <c r="J45" s="35" t="str">
        <f>G!AU25</f>
        <v/>
      </c>
      <c r="L45" s="44" t="str">
        <f>G!AW25</f>
        <v/>
      </c>
      <c r="M45" s="44" t="str">
        <f>G!AV25</f>
        <v>--</v>
      </c>
      <c r="O45" s="35" t="str">
        <f>G!AY25</f>
        <v/>
      </c>
      <c r="P45" s="44" t="str">
        <f>G!AX25</f>
        <v>--</v>
      </c>
      <c r="Q45" s="35" t="str">
        <f>G!AZ25</f>
        <v/>
      </c>
      <c r="R45" s="35" t="str">
        <f>G!BA25</f>
        <v/>
      </c>
      <c r="T45" s="44" t="str">
        <f>G!BC25</f>
        <v/>
      </c>
      <c r="U45" s="44" t="str">
        <f>G!BB25</f>
        <v>--</v>
      </c>
      <c r="V45" s="44"/>
      <c r="W45" s="35" t="str">
        <f>G!BE25</f>
        <v/>
      </c>
      <c r="X45" s="44" t="str">
        <f>G!BD25</f>
        <v>--</v>
      </c>
      <c r="Y45" s="35" t="str">
        <f>G!BF25</f>
        <v/>
      </c>
      <c r="Z45" s="35" t="str">
        <f>G!BG25</f>
        <v/>
      </c>
      <c r="AA45" s="44"/>
      <c r="AE45" s="72">
        <f t="shared" si="1"/>
        <v>1</v>
      </c>
    </row>
    <row r="46" spans="1:31" ht="9" customHeight="1" x14ac:dyDescent="0.15">
      <c r="A46" s="195" t="str">
        <f>F!A26</f>
        <v>Lood</v>
      </c>
      <c r="B46" s="195"/>
      <c r="C46" s="195"/>
      <c r="D46" s="44" t="str">
        <f>G!AQ26</f>
        <v>&lt;</v>
      </c>
      <c r="E46" s="44" t="str">
        <f>G!AP26</f>
        <v>10</v>
      </c>
      <c r="G46" s="35" t="str">
        <f>G!AS26</f>
        <v>&lt;</v>
      </c>
      <c r="H46" s="44" t="str">
        <f>G!AR26</f>
        <v>rg</v>
      </c>
      <c r="I46" s="35" t="str">
        <f>G!AT26</f>
        <v>-</v>
      </c>
      <c r="J46" s="35" t="str">
        <f>G!AU26</f>
        <v/>
      </c>
      <c r="L46" s="44" t="str">
        <f>G!AW26</f>
        <v>&lt;</v>
      </c>
      <c r="M46" s="44" t="str">
        <f>G!AV26</f>
        <v>10</v>
      </c>
      <c r="O46" s="35" t="str">
        <f>G!AY26</f>
        <v>&lt;</v>
      </c>
      <c r="P46" s="44" t="str">
        <f>G!AX26</f>
        <v>rg</v>
      </c>
      <c r="Q46" s="35" t="str">
        <f>G!AZ26</f>
        <v>-</v>
      </c>
      <c r="R46" s="35" t="str">
        <f>G!BA26</f>
        <v/>
      </c>
      <c r="T46" s="44" t="str">
        <f>G!BC26</f>
        <v>&lt;</v>
      </c>
      <c r="U46" s="44" t="str">
        <f>G!BB26</f>
        <v>10</v>
      </c>
      <c r="V46" s="44"/>
      <c r="W46" s="35" t="str">
        <f>G!BE26</f>
        <v>&lt;</v>
      </c>
      <c r="X46" s="44" t="str">
        <f>G!BD26</f>
        <v>rg</v>
      </c>
      <c r="Y46" s="35" t="str">
        <f>G!BF26</f>
        <v>-</v>
      </c>
      <c r="Z46" s="35" t="str">
        <f>G!BG26</f>
        <v/>
      </c>
      <c r="AA46" s="44"/>
      <c r="AE46" s="72">
        <f t="shared" si="1"/>
        <v>0</v>
      </c>
    </row>
    <row r="47" spans="1:31" ht="9" customHeight="1" x14ac:dyDescent="0.15">
      <c r="A47" s="195" t="str">
        <f>F!A27</f>
        <v>Molybdeen</v>
      </c>
      <c r="B47" s="195"/>
      <c r="C47" s="195"/>
      <c r="D47" s="44" t="str">
        <f>G!AQ27</f>
        <v>&lt;</v>
      </c>
      <c r="E47" s="44" t="str">
        <f>G!AP27</f>
        <v>1,5</v>
      </c>
      <c r="G47" s="35" t="str">
        <f>G!AS27</f>
        <v>&lt;</v>
      </c>
      <c r="H47" s="44" t="str">
        <f>G!AR27</f>
        <v>rg</v>
      </c>
      <c r="I47" s="35" t="str">
        <f>G!AT27</f>
        <v>-</v>
      </c>
      <c r="J47" s="35" t="str">
        <f>G!AU27</f>
        <v/>
      </c>
      <c r="L47" s="44" t="str">
        <f>G!AW27</f>
        <v>&lt;</v>
      </c>
      <c r="M47" s="44" t="str">
        <f>G!AV27</f>
        <v>1,5</v>
      </c>
      <c r="O47" s="35" t="str">
        <f>G!AY27</f>
        <v>&lt;</v>
      </c>
      <c r="P47" s="44" t="str">
        <f>G!AX27</f>
        <v>rg</v>
      </c>
      <c r="Q47" s="35" t="str">
        <f>G!AZ27</f>
        <v>-</v>
      </c>
      <c r="R47" s="35" t="str">
        <f>G!BA27</f>
        <v/>
      </c>
      <c r="T47" s="44" t="str">
        <f>G!BC27</f>
        <v>&lt;</v>
      </c>
      <c r="U47" s="44" t="str">
        <f>G!BB27</f>
        <v>1,5</v>
      </c>
      <c r="V47" s="44"/>
      <c r="W47" s="35" t="str">
        <f>G!BE27</f>
        <v>&lt;</v>
      </c>
      <c r="X47" s="44" t="str">
        <f>G!BD27</f>
        <v>rg</v>
      </c>
      <c r="Y47" s="35" t="str">
        <f>G!BF27</f>
        <v>-</v>
      </c>
      <c r="Z47" s="35" t="str">
        <f>G!BG27</f>
        <v/>
      </c>
      <c r="AA47" s="44"/>
      <c r="AE47" s="72">
        <f t="shared" si="1"/>
        <v>0</v>
      </c>
    </row>
    <row r="48" spans="1:31" ht="9" customHeight="1" x14ac:dyDescent="0.15">
      <c r="A48" s="195" t="str">
        <f>F!A28</f>
        <v>Nikkel</v>
      </c>
      <c r="B48" s="195"/>
      <c r="C48" s="195"/>
      <c r="D48" s="44" t="str">
        <f>G!AQ28</f>
        <v/>
      </c>
      <c r="E48" s="44" t="str">
        <f>G!AP28</f>
        <v>8,0</v>
      </c>
      <c r="G48" s="35" t="str">
        <f>G!AS28</f>
        <v/>
      </c>
      <c r="H48" s="44" t="str">
        <f>G!AR28</f>
        <v>23,3</v>
      </c>
      <c r="I48" s="35" t="str">
        <f>G!AT28</f>
        <v>-</v>
      </c>
      <c r="J48" s="35" t="str">
        <f>G!AU28</f>
        <v/>
      </c>
      <c r="L48" s="44" t="str">
        <f>G!AW28</f>
        <v/>
      </c>
      <c r="M48" s="44" t="str">
        <f>G!AV28</f>
        <v>13</v>
      </c>
      <c r="O48" s="35" t="str">
        <f>G!AY28</f>
        <v/>
      </c>
      <c r="P48" s="44" t="str">
        <f>G!AX28</f>
        <v>21,7</v>
      </c>
      <c r="Q48" s="35" t="str">
        <f>G!AZ28</f>
        <v>-</v>
      </c>
      <c r="R48" s="35" t="str">
        <f>G!BA28</f>
        <v/>
      </c>
      <c r="T48" s="44" t="str">
        <f>G!BC28</f>
        <v/>
      </c>
      <c r="U48" s="44" t="str">
        <f>G!BB28</f>
        <v>10</v>
      </c>
      <c r="V48" s="44"/>
      <c r="W48" s="35" t="str">
        <f>G!BE28</f>
        <v/>
      </c>
      <c r="X48" s="44" t="str">
        <f>G!BD28</f>
        <v>22,2</v>
      </c>
      <c r="Y48" s="35" t="str">
        <f>G!BF28</f>
        <v>-</v>
      </c>
      <c r="Z48" s="35" t="str">
        <f>G!BG28</f>
        <v/>
      </c>
      <c r="AA48" s="44"/>
      <c r="AE48" s="72">
        <f t="shared" si="1"/>
        <v>0</v>
      </c>
    </row>
    <row r="49" spans="1:31" ht="9" hidden="1" customHeight="1" x14ac:dyDescent="0.15">
      <c r="A49" s="195" t="str">
        <f>F!A29</f>
        <v>Seleen</v>
      </c>
      <c r="B49" s="195"/>
      <c r="C49" s="195"/>
      <c r="D49" s="44" t="str">
        <f>G!AQ29</f>
        <v/>
      </c>
      <c r="E49" s="44" t="str">
        <f>G!AP29</f>
        <v>--</v>
      </c>
      <c r="G49" s="35" t="str">
        <f>G!AS29</f>
        <v/>
      </c>
      <c r="H49" s="44" t="str">
        <f>G!AR29</f>
        <v>--</v>
      </c>
      <c r="I49" s="35" t="str">
        <f>G!AT29</f>
        <v/>
      </c>
      <c r="J49" s="35" t="str">
        <f>G!AU29</f>
        <v/>
      </c>
      <c r="L49" s="44" t="str">
        <f>G!AW29</f>
        <v/>
      </c>
      <c r="M49" s="44" t="str">
        <f>G!AV29</f>
        <v>--</v>
      </c>
      <c r="O49" s="35" t="str">
        <f>G!AY29</f>
        <v/>
      </c>
      <c r="P49" s="44" t="str">
        <f>G!AX29</f>
        <v>--</v>
      </c>
      <c r="Q49" s="35" t="str">
        <f>G!AZ29</f>
        <v/>
      </c>
      <c r="R49" s="35" t="str">
        <f>G!BA29</f>
        <v/>
      </c>
      <c r="T49" s="44" t="str">
        <f>G!BC29</f>
        <v/>
      </c>
      <c r="U49" s="44" t="str">
        <f>G!BB29</f>
        <v>--</v>
      </c>
      <c r="V49" s="44"/>
      <c r="W49" s="35" t="str">
        <f>G!BE29</f>
        <v/>
      </c>
      <c r="X49" s="44" t="str">
        <f>G!BD29</f>
        <v>--</v>
      </c>
      <c r="Y49" s="35" t="str">
        <f>G!BF29</f>
        <v/>
      </c>
      <c r="Z49" s="35" t="str">
        <f>G!BG29</f>
        <v/>
      </c>
      <c r="AA49" s="44"/>
      <c r="AE49" s="72">
        <f t="shared" si="1"/>
        <v>1</v>
      </c>
    </row>
    <row r="50" spans="1:31" ht="9" hidden="1" customHeight="1" x14ac:dyDescent="0.15">
      <c r="A50" s="195" t="str">
        <f>F!A30</f>
        <v>Tin</v>
      </c>
      <c r="B50" s="195"/>
      <c r="C50" s="195"/>
      <c r="D50" s="44" t="str">
        <f>G!AQ30</f>
        <v/>
      </c>
      <c r="E50" s="44" t="str">
        <f>G!AP30</f>
        <v>--</v>
      </c>
      <c r="G50" s="35" t="str">
        <f>G!AS30</f>
        <v/>
      </c>
      <c r="H50" s="44" t="str">
        <f>G!AR30</f>
        <v>--</v>
      </c>
      <c r="I50" s="35" t="str">
        <f>G!AT30</f>
        <v/>
      </c>
      <c r="J50" s="35" t="str">
        <f>G!AU30</f>
        <v/>
      </c>
      <c r="L50" s="44" t="str">
        <f>G!AW30</f>
        <v/>
      </c>
      <c r="M50" s="44" t="str">
        <f>G!AV30</f>
        <v>--</v>
      </c>
      <c r="O50" s="35" t="str">
        <f>G!AY30</f>
        <v/>
      </c>
      <c r="P50" s="44" t="str">
        <f>G!AX30</f>
        <v>--</v>
      </c>
      <c r="Q50" s="35" t="str">
        <f>G!AZ30</f>
        <v/>
      </c>
      <c r="R50" s="35" t="str">
        <f>G!BA30</f>
        <v/>
      </c>
      <c r="T50" s="44" t="str">
        <f>G!BC30</f>
        <v/>
      </c>
      <c r="U50" s="44" t="str">
        <f>G!BB30</f>
        <v>--</v>
      </c>
      <c r="V50" s="44"/>
      <c r="W50" s="35" t="str">
        <f>G!BE30</f>
        <v/>
      </c>
      <c r="X50" s="44" t="str">
        <f>G!BD30</f>
        <v>--</v>
      </c>
      <c r="Y50" s="35" t="str">
        <f>G!BF30</f>
        <v/>
      </c>
      <c r="Z50" s="35" t="str">
        <f>G!BG30</f>
        <v/>
      </c>
      <c r="AA50" s="44"/>
      <c r="AE50" s="72">
        <f t="shared" si="1"/>
        <v>1</v>
      </c>
    </row>
    <row r="51" spans="1:31" ht="9" hidden="1" customHeight="1" x14ac:dyDescent="0.15">
      <c r="A51" s="195" t="str">
        <f>F!A31</f>
        <v>Vanadium</v>
      </c>
      <c r="B51" s="195"/>
      <c r="C51" s="195"/>
      <c r="D51" s="44" t="str">
        <f>G!AQ31</f>
        <v/>
      </c>
      <c r="E51" s="44" t="str">
        <f>G!AP31</f>
        <v>--</v>
      </c>
      <c r="G51" s="35" t="str">
        <f>G!AS31</f>
        <v/>
      </c>
      <c r="H51" s="44" t="str">
        <f>G!AR31</f>
        <v>--</v>
      </c>
      <c r="I51" s="35" t="str">
        <f>G!AT31</f>
        <v/>
      </c>
      <c r="J51" s="35" t="str">
        <f>G!AU31</f>
        <v/>
      </c>
      <c r="L51" s="44" t="str">
        <f>G!AW31</f>
        <v/>
      </c>
      <c r="M51" s="44" t="str">
        <f>G!AV31</f>
        <v>--</v>
      </c>
      <c r="O51" s="35" t="str">
        <f>G!AY31</f>
        <v/>
      </c>
      <c r="P51" s="44" t="str">
        <f>G!AX31</f>
        <v>--</v>
      </c>
      <c r="Q51" s="35" t="str">
        <f>G!AZ31</f>
        <v/>
      </c>
      <c r="R51" s="35" t="str">
        <f>G!BA31</f>
        <v/>
      </c>
      <c r="T51" s="44" t="str">
        <f>G!BC31</f>
        <v/>
      </c>
      <c r="U51" s="44" t="str">
        <f>G!BB31</f>
        <v>--</v>
      </c>
      <c r="V51" s="44"/>
      <c r="W51" s="35" t="str">
        <f>G!BE31</f>
        <v/>
      </c>
      <c r="X51" s="44" t="str">
        <f>G!BD31</f>
        <v>--</v>
      </c>
      <c r="Y51" s="35" t="str">
        <f>G!BF31</f>
        <v/>
      </c>
      <c r="Z51" s="35" t="str">
        <f>G!BG31</f>
        <v/>
      </c>
      <c r="AA51" s="44"/>
      <c r="AE51" s="72">
        <f t="shared" si="1"/>
        <v>1</v>
      </c>
    </row>
    <row r="52" spans="1:31" ht="9" customHeight="1" x14ac:dyDescent="0.15">
      <c r="A52" s="195" t="str">
        <f>F!A32</f>
        <v>Zink</v>
      </c>
      <c r="B52" s="195"/>
      <c r="C52" s="195"/>
      <c r="D52" s="44" t="str">
        <f>G!AQ32</f>
        <v>&lt;</v>
      </c>
      <c r="E52" s="44" t="str">
        <f>G!AP32</f>
        <v>20</v>
      </c>
      <c r="G52" s="35" t="str">
        <f>G!AS32</f>
        <v>&lt;</v>
      </c>
      <c r="H52" s="44" t="str">
        <f>G!AR32</f>
        <v>rg</v>
      </c>
      <c r="I52" s="35" t="str">
        <f>G!AT32</f>
        <v>-</v>
      </c>
      <c r="J52" s="35" t="str">
        <f>G!AU32</f>
        <v/>
      </c>
      <c r="L52" s="44" t="str">
        <f>G!AW32</f>
        <v/>
      </c>
      <c r="M52" s="44" t="str">
        <f>G!AV32</f>
        <v>21</v>
      </c>
      <c r="O52" s="35" t="str">
        <f>G!AY32</f>
        <v/>
      </c>
      <c r="P52" s="44" t="str">
        <f>G!AX32</f>
        <v>34,2</v>
      </c>
      <c r="Q52" s="35" t="str">
        <f>G!AZ32</f>
        <v>-</v>
      </c>
      <c r="R52" s="35" t="str">
        <f>G!BA32</f>
        <v/>
      </c>
      <c r="T52" s="44" t="str">
        <f>G!BC32</f>
        <v/>
      </c>
      <c r="U52" s="44" t="str">
        <f>G!BB32</f>
        <v>20</v>
      </c>
      <c r="V52" s="44"/>
      <c r="W52" s="35" t="str">
        <f>G!BE32</f>
        <v/>
      </c>
      <c r="X52" s="44" t="str">
        <f>G!BD32</f>
        <v>39,8</v>
      </c>
      <c r="Y52" s="35" t="str">
        <f>G!BF32</f>
        <v>-</v>
      </c>
      <c r="Z52" s="35" t="str">
        <f>G!BG32</f>
        <v/>
      </c>
      <c r="AA52" s="44"/>
      <c r="AE52" s="72">
        <f t="shared" si="1"/>
        <v>0</v>
      </c>
    </row>
    <row r="53" spans="1:31" ht="3.95" customHeight="1" x14ac:dyDescent="0.15">
      <c r="A53" s="41"/>
      <c r="B53" s="41"/>
      <c r="C53" s="41"/>
      <c r="D53" s="44"/>
      <c r="E53" s="44"/>
      <c r="H53" s="44"/>
      <c r="L53" s="44"/>
      <c r="M53" s="44"/>
      <c r="P53" s="44"/>
      <c r="T53" s="44"/>
      <c r="U53" s="44"/>
      <c r="V53" s="44"/>
      <c r="X53" s="44"/>
      <c r="Z53" s="44"/>
      <c r="AA53" s="44"/>
      <c r="AE53" s="94">
        <f>AE54</f>
        <v>0</v>
      </c>
    </row>
    <row r="54" spans="1:31" ht="9" customHeight="1" x14ac:dyDescent="0.15">
      <c r="A54" s="198" t="str">
        <f>IF(COUNTIF(F!D33:D49,131)&gt;0,"Polycyclische aromatische koolwaterstoffen (µg/kgds)","Polycyclische aromatische koolwaterstoffen (mg/kgds)")</f>
        <v>Polycyclische aromatische koolwaterstoffen (mg/kgds)</v>
      </c>
      <c r="B54" s="198"/>
      <c r="C54" s="198"/>
      <c r="D54" s="198"/>
      <c r="E54" s="198"/>
      <c r="F54" s="198"/>
      <c r="G54" s="198"/>
      <c r="H54" s="198"/>
      <c r="I54" s="198"/>
      <c r="J54" s="198"/>
      <c r="K54" s="198"/>
      <c r="L54" s="198"/>
      <c r="M54" s="198"/>
      <c r="N54" s="198"/>
      <c r="O54" s="198"/>
      <c r="P54" s="198"/>
      <c r="Q54" s="198"/>
      <c r="R54" s="198"/>
      <c r="S54" s="198"/>
      <c r="T54" s="198"/>
      <c r="U54" s="198"/>
      <c r="V54" s="198"/>
      <c r="W54" s="198"/>
      <c r="X54" s="198"/>
      <c r="Y54" s="198"/>
      <c r="Z54" s="198"/>
      <c r="AA54" s="198"/>
      <c r="AE54" s="94">
        <f>IF(COUNTIF(AE55:AE71,1)=COUNT(AE55:AE71),1,0)</f>
        <v>0</v>
      </c>
    </row>
    <row r="55" spans="1:31" ht="9" customHeight="1" x14ac:dyDescent="0.15">
      <c r="A55" s="195" t="str">
        <f>F!A33</f>
        <v>Naftaleen</v>
      </c>
      <c r="B55" s="195"/>
      <c r="C55" s="195"/>
      <c r="D55" s="44" t="str">
        <f>G!AQ33</f>
        <v>&lt;</v>
      </c>
      <c r="E55" s="44" t="str">
        <f>G!AP33</f>
        <v>0,01</v>
      </c>
      <c r="G55" s="35" t="str">
        <f>G!AS33</f>
        <v>&lt;</v>
      </c>
      <c r="H55" s="44" t="str">
        <f>G!AR33</f>
        <v>rg</v>
      </c>
      <c r="I55" s="35" t="str">
        <f>G!AT33</f>
        <v/>
      </c>
      <c r="J55" s="35" t="str">
        <f>G!AU33</f>
        <v/>
      </c>
      <c r="L55" s="44" t="str">
        <f>G!AW33</f>
        <v>&lt;</v>
      </c>
      <c r="M55" s="44" t="str">
        <f>G!AV33</f>
        <v>0,01</v>
      </c>
      <c r="O55" s="35" t="str">
        <f>G!AY33</f>
        <v>&lt;</v>
      </c>
      <c r="P55" s="44" t="str">
        <f>G!AX33</f>
        <v>rg</v>
      </c>
      <c r="Q55" s="35" t="str">
        <f>G!AZ33</f>
        <v/>
      </c>
      <c r="R55" s="35" t="str">
        <f>G!BA33</f>
        <v/>
      </c>
      <c r="T55" s="44" t="str">
        <f>G!BC33</f>
        <v>&lt;</v>
      </c>
      <c r="U55" s="44" t="str">
        <f>G!BB33</f>
        <v>0,01</v>
      </c>
      <c r="V55" s="44"/>
      <c r="W55" s="35" t="str">
        <f>G!BE33</f>
        <v>&lt;</v>
      </c>
      <c r="X55" s="44" t="str">
        <f>G!BD33</f>
        <v>rg</v>
      </c>
      <c r="Y55" s="35" t="str">
        <f>G!BF33</f>
        <v/>
      </c>
      <c r="Z55" s="35" t="str">
        <f>G!BG33</f>
        <v/>
      </c>
      <c r="AA55" s="44"/>
      <c r="AE55" s="72">
        <f t="shared" si="1"/>
        <v>0</v>
      </c>
    </row>
    <row r="56" spans="1:31" ht="9" customHeight="1" x14ac:dyDescent="0.15">
      <c r="A56" s="195" t="str">
        <f>F!A34</f>
        <v>Antraceen</v>
      </c>
      <c r="B56" s="195"/>
      <c r="C56" s="195"/>
      <c r="D56" s="44" t="str">
        <f>G!AQ34</f>
        <v>&lt;</v>
      </c>
      <c r="E56" s="44" t="str">
        <f>G!AP34</f>
        <v>0,01</v>
      </c>
      <c r="G56" s="35" t="str">
        <f>G!AS34</f>
        <v>&lt;</v>
      </c>
      <c r="H56" s="44" t="str">
        <f>G!AR34</f>
        <v>rg</v>
      </c>
      <c r="I56" s="35" t="str">
        <f>G!AT34</f>
        <v/>
      </c>
      <c r="J56" s="35" t="str">
        <f>G!AU34</f>
        <v/>
      </c>
      <c r="L56" s="44" t="str">
        <f>G!AW34</f>
        <v>&lt;</v>
      </c>
      <c r="M56" s="44" t="str">
        <f>G!AV34</f>
        <v>0,01</v>
      </c>
      <c r="O56" s="35" t="str">
        <f>G!AY34</f>
        <v>&lt;</v>
      </c>
      <c r="P56" s="44" t="str">
        <f>G!AX34</f>
        <v>rg</v>
      </c>
      <c r="Q56" s="35" t="str">
        <f>G!AZ34</f>
        <v/>
      </c>
      <c r="R56" s="35" t="str">
        <f>G!BA34</f>
        <v/>
      </c>
      <c r="T56" s="44" t="str">
        <f>G!BC34</f>
        <v>&lt;</v>
      </c>
      <c r="U56" s="44" t="str">
        <f>G!BB34</f>
        <v>0,01</v>
      </c>
      <c r="V56" s="44"/>
      <c r="W56" s="35" t="str">
        <f>G!BE34</f>
        <v>&lt;</v>
      </c>
      <c r="X56" s="44" t="str">
        <f>G!BD34</f>
        <v>rg</v>
      </c>
      <c r="Y56" s="35" t="str">
        <f>G!BF34</f>
        <v/>
      </c>
      <c r="Z56" s="35" t="str">
        <f>G!BG34</f>
        <v/>
      </c>
      <c r="AA56" s="44"/>
      <c r="AE56" s="72">
        <f t="shared" si="1"/>
        <v>0</v>
      </c>
    </row>
    <row r="57" spans="1:31" ht="9" customHeight="1" x14ac:dyDescent="0.15">
      <c r="A57" s="195" t="str">
        <f>F!A35</f>
        <v>Fenantreen</v>
      </c>
      <c r="B57" s="195"/>
      <c r="C57" s="195"/>
      <c r="D57" s="44" t="str">
        <f>G!AQ35</f>
        <v>&lt;</v>
      </c>
      <c r="E57" s="44" t="str">
        <f>G!AP35</f>
        <v>0,01</v>
      </c>
      <c r="G57" s="35" t="str">
        <f>G!AS35</f>
        <v>&lt;</v>
      </c>
      <c r="H57" s="44" t="str">
        <f>G!AR35</f>
        <v>rg</v>
      </c>
      <c r="I57" s="35" t="str">
        <f>G!AT35</f>
        <v/>
      </c>
      <c r="J57" s="35" t="str">
        <f>G!AU35</f>
        <v/>
      </c>
      <c r="L57" s="44" t="str">
        <f>G!AW35</f>
        <v>&lt;</v>
      </c>
      <c r="M57" s="44" t="str">
        <f>G!AV35</f>
        <v>0,01</v>
      </c>
      <c r="O57" s="35" t="str">
        <f>G!AY35</f>
        <v>&lt;</v>
      </c>
      <c r="P57" s="44" t="str">
        <f>G!AX35</f>
        <v>rg</v>
      </c>
      <c r="Q57" s="35" t="str">
        <f>G!AZ35</f>
        <v/>
      </c>
      <c r="R57" s="35" t="str">
        <f>G!BA35</f>
        <v/>
      </c>
      <c r="T57" s="44" t="str">
        <f>G!BC35</f>
        <v>&lt;</v>
      </c>
      <c r="U57" s="44" t="str">
        <f>G!BB35</f>
        <v>0,01</v>
      </c>
      <c r="V57" s="44"/>
      <c r="W57" s="35" t="str">
        <f>G!BE35</f>
        <v>&lt;</v>
      </c>
      <c r="X57" s="44" t="str">
        <f>G!BD35</f>
        <v>rg</v>
      </c>
      <c r="Y57" s="35" t="str">
        <f>G!BF35</f>
        <v/>
      </c>
      <c r="Z57" s="35" t="str">
        <f>G!BG35</f>
        <v/>
      </c>
      <c r="AA57" s="44"/>
      <c r="AE57" s="72">
        <f t="shared" si="1"/>
        <v>0</v>
      </c>
    </row>
    <row r="58" spans="1:31" ht="9" customHeight="1" x14ac:dyDescent="0.15">
      <c r="A58" s="195" t="str">
        <f>F!A36</f>
        <v>Fluoranteen</v>
      </c>
      <c r="B58" s="195"/>
      <c r="C58" s="195"/>
      <c r="D58" s="44" t="str">
        <f>G!AQ36</f>
        <v>&lt;</v>
      </c>
      <c r="E58" s="44" t="str">
        <f>G!AP36</f>
        <v>0,01</v>
      </c>
      <c r="G58" s="35" t="str">
        <f>G!AS36</f>
        <v>&lt;</v>
      </c>
      <c r="H58" s="44" t="str">
        <f>G!AR36</f>
        <v>rg</v>
      </c>
      <c r="I58" s="35" t="str">
        <f>G!AT36</f>
        <v/>
      </c>
      <c r="J58" s="35" t="str">
        <f>G!AU36</f>
        <v/>
      </c>
      <c r="L58" s="44" t="str">
        <f>G!AW36</f>
        <v>&lt;</v>
      </c>
      <c r="M58" s="44" t="str">
        <f>G!AV36</f>
        <v>0,01</v>
      </c>
      <c r="O58" s="35" t="str">
        <f>G!AY36</f>
        <v>&lt;</v>
      </c>
      <c r="P58" s="44" t="str">
        <f>G!AX36</f>
        <v>rg</v>
      </c>
      <c r="Q58" s="35" t="str">
        <f>G!AZ36</f>
        <v/>
      </c>
      <c r="R58" s="35" t="str">
        <f>G!BA36</f>
        <v/>
      </c>
      <c r="T58" s="44" t="str">
        <f>G!BC36</f>
        <v>&lt;</v>
      </c>
      <c r="U58" s="44" t="str">
        <f>G!BB36</f>
        <v>0,01</v>
      </c>
      <c r="V58" s="44"/>
      <c r="W58" s="35" t="str">
        <f>G!BE36</f>
        <v>&lt;</v>
      </c>
      <c r="X58" s="44" t="str">
        <f>G!BD36</f>
        <v>rg</v>
      </c>
      <c r="Y58" s="35" t="str">
        <f>G!BF36</f>
        <v/>
      </c>
      <c r="Z58" s="35" t="str">
        <f>G!BG36</f>
        <v/>
      </c>
      <c r="AA58" s="44"/>
      <c r="AE58" s="72">
        <f t="shared" si="1"/>
        <v>0</v>
      </c>
    </row>
    <row r="59" spans="1:31" ht="9" customHeight="1" x14ac:dyDescent="0.15">
      <c r="A59" s="195" t="str">
        <f>F!A37</f>
        <v>Benzo(a)antraceen</v>
      </c>
      <c r="B59" s="195"/>
      <c r="C59" s="195"/>
      <c r="D59" s="44" t="str">
        <f>G!AQ37</f>
        <v>&lt;</v>
      </c>
      <c r="E59" s="44" t="str">
        <f>G!AP37</f>
        <v>0,01</v>
      </c>
      <c r="G59" s="35" t="str">
        <f>G!AS37</f>
        <v>&lt;</v>
      </c>
      <c r="H59" s="44" t="str">
        <f>G!AR37</f>
        <v>rg</v>
      </c>
      <c r="I59" s="35" t="str">
        <f>G!AT37</f>
        <v/>
      </c>
      <c r="J59" s="35" t="str">
        <f>G!AU37</f>
        <v/>
      </c>
      <c r="L59" s="44" t="str">
        <f>G!AW37</f>
        <v>&lt;</v>
      </c>
      <c r="M59" s="44" t="str">
        <f>G!AV37</f>
        <v>0,01</v>
      </c>
      <c r="O59" s="35" t="str">
        <f>G!AY37</f>
        <v>&lt;</v>
      </c>
      <c r="P59" s="44" t="str">
        <f>G!AX37</f>
        <v>rg</v>
      </c>
      <c r="Q59" s="35" t="str">
        <f>G!AZ37</f>
        <v/>
      </c>
      <c r="R59" s="35" t="str">
        <f>G!BA37</f>
        <v/>
      </c>
      <c r="T59" s="44" t="str">
        <f>G!BC37</f>
        <v>&lt;</v>
      </c>
      <c r="U59" s="44" t="str">
        <f>G!BB37</f>
        <v>0,01</v>
      </c>
      <c r="V59" s="44"/>
      <c r="W59" s="35" t="str">
        <f>G!BE37</f>
        <v>&lt;</v>
      </c>
      <c r="X59" s="44" t="str">
        <f>G!BD37</f>
        <v>rg</v>
      </c>
      <c r="Y59" s="35" t="str">
        <f>G!BF37</f>
        <v/>
      </c>
      <c r="Z59" s="35" t="str">
        <f>G!BG37</f>
        <v/>
      </c>
      <c r="AA59" s="44"/>
      <c r="AE59" s="72">
        <f t="shared" si="1"/>
        <v>0</v>
      </c>
    </row>
    <row r="60" spans="1:31" ht="9" customHeight="1" x14ac:dyDescent="0.15">
      <c r="A60" s="195" t="str">
        <f>F!A38</f>
        <v>Chryseen</v>
      </c>
      <c r="B60" s="195"/>
      <c r="C60" s="195"/>
      <c r="D60" s="44" t="str">
        <f>G!AQ38</f>
        <v>&lt;</v>
      </c>
      <c r="E60" s="44" t="str">
        <f>G!AP38</f>
        <v>0,01</v>
      </c>
      <c r="G60" s="35" t="str">
        <f>G!AS38</f>
        <v>&lt;</v>
      </c>
      <c r="H60" s="44" t="str">
        <f>G!AR38</f>
        <v>rg</v>
      </c>
      <c r="I60" s="35" t="str">
        <f>G!AT38</f>
        <v/>
      </c>
      <c r="J60" s="35" t="str">
        <f>G!AU38</f>
        <v/>
      </c>
      <c r="L60" s="44" t="str">
        <f>G!AW38</f>
        <v>&lt;</v>
      </c>
      <c r="M60" s="44" t="str">
        <f>G!AV38</f>
        <v>0,01</v>
      </c>
      <c r="O60" s="35" t="str">
        <f>G!AY38</f>
        <v>&lt;</v>
      </c>
      <c r="P60" s="44" t="str">
        <f>G!AX38</f>
        <v>rg</v>
      </c>
      <c r="Q60" s="35" t="str">
        <f>G!AZ38</f>
        <v/>
      </c>
      <c r="R60" s="35" t="str">
        <f>G!BA38</f>
        <v/>
      </c>
      <c r="T60" s="44" t="str">
        <f>G!BC38</f>
        <v>&lt;</v>
      </c>
      <c r="U60" s="44" t="str">
        <f>G!BB38</f>
        <v>0,01</v>
      </c>
      <c r="V60" s="44"/>
      <c r="W60" s="35" t="str">
        <f>G!BE38</f>
        <v>&lt;</v>
      </c>
      <c r="X60" s="44" t="str">
        <f>G!BD38</f>
        <v>rg</v>
      </c>
      <c r="Y60" s="35" t="str">
        <f>G!BF38</f>
        <v/>
      </c>
      <c r="Z60" s="35" t="str">
        <f>G!BG38</f>
        <v/>
      </c>
      <c r="AA60" s="44"/>
      <c r="AE60" s="72">
        <f t="shared" si="1"/>
        <v>0</v>
      </c>
    </row>
    <row r="61" spans="1:31" ht="9" customHeight="1" x14ac:dyDescent="0.15">
      <c r="A61" s="195" t="str">
        <f>F!A39</f>
        <v>Benzo(a)pyreen</v>
      </c>
      <c r="B61" s="195"/>
      <c r="C61" s="195"/>
      <c r="D61" s="44" t="str">
        <f>G!AQ39</f>
        <v>&lt;</v>
      </c>
      <c r="E61" s="44" t="str">
        <f>G!AP39</f>
        <v>0,01</v>
      </c>
      <c r="G61" s="35" t="str">
        <f>G!AS39</f>
        <v>&lt;</v>
      </c>
      <c r="H61" s="44" t="str">
        <f>G!AR39</f>
        <v>rg</v>
      </c>
      <c r="I61" s="35" t="str">
        <f>G!AT39</f>
        <v/>
      </c>
      <c r="J61" s="35" t="str">
        <f>G!AU39</f>
        <v/>
      </c>
      <c r="L61" s="44" t="str">
        <f>G!AW39</f>
        <v>&lt;</v>
      </c>
      <c r="M61" s="44" t="str">
        <f>G!AV39</f>
        <v>0,01</v>
      </c>
      <c r="O61" s="35" t="str">
        <f>G!AY39</f>
        <v>&lt;</v>
      </c>
      <c r="P61" s="44" t="str">
        <f>G!AX39</f>
        <v>rg</v>
      </c>
      <c r="Q61" s="35" t="str">
        <f>G!AZ39</f>
        <v/>
      </c>
      <c r="R61" s="35" t="str">
        <f>G!BA39</f>
        <v/>
      </c>
      <c r="T61" s="44" t="str">
        <f>G!BC39</f>
        <v>&lt;</v>
      </c>
      <c r="U61" s="44" t="str">
        <f>G!BB39</f>
        <v>0,01</v>
      </c>
      <c r="V61" s="44"/>
      <c r="W61" s="35" t="str">
        <f>G!BE39</f>
        <v>&lt;</v>
      </c>
      <c r="X61" s="44" t="str">
        <f>G!BD39</f>
        <v>rg</v>
      </c>
      <c r="Y61" s="35" t="str">
        <f>G!BF39</f>
        <v/>
      </c>
      <c r="Z61" s="35" t="str">
        <f>G!BG39</f>
        <v/>
      </c>
      <c r="AA61" s="44"/>
      <c r="AE61" s="72">
        <f t="shared" si="1"/>
        <v>0</v>
      </c>
    </row>
    <row r="62" spans="1:31" ht="9" customHeight="1" x14ac:dyDescent="0.15">
      <c r="A62" s="195" t="str">
        <f>F!A40</f>
        <v>Benzo(ghi)peryleen</v>
      </c>
      <c r="B62" s="195"/>
      <c r="C62" s="195"/>
      <c r="D62" s="44" t="str">
        <f>G!AQ40</f>
        <v>&lt;</v>
      </c>
      <c r="E62" s="44" t="str">
        <f>G!AP40</f>
        <v>0,01</v>
      </c>
      <c r="G62" s="35" t="str">
        <f>G!AS40</f>
        <v>&lt;</v>
      </c>
      <c r="H62" s="44" t="str">
        <f>G!AR40</f>
        <v>rg</v>
      </c>
      <c r="I62" s="35" t="str">
        <f>G!AT40</f>
        <v/>
      </c>
      <c r="J62" s="35" t="str">
        <f>G!AU40</f>
        <v/>
      </c>
      <c r="L62" s="44" t="str">
        <f>G!AW40</f>
        <v>&lt;</v>
      </c>
      <c r="M62" s="44" t="str">
        <f>G!AV40</f>
        <v>0,01</v>
      </c>
      <c r="O62" s="35" t="str">
        <f>G!AY40</f>
        <v>&lt;</v>
      </c>
      <c r="P62" s="44" t="str">
        <f>G!AX40</f>
        <v>rg</v>
      </c>
      <c r="Q62" s="35" t="str">
        <f>G!AZ40</f>
        <v/>
      </c>
      <c r="R62" s="35" t="str">
        <f>G!BA40</f>
        <v/>
      </c>
      <c r="T62" s="44" t="str">
        <f>G!BC40</f>
        <v>&lt;</v>
      </c>
      <c r="U62" s="44" t="str">
        <f>G!BB40</f>
        <v>0,01</v>
      </c>
      <c r="V62" s="44"/>
      <c r="W62" s="35" t="str">
        <f>G!BE40</f>
        <v>&lt;</v>
      </c>
      <c r="X62" s="44" t="str">
        <f>G!BD40</f>
        <v>rg</v>
      </c>
      <c r="Y62" s="35" t="str">
        <f>G!BF40</f>
        <v/>
      </c>
      <c r="Z62" s="35" t="str">
        <f>G!BG40</f>
        <v/>
      </c>
      <c r="AA62" s="44"/>
      <c r="AE62" s="72">
        <f t="shared" si="1"/>
        <v>0</v>
      </c>
    </row>
    <row r="63" spans="1:31" ht="9" customHeight="1" x14ac:dyDescent="0.15">
      <c r="A63" s="195" t="str">
        <f>F!A41</f>
        <v>Benzo(k)fluoranteen</v>
      </c>
      <c r="B63" s="195"/>
      <c r="C63" s="195"/>
      <c r="D63" s="44" t="str">
        <f>G!AQ41</f>
        <v>&lt;</v>
      </c>
      <c r="E63" s="44" t="str">
        <f>G!AP41</f>
        <v>0,01</v>
      </c>
      <c r="G63" s="35" t="str">
        <f>G!AS41</f>
        <v>&lt;</v>
      </c>
      <c r="H63" s="44" t="str">
        <f>G!AR41</f>
        <v>rg</v>
      </c>
      <c r="I63" s="35" t="str">
        <f>G!AT41</f>
        <v/>
      </c>
      <c r="J63" s="35" t="str">
        <f>G!AU41</f>
        <v/>
      </c>
      <c r="L63" s="44" t="str">
        <f>G!AW41</f>
        <v>&lt;</v>
      </c>
      <c r="M63" s="44" t="str">
        <f>G!AV41</f>
        <v>0,01</v>
      </c>
      <c r="O63" s="35" t="str">
        <f>G!AY41</f>
        <v>&lt;</v>
      </c>
      <c r="P63" s="44" t="str">
        <f>G!AX41</f>
        <v>rg</v>
      </c>
      <c r="Q63" s="35" t="str">
        <f>G!AZ41</f>
        <v/>
      </c>
      <c r="R63" s="35" t="str">
        <f>G!BA41</f>
        <v/>
      </c>
      <c r="T63" s="44" t="str">
        <f>G!BC41</f>
        <v>&lt;</v>
      </c>
      <c r="U63" s="44" t="str">
        <f>G!BB41</f>
        <v>0,01</v>
      </c>
      <c r="V63" s="44"/>
      <c r="W63" s="35" t="str">
        <f>G!BE41</f>
        <v>&lt;</v>
      </c>
      <c r="X63" s="44" t="str">
        <f>G!BD41</f>
        <v>rg</v>
      </c>
      <c r="Y63" s="35" t="str">
        <f>G!BF41</f>
        <v/>
      </c>
      <c r="Z63" s="35" t="str">
        <f>G!BG41</f>
        <v/>
      </c>
      <c r="AA63" s="44"/>
      <c r="AE63" s="72">
        <f t="shared" si="1"/>
        <v>0</v>
      </c>
    </row>
    <row r="64" spans="1:31" ht="9" customHeight="1" x14ac:dyDescent="0.15">
      <c r="A64" s="195" t="str">
        <f>F!A42</f>
        <v>Indeno(1,2,3-cd)pyreen</v>
      </c>
      <c r="B64" s="195"/>
      <c r="C64" s="195"/>
      <c r="D64" s="44" t="str">
        <f>G!AQ42</f>
        <v>&lt;</v>
      </c>
      <c r="E64" s="44" t="str">
        <f>G!AP42</f>
        <v>0,01</v>
      </c>
      <c r="G64" s="35" t="str">
        <f>G!AS42</f>
        <v>&lt;</v>
      </c>
      <c r="H64" s="44" t="str">
        <f>G!AR42</f>
        <v>rg</v>
      </c>
      <c r="I64" s="35" t="str">
        <f>G!AT42</f>
        <v/>
      </c>
      <c r="J64" s="35" t="str">
        <f>G!AU42</f>
        <v/>
      </c>
      <c r="L64" s="44" t="str">
        <f>G!AW42</f>
        <v>&lt;</v>
      </c>
      <c r="M64" s="44" t="str">
        <f>G!AV42</f>
        <v>0,01</v>
      </c>
      <c r="O64" s="35" t="str">
        <f>G!AY42</f>
        <v>&lt;</v>
      </c>
      <c r="P64" s="44" t="str">
        <f>G!AX42</f>
        <v>rg</v>
      </c>
      <c r="Q64" s="35" t="str">
        <f>G!AZ42</f>
        <v/>
      </c>
      <c r="R64" s="35" t="str">
        <f>G!BA42</f>
        <v/>
      </c>
      <c r="T64" s="44" t="str">
        <f>G!BC42</f>
        <v>&lt;</v>
      </c>
      <c r="U64" s="44" t="str">
        <f>G!BB42</f>
        <v>0,01</v>
      </c>
      <c r="V64" s="44"/>
      <c r="W64" s="35" t="str">
        <f>G!BE42</f>
        <v>&lt;</v>
      </c>
      <c r="X64" s="44" t="str">
        <f>G!BD42</f>
        <v>rg</v>
      </c>
      <c r="Y64" s="35" t="str">
        <f>G!BF42</f>
        <v/>
      </c>
      <c r="Z64" s="35" t="str">
        <f>G!BG42</f>
        <v/>
      </c>
      <c r="AA64" s="44"/>
      <c r="AE64" s="72">
        <f t="shared" si="1"/>
        <v>0</v>
      </c>
    </row>
    <row r="65" spans="1:31" ht="9" hidden="1" customHeight="1" x14ac:dyDescent="0.15">
      <c r="A65" s="195" t="str">
        <f>F!A43</f>
        <v>Acenaftyleen</v>
      </c>
      <c r="B65" s="195"/>
      <c r="C65" s="195"/>
      <c r="D65" s="44" t="str">
        <f>G!AQ43</f>
        <v/>
      </c>
      <c r="E65" s="44" t="str">
        <f>G!AP43</f>
        <v>--</v>
      </c>
      <c r="G65" s="35" t="str">
        <f>G!AS43</f>
        <v/>
      </c>
      <c r="H65" s="44" t="str">
        <f>G!AR43</f>
        <v>--</v>
      </c>
      <c r="I65" s="35" t="str">
        <f>G!AT43</f>
        <v/>
      </c>
      <c r="J65" s="35" t="str">
        <f>G!AU43</f>
        <v/>
      </c>
      <c r="L65" s="44" t="str">
        <f>G!AW43</f>
        <v/>
      </c>
      <c r="M65" s="44" t="str">
        <f>G!AV43</f>
        <v>--</v>
      </c>
      <c r="O65" s="35" t="str">
        <f>G!AY43</f>
        <v/>
      </c>
      <c r="P65" s="44" t="str">
        <f>G!AX43</f>
        <v>--</v>
      </c>
      <c r="Q65" s="35" t="str">
        <f>G!AZ43</f>
        <v/>
      </c>
      <c r="R65" s="35" t="str">
        <f>G!BA43</f>
        <v/>
      </c>
      <c r="T65" s="44" t="str">
        <f>G!BC43</f>
        <v/>
      </c>
      <c r="U65" s="44" t="str">
        <f>G!BB43</f>
        <v>--</v>
      </c>
      <c r="V65" s="44"/>
      <c r="W65" s="35" t="str">
        <f>G!BE43</f>
        <v/>
      </c>
      <c r="X65" s="44" t="str">
        <f>G!BD43</f>
        <v>--</v>
      </c>
      <c r="Y65" s="35" t="str">
        <f>G!BF43</f>
        <v/>
      </c>
      <c r="Z65" s="35" t="str">
        <f>G!BG43</f>
        <v/>
      </c>
      <c r="AA65" s="44"/>
      <c r="AE65" s="72">
        <f t="shared" si="1"/>
        <v>1</v>
      </c>
    </row>
    <row r="66" spans="1:31" ht="9" hidden="1" customHeight="1" x14ac:dyDescent="0.15">
      <c r="A66" s="195" t="str">
        <f>F!A44</f>
        <v>Acenafteen</v>
      </c>
      <c r="B66" s="195"/>
      <c r="C66" s="195"/>
      <c r="D66" s="44" t="str">
        <f>G!AQ44</f>
        <v/>
      </c>
      <c r="E66" s="44" t="str">
        <f>G!AP44</f>
        <v>--</v>
      </c>
      <c r="G66" s="35" t="str">
        <f>G!AS44</f>
        <v/>
      </c>
      <c r="H66" s="44" t="str">
        <f>G!AR44</f>
        <v>--</v>
      </c>
      <c r="I66" s="35" t="str">
        <f>G!AT44</f>
        <v/>
      </c>
      <c r="J66" s="35" t="str">
        <f>G!AU44</f>
        <v/>
      </c>
      <c r="L66" s="44" t="str">
        <f>G!AW44</f>
        <v/>
      </c>
      <c r="M66" s="44" t="str">
        <f>G!AV44</f>
        <v>--</v>
      </c>
      <c r="O66" s="35" t="str">
        <f>G!AY44</f>
        <v/>
      </c>
      <c r="P66" s="44" t="str">
        <f>G!AX44</f>
        <v>--</v>
      </c>
      <c r="Q66" s="35" t="str">
        <f>G!AZ44</f>
        <v/>
      </c>
      <c r="R66" s="35" t="str">
        <f>G!BA44</f>
        <v/>
      </c>
      <c r="T66" s="44" t="str">
        <f>G!BC44</f>
        <v/>
      </c>
      <c r="U66" s="44" t="str">
        <f>G!BB44</f>
        <v>--</v>
      </c>
      <c r="V66" s="44"/>
      <c r="W66" s="35" t="str">
        <f>G!BE44</f>
        <v/>
      </c>
      <c r="X66" s="44" t="str">
        <f>G!BD44</f>
        <v>--</v>
      </c>
      <c r="Y66" s="35" t="str">
        <f>G!BF44</f>
        <v/>
      </c>
      <c r="Z66" s="35" t="str">
        <f>G!BG44</f>
        <v/>
      </c>
      <c r="AA66" s="44"/>
      <c r="AE66" s="72">
        <f t="shared" si="1"/>
        <v>1</v>
      </c>
    </row>
    <row r="67" spans="1:31" ht="9" hidden="1" customHeight="1" x14ac:dyDescent="0.15">
      <c r="A67" s="195" t="str">
        <f>F!A45</f>
        <v>Fluoreen</v>
      </c>
      <c r="B67" s="195"/>
      <c r="C67" s="195"/>
      <c r="D67" s="44" t="str">
        <f>G!AQ45</f>
        <v/>
      </c>
      <c r="E67" s="44" t="str">
        <f>G!AP45</f>
        <v>--</v>
      </c>
      <c r="G67" s="35" t="str">
        <f>G!AS45</f>
        <v/>
      </c>
      <c r="H67" s="44" t="str">
        <f>G!AR45</f>
        <v>--</v>
      </c>
      <c r="I67" s="35" t="str">
        <f>G!AT45</f>
        <v/>
      </c>
      <c r="J67" s="35" t="str">
        <f>G!AU45</f>
        <v/>
      </c>
      <c r="L67" s="44" t="str">
        <f>G!AW45</f>
        <v/>
      </c>
      <c r="M67" s="44" t="str">
        <f>G!AV45</f>
        <v>--</v>
      </c>
      <c r="O67" s="35" t="str">
        <f>G!AY45</f>
        <v/>
      </c>
      <c r="P67" s="44" t="str">
        <f>G!AX45</f>
        <v>--</v>
      </c>
      <c r="Q67" s="35" t="str">
        <f>G!AZ45</f>
        <v/>
      </c>
      <c r="R67" s="35" t="str">
        <f>G!BA45</f>
        <v/>
      </c>
      <c r="T67" s="44" t="str">
        <f>G!BC45</f>
        <v/>
      </c>
      <c r="U67" s="44" t="str">
        <f>G!BB45</f>
        <v>--</v>
      </c>
      <c r="V67" s="44"/>
      <c r="W67" s="35" t="str">
        <f>G!BE45</f>
        <v/>
      </c>
      <c r="X67" s="44" t="str">
        <f>G!BD45</f>
        <v>--</v>
      </c>
      <c r="Y67" s="35" t="str">
        <f>G!BF45</f>
        <v/>
      </c>
      <c r="Z67" s="35" t="str">
        <f>G!BG45</f>
        <v/>
      </c>
      <c r="AA67" s="44"/>
      <c r="AE67" s="72">
        <f t="shared" si="1"/>
        <v>1</v>
      </c>
    </row>
    <row r="68" spans="1:31" ht="9" hidden="1" customHeight="1" x14ac:dyDescent="0.15">
      <c r="A68" s="195" t="str">
        <f>F!A46</f>
        <v>Pyreen</v>
      </c>
      <c r="B68" s="195"/>
      <c r="C68" s="195"/>
      <c r="D68" s="44" t="str">
        <f>G!AQ46</f>
        <v/>
      </c>
      <c r="E68" s="44" t="str">
        <f>G!AP46</f>
        <v>--</v>
      </c>
      <c r="G68" s="35" t="str">
        <f>G!AS46</f>
        <v/>
      </c>
      <c r="H68" s="44" t="str">
        <f>G!AR46</f>
        <v>--</v>
      </c>
      <c r="I68" s="35" t="str">
        <f>G!AT46</f>
        <v/>
      </c>
      <c r="J68" s="35" t="str">
        <f>G!AU46</f>
        <v/>
      </c>
      <c r="L68" s="44" t="str">
        <f>G!AW46</f>
        <v/>
      </c>
      <c r="M68" s="44" t="str">
        <f>G!AV46</f>
        <v>--</v>
      </c>
      <c r="O68" s="35" t="str">
        <f>G!AY46</f>
        <v/>
      </c>
      <c r="P68" s="44" t="str">
        <f>G!AX46</f>
        <v>--</v>
      </c>
      <c r="Q68" s="35" t="str">
        <f>G!AZ46</f>
        <v/>
      </c>
      <c r="R68" s="35" t="str">
        <f>G!BA46</f>
        <v/>
      </c>
      <c r="T68" s="44" t="str">
        <f>G!BC46</f>
        <v/>
      </c>
      <c r="U68" s="44" t="str">
        <f>G!BB46</f>
        <v>--</v>
      </c>
      <c r="V68" s="44"/>
      <c r="W68" s="35" t="str">
        <f>G!BE46</f>
        <v/>
      </c>
      <c r="X68" s="44" t="str">
        <f>G!BD46</f>
        <v>--</v>
      </c>
      <c r="Y68" s="35" t="str">
        <f>G!BF46</f>
        <v/>
      </c>
      <c r="Z68" s="35" t="str">
        <f>G!BG46</f>
        <v/>
      </c>
      <c r="AA68" s="44"/>
      <c r="AE68" s="72">
        <f t="shared" ref="AE68:AE77" si="2">IF(AND(E68="--",M68="--",U68="--"),1,0)</f>
        <v>1</v>
      </c>
    </row>
    <row r="69" spans="1:31" ht="9" hidden="1" customHeight="1" x14ac:dyDescent="0.15">
      <c r="A69" s="195" t="str">
        <f>F!A47</f>
        <v>Benzo(b)fluoranteen</v>
      </c>
      <c r="B69" s="195"/>
      <c r="C69" s="195"/>
      <c r="D69" s="44" t="str">
        <f>G!AQ47</f>
        <v/>
      </c>
      <c r="E69" s="44" t="str">
        <f>G!AP47</f>
        <v>--</v>
      </c>
      <c r="G69" s="35" t="str">
        <f>G!AS47</f>
        <v/>
      </c>
      <c r="H69" s="44" t="str">
        <f>G!AR47</f>
        <v>--</v>
      </c>
      <c r="I69" s="35" t="str">
        <f>G!AT47</f>
        <v/>
      </c>
      <c r="J69" s="35" t="str">
        <f>G!AU47</f>
        <v/>
      </c>
      <c r="L69" s="44" t="str">
        <f>G!AW47</f>
        <v/>
      </c>
      <c r="M69" s="44" t="str">
        <f>G!AV47</f>
        <v>--</v>
      </c>
      <c r="O69" s="35" t="str">
        <f>G!AY47</f>
        <v/>
      </c>
      <c r="P69" s="44" t="str">
        <f>G!AX47</f>
        <v>--</v>
      </c>
      <c r="Q69" s="35" t="str">
        <f>G!AZ47</f>
        <v/>
      </c>
      <c r="R69" s="35" t="str">
        <f>G!BA47</f>
        <v/>
      </c>
      <c r="T69" s="44" t="str">
        <f>G!BC47</f>
        <v/>
      </c>
      <c r="U69" s="44" t="str">
        <f>G!BB47</f>
        <v>--</v>
      </c>
      <c r="V69" s="44"/>
      <c r="W69" s="35" t="str">
        <f>G!BE47</f>
        <v/>
      </c>
      <c r="X69" s="44" t="str">
        <f>G!BD47</f>
        <v>--</v>
      </c>
      <c r="Y69" s="35" t="str">
        <f>G!BF47</f>
        <v/>
      </c>
      <c r="Z69" s="35" t="str">
        <f>G!BG47</f>
        <v/>
      </c>
      <c r="AA69" s="44"/>
      <c r="AE69" s="72">
        <f t="shared" si="2"/>
        <v>1</v>
      </c>
    </row>
    <row r="70" spans="1:31" ht="9" hidden="1" customHeight="1" x14ac:dyDescent="0.15">
      <c r="A70" s="195" t="str">
        <f>F!A48</f>
        <v>Dibenz(a,h)antraceen</v>
      </c>
      <c r="B70" s="195"/>
      <c r="C70" s="195"/>
      <c r="D70" s="44" t="str">
        <f>G!AQ48</f>
        <v/>
      </c>
      <c r="E70" s="44" t="str">
        <f>G!AP48</f>
        <v>--</v>
      </c>
      <c r="G70" s="35" t="str">
        <f>G!AS48</f>
        <v/>
      </c>
      <c r="H70" s="44" t="str">
        <f>G!AR48</f>
        <v>--</v>
      </c>
      <c r="I70" s="35" t="str">
        <f>G!AT48</f>
        <v/>
      </c>
      <c r="J70" s="35" t="str">
        <f>G!AU48</f>
        <v/>
      </c>
      <c r="L70" s="44" t="str">
        <f>G!AW48</f>
        <v/>
      </c>
      <c r="M70" s="44" t="str">
        <f>G!AV48</f>
        <v>--</v>
      </c>
      <c r="O70" s="35" t="str">
        <f>G!AY48</f>
        <v/>
      </c>
      <c r="P70" s="44" t="str">
        <f>G!AX48</f>
        <v>--</v>
      </c>
      <c r="Q70" s="35" t="str">
        <f>G!AZ48</f>
        <v/>
      </c>
      <c r="R70" s="35" t="str">
        <f>G!BA48</f>
        <v/>
      </c>
      <c r="T70" s="44" t="str">
        <f>G!BC48</f>
        <v/>
      </c>
      <c r="U70" s="44" t="str">
        <f>G!BB48</f>
        <v>--</v>
      </c>
      <c r="V70" s="44"/>
      <c r="W70" s="35" t="str">
        <f>G!BE48</f>
        <v/>
      </c>
      <c r="X70" s="44" t="str">
        <f>G!BD48</f>
        <v>--</v>
      </c>
      <c r="Y70" s="35" t="str">
        <f>G!BF48</f>
        <v/>
      </c>
      <c r="Z70" s="35" t="str">
        <f>G!BG48</f>
        <v/>
      </c>
      <c r="AA70" s="44"/>
      <c r="AE70" s="72">
        <f t="shared" si="2"/>
        <v>1</v>
      </c>
    </row>
    <row r="71" spans="1:31" ht="9" customHeight="1" x14ac:dyDescent="0.15">
      <c r="A71" s="195" t="str">
        <f>F!A49</f>
        <v>PAK 10 van VROM</v>
      </c>
      <c r="B71" s="195"/>
      <c r="C71" s="195"/>
      <c r="D71" s="44" t="str">
        <f>G!AQ49</f>
        <v>&lt;</v>
      </c>
      <c r="E71" s="44" t="str">
        <f>G!AP49</f>
        <v>0,10</v>
      </c>
      <c r="G71" s="35" t="str">
        <f>G!AS49</f>
        <v>&lt;</v>
      </c>
      <c r="H71" s="44" t="str">
        <f>G!AR49</f>
        <v>rg</v>
      </c>
      <c r="I71" s="35" t="str">
        <f>G!AT49</f>
        <v>-</v>
      </c>
      <c r="J71" s="35" t="str">
        <f>G!AU49</f>
        <v/>
      </c>
      <c r="L71" s="44" t="str">
        <f>G!AW49</f>
        <v>&lt;</v>
      </c>
      <c r="M71" s="44" t="str">
        <f>G!AV49</f>
        <v>0,10</v>
      </c>
      <c r="O71" s="35" t="str">
        <f>G!AY49</f>
        <v>&lt;</v>
      </c>
      <c r="P71" s="44" t="str">
        <f>G!AX49</f>
        <v>rg</v>
      </c>
      <c r="Q71" s="35" t="str">
        <f>G!AZ49</f>
        <v>-</v>
      </c>
      <c r="R71" s="35" t="str">
        <f>G!BA49</f>
        <v/>
      </c>
      <c r="T71" s="44" t="str">
        <f>G!BC49</f>
        <v>&lt;</v>
      </c>
      <c r="U71" s="44" t="str">
        <f>G!BB49</f>
        <v>0,10</v>
      </c>
      <c r="V71" s="44"/>
      <c r="W71" s="35" t="str">
        <f>G!BE49</f>
        <v>&lt;</v>
      </c>
      <c r="X71" s="44" t="str">
        <f>G!BD49</f>
        <v>rg</v>
      </c>
      <c r="Y71" s="35" t="str">
        <f>G!BF49</f>
        <v>-</v>
      </c>
      <c r="Z71" s="35" t="str">
        <f>G!BG49</f>
        <v/>
      </c>
      <c r="AA71" s="44"/>
      <c r="AE71" s="72">
        <f t="shared" si="2"/>
        <v>0</v>
      </c>
    </row>
    <row r="72" spans="1:31" ht="3.95" customHeight="1" x14ac:dyDescent="0.15">
      <c r="A72" s="41"/>
      <c r="B72" s="41"/>
      <c r="C72" s="41"/>
      <c r="D72" s="44"/>
      <c r="E72" s="44"/>
      <c r="H72" s="44"/>
      <c r="L72" s="44"/>
      <c r="M72" s="44"/>
      <c r="P72" s="44"/>
      <c r="T72" s="44"/>
      <c r="U72" s="44"/>
      <c r="V72" s="44"/>
      <c r="X72" s="44"/>
      <c r="Z72" s="44"/>
      <c r="AA72" s="44"/>
      <c r="AE72" s="94">
        <f>AE73</f>
        <v>0</v>
      </c>
    </row>
    <row r="73" spans="1:31" ht="9" customHeight="1" x14ac:dyDescent="0.15">
      <c r="A73" s="198" t="str">
        <f>IF(COUNTIF(F!D50:D57,131)&gt;0,"Polychloorbifenylen (µg/kgds)","Polychloorbifenylen (mg/kgds)")</f>
        <v>Polychloorbifenylen (µg/kgds)</v>
      </c>
      <c r="B73" s="198"/>
      <c r="C73" s="198"/>
      <c r="D73" s="198"/>
      <c r="E73" s="198"/>
      <c r="F73" s="198"/>
      <c r="G73" s="198"/>
      <c r="H73" s="198"/>
      <c r="I73" s="198"/>
      <c r="J73" s="198"/>
      <c r="K73" s="198"/>
      <c r="L73" s="198"/>
      <c r="M73" s="198"/>
      <c r="N73" s="198"/>
      <c r="O73" s="198"/>
      <c r="P73" s="198"/>
      <c r="Q73" s="198"/>
      <c r="R73" s="198"/>
      <c r="S73" s="198"/>
      <c r="T73" s="198"/>
      <c r="U73" s="198"/>
      <c r="V73" s="198"/>
      <c r="W73" s="198"/>
      <c r="X73" s="198"/>
      <c r="Y73" s="198"/>
      <c r="Z73" s="198"/>
      <c r="AA73" s="198"/>
      <c r="AE73" s="94">
        <f>IF(COUNTIF(AE74:AE81,1)=COUNT(AE74:AE81),1,0)</f>
        <v>0</v>
      </c>
    </row>
    <row r="74" spans="1:31" ht="9" customHeight="1" x14ac:dyDescent="0.15">
      <c r="A74" s="195" t="str">
        <f>F!A50</f>
        <v>PCB 28</v>
      </c>
      <c r="B74" s="195"/>
      <c r="C74" s="195"/>
      <c r="D74" s="44" t="str">
        <f>G!AQ50</f>
        <v>&lt;</v>
      </c>
      <c r="E74" s="44" t="str">
        <f>G!AP50</f>
        <v>1,0</v>
      </c>
      <c r="G74" s="35" t="str">
        <f>G!AS50</f>
        <v>&lt;</v>
      </c>
      <c r="H74" s="44" t="str">
        <f>G!AR50</f>
        <v>rg</v>
      </c>
      <c r="I74" s="35" t="str">
        <f>G!AT50</f>
        <v/>
      </c>
      <c r="J74" s="35" t="str">
        <f>G!AU50</f>
        <v/>
      </c>
      <c r="L74" s="44" t="str">
        <f>G!AW50</f>
        <v>&lt;</v>
      </c>
      <c r="M74" s="44" t="str">
        <f>G!AV50</f>
        <v>1,0</v>
      </c>
      <c r="O74" s="35" t="str">
        <f>G!AY50</f>
        <v>&lt;</v>
      </c>
      <c r="P74" s="44" t="str">
        <f>G!AX50</f>
        <v>rg</v>
      </c>
      <c r="Q74" s="35" t="str">
        <f>G!AZ50</f>
        <v/>
      </c>
      <c r="R74" s="35" t="str">
        <f>G!BA50</f>
        <v/>
      </c>
      <c r="T74" s="44" t="str">
        <f>G!BC50</f>
        <v>&lt;</v>
      </c>
      <c r="U74" s="44" t="str">
        <f>G!BB50</f>
        <v>1,0</v>
      </c>
      <c r="V74" s="44"/>
      <c r="W74" s="35" t="str">
        <f>G!BE50</f>
        <v>&lt;</v>
      </c>
      <c r="X74" s="44" t="str">
        <f>G!BD50</f>
        <v>rg</v>
      </c>
      <c r="Y74" s="35" t="str">
        <f>G!BF50</f>
        <v/>
      </c>
      <c r="Z74" s="35" t="str">
        <f>G!BG50</f>
        <v/>
      </c>
      <c r="AA74" s="44"/>
      <c r="AE74" s="72">
        <f t="shared" si="2"/>
        <v>0</v>
      </c>
    </row>
    <row r="75" spans="1:31" ht="9" customHeight="1" x14ac:dyDescent="0.15">
      <c r="A75" s="195" t="str">
        <f>F!A51</f>
        <v>PCB 52</v>
      </c>
      <c r="B75" s="195"/>
      <c r="C75" s="195"/>
      <c r="D75" s="44" t="str">
        <f>G!AQ51</f>
        <v>&lt;</v>
      </c>
      <c r="E75" s="44" t="str">
        <f>G!AP51</f>
        <v>1,0</v>
      </c>
      <c r="G75" s="35" t="str">
        <f>G!AS51</f>
        <v>&lt;</v>
      </c>
      <c r="H75" s="44" t="str">
        <f>G!AR51</f>
        <v>rg</v>
      </c>
      <c r="I75" s="35" t="str">
        <f>G!AT51</f>
        <v/>
      </c>
      <c r="J75" s="35" t="str">
        <f>G!AU51</f>
        <v/>
      </c>
      <c r="L75" s="44" t="str">
        <f>G!AW51</f>
        <v>&lt;</v>
      </c>
      <c r="M75" s="44" t="str">
        <f>G!AV51</f>
        <v>1,0</v>
      </c>
      <c r="O75" s="35" t="str">
        <f>G!AY51</f>
        <v>&lt;</v>
      </c>
      <c r="P75" s="44" t="str">
        <f>G!AX51</f>
        <v>rg</v>
      </c>
      <c r="Q75" s="35" t="str">
        <f>G!AZ51</f>
        <v/>
      </c>
      <c r="R75" s="35" t="str">
        <f>G!BA51</f>
        <v/>
      </c>
      <c r="T75" s="44" t="str">
        <f>G!BC51</f>
        <v>&lt;</v>
      </c>
      <c r="U75" s="44" t="str">
        <f>G!BB51</f>
        <v>1,0</v>
      </c>
      <c r="V75" s="44"/>
      <c r="W75" s="35" t="str">
        <f>G!BE51</f>
        <v>&lt;</v>
      </c>
      <c r="X75" s="44" t="str">
        <f>G!BD51</f>
        <v>rg</v>
      </c>
      <c r="Y75" s="35" t="str">
        <f>G!BF51</f>
        <v/>
      </c>
      <c r="Z75" s="35" t="str">
        <f>G!BG51</f>
        <v/>
      </c>
      <c r="AA75" s="44"/>
      <c r="AE75" s="72">
        <f t="shared" si="2"/>
        <v>0</v>
      </c>
    </row>
    <row r="76" spans="1:31" ht="9" customHeight="1" x14ac:dyDescent="0.15">
      <c r="A76" s="195" t="str">
        <f>F!A52</f>
        <v>PCB 101</v>
      </c>
      <c r="B76" s="195"/>
      <c r="C76" s="195"/>
      <c r="D76" s="44" t="str">
        <f>G!AQ52</f>
        <v>&lt;</v>
      </c>
      <c r="E76" s="44" t="str">
        <f>G!AP52</f>
        <v>1,0</v>
      </c>
      <c r="G76" s="35" t="str">
        <f>G!AS52</f>
        <v>&lt;</v>
      </c>
      <c r="H76" s="44" t="str">
        <f>G!AR52</f>
        <v>rg</v>
      </c>
      <c r="I76" s="35" t="str">
        <f>G!AT52</f>
        <v/>
      </c>
      <c r="J76" s="35" t="str">
        <f>G!AU52</f>
        <v/>
      </c>
      <c r="L76" s="44" t="str">
        <f>G!AW52</f>
        <v>&lt;</v>
      </c>
      <c r="M76" s="44" t="str">
        <f>G!AV52</f>
        <v>1,0</v>
      </c>
      <c r="O76" s="35" t="str">
        <f>G!AY52</f>
        <v>&lt;</v>
      </c>
      <c r="P76" s="44" t="str">
        <f>G!AX52</f>
        <v>rg</v>
      </c>
      <c r="Q76" s="35" t="str">
        <f>G!AZ52</f>
        <v/>
      </c>
      <c r="R76" s="35" t="str">
        <f>G!BA52</f>
        <v/>
      </c>
      <c r="T76" s="44" t="str">
        <f>G!BC52</f>
        <v>&lt;</v>
      </c>
      <c r="U76" s="44" t="str">
        <f>G!BB52</f>
        <v>1,0</v>
      </c>
      <c r="V76" s="44"/>
      <c r="W76" s="35" t="str">
        <f>G!BE52</f>
        <v>&lt;</v>
      </c>
      <c r="X76" s="44" t="str">
        <f>G!BD52</f>
        <v>rg</v>
      </c>
      <c r="Y76" s="35" t="str">
        <f>G!BF52</f>
        <v/>
      </c>
      <c r="Z76" s="35" t="str">
        <f>G!BG52</f>
        <v/>
      </c>
      <c r="AA76" s="44"/>
      <c r="AE76" s="72">
        <f t="shared" si="2"/>
        <v>0</v>
      </c>
    </row>
    <row r="77" spans="1:31" ht="9" customHeight="1" x14ac:dyDescent="0.15">
      <c r="A77" s="195" t="str">
        <f>F!A53</f>
        <v>PCB 118</v>
      </c>
      <c r="B77" s="195"/>
      <c r="C77" s="195"/>
      <c r="D77" s="44" t="str">
        <f>G!AQ53</f>
        <v>&lt;</v>
      </c>
      <c r="E77" s="44" t="str">
        <f>G!AP53</f>
        <v>1,0</v>
      </c>
      <c r="G77" s="35" t="str">
        <f>G!AS53</f>
        <v>&lt;</v>
      </c>
      <c r="H77" s="44" t="str">
        <f>G!AR53</f>
        <v>rg</v>
      </c>
      <c r="I77" s="35" t="str">
        <f>G!AT53</f>
        <v/>
      </c>
      <c r="J77" s="35" t="str">
        <f>G!AU53</f>
        <v/>
      </c>
      <c r="L77" s="44" t="str">
        <f>G!AW53</f>
        <v>&lt;</v>
      </c>
      <c r="M77" s="44" t="str">
        <f>G!AV53</f>
        <v>1,0</v>
      </c>
      <c r="O77" s="35" t="str">
        <f>G!AY53</f>
        <v>&lt;</v>
      </c>
      <c r="P77" s="44" t="str">
        <f>G!AX53</f>
        <v>rg</v>
      </c>
      <c r="Q77" s="35" t="str">
        <f>G!AZ53</f>
        <v/>
      </c>
      <c r="R77" s="35" t="str">
        <f>G!BA53</f>
        <v/>
      </c>
      <c r="T77" s="44" t="str">
        <f>G!BC53</f>
        <v>&lt;</v>
      </c>
      <c r="U77" s="44" t="str">
        <f>G!BB53</f>
        <v>1,0</v>
      </c>
      <c r="V77" s="44"/>
      <c r="W77" s="35" t="str">
        <f>G!BE53</f>
        <v>&lt;</v>
      </c>
      <c r="X77" s="44" t="str">
        <f>G!BD53</f>
        <v>rg</v>
      </c>
      <c r="Y77" s="35" t="str">
        <f>G!BF53</f>
        <v/>
      </c>
      <c r="Z77" s="35" t="str">
        <f>G!BG53</f>
        <v/>
      </c>
      <c r="AA77" s="44"/>
      <c r="AE77" s="72">
        <f t="shared" si="2"/>
        <v>0</v>
      </c>
    </row>
    <row r="78" spans="1:31" ht="9" customHeight="1" x14ac:dyDescent="0.15">
      <c r="A78" s="195" t="str">
        <f>F!A54</f>
        <v>PCB 138</v>
      </c>
      <c r="B78" s="195"/>
      <c r="C78" s="195"/>
      <c r="D78" s="44" t="str">
        <f>G!AQ54</f>
        <v>&lt;</v>
      </c>
      <c r="E78" s="44" t="str">
        <f>G!AP54</f>
        <v>1,0</v>
      </c>
      <c r="G78" s="35" t="str">
        <f>G!AS54</f>
        <v>&lt;</v>
      </c>
      <c r="H78" s="44" t="str">
        <f>G!AR54</f>
        <v>rg</v>
      </c>
      <c r="I78" s="35" t="str">
        <f>G!AT54</f>
        <v/>
      </c>
      <c r="J78" s="35" t="str">
        <f>G!AU54</f>
        <v/>
      </c>
      <c r="L78" s="44" t="str">
        <f>G!AW54</f>
        <v>&lt;</v>
      </c>
      <c r="M78" s="44" t="str">
        <f>G!AV54</f>
        <v>1,0</v>
      </c>
      <c r="O78" s="35" t="str">
        <f>G!AY54</f>
        <v>&lt;</v>
      </c>
      <c r="P78" s="44" t="str">
        <f>G!AX54</f>
        <v>rg</v>
      </c>
      <c r="Q78" s="35" t="str">
        <f>G!AZ54</f>
        <v/>
      </c>
      <c r="R78" s="35" t="str">
        <f>G!BA54</f>
        <v/>
      </c>
      <c r="T78" s="44" t="str">
        <f>G!BC54</f>
        <v>&lt;</v>
      </c>
      <c r="U78" s="44" t="str">
        <f>G!BB54</f>
        <v>1,0</v>
      </c>
      <c r="V78" s="44"/>
      <c r="W78" s="35" t="str">
        <f>G!BE54</f>
        <v>&lt;</v>
      </c>
      <c r="X78" s="44" t="str">
        <f>G!BD54</f>
        <v>rg</v>
      </c>
      <c r="Y78" s="35" t="str">
        <f>G!BF54</f>
        <v/>
      </c>
      <c r="Z78" s="35" t="str">
        <f>G!BG54</f>
        <v/>
      </c>
      <c r="AA78" s="44"/>
      <c r="AE78" s="72">
        <f t="shared" ref="AE78:AE140" si="3">IF(AND(E78="--",M78="--",U78="--"),1,0)</f>
        <v>0</v>
      </c>
    </row>
    <row r="79" spans="1:31" ht="9" customHeight="1" x14ac:dyDescent="0.15">
      <c r="A79" s="195" t="str">
        <f>F!A55</f>
        <v>PCB 153</v>
      </c>
      <c r="B79" s="195"/>
      <c r="C79" s="195"/>
      <c r="D79" s="44" t="str">
        <f>G!AQ55</f>
        <v>&lt;</v>
      </c>
      <c r="E79" s="44" t="str">
        <f>G!AP55</f>
        <v>1,0</v>
      </c>
      <c r="G79" s="35" t="str">
        <f>G!AS55</f>
        <v>&lt;</v>
      </c>
      <c r="H79" s="44" t="str">
        <f>G!AR55</f>
        <v>rg</v>
      </c>
      <c r="I79" s="35" t="str">
        <f>G!AT55</f>
        <v/>
      </c>
      <c r="J79" s="35" t="str">
        <f>G!AU55</f>
        <v/>
      </c>
      <c r="L79" s="44" t="str">
        <f>G!AW55</f>
        <v>&lt;</v>
      </c>
      <c r="M79" s="44" t="str">
        <f>G!AV55</f>
        <v>1,0</v>
      </c>
      <c r="O79" s="35" t="str">
        <f>G!AY55</f>
        <v>&lt;</v>
      </c>
      <c r="P79" s="44" t="str">
        <f>G!AX55</f>
        <v>rg</v>
      </c>
      <c r="Q79" s="35" t="str">
        <f>G!AZ55</f>
        <v/>
      </c>
      <c r="R79" s="35" t="str">
        <f>G!BA55</f>
        <v/>
      </c>
      <c r="T79" s="44" t="str">
        <f>G!BC55</f>
        <v>&lt;</v>
      </c>
      <c r="U79" s="44" t="str">
        <f>G!BB55</f>
        <v>1,0</v>
      </c>
      <c r="V79" s="44"/>
      <c r="W79" s="35" t="str">
        <f>G!BE55</f>
        <v>&lt;</v>
      </c>
      <c r="X79" s="44" t="str">
        <f>G!BD55</f>
        <v>rg</v>
      </c>
      <c r="Y79" s="35" t="str">
        <f>G!BF55</f>
        <v/>
      </c>
      <c r="Z79" s="35" t="str">
        <f>G!BG55</f>
        <v/>
      </c>
      <c r="AA79" s="44"/>
      <c r="AE79" s="72">
        <f t="shared" si="3"/>
        <v>0</v>
      </c>
    </row>
    <row r="80" spans="1:31" ht="9" customHeight="1" x14ac:dyDescent="0.15">
      <c r="A80" s="195" t="str">
        <f>F!A56</f>
        <v>PCB 180</v>
      </c>
      <c r="B80" s="195"/>
      <c r="C80" s="195"/>
      <c r="D80" s="44" t="str">
        <f>G!AQ56</f>
        <v>&lt;</v>
      </c>
      <c r="E80" s="44" t="str">
        <f>G!AP56</f>
        <v>1,0</v>
      </c>
      <c r="G80" s="35" t="str">
        <f>G!AS56</f>
        <v>&lt;</v>
      </c>
      <c r="H80" s="44" t="str">
        <f>G!AR56</f>
        <v>rg</v>
      </c>
      <c r="I80" s="35" t="str">
        <f>G!AT56</f>
        <v/>
      </c>
      <c r="J80" s="35" t="str">
        <f>G!AU56</f>
        <v/>
      </c>
      <c r="L80" s="44" t="str">
        <f>G!AW56</f>
        <v>&lt;</v>
      </c>
      <c r="M80" s="44" t="str">
        <f>G!AV56</f>
        <v>1,0</v>
      </c>
      <c r="O80" s="35" t="str">
        <f>G!AY56</f>
        <v>&lt;</v>
      </c>
      <c r="P80" s="44" t="str">
        <f>G!AX56</f>
        <v>rg</v>
      </c>
      <c r="Q80" s="35" t="str">
        <f>G!AZ56</f>
        <v/>
      </c>
      <c r="R80" s="35" t="str">
        <f>G!BA56</f>
        <v/>
      </c>
      <c r="T80" s="44" t="str">
        <f>G!BC56</f>
        <v>&lt;</v>
      </c>
      <c r="U80" s="44" t="str">
        <f>G!BB56</f>
        <v>1,0</v>
      </c>
      <c r="V80" s="44"/>
      <c r="W80" s="35" t="str">
        <f>G!BE56</f>
        <v>&lt;</v>
      </c>
      <c r="X80" s="44" t="str">
        <f>G!BD56</f>
        <v>rg</v>
      </c>
      <c r="Y80" s="35" t="str">
        <f>G!BF56</f>
        <v/>
      </c>
      <c r="Z80" s="35" t="str">
        <f>G!BG56</f>
        <v/>
      </c>
      <c r="AA80" s="44"/>
      <c r="AE80" s="72">
        <f t="shared" si="3"/>
        <v>0</v>
      </c>
    </row>
    <row r="81" spans="1:31" ht="9" customHeight="1" x14ac:dyDescent="0.15">
      <c r="A81" s="195" t="str">
        <f>F!A57</f>
        <v>PCB som 7</v>
      </c>
      <c r="B81" s="195"/>
      <c r="C81" s="195"/>
      <c r="D81" s="44" t="str">
        <f>G!AQ57</f>
        <v>&lt;</v>
      </c>
      <c r="E81" s="44" t="str">
        <f>G!AP57</f>
        <v>7,0</v>
      </c>
      <c r="G81" s="35" t="str">
        <f>G!AS57</f>
        <v>&lt;</v>
      </c>
      <c r="H81" s="44" t="str">
        <f>G!AR57</f>
        <v>rg</v>
      </c>
      <c r="I81" s="35" t="str">
        <f>G!AT57</f>
        <v>-</v>
      </c>
      <c r="J81" s="35" t="str">
        <f>G!AU57</f>
        <v/>
      </c>
      <c r="L81" s="44" t="str">
        <f>G!AW57</f>
        <v>&lt;</v>
      </c>
      <c r="M81" s="44" t="str">
        <f>G!AV57</f>
        <v>7,0</v>
      </c>
      <c r="O81" s="35" t="str">
        <f>G!AY57</f>
        <v>&lt;</v>
      </c>
      <c r="P81" s="44" t="str">
        <f>G!AX57</f>
        <v>rg</v>
      </c>
      <c r="Q81" s="35" t="str">
        <f>G!AZ57</f>
        <v>-</v>
      </c>
      <c r="R81" s="35" t="str">
        <f>G!BA57</f>
        <v/>
      </c>
      <c r="T81" s="44" t="str">
        <f>G!BC57</f>
        <v>&lt;</v>
      </c>
      <c r="U81" s="44" t="str">
        <f>G!BB57</f>
        <v>7,0</v>
      </c>
      <c r="V81" s="44"/>
      <c r="W81" s="35" t="str">
        <f>G!BE57</f>
        <v>&lt;</v>
      </c>
      <c r="X81" s="44" t="str">
        <f>G!BD57</f>
        <v>rg</v>
      </c>
      <c r="Y81" s="35" t="str">
        <f>G!BF57</f>
        <v>-</v>
      </c>
      <c r="Z81" s="35" t="str">
        <f>G!BG57</f>
        <v/>
      </c>
      <c r="AA81" s="44"/>
      <c r="AE81" s="72">
        <f t="shared" si="3"/>
        <v>0</v>
      </c>
    </row>
    <row r="82" spans="1:31" ht="3.95" hidden="1" customHeight="1" x14ac:dyDescent="0.15">
      <c r="A82" s="41"/>
      <c r="B82" s="41"/>
      <c r="C82" s="41"/>
      <c r="D82" s="44"/>
      <c r="E82" s="44"/>
      <c r="H82" s="44"/>
      <c r="L82" s="44"/>
      <c r="M82" s="44"/>
      <c r="P82" s="44"/>
      <c r="T82" s="44"/>
      <c r="U82" s="44"/>
      <c r="V82" s="44"/>
      <c r="X82" s="44"/>
      <c r="Z82" s="44"/>
      <c r="AA82" s="44"/>
      <c r="AE82" s="94">
        <f>AE83</f>
        <v>1</v>
      </c>
    </row>
    <row r="83" spans="1:31" ht="9" hidden="1" customHeight="1" x14ac:dyDescent="0.15">
      <c r="A83" s="198" t="str">
        <f>IF(COUNTIF(F!D58:D66,131)&gt;0,"Vluchtige aromatische koolwaterstoffen (µg/kgds)","Vluchtige aromatische koolwaterstoffen (mg/kgds)")</f>
        <v>Vluchtige aromatische koolwaterstoffen (mg/kgds)</v>
      </c>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E83" s="94">
        <f>IF(COUNTIF(AE84:AE92,1)=COUNT(AE84:AE92),1,0)</f>
        <v>1</v>
      </c>
    </row>
    <row r="84" spans="1:31" ht="9" hidden="1" customHeight="1" x14ac:dyDescent="0.15">
      <c r="A84" s="195" t="str">
        <f>F!A58</f>
        <v>Benzeen</v>
      </c>
      <c r="B84" s="195"/>
      <c r="C84" s="195"/>
      <c r="D84" s="44" t="str">
        <f>G!AQ58</f>
        <v/>
      </c>
      <c r="E84" s="44" t="str">
        <f>G!AP58</f>
        <v>--</v>
      </c>
      <c r="G84" s="35" t="str">
        <f>G!AS58</f>
        <v/>
      </c>
      <c r="H84" s="44" t="str">
        <f>G!AR58</f>
        <v>--</v>
      </c>
      <c r="I84" s="35" t="str">
        <f>G!AT58</f>
        <v/>
      </c>
      <c r="J84" s="35" t="str">
        <f>G!AU58</f>
        <v/>
      </c>
      <c r="L84" s="44" t="str">
        <f>G!AW58</f>
        <v/>
      </c>
      <c r="M84" s="44" t="str">
        <f>G!AV58</f>
        <v>--</v>
      </c>
      <c r="O84" s="35" t="str">
        <f>G!AY58</f>
        <v/>
      </c>
      <c r="P84" s="44" t="str">
        <f>G!AX58</f>
        <v>--</v>
      </c>
      <c r="Q84" s="35" t="str">
        <f>G!AZ58</f>
        <v/>
      </c>
      <c r="R84" s="35" t="str">
        <f>G!BA58</f>
        <v/>
      </c>
      <c r="T84" s="44" t="str">
        <f>G!BC58</f>
        <v/>
      </c>
      <c r="U84" s="44" t="str">
        <f>G!BB58</f>
        <v>--</v>
      </c>
      <c r="V84" s="44"/>
      <c r="W84" s="35" t="str">
        <f>G!BE58</f>
        <v/>
      </c>
      <c r="X84" s="44" t="str">
        <f>G!BD58</f>
        <v>--</v>
      </c>
      <c r="Y84" s="35" t="str">
        <f>G!BF58</f>
        <v/>
      </c>
      <c r="Z84" s="35" t="str">
        <f>G!BG58</f>
        <v/>
      </c>
      <c r="AA84" s="44"/>
      <c r="AE84" s="72">
        <f t="shared" si="3"/>
        <v>1</v>
      </c>
    </row>
    <row r="85" spans="1:31" ht="9" hidden="1" customHeight="1" x14ac:dyDescent="0.15">
      <c r="A85" s="195" t="str">
        <f>F!A59</f>
        <v>Tolueen</v>
      </c>
      <c r="B85" s="195"/>
      <c r="C85" s="195"/>
      <c r="D85" s="44" t="str">
        <f>G!AQ59</f>
        <v/>
      </c>
      <c r="E85" s="44" t="str">
        <f>G!AP59</f>
        <v>--</v>
      </c>
      <c r="G85" s="35" t="str">
        <f>G!AS59</f>
        <v/>
      </c>
      <c r="H85" s="44" t="str">
        <f>G!AR59</f>
        <v>--</v>
      </c>
      <c r="I85" s="35" t="str">
        <f>G!AT59</f>
        <v/>
      </c>
      <c r="J85" s="35" t="str">
        <f>G!AU59</f>
        <v/>
      </c>
      <c r="L85" s="44" t="str">
        <f>G!AW59</f>
        <v/>
      </c>
      <c r="M85" s="44" t="str">
        <f>G!AV59</f>
        <v>--</v>
      </c>
      <c r="O85" s="35" t="str">
        <f>G!AY59</f>
        <v/>
      </c>
      <c r="P85" s="44" t="str">
        <f>G!AX59</f>
        <v>--</v>
      </c>
      <c r="Q85" s="35" t="str">
        <f>G!AZ59</f>
        <v/>
      </c>
      <c r="R85" s="35" t="str">
        <f>G!BA59</f>
        <v/>
      </c>
      <c r="T85" s="44" t="str">
        <f>G!BC59</f>
        <v/>
      </c>
      <c r="U85" s="44" t="str">
        <f>G!BB59</f>
        <v>--</v>
      </c>
      <c r="V85" s="44"/>
      <c r="W85" s="35" t="str">
        <f>G!BE59</f>
        <v/>
      </c>
      <c r="X85" s="44" t="str">
        <f>G!BD59</f>
        <v>--</v>
      </c>
      <c r="Y85" s="35" t="str">
        <f>G!BF59</f>
        <v/>
      </c>
      <c r="Z85" s="35" t="str">
        <f>G!BG59</f>
        <v/>
      </c>
      <c r="AA85" s="44"/>
      <c r="AE85" s="72">
        <f t="shared" si="3"/>
        <v>1</v>
      </c>
    </row>
    <row r="86" spans="1:31" ht="9" hidden="1" customHeight="1" x14ac:dyDescent="0.15">
      <c r="A86" s="195" t="str">
        <f>F!A60</f>
        <v>Ethylbenzeen</v>
      </c>
      <c r="B86" s="195"/>
      <c r="C86" s="195"/>
      <c r="D86" s="44" t="str">
        <f>G!AQ60</f>
        <v/>
      </c>
      <c r="E86" s="44" t="str">
        <f>G!AP60</f>
        <v>--</v>
      </c>
      <c r="G86" s="35" t="str">
        <f>G!AS60</f>
        <v/>
      </c>
      <c r="H86" s="44" t="str">
        <f>G!AR60</f>
        <v>--</v>
      </c>
      <c r="I86" s="35" t="str">
        <f>G!AT60</f>
        <v/>
      </c>
      <c r="J86" s="35" t="str">
        <f>G!AU60</f>
        <v/>
      </c>
      <c r="L86" s="44" t="str">
        <f>G!AW60</f>
        <v/>
      </c>
      <c r="M86" s="44" t="str">
        <f>G!AV60</f>
        <v>--</v>
      </c>
      <c r="O86" s="35" t="str">
        <f>G!AY60</f>
        <v/>
      </c>
      <c r="P86" s="44" t="str">
        <f>G!AX60</f>
        <v>--</v>
      </c>
      <c r="Q86" s="35" t="str">
        <f>G!AZ60</f>
        <v/>
      </c>
      <c r="R86" s="35" t="str">
        <f>G!BA60</f>
        <v/>
      </c>
      <c r="T86" s="44" t="str">
        <f>G!BC60</f>
        <v/>
      </c>
      <c r="U86" s="44" t="str">
        <f>G!BB60</f>
        <v>--</v>
      </c>
      <c r="V86" s="44"/>
      <c r="W86" s="35" t="str">
        <f>G!BE60</f>
        <v/>
      </c>
      <c r="X86" s="44" t="str">
        <f>G!BD60</f>
        <v>--</v>
      </c>
      <c r="Y86" s="35" t="str">
        <f>G!BF60</f>
        <v/>
      </c>
      <c r="Z86" s="35" t="str">
        <f>G!BG60</f>
        <v/>
      </c>
      <c r="AA86" s="44"/>
      <c r="AE86" s="72">
        <f t="shared" si="3"/>
        <v>1</v>
      </c>
    </row>
    <row r="87" spans="1:31" ht="9" hidden="1" customHeight="1" x14ac:dyDescent="0.15">
      <c r="A87" s="195" t="str">
        <f>F!A61</f>
        <v>O-xyleen</v>
      </c>
      <c r="B87" s="195"/>
      <c r="C87" s="195"/>
      <c r="D87" s="44" t="str">
        <f>G!AQ61</f>
        <v/>
      </c>
      <c r="E87" s="44" t="str">
        <f>G!AP61</f>
        <v>--</v>
      </c>
      <c r="G87" s="35" t="str">
        <f>G!AS61</f>
        <v/>
      </c>
      <c r="H87" s="44" t="str">
        <f>G!AR61</f>
        <v>--</v>
      </c>
      <c r="I87" s="35" t="str">
        <f>G!AT61</f>
        <v/>
      </c>
      <c r="J87" s="35" t="str">
        <f>G!AU61</f>
        <v/>
      </c>
      <c r="L87" s="44" t="str">
        <f>G!AW61</f>
        <v/>
      </c>
      <c r="M87" s="44" t="str">
        <f>G!AV61</f>
        <v>--</v>
      </c>
      <c r="O87" s="35" t="str">
        <f>G!AY61</f>
        <v/>
      </c>
      <c r="P87" s="44" t="str">
        <f>G!AX61</f>
        <v>--</v>
      </c>
      <c r="Q87" s="35" t="str">
        <f>G!AZ61</f>
        <v/>
      </c>
      <c r="R87" s="35" t="str">
        <f>G!BA61</f>
        <v/>
      </c>
      <c r="T87" s="44" t="str">
        <f>G!BC61</f>
        <v/>
      </c>
      <c r="U87" s="44" t="str">
        <f>G!BB61</f>
        <v>--</v>
      </c>
      <c r="V87" s="44"/>
      <c r="W87" s="35" t="str">
        <f>G!BE61</f>
        <v/>
      </c>
      <c r="X87" s="44" t="str">
        <f>G!BD61</f>
        <v>--</v>
      </c>
      <c r="Y87" s="35" t="str">
        <f>G!BF61</f>
        <v/>
      </c>
      <c r="Z87" s="35" t="str">
        <f>G!BG61</f>
        <v/>
      </c>
      <c r="AA87" s="44"/>
      <c r="AE87" s="72">
        <f t="shared" si="3"/>
        <v>1</v>
      </c>
    </row>
    <row r="88" spans="1:31" ht="9" hidden="1" customHeight="1" x14ac:dyDescent="0.15">
      <c r="A88" s="195" t="str">
        <f>F!A62</f>
        <v>P- en m-xyleen</v>
      </c>
      <c r="B88" s="195"/>
      <c r="C88" s="195"/>
      <c r="D88" s="44" t="str">
        <f>G!AQ62</f>
        <v/>
      </c>
      <c r="E88" s="44" t="str">
        <f>G!AP62</f>
        <v>--</v>
      </c>
      <c r="G88" s="35" t="str">
        <f>G!AS62</f>
        <v/>
      </c>
      <c r="H88" s="44" t="str">
        <f>G!AR62</f>
        <v>--</v>
      </c>
      <c r="I88" s="35" t="str">
        <f>G!AT62</f>
        <v/>
      </c>
      <c r="J88" s="35" t="str">
        <f>G!AU62</f>
        <v/>
      </c>
      <c r="L88" s="44" t="str">
        <f>G!AW62</f>
        <v/>
      </c>
      <c r="M88" s="44" t="str">
        <f>G!AV62</f>
        <v>--</v>
      </c>
      <c r="O88" s="35" t="str">
        <f>G!AY62</f>
        <v/>
      </c>
      <c r="P88" s="44" t="str">
        <f>G!AX62</f>
        <v>--</v>
      </c>
      <c r="Q88" s="35" t="str">
        <f>G!AZ62</f>
        <v/>
      </c>
      <c r="R88" s="35" t="str">
        <f>G!BA62</f>
        <v/>
      </c>
      <c r="T88" s="44" t="str">
        <f>G!BC62</f>
        <v/>
      </c>
      <c r="U88" s="44" t="str">
        <f>G!BB62</f>
        <v>--</v>
      </c>
      <c r="V88" s="44"/>
      <c r="W88" s="35" t="str">
        <f>G!BE62</f>
        <v/>
      </c>
      <c r="X88" s="44" t="str">
        <f>G!BD62</f>
        <v>--</v>
      </c>
      <c r="Y88" s="35" t="str">
        <f>G!BF62</f>
        <v/>
      </c>
      <c r="Z88" s="35" t="str">
        <f>G!BG62</f>
        <v/>
      </c>
      <c r="AA88" s="44"/>
      <c r="AE88" s="72">
        <f t="shared" si="3"/>
        <v>1</v>
      </c>
    </row>
    <row r="89" spans="1:31" ht="9" hidden="1" customHeight="1" x14ac:dyDescent="0.15">
      <c r="A89" s="195" t="str">
        <f>F!A63</f>
        <v>Xylenen</v>
      </c>
      <c r="B89" s="195"/>
      <c r="C89" s="195"/>
      <c r="D89" s="44" t="str">
        <f>G!AQ63</f>
        <v/>
      </c>
      <c r="E89" s="44" t="str">
        <f>G!AP63</f>
        <v>--</v>
      </c>
      <c r="G89" s="35" t="str">
        <f>G!AS63</f>
        <v/>
      </c>
      <c r="H89" s="44" t="str">
        <f>G!AR63</f>
        <v>--</v>
      </c>
      <c r="I89" s="35" t="str">
        <f>G!AT63</f>
        <v/>
      </c>
      <c r="J89" s="35" t="str">
        <f>G!AU63</f>
        <v/>
      </c>
      <c r="L89" s="44" t="str">
        <f>G!AW63</f>
        <v/>
      </c>
      <c r="M89" s="44" t="str">
        <f>G!AV63</f>
        <v>--</v>
      </c>
      <c r="O89" s="35" t="str">
        <f>G!AY63</f>
        <v/>
      </c>
      <c r="P89" s="44" t="str">
        <f>G!AX63</f>
        <v>--</v>
      </c>
      <c r="Q89" s="35" t="str">
        <f>G!AZ63</f>
        <v/>
      </c>
      <c r="R89" s="35" t="str">
        <f>G!BA63</f>
        <v/>
      </c>
      <c r="T89" s="44" t="str">
        <f>G!BC63</f>
        <v/>
      </c>
      <c r="U89" s="44" t="str">
        <f>G!BB63</f>
        <v>--</v>
      </c>
      <c r="V89" s="44"/>
      <c r="W89" s="35" t="str">
        <f>G!BE63</f>
        <v/>
      </c>
      <c r="X89" s="44" t="str">
        <f>G!BD63</f>
        <v>--</v>
      </c>
      <c r="Y89" s="35" t="str">
        <f>G!BF63</f>
        <v/>
      </c>
      <c r="Z89" s="35" t="str">
        <f>G!BG63</f>
        <v/>
      </c>
      <c r="AA89" s="44"/>
      <c r="AE89" s="72">
        <f t="shared" si="3"/>
        <v>1</v>
      </c>
    </row>
    <row r="90" spans="1:31" ht="9" hidden="1" customHeight="1" x14ac:dyDescent="0.15">
      <c r="A90" s="195" t="str">
        <f>F!A64</f>
        <v>Totaal BTEX</v>
      </c>
      <c r="B90" s="195"/>
      <c r="C90" s="195"/>
      <c r="D90" s="44" t="str">
        <f>G!AQ64</f>
        <v/>
      </c>
      <c r="E90" s="44" t="str">
        <f>G!AP64</f>
        <v>--</v>
      </c>
      <c r="G90" s="35" t="str">
        <f>G!AS64</f>
        <v/>
      </c>
      <c r="H90" s="44" t="str">
        <f>G!AR64</f>
        <v>--</v>
      </c>
      <c r="I90" s="35" t="str">
        <f>G!AT64</f>
        <v/>
      </c>
      <c r="J90" s="35" t="str">
        <f>G!AU64</f>
        <v/>
      </c>
      <c r="L90" s="44" t="str">
        <f>G!AW64</f>
        <v/>
      </c>
      <c r="M90" s="44" t="str">
        <f>G!AV64</f>
        <v>--</v>
      </c>
      <c r="O90" s="35" t="str">
        <f>G!AY64</f>
        <v/>
      </c>
      <c r="P90" s="44" t="str">
        <f>G!AX64</f>
        <v>--</v>
      </c>
      <c r="Q90" s="35" t="str">
        <f>G!AZ64</f>
        <v/>
      </c>
      <c r="R90" s="35" t="str">
        <f>G!BA64</f>
        <v/>
      </c>
      <c r="T90" s="44" t="str">
        <f>G!BC64</f>
        <v/>
      </c>
      <c r="U90" s="44" t="str">
        <f>G!BB64</f>
        <v>--</v>
      </c>
      <c r="V90" s="44"/>
      <c r="W90" s="35" t="str">
        <f>G!BE64</f>
        <v/>
      </c>
      <c r="X90" s="44" t="str">
        <f>G!BD64</f>
        <v>--</v>
      </c>
      <c r="Y90" s="35" t="str">
        <f>G!BF64</f>
        <v/>
      </c>
      <c r="Z90" s="35" t="str">
        <f>G!BG64</f>
        <v/>
      </c>
      <c r="AA90" s="44"/>
      <c r="AE90" s="72">
        <f t="shared" si="3"/>
        <v>1</v>
      </c>
    </row>
    <row r="91" spans="1:31" ht="9" hidden="1" customHeight="1" x14ac:dyDescent="0.15">
      <c r="A91" s="195" t="str">
        <f>F!A65</f>
        <v>Styreen (vinylbenzeen)</v>
      </c>
      <c r="B91" s="195"/>
      <c r="C91" s="195"/>
      <c r="D91" s="44" t="str">
        <f>G!AQ65</f>
        <v/>
      </c>
      <c r="E91" s="44" t="str">
        <f>G!AP65</f>
        <v>--</v>
      </c>
      <c r="G91" s="35" t="str">
        <f>G!AS65</f>
        <v/>
      </c>
      <c r="H91" s="44" t="str">
        <f>G!AR65</f>
        <v>--</v>
      </c>
      <c r="I91" s="35" t="str">
        <f>G!AT65</f>
        <v/>
      </c>
      <c r="J91" s="35" t="str">
        <f>G!AU65</f>
        <v/>
      </c>
      <c r="L91" s="44" t="str">
        <f>G!AW65</f>
        <v/>
      </c>
      <c r="M91" s="44" t="str">
        <f>G!AV65</f>
        <v>--</v>
      </c>
      <c r="O91" s="35" t="str">
        <f>G!AY65</f>
        <v/>
      </c>
      <c r="P91" s="44" t="str">
        <f>G!AX65</f>
        <v>--</v>
      </c>
      <c r="Q91" s="35" t="str">
        <f>G!AZ65</f>
        <v/>
      </c>
      <c r="R91" s="35" t="str">
        <f>G!BA65</f>
        <v/>
      </c>
      <c r="T91" s="44" t="str">
        <f>G!BC65</f>
        <v/>
      </c>
      <c r="U91" s="44" t="str">
        <f>G!BB65</f>
        <v>--</v>
      </c>
      <c r="V91" s="44"/>
      <c r="W91" s="35" t="str">
        <f>G!BE65</f>
        <v/>
      </c>
      <c r="X91" s="44" t="str">
        <f>G!BD65</f>
        <v>--</v>
      </c>
      <c r="Y91" s="35" t="str">
        <f>G!BF65</f>
        <v/>
      </c>
      <c r="Z91" s="35" t="str">
        <f>G!BG65</f>
        <v/>
      </c>
      <c r="AA91" s="44"/>
      <c r="AE91" s="72">
        <f t="shared" si="3"/>
        <v>1</v>
      </c>
    </row>
    <row r="92" spans="1:31" ht="9" hidden="1" customHeight="1" x14ac:dyDescent="0.15">
      <c r="A92" s="195" t="str">
        <f>F!A66</f>
        <v>1,2,3-Trimethylbenzeen</v>
      </c>
      <c r="B92" s="195"/>
      <c r="C92" s="195"/>
      <c r="D92" s="44" t="str">
        <f>G!AQ66</f>
        <v/>
      </c>
      <c r="E92" s="44" t="str">
        <f>G!AP66</f>
        <v>--</v>
      </c>
      <c r="G92" s="35" t="str">
        <f>G!AS66</f>
        <v/>
      </c>
      <c r="H92" s="44" t="str">
        <f>G!AR66</f>
        <v>--</v>
      </c>
      <c r="I92" s="35" t="str">
        <f>G!AT66</f>
        <v/>
      </c>
      <c r="J92" s="35" t="str">
        <f>G!AU66</f>
        <v/>
      </c>
      <c r="L92" s="44" t="str">
        <f>G!AW66</f>
        <v/>
      </c>
      <c r="M92" s="44" t="str">
        <f>G!AV66</f>
        <v>--</v>
      </c>
      <c r="O92" s="35" t="str">
        <f>G!AY66</f>
        <v/>
      </c>
      <c r="P92" s="44" t="str">
        <f>G!AX66</f>
        <v>--</v>
      </c>
      <c r="Q92" s="35" t="str">
        <f>G!AZ66</f>
        <v/>
      </c>
      <c r="R92" s="35" t="str">
        <f>G!BA66</f>
        <v/>
      </c>
      <c r="T92" s="44" t="str">
        <f>G!BC66</f>
        <v/>
      </c>
      <c r="U92" s="44" t="str">
        <f>G!BB66</f>
        <v>--</v>
      </c>
      <c r="V92" s="44"/>
      <c r="W92" s="35" t="str">
        <f>G!BE66</f>
        <v/>
      </c>
      <c r="X92" s="44" t="str">
        <f>G!BD66</f>
        <v>--</v>
      </c>
      <c r="Y92" s="35" t="str">
        <f>G!BF66</f>
        <v/>
      </c>
      <c r="Z92" s="35" t="str">
        <f>G!BG66</f>
        <v/>
      </c>
      <c r="AA92" s="44"/>
      <c r="AE92" s="72">
        <f t="shared" si="3"/>
        <v>1</v>
      </c>
    </row>
    <row r="93" spans="1:31" ht="3.95" hidden="1" customHeight="1" x14ac:dyDescent="0.15">
      <c r="A93" s="41"/>
      <c r="B93" s="41"/>
      <c r="C93" s="41"/>
      <c r="D93" s="44"/>
      <c r="E93" s="44"/>
      <c r="H93" s="44"/>
      <c r="L93" s="44"/>
      <c r="M93" s="44"/>
      <c r="P93" s="44"/>
      <c r="T93" s="44"/>
      <c r="U93" s="44"/>
      <c r="V93" s="44"/>
      <c r="X93" s="44"/>
      <c r="Z93" s="44"/>
      <c r="AA93" s="44"/>
      <c r="AE93" s="94">
        <f>AE94</f>
        <v>1</v>
      </c>
    </row>
    <row r="94" spans="1:31" ht="9" hidden="1" customHeight="1" x14ac:dyDescent="0.15">
      <c r="A94" s="198" t="str">
        <f>IF(COUNTIF(F!D67:D107,131)&gt;0,"Gechloreerde koolwaterstoffen (µg/kgds)","Gechloreerde koolwaterstoffen (mg/kgds)")</f>
        <v>Gechloreerde koolwaterstoffen (mg/kgds)</v>
      </c>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E94" s="94">
        <f>IF(COUNTIF(AE95:AE135,1)=COUNT(AE95:AE135),1,0)</f>
        <v>1</v>
      </c>
    </row>
    <row r="95" spans="1:31" ht="9" hidden="1" customHeight="1" x14ac:dyDescent="0.15">
      <c r="A95" s="195" t="str">
        <f>F!A67</f>
        <v>Monochlooretheen (vinylchloride)</v>
      </c>
      <c r="B95" s="195"/>
      <c r="C95" s="195"/>
      <c r="D95" s="44" t="str">
        <f>G!AQ67</f>
        <v/>
      </c>
      <c r="E95" s="44" t="str">
        <f>G!AP67</f>
        <v>--</v>
      </c>
      <c r="G95" s="35" t="str">
        <f>G!AS67</f>
        <v/>
      </c>
      <c r="H95" s="44" t="str">
        <f>G!AR67</f>
        <v>--</v>
      </c>
      <c r="I95" s="35" t="str">
        <f>G!AT67</f>
        <v/>
      </c>
      <c r="J95" s="35" t="str">
        <f>G!AU67</f>
        <v/>
      </c>
      <c r="L95" s="44" t="str">
        <f>G!AW67</f>
        <v/>
      </c>
      <c r="M95" s="44" t="str">
        <f>G!AV67</f>
        <v>--</v>
      </c>
      <c r="O95" s="35" t="str">
        <f>G!AY67</f>
        <v/>
      </c>
      <c r="P95" s="44" t="str">
        <f>G!AX67</f>
        <v>--</v>
      </c>
      <c r="Q95" s="35" t="str">
        <f>G!AZ67</f>
        <v/>
      </c>
      <c r="R95" s="35" t="str">
        <f>G!BA67</f>
        <v/>
      </c>
      <c r="T95" s="44" t="str">
        <f>G!BC67</f>
        <v/>
      </c>
      <c r="U95" s="44" t="str">
        <f>G!BB67</f>
        <v>--</v>
      </c>
      <c r="V95" s="44"/>
      <c r="W95" s="35" t="str">
        <f>G!BE67</f>
        <v/>
      </c>
      <c r="X95" s="44" t="str">
        <f>G!BD67</f>
        <v>--</v>
      </c>
      <c r="Y95" s="35" t="str">
        <f>G!BF67</f>
        <v/>
      </c>
      <c r="Z95" s="35" t="str">
        <f>G!BG67</f>
        <v/>
      </c>
      <c r="AA95" s="44"/>
      <c r="AE95" s="72">
        <f t="shared" si="3"/>
        <v>1</v>
      </c>
    </row>
    <row r="96" spans="1:31" ht="9" hidden="1" customHeight="1" x14ac:dyDescent="0.15">
      <c r="A96" s="195" t="str">
        <f>F!A68</f>
        <v>Dichloormethaan</v>
      </c>
      <c r="B96" s="195"/>
      <c r="C96" s="195"/>
      <c r="D96" s="44" t="str">
        <f>G!AQ68</f>
        <v/>
      </c>
      <c r="E96" s="44" t="str">
        <f>G!AP68</f>
        <v>--</v>
      </c>
      <c r="G96" s="35" t="str">
        <f>G!AS68</f>
        <v/>
      </c>
      <c r="H96" s="44" t="str">
        <f>G!AR68</f>
        <v>--</v>
      </c>
      <c r="I96" s="35" t="str">
        <f>G!AT68</f>
        <v/>
      </c>
      <c r="J96" s="35" t="str">
        <f>G!AU68</f>
        <v/>
      </c>
      <c r="L96" s="44" t="str">
        <f>G!AW68</f>
        <v/>
      </c>
      <c r="M96" s="44" t="str">
        <f>G!AV68</f>
        <v>--</v>
      </c>
      <c r="O96" s="35" t="str">
        <f>G!AY68</f>
        <v/>
      </c>
      <c r="P96" s="44" t="str">
        <f>G!AX68</f>
        <v>--</v>
      </c>
      <c r="Q96" s="35" t="str">
        <f>G!AZ68</f>
        <v/>
      </c>
      <c r="R96" s="35" t="str">
        <f>G!BA68</f>
        <v/>
      </c>
      <c r="T96" s="44" t="str">
        <f>G!BC68</f>
        <v/>
      </c>
      <c r="U96" s="44" t="str">
        <f>G!BB68</f>
        <v>--</v>
      </c>
      <c r="V96" s="44"/>
      <c r="W96" s="35" t="str">
        <f>G!BE68</f>
        <v/>
      </c>
      <c r="X96" s="44" t="str">
        <f>G!BD68</f>
        <v>--</v>
      </c>
      <c r="Y96" s="35" t="str">
        <f>G!BF68</f>
        <v/>
      </c>
      <c r="Z96" s="35" t="str">
        <f>G!BG68</f>
        <v/>
      </c>
      <c r="AA96" s="44"/>
      <c r="AE96" s="72">
        <f t="shared" si="3"/>
        <v>1</v>
      </c>
    </row>
    <row r="97" spans="1:31" ht="9" hidden="1" customHeight="1" x14ac:dyDescent="0.15">
      <c r="A97" s="195" t="str">
        <f>F!A69</f>
        <v>1,1-Dichloorethaan</v>
      </c>
      <c r="B97" s="195"/>
      <c r="C97" s="195"/>
      <c r="D97" s="44" t="str">
        <f>G!AQ69</f>
        <v/>
      </c>
      <c r="E97" s="44" t="str">
        <f>G!AP69</f>
        <v>--</v>
      </c>
      <c r="G97" s="35" t="str">
        <f>G!AS69</f>
        <v/>
      </c>
      <c r="H97" s="44" t="str">
        <f>G!AR69</f>
        <v>--</v>
      </c>
      <c r="I97" s="35" t="str">
        <f>G!AT69</f>
        <v/>
      </c>
      <c r="J97" s="35" t="str">
        <f>G!AU69</f>
        <v/>
      </c>
      <c r="L97" s="44" t="str">
        <f>G!AW69</f>
        <v/>
      </c>
      <c r="M97" s="44" t="str">
        <f>G!AV69</f>
        <v>--</v>
      </c>
      <c r="O97" s="35" t="str">
        <f>G!AY69</f>
        <v/>
      </c>
      <c r="P97" s="44" t="str">
        <f>G!AX69</f>
        <v>--</v>
      </c>
      <c r="Q97" s="35" t="str">
        <f>G!AZ69</f>
        <v/>
      </c>
      <c r="R97" s="35" t="str">
        <f>G!BA69</f>
        <v/>
      </c>
      <c r="T97" s="44" t="str">
        <f>G!BC69</f>
        <v/>
      </c>
      <c r="U97" s="44" t="str">
        <f>G!BB69</f>
        <v>--</v>
      </c>
      <c r="V97" s="44"/>
      <c r="W97" s="35" t="str">
        <f>G!BE69</f>
        <v/>
      </c>
      <c r="X97" s="44" t="str">
        <f>G!BD69</f>
        <v>--</v>
      </c>
      <c r="Y97" s="35" t="str">
        <f>G!BF69</f>
        <v/>
      </c>
      <c r="Z97" s="35" t="str">
        <f>G!BG69</f>
        <v/>
      </c>
      <c r="AA97" s="44"/>
      <c r="AE97" s="72">
        <f t="shared" si="3"/>
        <v>1</v>
      </c>
    </row>
    <row r="98" spans="1:31" ht="9" hidden="1" customHeight="1" x14ac:dyDescent="0.15">
      <c r="A98" s="195" t="str">
        <f>F!A70</f>
        <v>1,2-Dichloorethaan</v>
      </c>
      <c r="B98" s="195"/>
      <c r="C98" s="195"/>
      <c r="D98" s="44" t="str">
        <f>G!AQ70</f>
        <v/>
      </c>
      <c r="E98" s="44" t="str">
        <f>G!AP70</f>
        <v>--</v>
      </c>
      <c r="G98" s="35" t="str">
        <f>G!AS70</f>
        <v/>
      </c>
      <c r="H98" s="44" t="str">
        <f>G!AR70</f>
        <v>--</v>
      </c>
      <c r="I98" s="35" t="str">
        <f>G!AT70</f>
        <v/>
      </c>
      <c r="J98" s="35" t="str">
        <f>G!AU70</f>
        <v/>
      </c>
      <c r="L98" s="44" t="str">
        <f>G!AW70</f>
        <v/>
      </c>
      <c r="M98" s="44" t="str">
        <f>G!AV70</f>
        <v>--</v>
      </c>
      <c r="O98" s="35" t="str">
        <f>G!AY70</f>
        <v/>
      </c>
      <c r="P98" s="44" t="str">
        <f>G!AX70</f>
        <v>--</v>
      </c>
      <c r="Q98" s="35" t="str">
        <f>G!AZ70</f>
        <v/>
      </c>
      <c r="R98" s="35" t="str">
        <f>G!BA70</f>
        <v/>
      </c>
      <c r="T98" s="44" t="str">
        <f>G!BC70</f>
        <v/>
      </c>
      <c r="U98" s="44" t="str">
        <f>G!BB70</f>
        <v>--</v>
      </c>
      <c r="V98" s="44"/>
      <c r="W98" s="35" t="str">
        <f>G!BE70</f>
        <v/>
      </c>
      <c r="X98" s="44" t="str">
        <f>G!BD70</f>
        <v>--</v>
      </c>
      <c r="Y98" s="35" t="str">
        <f>G!BF70</f>
        <v/>
      </c>
      <c r="Z98" s="35" t="str">
        <f>G!BG70</f>
        <v/>
      </c>
      <c r="AA98" s="44"/>
      <c r="AE98" s="72">
        <f t="shared" si="3"/>
        <v>1</v>
      </c>
    </row>
    <row r="99" spans="1:31" ht="9" hidden="1" customHeight="1" x14ac:dyDescent="0.15">
      <c r="A99" s="195" t="str">
        <f>F!A71</f>
        <v>1,1-Dichlooretheen</v>
      </c>
      <c r="B99" s="195"/>
      <c r="C99" s="195"/>
      <c r="D99" s="44" t="str">
        <f>G!AQ71</f>
        <v/>
      </c>
      <c r="E99" s="44" t="str">
        <f>G!AP71</f>
        <v>--</v>
      </c>
      <c r="G99" s="35" t="str">
        <f>G!AS71</f>
        <v/>
      </c>
      <c r="H99" s="44" t="str">
        <f>G!AR71</f>
        <v>--</v>
      </c>
      <c r="I99" s="35" t="str">
        <f>G!AT71</f>
        <v/>
      </c>
      <c r="J99" s="35" t="str">
        <f>G!AU71</f>
        <v/>
      </c>
      <c r="L99" s="44" t="str">
        <f>G!AW71</f>
        <v/>
      </c>
      <c r="M99" s="44" t="str">
        <f>G!AV71</f>
        <v>--</v>
      </c>
      <c r="O99" s="35" t="str">
        <f>G!AY71</f>
        <v/>
      </c>
      <c r="P99" s="44" t="str">
        <f>G!AX71</f>
        <v>--</v>
      </c>
      <c r="Q99" s="35" t="str">
        <f>G!AZ71</f>
        <v/>
      </c>
      <c r="R99" s="35" t="str">
        <f>G!BA71</f>
        <v/>
      </c>
      <c r="T99" s="44" t="str">
        <f>G!BC71</f>
        <v/>
      </c>
      <c r="U99" s="44" t="str">
        <f>G!BB71</f>
        <v>--</v>
      </c>
      <c r="V99" s="44"/>
      <c r="W99" s="35" t="str">
        <f>G!BE71</f>
        <v/>
      </c>
      <c r="X99" s="44" t="str">
        <f>G!BD71</f>
        <v>--</v>
      </c>
      <c r="Y99" s="35" t="str">
        <f>G!BF71</f>
        <v/>
      </c>
      <c r="Z99" s="35" t="str">
        <f>G!BG71</f>
        <v/>
      </c>
      <c r="AA99" s="44"/>
      <c r="AE99" s="72">
        <f t="shared" si="3"/>
        <v>1</v>
      </c>
    </row>
    <row r="100" spans="1:31" ht="9" hidden="1" customHeight="1" x14ac:dyDescent="0.15">
      <c r="A100" s="195" t="str">
        <f>F!A72</f>
        <v>Cis-1,2-dichlooretheen</v>
      </c>
      <c r="B100" s="195"/>
      <c r="C100" s="195"/>
      <c r="D100" s="44" t="str">
        <f>G!AQ72</f>
        <v/>
      </c>
      <c r="E100" s="44" t="str">
        <f>G!AP72</f>
        <v>--</v>
      </c>
      <c r="G100" s="35" t="str">
        <f>G!AS72</f>
        <v/>
      </c>
      <c r="H100" s="44" t="str">
        <f>G!AR72</f>
        <v>--</v>
      </c>
      <c r="I100" s="35" t="str">
        <f>G!AT72</f>
        <v/>
      </c>
      <c r="J100" s="35" t="str">
        <f>G!AU72</f>
        <v/>
      </c>
      <c r="L100" s="44" t="str">
        <f>G!AW72</f>
        <v/>
      </c>
      <c r="M100" s="44" t="str">
        <f>G!AV72</f>
        <v>--</v>
      </c>
      <c r="O100" s="35" t="str">
        <f>G!AY72</f>
        <v/>
      </c>
      <c r="P100" s="44" t="str">
        <f>G!AX72</f>
        <v>--</v>
      </c>
      <c r="Q100" s="35" t="str">
        <f>G!AZ72</f>
        <v/>
      </c>
      <c r="R100" s="35" t="str">
        <f>G!BA72</f>
        <v/>
      </c>
      <c r="T100" s="44" t="str">
        <f>G!BC72</f>
        <v/>
      </c>
      <c r="U100" s="44" t="str">
        <f>G!BB72</f>
        <v>--</v>
      </c>
      <c r="V100" s="44"/>
      <c r="W100" s="35" t="str">
        <f>G!BE72</f>
        <v/>
      </c>
      <c r="X100" s="44" t="str">
        <f>G!BD72</f>
        <v>--</v>
      </c>
      <c r="Y100" s="35" t="str">
        <f>G!BF72</f>
        <v/>
      </c>
      <c r="Z100" s="35" t="str">
        <f>G!BG72</f>
        <v/>
      </c>
      <c r="AA100" s="44"/>
      <c r="AE100" s="72">
        <f t="shared" si="3"/>
        <v>1</v>
      </c>
    </row>
    <row r="101" spans="1:31" ht="9" hidden="1" customHeight="1" x14ac:dyDescent="0.15">
      <c r="A101" s="195" t="str">
        <f>F!A73</f>
        <v>Trans-1,2-dichlooretheen</v>
      </c>
      <c r="B101" s="195"/>
      <c r="C101" s="195"/>
      <c r="D101" s="44" t="str">
        <f>G!AQ73</f>
        <v/>
      </c>
      <c r="E101" s="44" t="str">
        <f>G!AP73</f>
        <v>--</v>
      </c>
      <c r="G101" s="35" t="str">
        <f>G!AS73</f>
        <v/>
      </c>
      <c r="H101" s="44" t="str">
        <f>G!AR73</f>
        <v>--</v>
      </c>
      <c r="I101" s="35" t="str">
        <f>G!AT73</f>
        <v/>
      </c>
      <c r="J101" s="35" t="str">
        <f>G!AU73</f>
        <v/>
      </c>
      <c r="L101" s="44" t="str">
        <f>G!AW73</f>
        <v/>
      </c>
      <c r="M101" s="44" t="str">
        <f>G!AV73</f>
        <v>--</v>
      </c>
      <c r="O101" s="35" t="str">
        <f>G!AY73</f>
        <v/>
      </c>
      <c r="P101" s="44" t="str">
        <f>G!AX73</f>
        <v>--</v>
      </c>
      <c r="Q101" s="35" t="str">
        <f>G!AZ73</f>
        <v/>
      </c>
      <c r="R101" s="35" t="str">
        <f>G!BA73</f>
        <v/>
      </c>
      <c r="T101" s="44" t="str">
        <f>G!BC73</f>
        <v/>
      </c>
      <c r="U101" s="44" t="str">
        <f>G!BB73</f>
        <v>--</v>
      </c>
      <c r="V101" s="44"/>
      <c r="W101" s="35" t="str">
        <f>G!BE73</f>
        <v/>
      </c>
      <c r="X101" s="44" t="str">
        <f>G!BD73</f>
        <v>--</v>
      </c>
      <c r="Y101" s="35" t="str">
        <f>G!BF73</f>
        <v/>
      </c>
      <c r="Z101" s="35" t="str">
        <f>G!BG73</f>
        <v/>
      </c>
      <c r="AA101" s="44"/>
      <c r="AE101" s="72">
        <f t="shared" si="3"/>
        <v>1</v>
      </c>
    </row>
    <row r="102" spans="1:31" ht="9" hidden="1" customHeight="1" x14ac:dyDescent="0.15">
      <c r="A102" s="195" t="str">
        <f>F!A74</f>
        <v>1,2-Dichlooretheen (som)</v>
      </c>
      <c r="B102" s="195"/>
      <c r="C102" s="195"/>
      <c r="D102" s="44" t="str">
        <f>G!AQ74</f>
        <v/>
      </c>
      <c r="E102" s="44" t="str">
        <f>G!AP74</f>
        <v>--</v>
      </c>
      <c r="G102" s="35" t="str">
        <f>G!AS74</f>
        <v/>
      </c>
      <c r="H102" s="44" t="str">
        <f>G!AR74</f>
        <v>--</v>
      </c>
      <c r="I102" s="35" t="str">
        <f>G!AT74</f>
        <v/>
      </c>
      <c r="J102" s="35" t="str">
        <f>G!AU74</f>
        <v/>
      </c>
      <c r="L102" s="44" t="str">
        <f>G!AW74</f>
        <v/>
      </c>
      <c r="M102" s="44" t="str">
        <f>G!AV74</f>
        <v>--</v>
      </c>
      <c r="O102" s="35" t="str">
        <f>G!AY74</f>
        <v/>
      </c>
      <c r="P102" s="44" t="str">
        <f>G!AX74</f>
        <v>--</v>
      </c>
      <c r="Q102" s="35" t="str">
        <f>G!AZ74</f>
        <v/>
      </c>
      <c r="R102" s="35" t="str">
        <f>G!BA74</f>
        <v/>
      </c>
      <c r="T102" s="44" t="str">
        <f>G!BC74</f>
        <v/>
      </c>
      <c r="U102" s="44" t="str">
        <f>G!BB74</f>
        <v>--</v>
      </c>
      <c r="V102" s="44"/>
      <c r="W102" s="35" t="str">
        <f>G!BE74</f>
        <v/>
      </c>
      <c r="X102" s="44" t="str">
        <f>G!BD74</f>
        <v>--</v>
      </c>
      <c r="Y102" s="35" t="str">
        <f>G!BF74</f>
        <v/>
      </c>
      <c r="Z102" s="35" t="str">
        <f>G!BG74</f>
        <v/>
      </c>
      <c r="AA102" s="44"/>
      <c r="AE102" s="72">
        <f t="shared" si="3"/>
        <v>1</v>
      </c>
    </row>
    <row r="103" spans="1:31" ht="9" hidden="1" customHeight="1" x14ac:dyDescent="0.15">
      <c r="A103" s="195" t="str">
        <f>F!A75</f>
        <v>1,1-Dichloorpropaan</v>
      </c>
      <c r="B103" s="195"/>
      <c r="C103" s="195"/>
      <c r="D103" s="44" t="str">
        <f>G!AQ75</f>
        <v/>
      </c>
      <c r="E103" s="44" t="str">
        <f>G!AP75</f>
        <v>--</v>
      </c>
      <c r="G103" s="35" t="str">
        <f>G!AS75</f>
        <v/>
      </c>
      <c r="H103" s="44" t="str">
        <f>G!AR75</f>
        <v>--</v>
      </c>
      <c r="I103" s="35" t="str">
        <f>G!AT75</f>
        <v/>
      </c>
      <c r="J103" s="35" t="str">
        <f>G!AU75</f>
        <v/>
      </c>
      <c r="L103" s="44" t="str">
        <f>G!AW75</f>
        <v/>
      </c>
      <c r="M103" s="44" t="str">
        <f>G!AV75</f>
        <v>--</v>
      </c>
      <c r="O103" s="35" t="str">
        <f>G!AY75</f>
        <v/>
      </c>
      <c r="P103" s="44" t="str">
        <f>G!AX75</f>
        <v>--</v>
      </c>
      <c r="Q103" s="35" t="str">
        <f>G!AZ75</f>
        <v/>
      </c>
      <c r="R103" s="35" t="str">
        <f>G!BA75</f>
        <v/>
      </c>
      <c r="T103" s="44" t="str">
        <f>G!BC75</f>
        <v/>
      </c>
      <c r="U103" s="44" t="str">
        <f>G!BB75</f>
        <v>--</v>
      </c>
      <c r="V103" s="44"/>
      <c r="W103" s="35" t="str">
        <f>G!BE75</f>
        <v/>
      </c>
      <c r="X103" s="44" t="str">
        <f>G!BD75</f>
        <v>--</v>
      </c>
      <c r="Y103" s="35" t="str">
        <f>G!BF75</f>
        <v/>
      </c>
      <c r="Z103" s="35" t="str">
        <f>G!BG75</f>
        <v/>
      </c>
      <c r="AA103" s="44"/>
      <c r="AE103" s="72">
        <f t="shared" si="3"/>
        <v>1</v>
      </c>
    </row>
    <row r="104" spans="1:31" ht="9" hidden="1" customHeight="1" x14ac:dyDescent="0.15">
      <c r="A104" s="195" t="str">
        <f>F!A76</f>
        <v>1,2-Dichloorpropaan</v>
      </c>
      <c r="B104" s="195"/>
      <c r="C104" s="195"/>
      <c r="D104" s="44" t="str">
        <f>G!AQ76</f>
        <v/>
      </c>
      <c r="E104" s="44" t="str">
        <f>G!AP76</f>
        <v>--</v>
      </c>
      <c r="G104" s="35" t="str">
        <f>G!AS76</f>
        <v/>
      </c>
      <c r="H104" s="44" t="str">
        <f>G!AR76</f>
        <v>--</v>
      </c>
      <c r="I104" s="35" t="str">
        <f>G!AT76</f>
        <v/>
      </c>
      <c r="J104" s="35" t="str">
        <f>G!AU76</f>
        <v/>
      </c>
      <c r="L104" s="44" t="str">
        <f>G!AW76</f>
        <v/>
      </c>
      <c r="M104" s="44" t="str">
        <f>G!AV76</f>
        <v>--</v>
      </c>
      <c r="O104" s="35" t="str">
        <f>G!AY76</f>
        <v/>
      </c>
      <c r="P104" s="44" t="str">
        <f>G!AX76</f>
        <v>--</v>
      </c>
      <c r="Q104" s="35" t="str">
        <f>G!AZ76</f>
        <v/>
      </c>
      <c r="R104" s="35" t="str">
        <f>G!BA76</f>
        <v/>
      </c>
      <c r="T104" s="44" t="str">
        <f>G!BC76</f>
        <v/>
      </c>
      <c r="U104" s="44" t="str">
        <f>G!BB76</f>
        <v>--</v>
      </c>
      <c r="V104" s="44"/>
      <c r="W104" s="35" t="str">
        <f>G!BE76</f>
        <v/>
      </c>
      <c r="X104" s="44" t="str">
        <f>G!BD76</f>
        <v>--</v>
      </c>
      <c r="Y104" s="35" t="str">
        <f>G!BF76</f>
        <v/>
      </c>
      <c r="Z104" s="35" t="str">
        <f>G!BG76</f>
        <v/>
      </c>
      <c r="AA104" s="44"/>
      <c r="AE104" s="72">
        <f t="shared" si="3"/>
        <v>1</v>
      </c>
    </row>
    <row r="105" spans="1:31" ht="9" hidden="1" customHeight="1" x14ac:dyDescent="0.15">
      <c r="A105" s="195" t="str">
        <f>F!A77</f>
        <v>1,3-Dichloorpropaan</v>
      </c>
      <c r="B105" s="195"/>
      <c r="C105" s="195"/>
      <c r="D105" s="44" t="str">
        <f>G!AQ77</f>
        <v/>
      </c>
      <c r="E105" s="44" t="str">
        <f>G!AP77</f>
        <v>--</v>
      </c>
      <c r="G105" s="35" t="str">
        <f>G!AS77</f>
        <v/>
      </c>
      <c r="H105" s="44" t="str">
        <f>G!AR77</f>
        <v>--</v>
      </c>
      <c r="I105" s="35" t="str">
        <f>G!AT77</f>
        <v/>
      </c>
      <c r="J105" s="35" t="str">
        <f>G!AU77</f>
        <v/>
      </c>
      <c r="L105" s="44" t="str">
        <f>G!AW77</f>
        <v/>
      </c>
      <c r="M105" s="44" t="str">
        <f>G!AV77</f>
        <v>--</v>
      </c>
      <c r="O105" s="35" t="str">
        <f>G!AY77</f>
        <v/>
      </c>
      <c r="P105" s="44" t="str">
        <f>G!AX77</f>
        <v>--</v>
      </c>
      <c r="Q105" s="35" t="str">
        <f>G!AZ77</f>
        <v/>
      </c>
      <c r="R105" s="35" t="str">
        <f>G!BA77</f>
        <v/>
      </c>
      <c r="T105" s="44" t="str">
        <f>G!BC77</f>
        <v/>
      </c>
      <c r="U105" s="44" t="str">
        <f>G!BB77</f>
        <v>--</v>
      </c>
      <c r="V105" s="44"/>
      <c r="W105" s="35" t="str">
        <f>G!BE77</f>
        <v/>
      </c>
      <c r="X105" s="44" t="str">
        <f>G!BD77</f>
        <v>--</v>
      </c>
      <c r="Y105" s="35" t="str">
        <f>G!BF77</f>
        <v/>
      </c>
      <c r="Z105" s="35" t="str">
        <f>G!BG77</f>
        <v/>
      </c>
      <c r="AA105" s="44"/>
      <c r="AE105" s="72">
        <f t="shared" si="3"/>
        <v>1</v>
      </c>
    </row>
    <row r="106" spans="1:31" ht="9" hidden="1" customHeight="1" x14ac:dyDescent="0.15">
      <c r="A106" s="195" t="str">
        <f>F!A78</f>
        <v>2,2-Dichloorpropaan</v>
      </c>
      <c r="B106" s="195"/>
      <c r="C106" s="195"/>
      <c r="D106" s="44" t="str">
        <f>G!AQ78</f>
        <v/>
      </c>
      <c r="E106" s="44" t="str">
        <f>G!AP78</f>
        <v>--</v>
      </c>
      <c r="G106" s="35" t="str">
        <f>G!AS78</f>
        <v/>
      </c>
      <c r="H106" s="44" t="str">
        <f>G!AR78</f>
        <v>--</v>
      </c>
      <c r="I106" s="35" t="str">
        <f>G!AT78</f>
        <v/>
      </c>
      <c r="J106" s="35" t="str">
        <f>G!AU78</f>
        <v/>
      </c>
      <c r="L106" s="44" t="str">
        <f>G!AW78</f>
        <v/>
      </c>
      <c r="M106" s="44" t="str">
        <f>G!AV78</f>
        <v>--</v>
      </c>
      <c r="O106" s="35" t="str">
        <f>G!AY78</f>
        <v/>
      </c>
      <c r="P106" s="44" t="str">
        <f>G!AX78</f>
        <v>--</v>
      </c>
      <c r="Q106" s="35" t="str">
        <f>G!AZ78</f>
        <v/>
      </c>
      <c r="R106" s="35" t="str">
        <f>G!BA78</f>
        <v/>
      </c>
      <c r="T106" s="44" t="str">
        <f>G!BC78</f>
        <v/>
      </c>
      <c r="U106" s="44" t="str">
        <f>G!BB78</f>
        <v>--</v>
      </c>
      <c r="V106" s="44"/>
      <c r="W106" s="35" t="str">
        <f>G!BE78</f>
        <v/>
      </c>
      <c r="X106" s="44" t="str">
        <f>G!BD78</f>
        <v>--</v>
      </c>
      <c r="Y106" s="35" t="str">
        <f>G!BF78</f>
        <v/>
      </c>
      <c r="Z106" s="35" t="str">
        <f>G!BG78</f>
        <v/>
      </c>
      <c r="AA106" s="44"/>
      <c r="AE106" s="72">
        <f t="shared" si="3"/>
        <v>1</v>
      </c>
    </row>
    <row r="107" spans="1:31" ht="9" hidden="1" customHeight="1" x14ac:dyDescent="0.15">
      <c r="A107" s="195" t="str">
        <f>F!A79</f>
        <v>Dichloorpropanen (som)</v>
      </c>
      <c r="B107" s="195"/>
      <c r="C107" s="195"/>
      <c r="D107" s="44" t="str">
        <f>G!AQ79</f>
        <v/>
      </c>
      <c r="E107" s="44" t="str">
        <f>G!AP79</f>
        <v>--</v>
      </c>
      <c r="G107" s="35" t="str">
        <f>G!AS79</f>
        <v/>
      </c>
      <c r="H107" s="44" t="str">
        <f>G!AR79</f>
        <v>--</v>
      </c>
      <c r="I107" s="35" t="str">
        <f>G!AT79</f>
        <v/>
      </c>
      <c r="J107" s="35" t="str">
        <f>G!AU79</f>
        <v/>
      </c>
      <c r="L107" s="44" t="str">
        <f>G!AW79</f>
        <v/>
      </c>
      <c r="M107" s="44" t="str">
        <f>G!AV79</f>
        <v>--</v>
      </c>
      <c r="O107" s="35" t="str">
        <f>G!AY79</f>
        <v/>
      </c>
      <c r="P107" s="44" t="str">
        <f>G!AX79</f>
        <v>--</v>
      </c>
      <c r="Q107" s="35" t="str">
        <f>G!AZ79</f>
        <v/>
      </c>
      <c r="R107" s="35" t="str">
        <f>G!BA79</f>
        <v/>
      </c>
      <c r="T107" s="44" t="str">
        <f>G!BC79</f>
        <v/>
      </c>
      <c r="U107" s="44" t="str">
        <f>G!BB79</f>
        <v>--</v>
      </c>
      <c r="V107" s="44"/>
      <c r="W107" s="35" t="str">
        <f>G!BE79</f>
        <v/>
      </c>
      <c r="X107" s="44" t="str">
        <f>G!BD79</f>
        <v>--</v>
      </c>
      <c r="Y107" s="35" t="str">
        <f>G!BF79</f>
        <v/>
      </c>
      <c r="Z107" s="35" t="str">
        <f>G!BG79</f>
        <v/>
      </c>
      <c r="AA107" s="44"/>
      <c r="AE107" s="72">
        <f t="shared" si="3"/>
        <v>1</v>
      </c>
    </row>
    <row r="108" spans="1:31" ht="9" hidden="1" customHeight="1" x14ac:dyDescent="0.15">
      <c r="A108" s="195" t="str">
        <f>F!A80</f>
        <v>1,2,3-Trichloorpropaan</v>
      </c>
      <c r="B108" s="195"/>
      <c r="C108" s="195"/>
      <c r="D108" s="44" t="str">
        <f>G!AQ80</f>
        <v/>
      </c>
      <c r="E108" s="44" t="str">
        <f>G!AP80</f>
        <v>--</v>
      </c>
      <c r="G108" s="35" t="str">
        <f>G!AS80</f>
        <v/>
      </c>
      <c r="H108" s="44" t="str">
        <f>G!AR80</f>
        <v>--</v>
      </c>
      <c r="I108" s="35" t="str">
        <f>G!AT80</f>
        <v/>
      </c>
      <c r="J108" s="35" t="str">
        <f>G!AU80</f>
        <v/>
      </c>
      <c r="L108" s="44" t="str">
        <f>G!AW80</f>
        <v/>
      </c>
      <c r="M108" s="44" t="str">
        <f>G!AV80</f>
        <v>--</v>
      </c>
      <c r="O108" s="35" t="str">
        <f>G!AY80</f>
        <v/>
      </c>
      <c r="P108" s="44" t="str">
        <f>G!AX80</f>
        <v>--</v>
      </c>
      <c r="Q108" s="35" t="str">
        <f>G!AZ80</f>
        <v/>
      </c>
      <c r="R108" s="35" t="str">
        <f>G!BA80</f>
        <v/>
      </c>
      <c r="T108" s="44" t="str">
        <f>G!BC80</f>
        <v/>
      </c>
      <c r="U108" s="44" t="str">
        <f>G!BB80</f>
        <v>--</v>
      </c>
      <c r="V108" s="44"/>
      <c r="W108" s="35" t="str">
        <f>G!BE80</f>
        <v/>
      </c>
      <c r="X108" s="44" t="str">
        <f>G!BD80</f>
        <v>--</v>
      </c>
      <c r="Y108" s="35" t="str">
        <f>G!BF80</f>
        <v/>
      </c>
      <c r="Z108" s="35" t="str">
        <f>G!BG80</f>
        <v/>
      </c>
      <c r="AA108" s="44"/>
      <c r="AE108" s="72">
        <f t="shared" si="3"/>
        <v>1</v>
      </c>
    </row>
    <row r="109" spans="1:31" ht="9" hidden="1" customHeight="1" x14ac:dyDescent="0.15">
      <c r="A109" s="195" t="str">
        <f>F!A81</f>
        <v>1,1-Dichloorpropeen</v>
      </c>
      <c r="B109" s="195"/>
      <c r="C109" s="195"/>
      <c r="D109" s="44" t="str">
        <f>G!AQ81</f>
        <v/>
      </c>
      <c r="E109" s="44" t="str">
        <f>G!AP81</f>
        <v>--</v>
      </c>
      <c r="G109" s="35" t="str">
        <f>G!AS81</f>
        <v/>
      </c>
      <c r="H109" s="44" t="str">
        <f>G!AR81</f>
        <v>--</v>
      </c>
      <c r="I109" s="35" t="str">
        <f>G!AT81</f>
        <v/>
      </c>
      <c r="J109" s="35" t="str">
        <f>G!AU81</f>
        <v/>
      </c>
      <c r="L109" s="44" t="str">
        <f>G!AW81</f>
        <v/>
      </c>
      <c r="M109" s="44" t="str">
        <f>G!AV81</f>
        <v>--</v>
      </c>
      <c r="O109" s="35" t="str">
        <f>G!AY81</f>
        <v/>
      </c>
      <c r="P109" s="44" t="str">
        <f>G!AX81</f>
        <v>--</v>
      </c>
      <c r="Q109" s="35" t="str">
        <f>G!AZ81</f>
        <v/>
      </c>
      <c r="R109" s="35" t="str">
        <f>G!BA81</f>
        <v/>
      </c>
      <c r="T109" s="44" t="str">
        <f>G!BC81</f>
        <v/>
      </c>
      <c r="U109" s="44" t="str">
        <f>G!BB81</f>
        <v>--</v>
      </c>
      <c r="V109" s="44"/>
      <c r="W109" s="35" t="str">
        <f>G!BE81</f>
        <v/>
      </c>
      <c r="X109" s="44" t="str">
        <f>G!BD81</f>
        <v>--</v>
      </c>
      <c r="Y109" s="35" t="str">
        <f>G!BF81</f>
        <v/>
      </c>
      <c r="Z109" s="35" t="str">
        <f>G!BG81</f>
        <v/>
      </c>
      <c r="AA109" s="44"/>
      <c r="AE109" s="72">
        <f t="shared" si="3"/>
        <v>1</v>
      </c>
    </row>
    <row r="110" spans="1:31" ht="9" hidden="1" customHeight="1" x14ac:dyDescent="0.15">
      <c r="A110" s="195" t="str">
        <f>F!A82</f>
        <v>trans-1,3-Dichloorpropeen</v>
      </c>
      <c r="B110" s="195"/>
      <c r="C110" s="195"/>
      <c r="D110" s="44" t="str">
        <f>G!AQ82</f>
        <v/>
      </c>
      <c r="E110" s="44" t="str">
        <f>G!AP82</f>
        <v>--</v>
      </c>
      <c r="G110" s="35" t="str">
        <f>G!AS82</f>
        <v/>
      </c>
      <c r="H110" s="44" t="str">
        <f>G!AR82</f>
        <v>--</v>
      </c>
      <c r="I110" s="35" t="str">
        <f>G!AT82</f>
        <v/>
      </c>
      <c r="J110" s="35" t="str">
        <f>G!AU82</f>
        <v/>
      </c>
      <c r="L110" s="44" t="str">
        <f>G!AW82</f>
        <v/>
      </c>
      <c r="M110" s="44" t="str">
        <f>G!AV82</f>
        <v>--</v>
      </c>
      <c r="O110" s="35" t="str">
        <f>G!AY82</f>
        <v/>
      </c>
      <c r="P110" s="44" t="str">
        <f>G!AX82</f>
        <v>--</v>
      </c>
      <c r="Q110" s="35" t="str">
        <f>G!AZ82</f>
        <v/>
      </c>
      <c r="R110" s="35" t="str">
        <f>G!BA82</f>
        <v/>
      </c>
      <c r="T110" s="44" t="str">
        <f>G!BC82</f>
        <v/>
      </c>
      <c r="U110" s="44" t="str">
        <f>G!BB82</f>
        <v>--</v>
      </c>
      <c r="V110" s="44"/>
      <c r="W110" s="35" t="str">
        <f>G!BE82</f>
        <v/>
      </c>
      <c r="X110" s="44" t="str">
        <f>G!BD82</f>
        <v>--</v>
      </c>
      <c r="Y110" s="35" t="str">
        <f>G!BF82</f>
        <v/>
      </c>
      <c r="Z110" s="35" t="str">
        <f>G!BG82</f>
        <v/>
      </c>
      <c r="AA110" s="44"/>
      <c r="AE110" s="72">
        <f t="shared" si="3"/>
        <v>1</v>
      </c>
    </row>
    <row r="111" spans="1:31" ht="9" hidden="1" customHeight="1" x14ac:dyDescent="0.15">
      <c r="A111" s="195" t="str">
        <f>F!A83</f>
        <v>cis-1,3-Dichloorpropeen</v>
      </c>
      <c r="B111" s="195"/>
      <c r="C111" s="195"/>
      <c r="D111" s="44" t="str">
        <f>G!AQ83</f>
        <v/>
      </c>
      <c r="E111" s="44" t="str">
        <f>G!AP83</f>
        <v>--</v>
      </c>
      <c r="G111" s="35" t="str">
        <f>G!AS83</f>
        <v/>
      </c>
      <c r="H111" s="44" t="str">
        <f>G!AR83</f>
        <v>--</v>
      </c>
      <c r="I111" s="35" t="str">
        <f>G!AT83</f>
        <v/>
      </c>
      <c r="J111" s="35" t="str">
        <f>G!AU83</f>
        <v/>
      </c>
      <c r="L111" s="44" t="str">
        <f>G!AW83</f>
        <v/>
      </c>
      <c r="M111" s="44" t="str">
        <f>G!AV83</f>
        <v>--</v>
      </c>
      <c r="O111" s="35" t="str">
        <f>G!AY83</f>
        <v/>
      </c>
      <c r="P111" s="44" t="str">
        <f>G!AX83</f>
        <v>--</v>
      </c>
      <c r="Q111" s="35" t="str">
        <f>G!AZ83</f>
        <v/>
      </c>
      <c r="R111" s="35" t="str">
        <f>G!BA83</f>
        <v/>
      </c>
      <c r="T111" s="44" t="str">
        <f>G!BC83</f>
        <v/>
      </c>
      <c r="U111" s="44" t="str">
        <f>G!BB83</f>
        <v>--</v>
      </c>
      <c r="V111" s="44"/>
      <c r="W111" s="35" t="str">
        <f>G!BE83</f>
        <v/>
      </c>
      <c r="X111" s="44" t="str">
        <f>G!BD83</f>
        <v>--</v>
      </c>
      <c r="Y111" s="35" t="str">
        <f>G!BF83</f>
        <v/>
      </c>
      <c r="Z111" s="35" t="str">
        <f>G!BG83</f>
        <v/>
      </c>
      <c r="AA111" s="44"/>
      <c r="AE111" s="72">
        <f t="shared" si="3"/>
        <v>1</v>
      </c>
    </row>
    <row r="112" spans="1:31" ht="9" hidden="1" customHeight="1" x14ac:dyDescent="0.15">
      <c r="A112" s="195" t="str">
        <f>F!A84</f>
        <v>1,3-Dichloorpropeen</v>
      </c>
      <c r="B112" s="195"/>
      <c r="C112" s="195"/>
      <c r="D112" s="44" t="str">
        <f>G!AQ84</f>
        <v/>
      </c>
      <c r="E112" s="44" t="str">
        <f>G!AP84</f>
        <v>--</v>
      </c>
      <c r="G112" s="35" t="str">
        <f>G!AS84</f>
        <v/>
      </c>
      <c r="H112" s="44" t="str">
        <f>G!AR84</f>
        <v>--</v>
      </c>
      <c r="I112" s="35" t="str">
        <f>G!AT84</f>
        <v/>
      </c>
      <c r="J112" s="35" t="str">
        <f>G!AU84</f>
        <v/>
      </c>
      <c r="L112" s="44" t="str">
        <f>G!AW84</f>
        <v/>
      </c>
      <c r="M112" s="44" t="str">
        <f>G!AV84</f>
        <v>--</v>
      </c>
      <c r="O112" s="35" t="str">
        <f>G!AY84</f>
        <v/>
      </c>
      <c r="P112" s="44" t="str">
        <f>G!AX84</f>
        <v>--</v>
      </c>
      <c r="Q112" s="35" t="str">
        <f>G!AZ84</f>
        <v/>
      </c>
      <c r="R112" s="35" t="str">
        <f>G!BA84</f>
        <v/>
      </c>
      <c r="T112" s="44" t="str">
        <f>G!BC84</f>
        <v/>
      </c>
      <c r="U112" s="44" t="str">
        <f>G!BB84</f>
        <v>--</v>
      </c>
      <c r="V112" s="44"/>
      <c r="W112" s="35" t="str">
        <f>G!BE84</f>
        <v/>
      </c>
      <c r="X112" s="44" t="str">
        <f>G!BD84</f>
        <v>--</v>
      </c>
      <c r="Y112" s="35" t="str">
        <f>G!BF84</f>
        <v/>
      </c>
      <c r="Z112" s="35" t="str">
        <f>G!BG84</f>
        <v/>
      </c>
      <c r="AA112" s="44"/>
      <c r="AE112" s="72">
        <f t="shared" si="3"/>
        <v>1</v>
      </c>
    </row>
    <row r="113" spans="1:31" ht="9" hidden="1" customHeight="1" x14ac:dyDescent="0.15">
      <c r="A113" s="195" t="str">
        <f>F!A85</f>
        <v>1,2-Dibroom-3-chloorpropaan</v>
      </c>
      <c r="B113" s="195"/>
      <c r="C113" s="195"/>
      <c r="D113" s="44" t="str">
        <f>G!AQ85</f>
        <v/>
      </c>
      <c r="E113" s="44" t="str">
        <f>G!AP85</f>
        <v>--</v>
      </c>
      <c r="G113" s="35" t="str">
        <f>G!AS85</f>
        <v/>
      </c>
      <c r="H113" s="44" t="str">
        <f>G!AR85</f>
        <v>--</v>
      </c>
      <c r="I113" s="35" t="str">
        <f>G!AT85</f>
        <v/>
      </c>
      <c r="J113" s="35" t="str">
        <f>G!AU85</f>
        <v/>
      </c>
      <c r="L113" s="44" t="str">
        <f>G!AW85</f>
        <v/>
      </c>
      <c r="M113" s="44" t="str">
        <f>G!AV85</f>
        <v>--</v>
      </c>
      <c r="O113" s="35" t="str">
        <f>G!AY85</f>
        <v/>
      </c>
      <c r="P113" s="44" t="str">
        <f>G!AX85</f>
        <v>--</v>
      </c>
      <c r="Q113" s="35" t="str">
        <f>G!AZ85</f>
        <v/>
      </c>
      <c r="R113" s="35" t="str">
        <f>G!BA85</f>
        <v/>
      </c>
      <c r="T113" s="44" t="str">
        <f>G!BC85</f>
        <v/>
      </c>
      <c r="U113" s="44" t="str">
        <f>G!BB85</f>
        <v>--</v>
      </c>
      <c r="V113" s="44"/>
      <c r="W113" s="35" t="str">
        <f>G!BE85</f>
        <v/>
      </c>
      <c r="X113" s="44" t="str">
        <f>G!BD85</f>
        <v>--</v>
      </c>
      <c r="Y113" s="35" t="str">
        <f>G!BF85</f>
        <v/>
      </c>
      <c r="Z113" s="35" t="str">
        <f>G!BG85</f>
        <v/>
      </c>
      <c r="AA113" s="44"/>
      <c r="AE113" s="72">
        <f t="shared" si="3"/>
        <v>1</v>
      </c>
    </row>
    <row r="114" spans="1:31" ht="9" hidden="1" customHeight="1" x14ac:dyDescent="0.15">
      <c r="A114" s="195" t="str">
        <f>F!A86</f>
        <v>Trichloormethaan (chloroform)</v>
      </c>
      <c r="B114" s="195"/>
      <c r="C114" s="195"/>
      <c r="D114" s="44" t="str">
        <f>G!AQ86</f>
        <v/>
      </c>
      <c r="E114" s="44" t="str">
        <f>G!AP86</f>
        <v>--</v>
      </c>
      <c r="G114" s="35" t="str">
        <f>G!AS86</f>
        <v/>
      </c>
      <c r="H114" s="44" t="str">
        <f>G!AR86</f>
        <v>--</v>
      </c>
      <c r="I114" s="35" t="str">
        <f>G!AT86</f>
        <v/>
      </c>
      <c r="J114" s="35" t="str">
        <f>G!AU86</f>
        <v/>
      </c>
      <c r="L114" s="44" t="str">
        <f>G!AW86</f>
        <v/>
      </c>
      <c r="M114" s="44" t="str">
        <f>G!AV86</f>
        <v>--</v>
      </c>
      <c r="O114" s="35" t="str">
        <f>G!AY86</f>
        <v/>
      </c>
      <c r="P114" s="44" t="str">
        <f>G!AX86</f>
        <v>--</v>
      </c>
      <c r="Q114" s="35" t="str">
        <f>G!AZ86</f>
        <v/>
      </c>
      <c r="R114" s="35" t="str">
        <f>G!BA86</f>
        <v/>
      </c>
      <c r="T114" s="44" t="str">
        <f>G!BC86</f>
        <v/>
      </c>
      <c r="U114" s="44" t="str">
        <f>G!BB86</f>
        <v>--</v>
      </c>
      <c r="V114" s="44"/>
      <c r="W114" s="35" t="str">
        <f>G!BE86</f>
        <v/>
      </c>
      <c r="X114" s="44" t="str">
        <f>G!BD86</f>
        <v>--</v>
      </c>
      <c r="Y114" s="35" t="str">
        <f>G!BF86</f>
        <v/>
      </c>
      <c r="Z114" s="35" t="str">
        <f>G!BG86</f>
        <v/>
      </c>
      <c r="AA114" s="44"/>
      <c r="AE114" s="72">
        <f t="shared" si="3"/>
        <v>1</v>
      </c>
    </row>
    <row r="115" spans="1:31" ht="9" hidden="1" customHeight="1" x14ac:dyDescent="0.15">
      <c r="A115" s="195" t="str">
        <f>F!A87</f>
        <v>1,1,1-Trichloorethaan</v>
      </c>
      <c r="B115" s="195"/>
      <c r="C115" s="195"/>
      <c r="D115" s="44" t="str">
        <f>G!AQ87</f>
        <v/>
      </c>
      <c r="E115" s="44" t="str">
        <f>G!AP87</f>
        <v>--</v>
      </c>
      <c r="G115" s="35" t="str">
        <f>G!AS87</f>
        <v/>
      </c>
      <c r="H115" s="44" t="str">
        <f>G!AR87</f>
        <v>--</v>
      </c>
      <c r="I115" s="35" t="str">
        <f>G!AT87</f>
        <v/>
      </c>
      <c r="J115" s="35" t="str">
        <f>G!AU87</f>
        <v/>
      </c>
      <c r="L115" s="44" t="str">
        <f>G!AW87</f>
        <v/>
      </c>
      <c r="M115" s="44" t="str">
        <f>G!AV87</f>
        <v>--</v>
      </c>
      <c r="O115" s="35" t="str">
        <f>G!AY87</f>
        <v/>
      </c>
      <c r="P115" s="44" t="str">
        <f>G!AX87</f>
        <v>--</v>
      </c>
      <c r="Q115" s="35" t="str">
        <f>G!AZ87</f>
        <v/>
      </c>
      <c r="R115" s="35" t="str">
        <f>G!BA87</f>
        <v/>
      </c>
      <c r="T115" s="44" t="str">
        <f>G!BC87</f>
        <v/>
      </c>
      <c r="U115" s="44" t="str">
        <f>G!BB87</f>
        <v>--</v>
      </c>
      <c r="V115" s="44"/>
      <c r="W115" s="35" t="str">
        <f>G!BE87</f>
        <v/>
      </c>
      <c r="X115" s="44" t="str">
        <f>G!BD87</f>
        <v>--</v>
      </c>
      <c r="Y115" s="35" t="str">
        <f>G!BF87</f>
        <v/>
      </c>
      <c r="Z115" s="35" t="str">
        <f>G!BG87</f>
        <v/>
      </c>
      <c r="AA115" s="44"/>
      <c r="AE115" s="72">
        <f t="shared" si="3"/>
        <v>1</v>
      </c>
    </row>
    <row r="116" spans="1:31" ht="9" hidden="1" customHeight="1" x14ac:dyDescent="0.15">
      <c r="A116" s="195" t="str">
        <f>F!A88</f>
        <v>1,1,2-Trichloorethaan</v>
      </c>
      <c r="B116" s="195"/>
      <c r="C116" s="195"/>
      <c r="D116" s="44" t="str">
        <f>G!AQ88</f>
        <v/>
      </c>
      <c r="E116" s="44" t="str">
        <f>G!AP88</f>
        <v>--</v>
      </c>
      <c r="G116" s="35" t="str">
        <f>G!AS88</f>
        <v/>
      </c>
      <c r="H116" s="44" t="str">
        <f>G!AR88</f>
        <v>--</v>
      </c>
      <c r="I116" s="35" t="str">
        <f>G!AT88</f>
        <v/>
      </c>
      <c r="J116" s="35" t="str">
        <f>G!AU88</f>
        <v/>
      </c>
      <c r="L116" s="44" t="str">
        <f>G!AW88</f>
        <v/>
      </c>
      <c r="M116" s="44" t="str">
        <f>G!AV88</f>
        <v>--</v>
      </c>
      <c r="O116" s="35" t="str">
        <f>G!AY88</f>
        <v/>
      </c>
      <c r="P116" s="44" t="str">
        <f>G!AX88</f>
        <v>--</v>
      </c>
      <c r="Q116" s="35" t="str">
        <f>G!AZ88</f>
        <v/>
      </c>
      <c r="R116" s="35" t="str">
        <f>G!BA88</f>
        <v/>
      </c>
      <c r="T116" s="44" t="str">
        <f>G!BC88</f>
        <v/>
      </c>
      <c r="U116" s="44" t="str">
        <f>G!BB88</f>
        <v>--</v>
      </c>
      <c r="V116" s="44"/>
      <c r="W116" s="35" t="str">
        <f>G!BE88</f>
        <v/>
      </c>
      <c r="X116" s="44" t="str">
        <f>G!BD88</f>
        <v>--</v>
      </c>
      <c r="Y116" s="35" t="str">
        <f>G!BF88</f>
        <v/>
      </c>
      <c r="Z116" s="35" t="str">
        <f>G!BG88</f>
        <v/>
      </c>
      <c r="AA116" s="44"/>
      <c r="AE116" s="72">
        <f t="shared" si="3"/>
        <v>1</v>
      </c>
    </row>
    <row r="117" spans="1:31" ht="9" hidden="1" customHeight="1" x14ac:dyDescent="0.15">
      <c r="A117" s="195" t="str">
        <f>F!A89</f>
        <v>Trichlooretheen (tri)</v>
      </c>
      <c r="B117" s="195"/>
      <c r="C117" s="195"/>
      <c r="D117" s="44" t="str">
        <f>G!AQ89</f>
        <v/>
      </c>
      <c r="E117" s="44" t="str">
        <f>G!AP89</f>
        <v>--</v>
      </c>
      <c r="G117" s="35" t="str">
        <f>G!AS89</f>
        <v/>
      </c>
      <c r="H117" s="44" t="str">
        <f>G!AR89</f>
        <v>--</v>
      </c>
      <c r="I117" s="35" t="str">
        <f>G!AT89</f>
        <v/>
      </c>
      <c r="J117" s="35" t="str">
        <f>G!AU89</f>
        <v/>
      </c>
      <c r="L117" s="44" t="str">
        <f>G!AW89</f>
        <v/>
      </c>
      <c r="M117" s="44" t="str">
        <f>G!AV89</f>
        <v>--</v>
      </c>
      <c r="O117" s="35" t="str">
        <f>G!AY89</f>
        <v/>
      </c>
      <c r="P117" s="44" t="str">
        <f>G!AX89</f>
        <v>--</v>
      </c>
      <c r="Q117" s="35" t="str">
        <f>G!AZ89</f>
        <v/>
      </c>
      <c r="R117" s="35" t="str">
        <f>G!BA89</f>
        <v/>
      </c>
      <c r="T117" s="44" t="str">
        <f>G!BC89</f>
        <v/>
      </c>
      <c r="U117" s="44" t="str">
        <f>G!BB89</f>
        <v>--</v>
      </c>
      <c r="V117" s="44"/>
      <c r="W117" s="35" t="str">
        <f>G!BE89</f>
        <v/>
      </c>
      <c r="X117" s="44" t="str">
        <f>G!BD89</f>
        <v>--</v>
      </c>
      <c r="Y117" s="35" t="str">
        <f>G!BF89</f>
        <v/>
      </c>
      <c r="Z117" s="35" t="str">
        <f>G!BG89</f>
        <v/>
      </c>
      <c r="AA117" s="44"/>
      <c r="AE117" s="72">
        <f t="shared" si="3"/>
        <v>1</v>
      </c>
    </row>
    <row r="118" spans="1:31" ht="9" hidden="1" customHeight="1" x14ac:dyDescent="0.15">
      <c r="A118" s="195" t="str">
        <f>F!A90</f>
        <v>Tetrachloormethaan (tetra)</v>
      </c>
      <c r="B118" s="195"/>
      <c r="C118" s="195"/>
      <c r="D118" s="44" t="str">
        <f>G!AQ90</f>
        <v/>
      </c>
      <c r="E118" s="44" t="str">
        <f>G!AP90</f>
        <v>--</v>
      </c>
      <c r="G118" s="35" t="str">
        <f>G!AS90</f>
        <v/>
      </c>
      <c r="H118" s="44" t="str">
        <f>G!AR90</f>
        <v>--</v>
      </c>
      <c r="I118" s="35" t="str">
        <f>G!AT90</f>
        <v/>
      </c>
      <c r="J118" s="35" t="str">
        <f>G!AU90</f>
        <v/>
      </c>
      <c r="L118" s="44" t="str">
        <f>G!AW90</f>
        <v/>
      </c>
      <c r="M118" s="44" t="str">
        <f>G!AV90</f>
        <v>--</v>
      </c>
      <c r="O118" s="35" t="str">
        <f>G!AY90</f>
        <v/>
      </c>
      <c r="P118" s="44" t="str">
        <f>G!AX90</f>
        <v>--</v>
      </c>
      <c r="Q118" s="35" t="str">
        <f>G!AZ90</f>
        <v/>
      </c>
      <c r="R118" s="35" t="str">
        <f>G!BA90</f>
        <v/>
      </c>
      <c r="T118" s="44" t="str">
        <f>G!BC90</f>
        <v/>
      </c>
      <c r="U118" s="44" t="str">
        <f>G!BB90</f>
        <v>--</v>
      </c>
      <c r="V118" s="44"/>
      <c r="W118" s="35" t="str">
        <f>G!BE90</f>
        <v/>
      </c>
      <c r="X118" s="44" t="str">
        <f>G!BD90</f>
        <v>--</v>
      </c>
      <c r="Y118" s="35" t="str">
        <f>G!BF90</f>
        <v/>
      </c>
      <c r="Z118" s="35" t="str">
        <f>G!BG90</f>
        <v/>
      </c>
      <c r="AA118" s="44"/>
      <c r="AE118" s="72">
        <f t="shared" si="3"/>
        <v>1</v>
      </c>
    </row>
    <row r="119" spans="1:31" ht="9" hidden="1" customHeight="1" x14ac:dyDescent="0.15">
      <c r="A119" s="195" t="str">
        <f>F!A91</f>
        <v>Tetrachlooretheen (per)</v>
      </c>
      <c r="B119" s="195"/>
      <c r="C119" s="195"/>
      <c r="D119" s="44" t="str">
        <f>G!AQ91</f>
        <v/>
      </c>
      <c r="E119" s="44" t="str">
        <f>G!AP91</f>
        <v>--</v>
      </c>
      <c r="G119" s="35" t="str">
        <f>G!AS91</f>
        <v/>
      </c>
      <c r="H119" s="44" t="str">
        <f>G!AR91</f>
        <v>--</v>
      </c>
      <c r="I119" s="35" t="str">
        <f>G!AT91</f>
        <v/>
      </c>
      <c r="J119" s="35" t="str">
        <f>G!AU91</f>
        <v/>
      </c>
      <c r="L119" s="44" t="str">
        <f>G!AW91</f>
        <v/>
      </c>
      <c r="M119" s="44" t="str">
        <f>G!AV91</f>
        <v>--</v>
      </c>
      <c r="O119" s="35" t="str">
        <f>G!AY91</f>
        <v/>
      </c>
      <c r="P119" s="44" t="str">
        <f>G!AX91</f>
        <v>--</v>
      </c>
      <c r="Q119" s="35" t="str">
        <f>G!AZ91</f>
        <v/>
      </c>
      <c r="R119" s="35" t="str">
        <f>G!BA91</f>
        <v/>
      </c>
      <c r="T119" s="44" t="str">
        <f>G!BC91</f>
        <v/>
      </c>
      <c r="U119" s="44" t="str">
        <f>G!BB91</f>
        <v>--</v>
      </c>
      <c r="V119" s="44"/>
      <c r="W119" s="35" t="str">
        <f>G!BE91</f>
        <v/>
      </c>
      <c r="X119" s="44" t="str">
        <f>G!BD91</f>
        <v>--</v>
      </c>
      <c r="Y119" s="35" t="str">
        <f>G!BF91</f>
        <v/>
      </c>
      <c r="Z119" s="35" t="str">
        <f>G!BG91</f>
        <v/>
      </c>
      <c r="AA119" s="44"/>
      <c r="AE119" s="72">
        <f t="shared" si="3"/>
        <v>1</v>
      </c>
    </row>
    <row r="120" spans="1:31" ht="9" hidden="1" customHeight="1" x14ac:dyDescent="0.15">
      <c r="A120" s="195" t="str">
        <f>F!A92</f>
        <v>Broomchloormethaan</v>
      </c>
      <c r="B120" s="195"/>
      <c r="C120" s="195"/>
      <c r="D120" s="44" t="str">
        <f>G!AQ92</f>
        <v/>
      </c>
      <c r="E120" s="44" t="str">
        <f>G!AP92</f>
        <v>--</v>
      </c>
      <c r="G120" s="35" t="str">
        <f>G!AS92</f>
        <v/>
      </c>
      <c r="H120" s="44" t="str">
        <f>G!AR92</f>
        <v>--</v>
      </c>
      <c r="I120" s="35" t="str">
        <f>G!AT92</f>
        <v/>
      </c>
      <c r="J120" s="35" t="str">
        <f>G!AU92</f>
        <v/>
      </c>
      <c r="L120" s="44" t="str">
        <f>G!AW92</f>
        <v/>
      </c>
      <c r="M120" s="44" t="str">
        <f>G!AV92</f>
        <v>--</v>
      </c>
      <c r="O120" s="35" t="str">
        <f>G!AY92</f>
        <v/>
      </c>
      <c r="P120" s="44" t="str">
        <f>G!AX92</f>
        <v>--</v>
      </c>
      <c r="Q120" s="35" t="str">
        <f>G!AZ92</f>
        <v/>
      </c>
      <c r="R120" s="35" t="str">
        <f>G!BA92</f>
        <v/>
      </c>
      <c r="T120" s="44" t="str">
        <f>G!BC92</f>
        <v/>
      </c>
      <c r="U120" s="44" t="str">
        <f>G!BB92</f>
        <v>--</v>
      </c>
      <c r="V120" s="44"/>
      <c r="W120" s="35" t="str">
        <f>G!BE92</f>
        <v/>
      </c>
      <c r="X120" s="44" t="str">
        <f>G!BD92</f>
        <v>--</v>
      </c>
      <c r="Y120" s="35" t="str">
        <f>G!BF92</f>
        <v/>
      </c>
      <c r="Z120" s="35" t="str">
        <f>G!BG92</f>
        <v/>
      </c>
      <c r="AA120" s="44"/>
      <c r="AE120" s="72">
        <f t="shared" si="3"/>
        <v>1</v>
      </c>
    </row>
    <row r="121" spans="1:31" ht="9" hidden="1" customHeight="1" x14ac:dyDescent="0.15">
      <c r="A121" s="195" t="str">
        <f>F!A93</f>
        <v>Broomdichloormethaan</v>
      </c>
      <c r="B121" s="195"/>
      <c r="C121" s="195"/>
      <c r="D121" s="44" t="str">
        <f>G!AQ93</f>
        <v/>
      </c>
      <c r="E121" s="44" t="str">
        <f>G!AP93</f>
        <v>--</v>
      </c>
      <c r="G121" s="35" t="str">
        <f>G!AS93</f>
        <v/>
      </c>
      <c r="H121" s="44" t="str">
        <f>G!AR93</f>
        <v>--</v>
      </c>
      <c r="I121" s="35" t="str">
        <f>G!AT93</f>
        <v/>
      </c>
      <c r="J121" s="35" t="str">
        <f>G!AU93</f>
        <v/>
      </c>
      <c r="L121" s="44" t="str">
        <f>G!AW93</f>
        <v/>
      </c>
      <c r="M121" s="44" t="str">
        <f>G!AV93</f>
        <v>--</v>
      </c>
      <c r="O121" s="35" t="str">
        <f>G!AY93</f>
        <v/>
      </c>
      <c r="P121" s="44" t="str">
        <f>G!AX93</f>
        <v>--</v>
      </c>
      <c r="Q121" s="35" t="str">
        <f>G!AZ93</f>
        <v/>
      </c>
      <c r="R121" s="35" t="str">
        <f>G!BA93</f>
        <v/>
      </c>
      <c r="T121" s="44" t="str">
        <f>G!BC93</f>
        <v/>
      </c>
      <c r="U121" s="44" t="str">
        <f>G!BB93</f>
        <v>--</v>
      </c>
      <c r="V121" s="44"/>
      <c r="W121" s="35" t="str">
        <f>G!BE93</f>
        <v/>
      </c>
      <c r="X121" s="44" t="str">
        <f>G!BD93</f>
        <v>--</v>
      </c>
      <c r="Y121" s="35" t="str">
        <f>G!BF93</f>
        <v/>
      </c>
      <c r="Z121" s="35" t="str">
        <f>G!BG93</f>
        <v/>
      </c>
      <c r="AA121" s="44"/>
      <c r="AE121" s="72">
        <f t="shared" si="3"/>
        <v>1</v>
      </c>
    </row>
    <row r="122" spans="1:31" ht="9" hidden="1" customHeight="1" x14ac:dyDescent="0.15">
      <c r="A122" s="195" t="str">
        <f>F!A94</f>
        <v>Dibroomchloormethaan</v>
      </c>
      <c r="B122" s="195"/>
      <c r="C122" s="195"/>
      <c r="D122" s="44" t="str">
        <f>G!AQ94</f>
        <v/>
      </c>
      <c r="E122" s="44" t="str">
        <f>G!AP94</f>
        <v>--</v>
      </c>
      <c r="G122" s="35" t="str">
        <f>G!AS94</f>
        <v/>
      </c>
      <c r="H122" s="44" t="str">
        <f>G!AR94</f>
        <v>--</v>
      </c>
      <c r="I122" s="35" t="str">
        <f>G!AT94</f>
        <v/>
      </c>
      <c r="J122" s="35" t="str">
        <f>G!AU94</f>
        <v/>
      </c>
      <c r="L122" s="44" t="str">
        <f>G!AW94</f>
        <v/>
      </c>
      <c r="M122" s="44" t="str">
        <f>G!AV94</f>
        <v>--</v>
      </c>
      <c r="O122" s="35" t="str">
        <f>G!AY94</f>
        <v/>
      </c>
      <c r="P122" s="44" t="str">
        <f>G!AX94</f>
        <v>--</v>
      </c>
      <c r="Q122" s="35" t="str">
        <f>G!AZ94</f>
        <v/>
      </c>
      <c r="R122" s="35" t="str">
        <f>G!BA94</f>
        <v/>
      </c>
      <c r="T122" s="44" t="str">
        <f>G!BC94</f>
        <v/>
      </c>
      <c r="U122" s="44" t="str">
        <f>G!BB94</f>
        <v>--</v>
      </c>
      <c r="V122" s="44"/>
      <c r="W122" s="35" t="str">
        <f>G!BE94</f>
        <v/>
      </c>
      <c r="X122" s="44" t="str">
        <f>G!BD94</f>
        <v>--</v>
      </c>
      <c r="Y122" s="35" t="str">
        <f>G!BF94</f>
        <v/>
      </c>
      <c r="Z122" s="35" t="str">
        <f>G!BG94</f>
        <v/>
      </c>
      <c r="AA122" s="44"/>
      <c r="AE122" s="72">
        <f t="shared" si="3"/>
        <v>1</v>
      </c>
    </row>
    <row r="123" spans="1:31" ht="9" hidden="1" customHeight="1" x14ac:dyDescent="0.15">
      <c r="A123" s="195" t="str">
        <f>F!A95</f>
        <v>Tribroommethaan</v>
      </c>
      <c r="B123" s="195"/>
      <c r="C123" s="195"/>
      <c r="D123" s="44" t="str">
        <f>G!AQ95</f>
        <v/>
      </c>
      <c r="E123" s="44" t="str">
        <f>G!AP95</f>
        <v>--</v>
      </c>
      <c r="G123" s="35" t="str">
        <f>G!AS95</f>
        <v/>
      </c>
      <c r="H123" s="44" t="str">
        <f>G!AR95</f>
        <v>--</v>
      </c>
      <c r="I123" s="35" t="str">
        <f>G!AT95</f>
        <v/>
      </c>
      <c r="J123" s="35" t="str">
        <f>G!AU95</f>
        <v/>
      </c>
      <c r="L123" s="44" t="str">
        <f>G!AW95</f>
        <v/>
      </c>
      <c r="M123" s="44" t="str">
        <f>G!AV95</f>
        <v>--</v>
      </c>
      <c r="O123" s="35" t="str">
        <f>G!AY95</f>
        <v/>
      </c>
      <c r="P123" s="44" t="str">
        <f>G!AX95</f>
        <v>--</v>
      </c>
      <c r="Q123" s="35" t="str">
        <f>G!AZ95</f>
        <v/>
      </c>
      <c r="R123" s="35" t="str">
        <f>G!BA95</f>
        <v/>
      </c>
      <c r="T123" s="44" t="str">
        <f>G!BC95</f>
        <v/>
      </c>
      <c r="U123" s="44" t="str">
        <f>G!BB95</f>
        <v>--</v>
      </c>
      <c r="V123" s="44"/>
      <c r="W123" s="35" t="str">
        <f>G!BE95</f>
        <v/>
      </c>
      <c r="X123" s="44" t="str">
        <f>G!BD95</f>
        <v>--</v>
      </c>
      <c r="Y123" s="35" t="str">
        <f>G!BF95</f>
        <v/>
      </c>
      <c r="Z123" s="35" t="str">
        <f>G!BG95</f>
        <v/>
      </c>
      <c r="AA123" s="44"/>
      <c r="AE123" s="72">
        <f t="shared" si="3"/>
        <v>1</v>
      </c>
    </row>
    <row r="124" spans="1:31" ht="9" hidden="1" customHeight="1" x14ac:dyDescent="0.15">
      <c r="A124" s="195" t="str">
        <f>F!A96</f>
        <v>1,2-Dibroommethaan</v>
      </c>
      <c r="B124" s="195"/>
      <c r="C124" s="195"/>
      <c r="D124" s="44" t="str">
        <f>G!AQ96</f>
        <v/>
      </c>
      <c r="E124" s="44" t="str">
        <f>G!AP96</f>
        <v>--</v>
      </c>
      <c r="G124" s="35" t="str">
        <f>G!AS96</f>
        <v/>
      </c>
      <c r="H124" s="44" t="str">
        <f>G!AR96</f>
        <v>--</v>
      </c>
      <c r="I124" s="35" t="str">
        <f>G!AT96</f>
        <v/>
      </c>
      <c r="J124" s="35" t="str">
        <f>G!AU96</f>
        <v/>
      </c>
      <c r="L124" s="44" t="str">
        <f>G!AW96</f>
        <v/>
      </c>
      <c r="M124" s="44" t="str">
        <f>G!AV96</f>
        <v>--</v>
      </c>
      <c r="O124" s="35" t="str">
        <f>G!AY96</f>
        <v/>
      </c>
      <c r="P124" s="44" t="str">
        <f>G!AX96</f>
        <v>--</v>
      </c>
      <c r="Q124" s="35" t="str">
        <f>G!AZ96</f>
        <v/>
      </c>
      <c r="R124" s="35" t="str">
        <f>G!BA96</f>
        <v/>
      </c>
      <c r="T124" s="44" t="str">
        <f>G!BC96</f>
        <v/>
      </c>
      <c r="U124" s="44" t="str">
        <f>G!BB96</f>
        <v>--</v>
      </c>
      <c r="V124" s="44"/>
      <c r="W124" s="35" t="str">
        <f>G!BE96</f>
        <v/>
      </c>
      <c r="X124" s="44" t="str">
        <f>G!BD96</f>
        <v>--</v>
      </c>
      <c r="Y124" s="35" t="str">
        <f>G!BF96</f>
        <v/>
      </c>
      <c r="Z124" s="35" t="str">
        <f>G!BG96</f>
        <v/>
      </c>
      <c r="AA124" s="44"/>
      <c r="AE124" s="72">
        <f t="shared" si="3"/>
        <v>1</v>
      </c>
    </row>
    <row r="125" spans="1:31" ht="9" hidden="1" customHeight="1" x14ac:dyDescent="0.15">
      <c r="A125" s="195" t="str">
        <f>F!A97</f>
        <v>Dibroommethaan</v>
      </c>
      <c r="B125" s="195"/>
      <c r="C125" s="195"/>
      <c r="D125" s="44" t="str">
        <f>G!AQ97</f>
        <v/>
      </c>
      <c r="E125" s="44" t="str">
        <f>G!AP97</f>
        <v>--</v>
      </c>
      <c r="G125" s="35" t="str">
        <f>G!AS97</f>
        <v/>
      </c>
      <c r="H125" s="44" t="str">
        <f>G!AR97</f>
        <v>--</v>
      </c>
      <c r="I125" s="35" t="str">
        <f>G!AT97</f>
        <v/>
      </c>
      <c r="J125" s="35" t="str">
        <f>G!AU97</f>
        <v/>
      </c>
      <c r="L125" s="44" t="str">
        <f>G!AW97</f>
        <v/>
      </c>
      <c r="M125" s="44" t="str">
        <f>G!AV97</f>
        <v>--</v>
      </c>
      <c r="O125" s="35" t="str">
        <f>G!AY97</f>
        <v/>
      </c>
      <c r="P125" s="44" t="str">
        <f>G!AX97</f>
        <v>--</v>
      </c>
      <c r="Q125" s="35" t="str">
        <f>G!AZ97</f>
        <v/>
      </c>
      <c r="R125" s="35" t="str">
        <f>G!BA97</f>
        <v/>
      </c>
      <c r="T125" s="44" t="str">
        <f>G!BC97</f>
        <v/>
      </c>
      <c r="U125" s="44" t="str">
        <f>G!BB97</f>
        <v>--</v>
      </c>
      <c r="V125" s="44"/>
      <c r="W125" s="35" t="str">
        <f>G!BE97</f>
        <v/>
      </c>
      <c r="X125" s="44" t="str">
        <f>G!BD97</f>
        <v>--</v>
      </c>
      <c r="Y125" s="35" t="str">
        <f>G!BF97</f>
        <v/>
      </c>
      <c r="Z125" s="35" t="str">
        <f>G!BG97</f>
        <v/>
      </c>
      <c r="AA125" s="44"/>
      <c r="AE125" s="72">
        <f t="shared" si="3"/>
        <v>1</v>
      </c>
    </row>
    <row r="126" spans="1:31" ht="9" hidden="1" customHeight="1" x14ac:dyDescent="0.15">
      <c r="A126" s="195" t="str">
        <f>F!A98</f>
        <v>Broombenzeen</v>
      </c>
      <c r="B126" s="195"/>
      <c r="C126" s="195"/>
      <c r="D126" s="44" t="str">
        <f>G!AQ98</f>
        <v/>
      </c>
      <c r="E126" s="44" t="str">
        <f>G!AP98</f>
        <v>--</v>
      </c>
      <c r="G126" s="35" t="str">
        <f>G!AS98</f>
        <v/>
      </c>
      <c r="H126" s="44" t="str">
        <f>G!AR98</f>
        <v>--</v>
      </c>
      <c r="I126" s="35" t="str">
        <f>G!AT98</f>
        <v/>
      </c>
      <c r="J126" s="35" t="str">
        <f>G!AU98</f>
        <v/>
      </c>
      <c r="L126" s="44" t="str">
        <f>G!AW98</f>
        <v/>
      </c>
      <c r="M126" s="44" t="str">
        <f>G!AV98</f>
        <v>--</v>
      </c>
      <c r="O126" s="35" t="str">
        <f>G!AY98</f>
        <v/>
      </c>
      <c r="P126" s="44" t="str">
        <f>G!AX98</f>
        <v>--</v>
      </c>
      <c r="Q126" s="35" t="str">
        <f>G!AZ98</f>
        <v/>
      </c>
      <c r="R126" s="35" t="str">
        <f>G!BA98</f>
        <v/>
      </c>
      <c r="T126" s="44" t="str">
        <f>G!BC98</f>
        <v/>
      </c>
      <c r="U126" s="44" t="str">
        <f>G!BB98</f>
        <v>--</v>
      </c>
      <c r="V126" s="44"/>
      <c r="W126" s="35" t="str">
        <f>G!BE98</f>
        <v/>
      </c>
      <c r="X126" s="44" t="str">
        <f>G!BD98</f>
        <v>--</v>
      </c>
      <c r="Y126" s="35" t="str">
        <f>G!BF98</f>
        <v/>
      </c>
      <c r="Z126" s="35" t="str">
        <f>G!BG98</f>
        <v/>
      </c>
      <c r="AA126" s="44"/>
      <c r="AE126" s="72">
        <f t="shared" si="3"/>
        <v>1</v>
      </c>
    </row>
    <row r="127" spans="1:31" ht="9" hidden="1" customHeight="1" x14ac:dyDescent="0.15">
      <c r="A127" s="195" t="str">
        <f>F!A99</f>
        <v>1,1,1,2-Tetrachloorethaan</v>
      </c>
      <c r="B127" s="195"/>
      <c r="C127" s="195"/>
      <c r="D127" s="44" t="str">
        <f>G!AQ99</f>
        <v/>
      </c>
      <c r="E127" s="44" t="str">
        <f>G!AP99</f>
        <v>--</v>
      </c>
      <c r="G127" s="35" t="str">
        <f>G!AS99</f>
        <v/>
      </c>
      <c r="H127" s="44" t="str">
        <f>G!AR99</f>
        <v>--</v>
      </c>
      <c r="I127" s="35" t="str">
        <f>G!AT99</f>
        <v/>
      </c>
      <c r="J127" s="35" t="str">
        <f>G!AU99</f>
        <v/>
      </c>
      <c r="L127" s="44" t="str">
        <f>G!AW99</f>
        <v/>
      </c>
      <c r="M127" s="44" t="str">
        <f>G!AV99</f>
        <v>--</v>
      </c>
      <c r="O127" s="35" t="str">
        <f>G!AY99</f>
        <v/>
      </c>
      <c r="P127" s="44" t="str">
        <f>G!AX99</f>
        <v>--</v>
      </c>
      <c r="Q127" s="35" t="str">
        <f>G!AZ99</f>
        <v/>
      </c>
      <c r="R127" s="35" t="str">
        <f>G!BA99</f>
        <v/>
      </c>
      <c r="T127" s="44" t="str">
        <f>G!BC99</f>
        <v/>
      </c>
      <c r="U127" s="44" t="str">
        <f>G!BB99</f>
        <v>--</v>
      </c>
      <c r="V127" s="44"/>
      <c r="W127" s="35" t="str">
        <f>G!BE99</f>
        <v/>
      </c>
      <c r="X127" s="44" t="str">
        <f>G!BD99</f>
        <v>--</v>
      </c>
      <c r="Y127" s="35" t="str">
        <f>G!BF99</f>
        <v/>
      </c>
      <c r="Z127" s="35" t="str">
        <f>G!BG99</f>
        <v/>
      </c>
      <c r="AA127" s="44"/>
      <c r="AE127" s="72">
        <f t="shared" si="3"/>
        <v>1</v>
      </c>
    </row>
    <row r="128" spans="1:31" ht="9" hidden="1" customHeight="1" x14ac:dyDescent="0.15">
      <c r="A128" s="195" t="str">
        <f>F!A100</f>
        <v>1,1,2,2-Tetrachloorethaan</v>
      </c>
      <c r="B128" s="195"/>
      <c r="C128" s="195"/>
      <c r="D128" s="44" t="str">
        <f>G!AQ100</f>
        <v/>
      </c>
      <c r="E128" s="44" t="str">
        <f>G!AP100</f>
        <v>--</v>
      </c>
      <c r="G128" s="35" t="str">
        <f>G!AS100</f>
        <v/>
      </c>
      <c r="H128" s="44" t="str">
        <f>G!AR100</f>
        <v>--</v>
      </c>
      <c r="I128" s="35" t="str">
        <f>G!AT100</f>
        <v/>
      </c>
      <c r="J128" s="35" t="str">
        <f>G!AU100</f>
        <v/>
      </c>
      <c r="L128" s="44" t="str">
        <f>G!AW100</f>
        <v/>
      </c>
      <c r="M128" s="44" t="str">
        <f>G!AV100</f>
        <v>--</v>
      </c>
      <c r="O128" s="35" t="str">
        <f>G!AY100</f>
        <v/>
      </c>
      <c r="P128" s="44" t="str">
        <f>G!AX100</f>
        <v>--</v>
      </c>
      <c r="Q128" s="35" t="str">
        <f>G!AZ100</f>
        <v/>
      </c>
      <c r="R128" s="35" t="str">
        <f>G!BA100</f>
        <v/>
      </c>
      <c r="T128" s="44" t="str">
        <f>G!BC100</f>
        <v/>
      </c>
      <c r="U128" s="44" t="str">
        <f>G!BB100</f>
        <v>--</v>
      </c>
      <c r="V128" s="44"/>
      <c r="W128" s="35" t="str">
        <f>G!BE100</f>
        <v/>
      </c>
      <c r="X128" s="44" t="str">
        <f>G!BD100</f>
        <v>--</v>
      </c>
      <c r="Y128" s="35" t="str">
        <f>G!BF100</f>
        <v/>
      </c>
      <c r="Z128" s="35" t="str">
        <f>G!BG100</f>
        <v/>
      </c>
      <c r="AA128" s="44"/>
      <c r="AE128" s="72">
        <f t="shared" si="3"/>
        <v>1</v>
      </c>
    </row>
    <row r="129" spans="1:31" ht="9" hidden="1" customHeight="1" x14ac:dyDescent="0.15">
      <c r="A129" s="195" t="str">
        <f>F!A101</f>
        <v>2-Chloortolueen</v>
      </c>
      <c r="B129" s="195"/>
      <c r="C129" s="195"/>
      <c r="D129" s="44" t="str">
        <f>G!AQ101</f>
        <v/>
      </c>
      <c r="E129" s="44" t="str">
        <f>G!AP101</f>
        <v>--</v>
      </c>
      <c r="G129" s="35" t="str">
        <f>G!AS101</f>
        <v/>
      </c>
      <c r="H129" s="44" t="str">
        <f>G!AR101</f>
        <v>--</v>
      </c>
      <c r="I129" s="35" t="str">
        <f>G!AT101</f>
        <v/>
      </c>
      <c r="J129" s="35" t="str">
        <f>G!AU101</f>
        <v/>
      </c>
      <c r="L129" s="44" t="str">
        <f>G!AW101</f>
        <v/>
      </c>
      <c r="M129" s="44" t="str">
        <f>G!AV101</f>
        <v>--</v>
      </c>
      <c r="O129" s="35" t="str">
        <f>G!AY101</f>
        <v/>
      </c>
      <c r="P129" s="44" t="str">
        <f>G!AX101</f>
        <v>--</v>
      </c>
      <c r="Q129" s="35" t="str">
        <f>G!AZ101</f>
        <v/>
      </c>
      <c r="R129" s="35" t="str">
        <f>G!BA101</f>
        <v/>
      </c>
      <c r="T129" s="44" t="str">
        <f>G!BC101</f>
        <v/>
      </c>
      <c r="U129" s="44" t="str">
        <f>G!BB101</f>
        <v>--</v>
      </c>
      <c r="V129" s="44"/>
      <c r="W129" s="35" t="str">
        <f>G!BE101</f>
        <v/>
      </c>
      <c r="X129" s="44" t="str">
        <f>G!BD101</f>
        <v>--</v>
      </c>
      <c r="Y129" s="35" t="str">
        <f>G!BF101</f>
        <v/>
      </c>
      <c r="Z129" s="35" t="str">
        <f>G!BG101</f>
        <v/>
      </c>
      <c r="AA129" s="44"/>
      <c r="AE129" s="72">
        <f t="shared" si="3"/>
        <v>1</v>
      </c>
    </row>
    <row r="130" spans="1:31" ht="9" hidden="1" customHeight="1" x14ac:dyDescent="0.15">
      <c r="A130" s="195" t="str">
        <f>F!A102</f>
        <v>4-Chloortolueen</v>
      </c>
      <c r="B130" s="195"/>
      <c r="C130" s="195"/>
      <c r="D130" s="44" t="str">
        <f>G!AQ102</f>
        <v/>
      </c>
      <c r="E130" s="44" t="str">
        <f>G!AP102</f>
        <v>--</v>
      </c>
      <c r="G130" s="35" t="str">
        <f>G!AS102</f>
        <v/>
      </c>
      <c r="H130" s="44" t="str">
        <f>G!AR102</f>
        <v>--</v>
      </c>
      <c r="I130" s="35" t="str">
        <f>G!AT102</f>
        <v/>
      </c>
      <c r="J130" s="35" t="str">
        <f>G!AU102</f>
        <v/>
      </c>
      <c r="L130" s="44" t="str">
        <f>G!AW102</f>
        <v/>
      </c>
      <c r="M130" s="44" t="str">
        <f>G!AV102</f>
        <v>--</v>
      </c>
      <c r="O130" s="35" t="str">
        <f>G!AY102</f>
        <v/>
      </c>
      <c r="P130" s="44" t="str">
        <f>G!AX102</f>
        <v>--</v>
      </c>
      <c r="Q130" s="35" t="str">
        <f>G!AZ102</f>
        <v/>
      </c>
      <c r="R130" s="35" t="str">
        <f>G!BA102</f>
        <v/>
      </c>
      <c r="T130" s="44" t="str">
        <f>G!BC102</f>
        <v/>
      </c>
      <c r="U130" s="44" t="str">
        <f>G!BB102</f>
        <v>--</v>
      </c>
      <c r="V130" s="44"/>
      <c r="W130" s="35" t="str">
        <f>G!BE102</f>
        <v/>
      </c>
      <c r="X130" s="44" t="str">
        <f>G!BD102</f>
        <v>--</v>
      </c>
      <c r="Y130" s="35" t="str">
        <f>G!BF102</f>
        <v/>
      </c>
      <c r="Z130" s="35" t="str">
        <f>G!BG102</f>
        <v/>
      </c>
      <c r="AA130" s="44"/>
      <c r="AE130" s="72">
        <f t="shared" si="3"/>
        <v>1</v>
      </c>
    </row>
    <row r="131" spans="1:31" ht="9" hidden="1" customHeight="1" x14ac:dyDescent="0.15">
      <c r="A131" s="195" t="str">
        <f>F!A103</f>
        <v>Trichloorfluormethaan</v>
      </c>
      <c r="B131" s="195"/>
      <c r="C131" s="195"/>
      <c r="D131" s="44" t="str">
        <f>G!AQ103</f>
        <v/>
      </c>
      <c r="E131" s="44" t="str">
        <f>G!AP103</f>
        <v>--</v>
      </c>
      <c r="G131" s="35" t="str">
        <f>G!AS103</f>
        <v/>
      </c>
      <c r="H131" s="44" t="str">
        <f>G!AR103</f>
        <v>--</v>
      </c>
      <c r="I131" s="35" t="str">
        <f>G!AT103</f>
        <v/>
      </c>
      <c r="J131" s="35" t="str">
        <f>G!AU103</f>
        <v/>
      </c>
      <c r="L131" s="44" t="str">
        <f>G!AW103</f>
        <v/>
      </c>
      <c r="M131" s="44" t="str">
        <f>G!AV103</f>
        <v>--</v>
      </c>
      <c r="O131" s="35" t="str">
        <f>G!AY103</f>
        <v/>
      </c>
      <c r="P131" s="44" t="str">
        <f>G!AX103</f>
        <v>--</v>
      </c>
      <c r="Q131" s="35" t="str">
        <f>G!AZ103</f>
        <v/>
      </c>
      <c r="R131" s="35" t="str">
        <f>G!BA103</f>
        <v/>
      </c>
      <c r="T131" s="44" t="str">
        <f>G!BC103</f>
        <v/>
      </c>
      <c r="U131" s="44" t="str">
        <f>G!BB103</f>
        <v>--</v>
      </c>
      <c r="V131" s="44"/>
      <c r="W131" s="35" t="str">
        <f>G!BE103</f>
        <v/>
      </c>
      <c r="X131" s="44" t="str">
        <f>G!BD103</f>
        <v>--</v>
      </c>
      <c r="Y131" s="35" t="str">
        <f>G!BF103</f>
        <v/>
      </c>
      <c r="Z131" s="35" t="str">
        <f>G!BG103</f>
        <v/>
      </c>
      <c r="AA131" s="44"/>
      <c r="AE131" s="72">
        <f t="shared" si="3"/>
        <v>1</v>
      </c>
    </row>
    <row r="132" spans="1:31" ht="9" hidden="1" customHeight="1" x14ac:dyDescent="0.15">
      <c r="A132" s="195" t="str">
        <f>F!A104</f>
        <v>Dichloorfluormethaan</v>
      </c>
      <c r="B132" s="195"/>
      <c r="C132" s="195"/>
      <c r="D132" s="44" t="str">
        <f>G!AQ104</f>
        <v/>
      </c>
      <c r="E132" s="44" t="str">
        <f>G!AP104</f>
        <v>--</v>
      </c>
      <c r="G132" s="35" t="str">
        <f>G!AS104</f>
        <v/>
      </c>
      <c r="H132" s="44" t="str">
        <f>G!AR104</f>
        <v>--</v>
      </c>
      <c r="I132" s="35" t="str">
        <f>G!AT104</f>
        <v/>
      </c>
      <c r="J132" s="35" t="str">
        <f>G!AU104</f>
        <v/>
      </c>
      <c r="L132" s="44" t="str">
        <f>G!AW104</f>
        <v/>
      </c>
      <c r="M132" s="44" t="str">
        <f>G!AV104</f>
        <v>--</v>
      </c>
      <c r="O132" s="35" t="str">
        <f>G!AY104</f>
        <v/>
      </c>
      <c r="P132" s="44" t="str">
        <f>G!AX104</f>
        <v>--</v>
      </c>
      <c r="Q132" s="35" t="str">
        <f>G!AZ104</f>
        <v/>
      </c>
      <c r="R132" s="35" t="str">
        <f>G!BA104</f>
        <v/>
      </c>
      <c r="T132" s="44" t="str">
        <f>G!BC104</f>
        <v/>
      </c>
      <c r="U132" s="44" t="str">
        <f>G!BB104</f>
        <v>--</v>
      </c>
      <c r="V132" s="44"/>
      <c r="W132" s="35" t="str">
        <f>G!BE104</f>
        <v/>
      </c>
      <c r="X132" s="44" t="str">
        <f>G!BD104</f>
        <v>--</v>
      </c>
      <c r="Y132" s="35" t="str">
        <f>G!BF104</f>
        <v/>
      </c>
      <c r="Z132" s="35" t="str">
        <f>G!BG104</f>
        <v/>
      </c>
      <c r="AA132" s="44"/>
      <c r="AE132" s="72">
        <f t="shared" si="3"/>
        <v>1</v>
      </c>
    </row>
    <row r="133" spans="1:31" ht="9" hidden="1" customHeight="1" x14ac:dyDescent="0.15">
      <c r="A133" s="195" t="str">
        <f>F!A105</f>
        <v>Chloorethaan</v>
      </c>
      <c r="B133" s="195"/>
      <c r="C133" s="195"/>
      <c r="D133" s="44" t="str">
        <f>G!AQ105</f>
        <v/>
      </c>
      <c r="E133" s="44" t="str">
        <f>G!AP105</f>
        <v>--</v>
      </c>
      <c r="G133" s="35" t="str">
        <f>G!AS105</f>
        <v/>
      </c>
      <c r="H133" s="44" t="str">
        <f>G!AR105</f>
        <v>--</v>
      </c>
      <c r="I133" s="35" t="str">
        <f>G!AT105</f>
        <v/>
      </c>
      <c r="J133" s="35" t="str">
        <f>G!AU105</f>
        <v/>
      </c>
      <c r="L133" s="44" t="str">
        <f>G!AW105</f>
        <v/>
      </c>
      <c r="M133" s="44" t="str">
        <f>G!AV105</f>
        <v>--</v>
      </c>
      <c r="O133" s="35" t="str">
        <f>G!AY105</f>
        <v/>
      </c>
      <c r="P133" s="44" t="str">
        <f>G!AX105</f>
        <v>--</v>
      </c>
      <c r="Q133" s="35" t="str">
        <f>G!AZ105</f>
        <v/>
      </c>
      <c r="R133" s="35" t="str">
        <f>G!BA105</f>
        <v/>
      </c>
      <c r="T133" s="44" t="str">
        <f>G!BC105</f>
        <v/>
      </c>
      <c r="U133" s="44" t="str">
        <f>G!BB105</f>
        <v>--</v>
      </c>
      <c r="V133" s="44"/>
      <c r="W133" s="35" t="str">
        <f>G!BE105</f>
        <v/>
      </c>
      <c r="X133" s="44" t="str">
        <f>G!BD105</f>
        <v>--</v>
      </c>
      <c r="Y133" s="35" t="str">
        <f>G!BF105</f>
        <v/>
      </c>
      <c r="Z133" s="35" t="str">
        <f>G!BG105</f>
        <v/>
      </c>
      <c r="AA133" s="44"/>
      <c r="AE133" s="72">
        <f t="shared" si="3"/>
        <v>1</v>
      </c>
    </row>
    <row r="134" spans="1:31" ht="9" hidden="1" customHeight="1" x14ac:dyDescent="0.15">
      <c r="A134" s="195" t="str">
        <f>F!A106</f>
        <v>Chloormethaan</v>
      </c>
      <c r="B134" s="195"/>
      <c r="C134" s="195"/>
      <c r="D134" s="44" t="str">
        <f>G!AQ106</f>
        <v/>
      </c>
      <c r="E134" s="44" t="str">
        <f>G!AP106</f>
        <v>--</v>
      </c>
      <c r="G134" s="35" t="str">
        <f>G!AS106</f>
        <v/>
      </c>
      <c r="H134" s="44" t="str">
        <f>G!AR106</f>
        <v>--</v>
      </c>
      <c r="I134" s="35" t="str">
        <f>G!AT106</f>
        <v/>
      </c>
      <c r="J134" s="35" t="str">
        <f>G!AU106</f>
        <v/>
      </c>
      <c r="L134" s="44" t="str">
        <f>G!AW106</f>
        <v/>
      </c>
      <c r="M134" s="44" t="str">
        <f>G!AV106</f>
        <v>--</v>
      </c>
      <c r="O134" s="35" t="str">
        <f>G!AY106</f>
        <v/>
      </c>
      <c r="P134" s="44" t="str">
        <f>G!AX106</f>
        <v>--</v>
      </c>
      <c r="Q134" s="35" t="str">
        <f>G!AZ106</f>
        <v/>
      </c>
      <c r="R134" s="35" t="str">
        <f>G!BA106</f>
        <v/>
      </c>
      <c r="T134" s="44" t="str">
        <f>G!BC106</f>
        <v/>
      </c>
      <c r="U134" s="44" t="str">
        <f>G!BB106</f>
        <v>--</v>
      </c>
      <c r="V134" s="44"/>
      <c r="W134" s="35" t="str">
        <f>G!BE106</f>
        <v/>
      </c>
      <c r="X134" s="44" t="str">
        <f>G!BD106</f>
        <v>--</v>
      </c>
      <c r="Y134" s="35" t="str">
        <f>G!BF106</f>
        <v/>
      </c>
      <c r="Z134" s="35" t="str">
        <f>G!BG106</f>
        <v/>
      </c>
      <c r="AA134" s="44"/>
      <c r="AE134" s="72">
        <f t="shared" si="3"/>
        <v>1</v>
      </c>
    </row>
    <row r="135" spans="1:31" ht="9" hidden="1" customHeight="1" x14ac:dyDescent="0.15">
      <c r="A135" s="195" t="str">
        <f>F!A107</f>
        <v>Broommethaan</v>
      </c>
      <c r="B135" s="195"/>
      <c r="C135" s="195"/>
      <c r="D135" s="44" t="str">
        <f>G!AQ107</f>
        <v/>
      </c>
      <c r="E135" s="44" t="str">
        <f>G!AP107</f>
        <v>--</v>
      </c>
      <c r="G135" s="35" t="str">
        <f>G!AS107</f>
        <v/>
      </c>
      <c r="H135" s="44" t="str">
        <f>G!AR107</f>
        <v>--</v>
      </c>
      <c r="I135" s="35" t="str">
        <f>G!AT107</f>
        <v/>
      </c>
      <c r="J135" s="35" t="str">
        <f>G!AU107</f>
        <v/>
      </c>
      <c r="L135" s="44" t="str">
        <f>G!AW107</f>
        <v/>
      </c>
      <c r="M135" s="44" t="str">
        <f>G!AV107</f>
        <v>--</v>
      </c>
      <c r="O135" s="35" t="str">
        <f>G!AY107</f>
        <v/>
      </c>
      <c r="P135" s="44" t="str">
        <f>G!AX107</f>
        <v>--</v>
      </c>
      <c r="Q135" s="35" t="str">
        <f>G!AZ107</f>
        <v/>
      </c>
      <c r="R135" s="35" t="str">
        <f>G!BA107</f>
        <v/>
      </c>
      <c r="T135" s="44" t="str">
        <f>G!BC107</f>
        <v/>
      </c>
      <c r="U135" s="44" t="str">
        <f>G!BB107</f>
        <v>--</v>
      </c>
      <c r="V135" s="44"/>
      <c r="W135" s="35" t="str">
        <f>G!BE107</f>
        <v/>
      </c>
      <c r="X135" s="44" t="str">
        <f>G!BD107</f>
        <v>--</v>
      </c>
      <c r="Y135" s="35" t="str">
        <f>G!BF107</f>
        <v/>
      </c>
      <c r="Z135" s="35" t="str">
        <f>G!BG107</f>
        <v/>
      </c>
      <c r="AA135" s="44"/>
      <c r="AE135" s="72">
        <f t="shared" si="3"/>
        <v>1</v>
      </c>
    </row>
    <row r="136" spans="1:31" ht="3.95" hidden="1" customHeight="1" x14ac:dyDescent="0.15">
      <c r="A136" s="41"/>
      <c r="B136" s="41"/>
      <c r="C136" s="41"/>
      <c r="D136" s="44"/>
      <c r="E136" s="44"/>
      <c r="H136" s="44"/>
      <c r="L136" s="44"/>
      <c r="M136" s="44"/>
      <c r="P136" s="44"/>
      <c r="T136" s="44"/>
      <c r="U136" s="44"/>
      <c r="V136" s="44"/>
      <c r="X136" s="44"/>
      <c r="Z136" s="44"/>
      <c r="AA136" s="44"/>
      <c r="AE136" s="94">
        <f>AE137</f>
        <v>1</v>
      </c>
    </row>
    <row r="137" spans="1:31" ht="9" hidden="1" customHeight="1" x14ac:dyDescent="0.15">
      <c r="A137" s="198" t="str">
        <f>IF(COUNTIF(F!D108:D123,131)&gt;0,"Chloorbenzenen (µg/kgds)","Chloorbenzenen (mg/kgds)")</f>
        <v>Chloorbenzenen (mg/kgds)</v>
      </c>
      <c r="B137" s="198"/>
      <c r="C137" s="198"/>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98"/>
      <c r="AE137" s="94">
        <f>IF(COUNTIF(AE138:AE153,1)=COUNT(AE138:AE153),1,0)</f>
        <v>1</v>
      </c>
    </row>
    <row r="138" spans="1:31" ht="9" hidden="1" customHeight="1" x14ac:dyDescent="0.15">
      <c r="A138" s="195" t="str">
        <f>F!A108</f>
        <v>Monochloorbenzeen</v>
      </c>
      <c r="B138" s="195"/>
      <c r="C138" s="195"/>
      <c r="D138" s="44" t="str">
        <f>G!AQ108</f>
        <v/>
      </c>
      <c r="E138" s="44" t="str">
        <f>G!AP108</f>
        <v>--</v>
      </c>
      <c r="G138" s="35" t="str">
        <f>G!AS108</f>
        <v/>
      </c>
      <c r="H138" s="44" t="str">
        <f>G!AR108</f>
        <v>--</v>
      </c>
      <c r="I138" s="35" t="str">
        <f>G!AT108</f>
        <v/>
      </c>
      <c r="J138" s="35" t="str">
        <f>G!AU108</f>
        <v/>
      </c>
      <c r="L138" s="44" t="str">
        <f>G!AW108</f>
        <v/>
      </c>
      <c r="M138" s="44" t="str">
        <f>G!AV108</f>
        <v>--</v>
      </c>
      <c r="O138" s="35" t="str">
        <f>G!AY108</f>
        <v/>
      </c>
      <c r="P138" s="44" t="str">
        <f>G!AX108</f>
        <v>--</v>
      </c>
      <c r="Q138" s="35" t="str">
        <f>G!AZ108</f>
        <v/>
      </c>
      <c r="R138" s="35" t="str">
        <f>G!BA108</f>
        <v/>
      </c>
      <c r="T138" s="44" t="str">
        <f>G!BC108</f>
        <v/>
      </c>
      <c r="U138" s="44" t="str">
        <f>G!BB108</f>
        <v>--</v>
      </c>
      <c r="V138" s="44"/>
      <c r="W138" s="35" t="str">
        <f>G!BE108</f>
        <v/>
      </c>
      <c r="X138" s="44" t="str">
        <f>G!BD108</f>
        <v>--</v>
      </c>
      <c r="Y138" s="35" t="str">
        <f>G!BF108</f>
        <v/>
      </c>
      <c r="Z138" s="35" t="str">
        <f>G!BG108</f>
        <v/>
      </c>
      <c r="AA138" s="44"/>
      <c r="AE138" s="72">
        <f t="shared" si="3"/>
        <v>1</v>
      </c>
    </row>
    <row r="139" spans="1:31" ht="9" hidden="1" customHeight="1" x14ac:dyDescent="0.15">
      <c r="A139" s="195" t="str">
        <f>F!A109</f>
        <v>1,2-Dichloorbenzeen</v>
      </c>
      <c r="B139" s="195"/>
      <c r="C139" s="195"/>
      <c r="D139" s="44" t="str">
        <f>G!AQ109</f>
        <v/>
      </c>
      <c r="E139" s="44" t="str">
        <f>G!AP109</f>
        <v>--</v>
      </c>
      <c r="G139" s="35" t="str">
        <f>G!AS109</f>
        <v/>
      </c>
      <c r="H139" s="44" t="str">
        <f>G!AR109</f>
        <v>--</v>
      </c>
      <c r="I139" s="35" t="str">
        <f>G!AT109</f>
        <v/>
      </c>
      <c r="J139" s="35" t="str">
        <f>G!AU109</f>
        <v/>
      </c>
      <c r="L139" s="44" t="str">
        <f>G!AW109</f>
        <v/>
      </c>
      <c r="M139" s="44" t="str">
        <f>G!AV109</f>
        <v>--</v>
      </c>
      <c r="O139" s="35" t="str">
        <f>G!AY109</f>
        <v/>
      </c>
      <c r="P139" s="44" t="str">
        <f>G!AX109</f>
        <v>--</v>
      </c>
      <c r="Q139" s="35" t="str">
        <f>G!AZ109</f>
        <v/>
      </c>
      <c r="R139" s="35" t="str">
        <f>G!BA109</f>
        <v/>
      </c>
      <c r="T139" s="44" t="str">
        <f>G!BC109</f>
        <v/>
      </c>
      <c r="U139" s="44" t="str">
        <f>G!BB109</f>
        <v>--</v>
      </c>
      <c r="V139" s="44"/>
      <c r="W139" s="35" t="str">
        <f>G!BE109</f>
        <v/>
      </c>
      <c r="X139" s="44" t="str">
        <f>G!BD109</f>
        <v>--</v>
      </c>
      <c r="Y139" s="35" t="str">
        <f>G!BF109</f>
        <v/>
      </c>
      <c r="Z139" s="35" t="str">
        <f>G!BG109</f>
        <v/>
      </c>
      <c r="AA139" s="44"/>
      <c r="AE139" s="72">
        <f t="shared" si="3"/>
        <v>1</v>
      </c>
    </row>
    <row r="140" spans="1:31" ht="9" hidden="1" customHeight="1" x14ac:dyDescent="0.15">
      <c r="A140" s="195" t="str">
        <f>F!A110</f>
        <v>1,3-Dichloorbenzeen</v>
      </c>
      <c r="B140" s="195"/>
      <c r="C140" s="195"/>
      <c r="D140" s="44" t="str">
        <f>G!AQ110</f>
        <v/>
      </c>
      <c r="E140" s="44" t="str">
        <f>G!AP110</f>
        <v>--</v>
      </c>
      <c r="G140" s="35" t="str">
        <f>G!AS110</f>
        <v/>
      </c>
      <c r="H140" s="44" t="str">
        <f>G!AR110</f>
        <v>--</v>
      </c>
      <c r="I140" s="35" t="str">
        <f>G!AT110</f>
        <v/>
      </c>
      <c r="J140" s="35" t="str">
        <f>G!AU110</f>
        <v/>
      </c>
      <c r="L140" s="44" t="str">
        <f>G!AW110</f>
        <v/>
      </c>
      <c r="M140" s="44" t="str">
        <f>G!AV110</f>
        <v>--</v>
      </c>
      <c r="O140" s="35" t="str">
        <f>G!AY110</f>
        <v/>
      </c>
      <c r="P140" s="44" t="str">
        <f>G!AX110</f>
        <v>--</v>
      </c>
      <c r="Q140" s="35" t="str">
        <f>G!AZ110</f>
        <v/>
      </c>
      <c r="R140" s="35" t="str">
        <f>G!BA110</f>
        <v/>
      </c>
      <c r="T140" s="44" t="str">
        <f>G!BC110</f>
        <v/>
      </c>
      <c r="U140" s="44" t="str">
        <f>G!BB110</f>
        <v>--</v>
      </c>
      <c r="V140" s="44"/>
      <c r="W140" s="35" t="str">
        <f>G!BE110</f>
        <v/>
      </c>
      <c r="X140" s="44" t="str">
        <f>G!BD110</f>
        <v>--</v>
      </c>
      <c r="Y140" s="35" t="str">
        <f>G!BF110</f>
        <v/>
      </c>
      <c r="Z140" s="35" t="str">
        <f>G!BG110</f>
        <v/>
      </c>
      <c r="AA140" s="44"/>
      <c r="AE140" s="72">
        <f t="shared" si="3"/>
        <v>1</v>
      </c>
    </row>
    <row r="141" spans="1:31" ht="9" hidden="1" customHeight="1" x14ac:dyDescent="0.15">
      <c r="A141" s="195" t="str">
        <f>F!A111</f>
        <v>1,4-Dichloorbenzeen</v>
      </c>
      <c r="B141" s="195"/>
      <c r="C141" s="195"/>
      <c r="D141" s="44" t="str">
        <f>G!AQ111</f>
        <v/>
      </c>
      <c r="E141" s="44" t="str">
        <f>G!AP111</f>
        <v>--</v>
      </c>
      <c r="G141" s="35" t="str">
        <f>G!AS111</f>
        <v/>
      </c>
      <c r="H141" s="44" t="str">
        <f>G!AR111</f>
        <v>--</v>
      </c>
      <c r="I141" s="35" t="str">
        <f>G!AT111</f>
        <v/>
      </c>
      <c r="J141" s="35" t="str">
        <f>G!AU111</f>
        <v/>
      </c>
      <c r="L141" s="44" t="str">
        <f>G!AW111</f>
        <v/>
      </c>
      <c r="M141" s="44" t="str">
        <f>G!AV111</f>
        <v>--</v>
      </c>
      <c r="O141" s="35" t="str">
        <f>G!AY111</f>
        <v/>
      </c>
      <c r="P141" s="44" t="str">
        <f>G!AX111</f>
        <v>--</v>
      </c>
      <c r="Q141" s="35" t="str">
        <f>G!AZ111</f>
        <v/>
      </c>
      <c r="R141" s="35" t="str">
        <f>G!BA111</f>
        <v/>
      </c>
      <c r="T141" s="44" t="str">
        <f>G!BC111</f>
        <v/>
      </c>
      <c r="U141" s="44" t="str">
        <f>G!BB111</f>
        <v>--</v>
      </c>
      <c r="V141" s="44"/>
      <c r="W141" s="35" t="str">
        <f>G!BE111</f>
        <v/>
      </c>
      <c r="X141" s="44" t="str">
        <f>G!BD111</f>
        <v>--</v>
      </c>
      <c r="Y141" s="35" t="str">
        <f>G!BF111</f>
        <v/>
      </c>
      <c r="Z141" s="35" t="str">
        <f>G!BG111</f>
        <v/>
      </c>
      <c r="AA141" s="44"/>
      <c r="AE141" s="72">
        <f t="shared" ref="AE141:AE146" si="4">IF(AND(E141="--",M141="--",U141="--"),1,0)</f>
        <v>1</v>
      </c>
    </row>
    <row r="142" spans="1:31" ht="9" hidden="1" customHeight="1" x14ac:dyDescent="0.15">
      <c r="A142" s="195" t="str">
        <f>F!A112</f>
        <v>Dichloorbenzenen (som)</v>
      </c>
      <c r="B142" s="195"/>
      <c r="C142" s="195"/>
      <c r="D142" s="44" t="str">
        <f>G!AQ112</f>
        <v/>
      </c>
      <c r="E142" s="44" t="str">
        <f>G!AP112</f>
        <v>--</v>
      </c>
      <c r="G142" s="35" t="str">
        <f>G!AS112</f>
        <v/>
      </c>
      <c r="H142" s="44" t="str">
        <f>G!AR112</f>
        <v>--</v>
      </c>
      <c r="I142" s="35" t="str">
        <f>G!AT112</f>
        <v/>
      </c>
      <c r="J142" s="35" t="str">
        <f>G!AU112</f>
        <v/>
      </c>
      <c r="L142" s="44" t="str">
        <f>G!AW112</f>
        <v/>
      </c>
      <c r="M142" s="44" t="str">
        <f>G!AV112</f>
        <v>--</v>
      </c>
      <c r="O142" s="35" t="str">
        <f>G!AY112</f>
        <v/>
      </c>
      <c r="P142" s="44" t="str">
        <f>G!AX112</f>
        <v>--</v>
      </c>
      <c r="Q142" s="35" t="str">
        <f>G!AZ112</f>
        <v/>
      </c>
      <c r="R142" s="35" t="str">
        <f>G!BA112</f>
        <v/>
      </c>
      <c r="T142" s="44" t="str">
        <f>G!BC112</f>
        <v/>
      </c>
      <c r="U142" s="44" t="str">
        <f>G!BB112</f>
        <v>--</v>
      </c>
      <c r="V142" s="44"/>
      <c r="W142" s="35" t="str">
        <f>G!BE112</f>
        <v/>
      </c>
      <c r="X142" s="44" t="str">
        <f>G!BD112</f>
        <v>--</v>
      </c>
      <c r="Y142" s="35" t="str">
        <f>G!BF112</f>
        <v/>
      </c>
      <c r="Z142" s="35" t="str">
        <f>G!BG112</f>
        <v/>
      </c>
      <c r="AA142" s="44"/>
      <c r="AE142" s="72">
        <f t="shared" si="4"/>
        <v>1</v>
      </c>
    </row>
    <row r="143" spans="1:31" ht="9" hidden="1" customHeight="1" x14ac:dyDescent="0.15">
      <c r="A143" s="195" t="str">
        <f>F!A113</f>
        <v>1,2,3-Trichloorbenzeen</v>
      </c>
      <c r="B143" s="195"/>
      <c r="C143" s="195"/>
      <c r="D143" s="44" t="str">
        <f>G!AQ113</f>
        <v/>
      </c>
      <c r="E143" s="44" t="str">
        <f>G!AP113</f>
        <v>--</v>
      </c>
      <c r="G143" s="35" t="str">
        <f>G!AS113</f>
        <v/>
      </c>
      <c r="H143" s="44" t="str">
        <f>G!AR113</f>
        <v>--</v>
      </c>
      <c r="I143" s="35" t="str">
        <f>G!AT113</f>
        <v/>
      </c>
      <c r="J143" s="35" t="str">
        <f>G!AU113</f>
        <v/>
      </c>
      <c r="L143" s="44" t="str">
        <f>G!AW113</f>
        <v/>
      </c>
      <c r="M143" s="44" t="str">
        <f>G!AV113</f>
        <v>--</v>
      </c>
      <c r="O143" s="35" t="str">
        <f>G!AY113</f>
        <v/>
      </c>
      <c r="P143" s="44" t="str">
        <f>G!AX113</f>
        <v>--</v>
      </c>
      <c r="Q143" s="35" t="str">
        <f>G!AZ113</f>
        <v/>
      </c>
      <c r="R143" s="35" t="str">
        <f>G!BA113</f>
        <v/>
      </c>
      <c r="T143" s="44" t="str">
        <f>G!BC113</f>
        <v/>
      </c>
      <c r="U143" s="44" t="str">
        <f>G!BB113</f>
        <v>--</v>
      </c>
      <c r="V143" s="44"/>
      <c r="W143" s="35" t="str">
        <f>G!BE113</f>
        <v/>
      </c>
      <c r="X143" s="44" t="str">
        <f>G!BD113</f>
        <v>--</v>
      </c>
      <c r="Y143" s="35" t="str">
        <f>G!BF113</f>
        <v/>
      </c>
      <c r="Z143" s="35" t="str">
        <f>G!BG113</f>
        <v/>
      </c>
      <c r="AA143" s="44"/>
      <c r="AE143" s="72">
        <f t="shared" si="4"/>
        <v>1</v>
      </c>
    </row>
    <row r="144" spans="1:31" ht="9" hidden="1" customHeight="1" x14ac:dyDescent="0.15">
      <c r="A144" s="195" t="str">
        <f>F!A114</f>
        <v>1,2,4-Trichloorbenzeen</v>
      </c>
      <c r="B144" s="195"/>
      <c r="C144" s="195"/>
      <c r="D144" s="44" t="str">
        <f>G!AQ114</f>
        <v/>
      </c>
      <c r="E144" s="44" t="str">
        <f>G!AP114</f>
        <v>--</v>
      </c>
      <c r="G144" s="35" t="str">
        <f>G!AS114</f>
        <v/>
      </c>
      <c r="H144" s="44" t="str">
        <f>G!AR114</f>
        <v>--</v>
      </c>
      <c r="I144" s="35" t="str">
        <f>G!AT114</f>
        <v/>
      </c>
      <c r="J144" s="35" t="str">
        <f>G!AU114</f>
        <v/>
      </c>
      <c r="L144" s="44" t="str">
        <f>G!AW114</f>
        <v/>
      </c>
      <c r="M144" s="44" t="str">
        <f>G!AV114</f>
        <v>--</v>
      </c>
      <c r="O144" s="35" t="str">
        <f>G!AY114</f>
        <v/>
      </c>
      <c r="P144" s="44" t="str">
        <f>G!AX114</f>
        <v>--</v>
      </c>
      <c r="Q144" s="35" t="str">
        <f>G!AZ114</f>
        <v/>
      </c>
      <c r="R144" s="35" t="str">
        <f>G!BA114</f>
        <v/>
      </c>
      <c r="T144" s="44" t="str">
        <f>G!BC114</f>
        <v/>
      </c>
      <c r="U144" s="44" t="str">
        <f>G!BB114</f>
        <v>--</v>
      </c>
      <c r="V144" s="44"/>
      <c r="W144" s="35" t="str">
        <f>G!BE114</f>
        <v/>
      </c>
      <c r="X144" s="44" t="str">
        <f>G!BD114</f>
        <v>--</v>
      </c>
      <c r="Y144" s="35" t="str">
        <f>G!BF114</f>
        <v/>
      </c>
      <c r="Z144" s="35" t="str">
        <f>G!BG114</f>
        <v/>
      </c>
      <c r="AA144" s="44"/>
      <c r="AE144" s="72">
        <f t="shared" si="4"/>
        <v>1</v>
      </c>
    </row>
    <row r="145" spans="1:31" ht="9" hidden="1" customHeight="1" x14ac:dyDescent="0.15">
      <c r="A145" s="195" t="str">
        <f>F!A115</f>
        <v>1,3,5-trichloorbenzeen</v>
      </c>
      <c r="B145" s="195"/>
      <c r="C145" s="195"/>
      <c r="D145" s="44" t="str">
        <f>G!AQ115</f>
        <v/>
      </c>
      <c r="E145" s="44" t="str">
        <f>G!AP115</f>
        <v>--</v>
      </c>
      <c r="G145" s="35" t="str">
        <f>G!AS115</f>
        <v/>
      </c>
      <c r="H145" s="44" t="str">
        <f>G!AR115</f>
        <v>--</v>
      </c>
      <c r="I145" s="35" t="str">
        <f>G!AT115</f>
        <v/>
      </c>
      <c r="J145" s="35" t="str">
        <f>G!AU115</f>
        <v/>
      </c>
      <c r="L145" s="44" t="str">
        <f>G!AW115</f>
        <v/>
      </c>
      <c r="M145" s="44" t="str">
        <f>G!AV115</f>
        <v>--</v>
      </c>
      <c r="O145" s="35" t="str">
        <f>G!AY115</f>
        <v/>
      </c>
      <c r="P145" s="44" t="str">
        <f>G!AX115</f>
        <v>--</v>
      </c>
      <c r="Q145" s="35" t="str">
        <f>G!AZ115</f>
        <v/>
      </c>
      <c r="R145" s="35" t="str">
        <f>G!BA115</f>
        <v/>
      </c>
      <c r="T145" s="44" t="str">
        <f>G!BC115</f>
        <v/>
      </c>
      <c r="U145" s="44" t="str">
        <f>G!BB115</f>
        <v>--</v>
      </c>
      <c r="V145" s="44"/>
      <c r="W145" s="35" t="str">
        <f>G!BE115</f>
        <v/>
      </c>
      <c r="X145" s="44" t="str">
        <f>G!BD115</f>
        <v>--</v>
      </c>
      <c r="Y145" s="35" t="str">
        <f>G!BF115</f>
        <v/>
      </c>
      <c r="Z145" s="35" t="str">
        <f>G!BG115</f>
        <v/>
      </c>
      <c r="AA145" s="44"/>
      <c r="AE145" s="72">
        <f t="shared" si="4"/>
        <v>1</v>
      </c>
    </row>
    <row r="146" spans="1:31" ht="9" hidden="1" customHeight="1" x14ac:dyDescent="0.15">
      <c r="A146" s="195" t="str">
        <f>F!A116</f>
        <v>Trichloorbenzenen (som)</v>
      </c>
      <c r="B146" s="195"/>
      <c r="C146" s="195"/>
      <c r="D146" s="44" t="str">
        <f>G!AQ116</f>
        <v/>
      </c>
      <c r="E146" s="44" t="str">
        <f>G!AP116</f>
        <v>--</v>
      </c>
      <c r="G146" s="35" t="str">
        <f>G!AS116</f>
        <v/>
      </c>
      <c r="H146" s="44" t="str">
        <f>G!AR116</f>
        <v>--</v>
      </c>
      <c r="I146" s="35" t="str">
        <f>G!AT116</f>
        <v/>
      </c>
      <c r="J146" s="35" t="str">
        <f>G!AU116</f>
        <v/>
      </c>
      <c r="L146" s="44" t="str">
        <f>G!AW116</f>
        <v/>
      </c>
      <c r="M146" s="44" t="str">
        <f>G!AV116</f>
        <v>--</v>
      </c>
      <c r="O146" s="35" t="str">
        <f>G!AY116</f>
        <v/>
      </c>
      <c r="P146" s="44" t="str">
        <f>G!AX116</f>
        <v>--</v>
      </c>
      <c r="Q146" s="35" t="str">
        <f>G!AZ116</f>
        <v/>
      </c>
      <c r="R146" s="35" t="str">
        <f>G!BA116</f>
        <v/>
      </c>
      <c r="T146" s="44" t="str">
        <f>G!BC116</f>
        <v/>
      </c>
      <c r="U146" s="44" t="str">
        <f>G!BB116</f>
        <v>--</v>
      </c>
      <c r="V146" s="44"/>
      <c r="W146" s="35" t="str">
        <f>G!BE116</f>
        <v/>
      </c>
      <c r="X146" s="44" t="str">
        <f>G!BD116</f>
        <v>--</v>
      </c>
      <c r="Y146" s="35" t="str">
        <f>G!BF116</f>
        <v/>
      </c>
      <c r="Z146" s="35" t="str">
        <f>G!BG116</f>
        <v/>
      </c>
      <c r="AA146" s="44"/>
      <c r="AE146" s="72">
        <f t="shared" si="4"/>
        <v>1</v>
      </c>
    </row>
    <row r="147" spans="1:31" ht="9" hidden="1" customHeight="1" x14ac:dyDescent="0.15">
      <c r="A147" s="195" t="str">
        <f>F!A117</f>
        <v>1,2,3,4-tetrachloorbenzeen</v>
      </c>
      <c r="B147" s="195"/>
      <c r="C147" s="195"/>
      <c r="D147" s="44" t="str">
        <f>G!AQ117</f>
        <v/>
      </c>
      <c r="E147" s="44" t="str">
        <f>G!AP117</f>
        <v>--</v>
      </c>
      <c r="G147" s="35" t="str">
        <f>G!AS117</f>
        <v/>
      </c>
      <c r="H147" s="44" t="str">
        <f>G!AR117</f>
        <v>--</v>
      </c>
      <c r="I147" s="35" t="str">
        <f>G!AT117</f>
        <v/>
      </c>
      <c r="J147" s="35" t="str">
        <f>G!AU117</f>
        <v/>
      </c>
      <c r="L147" s="44" t="str">
        <f>G!AW117</f>
        <v/>
      </c>
      <c r="M147" s="44" t="str">
        <f>G!AV117</f>
        <v>--</v>
      </c>
      <c r="O147" s="35" t="str">
        <f>G!AY117</f>
        <v/>
      </c>
      <c r="P147" s="44" t="str">
        <f>G!AX117</f>
        <v>--</v>
      </c>
      <c r="Q147" s="35" t="str">
        <f>G!AZ117</f>
        <v/>
      </c>
      <c r="R147" s="35" t="str">
        <f>G!BA117</f>
        <v/>
      </c>
      <c r="T147" s="44" t="str">
        <f>G!BC117</f>
        <v/>
      </c>
      <c r="U147" s="44" t="str">
        <f>G!BB117</f>
        <v>--</v>
      </c>
      <c r="V147" s="44"/>
      <c r="W147" s="35" t="str">
        <f>G!BE117</f>
        <v/>
      </c>
      <c r="X147" s="44" t="str">
        <f>G!BD117</f>
        <v>--</v>
      </c>
      <c r="Y147" s="35" t="str">
        <f>G!BF117</f>
        <v/>
      </c>
      <c r="Z147" s="35" t="str">
        <f>G!BG117</f>
        <v/>
      </c>
      <c r="AA147" s="44"/>
      <c r="AE147" s="72">
        <f t="shared" ref="AE147:AE190" si="5">IF(AND(E147="--",M147="--",U147="--"),1,0)</f>
        <v>1</v>
      </c>
    </row>
    <row r="148" spans="1:31" ht="9" hidden="1" customHeight="1" x14ac:dyDescent="0.15">
      <c r="A148" s="195" t="str">
        <f>F!A118</f>
        <v>1,2,3,5-tetrachloorbenzeen</v>
      </c>
      <c r="B148" s="195"/>
      <c r="C148" s="195"/>
      <c r="D148" s="44" t="str">
        <f>G!AQ118</f>
        <v/>
      </c>
      <c r="E148" s="44" t="str">
        <f>G!AP118</f>
        <v>--</v>
      </c>
      <c r="G148" s="35" t="str">
        <f>G!AS118</f>
        <v/>
      </c>
      <c r="H148" s="44" t="str">
        <f>G!AR118</f>
        <v>--</v>
      </c>
      <c r="I148" s="35" t="str">
        <f>G!AT118</f>
        <v/>
      </c>
      <c r="J148" s="35" t="str">
        <f>G!AU118</f>
        <v/>
      </c>
      <c r="L148" s="44" t="str">
        <f>G!AW118</f>
        <v/>
      </c>
      <c r="M148" s="44" t="str">
        <f>G!AV118</f>
        <v>--</v>
      </c>
      <c r="O148" s="35" t="str">
        <f>G!AY118</f>
        <v/>
      </c>
      <c r="P148" s="44" t="str">
        <f>G!AX118</f>
        <v>--</v>
      </c>
      <c r="Q148" s="35" t="str">
        <f>G!AZ118</f>
        <v/>
      </c>
      <c r="R148" s="35" t="str">
        <f>G!BA118</f>
        <v/>
      </c>
      <c r="T148" s="44" t="str">
        <f>G!BC118</f>
        <v/>
      </c>
      <c r="U148" s="44" t="str">
        <f>G!BB118</f>
        <v>--</v>
      </c>
      <c r="V148" s="44"/>
      <c r="W148" s="35" t="str">
        <f>G!BE118</f>
        <v/>
      </c>
      <c r="X148" s="44" t="str">
        <f>G!BD118</f>
        <v>--</v>
      </c>
      <c r="Y148" s="35" t="str">
        <f>G!BF118</f>
        <v/>
      </c>
      <c r="Z148" s="35" t="str">
        <f>G!BG118</f>
        <v/>
      </c>
      <c r="AA148" s="44"/>
      <c r="AE148" s="72">
        <f t="shared" si="5"/>
        <v>1</v>
      </c>
    </row>
    <row r="149" spans="1:31" ht="9" hidden="1" customHeight="1" x14ac:dyDescent="0.15">
      <c r="A149" s="195" t="str">
        <f>F!A119</f>
        <v>1,2,4,5-tetrachloorbenzeen</v>
      </c>
      <c r="B149" s="195"/>
      <c r="C149" s="195"/>
      <c r="D149" s="44" t="str">
        <f>G!AQ119</f>
        <v/>
      </c>
      <c r="E149" s="44" t="str">
        <f>G!AP119</f>
        <v>--</v>
      </c>
      <c r="G149" s="35" t="str">
        <f>G!AS119</f>
        <v/>
      </c>
      <c r="H149" s="44" t="str">
        <f>G!AR119</f>
        <v>--</v>
      </c>
      <c r="I149" s="35" t="str">
        <f>G!AT119</f>
        <v/>
      </c>
      <c r="J149" s="35" t="str">
        <f>G!AU119</f>
        <v/>
      </c>
      <c r="L149" s="44" t="str">
        <f>G!AW119</f>
        <v/>
      </c>
      <c r="M149" s="44" t="str">
        <f>G!AV119</f>
        <v>--</v>
      </c>
      <c r="O149" s="35" t="str">
        <f>G!AY119</f>
        <v/>
      </c>
      <c r="P149" s="44" t="str">
        <f>G!AX119</f>
        <v>--</v>
      </c>
      <c r="Q149" s="35" t="str">
        <f>G!AZ119</f>
        <v/>
      </c>
      <c r="R149" s="35" t="str">
        <f>G!BA119</f>
        <v/>
      </c>
      <c r="T149" s="44" t="str">
        <f>G!BC119</f>
        <v/>
      </c>
      <c r="U149" s="44" t="str">
        <f>G!BB119</f>
        <v>--</v>
      </c>
      <c r="V149" s="44"/>
      <c r="W149" s="35" t="str">
        <f>G!BE119</f>
        <v/>
      </c>
      <c r="X149" s="44" t="str">
        <f>G!BD119</f>
        <v>--</v>
      </c>
      <c r="Y149" s="35" t="str">
        <f>G!BF119</f>
        <v/>
      </c>
      <c r="Z149" s="35" t="str">
        <f>G!BG119</f>
        <v/>
      </c>
      <c r="AA149" s="44"/>
      <c r="AE149" s="72">
        <f t="shared" si="5"/>
        <v>1</v>
      </c>
    </row>
    <row r="150" spans="1:31" ht="9" hidden="1" customHeight="1" x14ac:dyDescent="0.15">
      <c r="A150" s="195" t="str">
        <f>F!A120</f>
        <v>Tetrachloorbenzenen (som)</v>
      </c>
      <c r="B150" s="195"/>
      <c r="C150" s="195"/>
      <c r="D150" s="44" t="str">
        <f>G!AQ120</f>
        <v/>
      </c>
      <c r="E150" s="44" t="str">
        <f>G!AP120</f>
        <v>--</v>
      </c>
      <c r="G150" s="35" t="str">
        <f>G!AS120</f>
        <v/>
      </c>
      <c r="H150" s="44" t="str">
        <f>G!AR120</f>
        <v>--</v>
      </c>
      <c r="I150" s="35" t="str">
        <f>G!AT120</f>
        <v/>
      </c>
      <c r="J150" s="35" t="str">
        <f>G!AU120</f>
        <v/>
      </c>
      <c r="L150" s="44" t="str">
        <f>G!AW120</f>
        <v/>
      </c>
      <c r="M150" s="44" t="str">
        <f>G!AV120</f>
        <v>--</v>
      </c>
      <c r="O150" s="35" t="str">
        <f>G!AY120</f>
        <v/>
      </c>
      <c r="P150" s="44" t="str">
        <f>G!AX120</f>
        <v>--</v>
      </c>
      <c r="Q150" s="35" t="str">
        <f>G!AZ120</f>
        <v/>
      </c>
      <c r="R150" s="35" t="str">
        <f>G!BA120</f>
        <v/>
      </c>
      <c r="T150" s="44" t="str">
        <f>G!BC120</f>
        <v/>
      </c>
      <c r="U150" s="44" t="str">
        <f>G!BB120</f>
        <v>--</v>
      </c>
      <c r="V150" s="44"/>
      <c r="W150" s="35" t="str">
        <f>G!BE120</f>
        <v/>
      </c>
      <c r="X150" s="44" t="str">
        <f>G!BD120</f>
        <v>--</v>
      </c>
      <c r="Y150" s="35" t="str">
        <f>G!BF120</f>
        <v/>
      </c>
      <c r="Z150" s="35" t="str">
        <f>G!BG120</f>
        <v/>
      </c>
      <c r="AA150" s="44"/>
      <c r="AE150" s="72">
        <f t="shared" si="5"/>
        <v>1</v>
      </c>
    </row>
    <row r="151" spans="1:31" ht="9" hidden="1" customHeight="1" x14ac:dyDescent="0.15">
      <c r="A151" s="195" t="str">
        <f>F!A121</f>
        <v>Pentachloorbenzeen</v>
      </c>
      <c r="B151" s="195"/>
      <c r="C151" s="195"/>
      <c r="D151" s="44" t="str">
        <f>G!AQ121</f>
        <v/>
      </c>
      <c r="E151" s="44" t="str">
        <f>G!AP121</f>
        <v>--</v>
      </c>
      <c r="G151" s="35" t="str">
        <f>G!AS121</f>
        <v/>
      </c>
      <c r="H151" s="44" t="str">
        <f>G!AR121</f>
        <v>--</v>
      </c>
      <c r="I151" s="35" t="str">
        <f>G!AT121</f>
        <v/>
      </c>
      <c r="J151" s="35" t="str">
        <f>G!AU121</f>
        <v/>
      </c>
      <c r="L151" s="44" t="str">
        <f>G!AW121</f>
        <v/>
      </c>
      <c r="M151" s="44" t="str">
        <f>G!AV121</f>
        <v>--</v>
      </c>
      <c r="O151" s="35" t="str">
        <f>G!AY121</f>
        <v/>
      </c>
      <c r="P151" s="44" t="str">
        <f>G!AX121</f>
        <v>--</v>
      </c>
      <c r="Q151" s="35" t="str">
        <f>G!AZ121</f>
        <v/>
      </c>
      <c r="R151" s="35" t="str">
        <f>G!BA121</f>
        <v/>
      </c>
      <c r="T151" s="44" t="str">
        <f>G!BC121</f>
        <v/>
      </c>
      <c r="U151" s="44" t="str">
        <f>G!BB121</f>
        <v>--</v>
      </c>
      <c r="V151" s="44"/>
      <c r="W151" s="35" t="str">
        <f>G!BE121</f>
        <v/>
      </c>
      <c r="X151" s="44" t="str">
        <f>G!BD121</f>
        <v>--</v>
      </c>
      <c r="Y151" s="35" t="str">
        <f>G!BF121</f>
        <v/>
      </c>
      <c r="Z151" s="35" t="str">
        <f>G!BG121</f>
        <v/>
      </c>
      <c r="AA151" s="44"/>
      <c r="AE151" s="72">
        <f t="shared" si="5"/>
        <v>1</v>
      </c>
    </row>
    <row r="152" spans="1:31" ht="9" hidden="1" customHeight="1" x14ac:dyDescent="0.15">
      <c r="A152" s="195" t="str">
        <f>F!A122</f>
        <v>Hexachloorbenzeen</v>
      </c>
      <c r="B152" s="195"/>
      <c r="C152" s="195"/>
      <c r="D152" s="44" t="str">
        <f>G!AQ122</f>
        <v/>
      </c>
      <c r="E152" s="44" t="str">
        <f>G!AP122</f>
        <v>--</v>
      </c>
      <c r="G152" s="35" t="str">
        <f>G!AS122</f>
        <v/>
      </c>
      <c r="H152" s="44" t="str">
        <f>G!AR122</f>
        <v>--</v>
      </c>
      <c r="I152" s="35" t="str">
        <f>G!AT122</f>
        <v/>
      </c>
      <c r="J152" s="35" t="str">
        <f>G!AU122</f>
        <v/>
      </c>
      <c r="L152" s="44" t="str">
        <f>G!AW122</f>
        <v/>
      </c>
      <c r="M152" s="44" t="str">
        <f>G!AV122</f>
        <v>--</v>
      </c>
      <c r="O152" s="35" t="str">
        <f>G!AY122</f>
        <v/>
      </c>
      <c r="P152" s="44" t="str">
        <f>G!AX122</f>
        <v>--</v>
      </c>
      <c r="Q152" s="35" t="str">
        <f>G!AZ122</f>
        <v/>
      </c>
      <c r="R152" s="35" t="str">
        <f>G!BA122</f>
        <v/>
      </c>
      <c r="T152" s="44" t="str">
        <f>G!BC122</f>
        <v/>
      </c>
      <c r="U152" s="44" t="str">
        <f>G!BB122</f>
        <v>--</v>
      </c>
      <c r="V152" s="44"/>
      <c r="W152" s="35" t="str">
        <f>G!BE122</f>
        <v/>
      </c>
      <c r="X152" s="44" t="str">
        <f>G!BD122</f>
        <v>--</v>
      </c>
      <c r="Y152" s="35" t="str">
        <f>G!BF122</f>
        <v/>
      </c>
      <c r="Z152" s="35" t="str">
        <f>G!BG122</f>
        <v/>
      </c>
      <c r="AA152" s="44"/>
      <c r="AE152" s="72">
        <f t="shared" si="5"/>
        <v>1</v>
      </c>
    </row>
    <row r="153" spans="1:31" ht="9" hidden="1" customHeight="1" x14ac:dyDescent="0.15">
      <c r="A153" s="195" t="str">
        <f>F!A123</f>
        <v>Chloorbenzen (som)</v>
      </c>
      <c r="B153" s="195"/>
      <c r="C153" s="195"/>
      <c r="D153" s="44" t="str">
        <f>G!AQ123</f>
        <v/>
      </c>
      <c r="E153" s="44" t="str">
        <f>G!AP123</f>
        <v>--</v>
      </c>
      <c r="G153" s="35" t="str">
        <f>G!AS123</f>
        <v/>
      </c>
      <c r="H153" s="44" t="str">
        <f>G!AR123</f>
        <v>--</v>
      </c>
      <c r="I153" s="35" t="str">
        <f>G!AT123</f>
        <v/>
      </c>
      <c r="J153" s="35" t="str">
        <f>G!AU123</f>
        <v/>
      </c>
      <c r="L153" s="44" t="str">
        <f>G!AW123</f>
        <v/>
      </c>
      <c r="M153" s="44" t="str">
        <f>G!AV123</f>
        <v>--</v>
      </c>
      <c r="O153" s="35" t="str">
        <f>G!AY123</f>
        <v/>
      </c>
      <c r="P153" s="44" t="str">
        <f>G!AX123</f>
        <v>--</v>
      </c>
      <c r="Q153" s="35" t="str">
        <f>G!AZ123</f>
        <v/>
      </c>
      <c r="R153" s="35" t="str">
        <f>G!BA123</f>
        <v/>
      </c>
      <c r="T153" s="44" t="str">
        <f>G!BC123</f>
        <v/>
      </c>
      <c r="U153" s="44" t="str">
        <f>G!BB123</f>
        <v>--</v>
      </c>
      <c r="V153" s="44"/>
      <c r="W153" s="35" t="str">
        <f>G!BE123</f>
        <v/>
      </c>
      <c r="X153" s="44" t="str">
        <f>G!BD123</f>
        <v>--</v>
      </c>
      <c r="Y153" s="35" t="str">
        <f>G!BF123</f>
        <v/>
      </c>
      <c r="Z153" s="35" t="str">
        <f>G!BG123</f>
        <v/>
      </c>
      <c r="AA153" s="44"/>
      <c r="AE153" s="72">
        <f t="shared" si="5"/>
        <v>1</v>
      </c>
    </row>
    <row r="154" spans="1:31" ht="3.95" hidden="1" customHeight="1" x14ac:dyDescent="0.15">
      <c r="A154" s="41"/>
      <c r="B154" s="41"/>
      <c r="C154" s="41"/>
      <c r="D154" s="44"/>
      <c r="E154" s="44"/>
      <c r="H154" s="44"/>
      <c r="L154" s="44"/>
      <c r="M154" s="44"/>
      <c r="P154" s="44"/>
      <c r="T154" s="44"/>
      <c r="U154" s="44"/>
      <c r="V154" s="44"/>
      <c r="X154" s="44"/>
      <c r="Z154" s="44"/>
      <c r="AA154" s="44"/>
      <c r="AE154" s="94">
        <f>AE155</f>
        <v>1</v>
      </c>
    </row>
    <row r="155" spans="1:31" ht="9" hidden="1" customHeight="1" x14ac:dyDescent="0.15">
      <c r="A155" s="198" t="str">
        <f>IF(COUNTIF(F!D124:D148,131)&gt;0,"Chloorfenolen (µg/kgds)","Chloorfenolen (mg/kgds)")</f>
        <v>Chloorfenolen (mg/kgds)</v>
      </c>
      <c r="B155" s="198"/>
      <c r="C155" s="198"/>
      <c r="D155" s="198"/>
      <c r="E155" s="198"/>
      <c r="F155" s="198"/>
      <c r="G155" s="198"/>
      <c r="H155" s="198"/>
      <c r="I155" s="198"/>
      <c r="J155" s="198"/>
      <c r="K155" s="198"/>
      <c r="L155" s="198"/>
      <c r="M155" s="198"/>
      <c r="N155" s="198"/>
      <c r="O155" s="198"/>
      <c r="P155" s="198"/>
      <c r="Q155" s="198"/>
      <c r="R155" s="198"/>
      <c r="S155" s="198"/>
      <c r="T155" s="198"/>
      <c r="U155" s="198"/>
      <c r="V155" s="198"/>
      <c r="W155" s="198"/>
      <c r="X155" s="198"/>
      <c r="Y155" s="198"/>
      <c r="Z155" s="198"/>
      <c r="AA155" s="198"/>
      <c r="AE155" s="94">
        <f>IF(COUNTIF(AE156:AE180,1)=COUNT(AE156:AE180),1,0)</f>
        <v>1</v>
      </c>
    </row>
    <row r="156" spans="1:31" ht="9" hidden="1" customHeight="1" x14ac:dyDescent="0.15">
      <c r="A156" s="195" t="str">
        <f>F!A124</f>
        <v>2,3+2,4+2,5-Dichloorfenol</v>
      </c>
      <c r="B156" s="195"/>
      <c r="C156" s="195"/>
      <c r="D156" s="44" t="str">
        <f>G!AQ124</f>
        <v/>
      </c>
      <c r="E156" s="44" t="str">
        <f>G!AP124</f>
        <v>--</v>
      </c>
      <c r="G156" s="35" t="str">
        <f>G!AS124</f>
        <v/>
      </c>
      <c r="H156" s="44" t="str">
        <f>G!AR124</f>
        <v>--</v>
      </c>
      <c r="I156" s="35" t="str">
        <f>G!AT124</f>
        <v/>
      </c>
      <c r="J156" s="35" t="str">
        <f>G!AU124</f>
        <v/>
      </c>
      <c r="L156" s="44" t="str">
        <f>G!AW124</f>
        <v/>
      </c>
      <c r="M156" s="44" t="str">
        <f>G!AV124</f>
        <v>--</v>
      </c>
      <c r="O156" s="35" t="str">
        <f>G!AY124</f>
        <v/>
      </c>
      <c r="P156" s="44" t="str">
        <f>G!AX124</f>
        <v>--</v>
      </c>
      <c r="Q156" s="35" t="str">
        <f>G!AZ124</f>
        <v/>
      </c>
      <c r="R156" s="35" t="str">
        <f>G!BA124</f>
        <v/>
      </c>
      <c r="T156" s="44" t="str">
        <f>G!BC124</f>
        <v/>
      </c>
      <c r="U156" s="44" t="str">
        <f>G!BB124</f>
        <v>--</v>
      </c>
      <c r="V156" s="44"/>
      <c r="W156" s="35" t="str">
        <f>G!BE124</f>
        <v/>
      </c>
      <c r="X156" s="44" t="str">
        <f>G!BD124</f>
        <v>--</v>
      </c>
      <c r="Y156" s="35" t="str">
        <f>G!BF124</f>
        <v/>
      </c>
      <c r="Z156" s="35" t="str">
        <f>G!BG124</f>
        <v/>
      </c>
      <c r="AA156" s="44"/>
      <c r="AE156" s="72">
        <f t="shared" si="5"/>
        <v>1</v>
      </c>
    </row>
    <row r="157" spans="1:31" ht="9" hidden="1" customHeight="1" x14ac:dyDescent="0.15">
      <c r="A157" s="195" t="str">
        <f>F!A125</f>
        <v>2,3,4-trichloorfenol</v>
      </c>
      <c r="B157" s="195"/>
      <c r="C157" s="195"/>
      <c r="D157" s="44" t="str">
        <f>G!AQ125</f>
        <v/>
      </c>
      <c r="E157" s="44" t="str">
        <f>G!AP125</f>
        <v>--</v>
      </c>
      <c r="G157" s="35" t="str">
        <f>G!AS125</f>
        <v/>
      </c>
      <c r="H157" s="44" t="str">
        <f>G!AR125</f>
        <v>--</v>
      </c>
      <c r="I157" s="35" t="str">
        <f>G!AT125</f>
        <v/>
      </c>
      <c r="J157" s="35" t="str">
        <f>G!AU125</f>
        <v/>
      </c>
      <c r="L157" s="44" t="str">
        <f>G!AW125</f>
        <v/>
      </c>
      <c r="M157" s="44" t="str">
        <f>G!AV125</f>
        <v>--</v>
      </c>
      <c r="O157" s="35" t="str">
        <f>G!AY125</f>
        <v/>
      </c>
      <c r="P157" s="44" t="str">
        <f>G!AX125</f>
        <v>--</v>
      </c>
      <c r="Q157" s="35" t="str">
        <f>G!AZ125</f>
        <v/>
      </c>
      <c r="R157" s="35" t="str">
        <f>G!BA125</f>
        <v/>
      </c>
      <c r="T157" s="44" t="str">
        <f>G!BC125</f>
        <v/>
      </c>
      <c r="U157" s="44" t="str">
        <f>G!BB125</f>
        <v>--</v>
      </c>
      <c r="V157" s="44"/>
      <c r="W157" s="35" t="str">
        <f>G!BE125</f>
        <v/>
      </c>
      <c r="X157" s="44" t="str">
        <f>G!BD125</f>
        <v>--</v>
      </c>
      <c r="Y157" s="35" t="str">
        <f>G!BF125</f>
        <v/>
      </c>
      <c r="Z157" s="35" t="str">
        <f>G!BG125</f>
        <v/>
      </c>
      <c r="AA157" s="44"/>
      <c r="AE157" s="72">
        <f t="shared" si="5"/>
        <v>1</v>
      </c>
    </row>
    <row r="158" spans="1:31" ht="9" hidden="1" customHeight="1" x14ac:dyDescent="0.15">
      <c r="A158" s="195" t="str">
        <f>F!A126</f>
        <v>2,3,5-trichloorfenol</v>
      </c>
      <c r="B158" s="195"/>
      <c r="C158" s="195"/>
      <c r="D158" s="44" t="str">
        <f>G!AQ126</f>
        <v/>
      </c>
      <c r="E158" s="44" t="str">
        <f>G!AP126</f>
        <v>--</v>
      </c>
      <c r="G158" s="35" t="str">
        <f>G!AS126</f>
        <v/>
      </c>
      <c r="H158" s="44" t="str">
        <f>G!AR126</f>
        <v>--</v>
      </c>
      <c r="I158" s="35" t="str">
        <f>G!AT126</f>
        <v/>
      </c>
      <c r="J158" s="35" t="str">
        <f>G!AU126</f>
        <v/>
      </c>
      <c r="L158" s="44" t="str">
        <f>G!AW126</f>
        <v/>
      </c>
      <c r="M158" s="44" t="str">
        <f>G!AV126</f>
        <v>--</v>
      </c>
      <c r="O158" s="35" t="str">
        <f>G!AY126</f>
        <v/>
      </c>
      <c r="P158" s="44" t="str">
        <f>G!AX126</f>
        <v>--</v>
      </c>
      <c r="Q158" s="35" t="str">
        <f>G!AZ126</f>
        <v/>
      </c>
      <c r="R158" s="35" t="str">
        <f>G!BA126</f>
        <v/>
      </c>
      <c r="T158" s="44" t="str">
        <f>G!BC126</f>
        <v/>
      </c>
      <c r="U158" s="44" t="str">
        <f>G!BB126</f>
        <v>--</v>
      </c>
      <c r="V158" s="44"/>
      <c r="W158" s="35" t="str">
        <f>G!BE126</f>
        <v/>
      </c>
      <c r="X158" s="44" t="str">
        <f>G!BD126</f>
        <v>--</v>
      </c>
      <c r="Y158" s="35" t="str">
        <f>G!BF126</f>
        <v/>
      </c>
      <c r="Z158" s="35" t="str">
        <f>G!BG126</f>
        <v/>
      </c>
      <c r="AA158" s="44"/>
      <c r="AE158" s="72">
        <f t="shared" si="5"/>
        <v>1</v>
      </c>
    </row>
    <row r="159" spans="1:31" ht="9" hidden="1" customHeight="1" x14ac:dyDescent="0.15">
      <c r="A159" s="195" t="str">
        <f>F!A127</f>
        <v>2,3,6-trichloorfenol</v>
      </c>
      <c r="B159" s="195"/>
      <c r="C159" s="195"/>
      <c r="D159" s="44" t="str">
        <f>G!AQ127</f>
        <v/>
      </c>
      <c r="E159" s="44" t="str">
        <f>G!AP127</f>
        <v>--</v>
      </c>
      <c r="G159" s="35" t="str">
        <f>G!AS127</f>
        <v/>
      </c>
      <c r="H159" s="44" t="str">
        <f>G!AR127</f>
        <v>--</v>
      </c>
      <c r="I159" s="35" t="str">
        <f>G!AT127</f>
        <v/>
      </c>
      <c r="J159" s="35" t="str">
        <f>G!AU127</f>
        <v/>
      </c>
      <c r="L159" s="44" t="str">
        <f>G!AW127</f>
        <v/>
      </c>
      <c r="M159" s="44" t="str">
        <f>G!AV127</f>
        <v>--</v>
      </c>
      <c r="O159" s="35" t="str">
        <f>G!AY127</f>
        <v/>
      </c>
      <c r="P159" s="44" t="str">
        <f>G!AX127</f>
        <v>--</v>
      </c>
      <c r="Q159" s="35" t="str">
        <f>G!AZ127</f>
        <v/>
      </c>
      <c r="R159" s="35" t="str">
        <f>G!BA127</f>
        <v/>
      </c>
      <c r="T159" s="44" t="str">
        <f>G!BC127</f>
        <v/>
      </c>
      <c r="U159" s="44" t="str">
        <f>G!BB127</f>
        <v>--</v>
      </c>
      <c r="V159" s="44"/>
      <c r="W159" s="35" t="str">
        <f>G!BE127</f>
        <v/>
      </c>
      <c r="X159" s="44" t="str">
        <f>G!BD127</f>
        <v>--</v>
      </c>
      <c r="Y159" s="35" t="str">
        <f>G!BF127</f>
        <v/>
      </c>
      <c r="Z159" s="35" t="str">
        <f>G!BG127</f>
        <v/>
      </c>
      <c r="AA159" s="44"/>
      <c r="AE159" s="72">
        <f t="shared" si="5"/>
        <v>1</v>
      </c>
    </row>
    <row r="160" spans="1:31" ht="9" hidden="1" customHeight="1" x14ac:dyDescent="0.15">
      <c r="A160" s="195" t="str">
        <f>F!A128</f>
        <v>2,4,5-Trichloorfenol</v>
      </c>
      <c r="B160" s="195"/>
      <c r="C160" s="195"/>
      <c r="D160" s="44" t="str">
        <f>G!AQ128</f>
        <v/>
      </c>
      <c r="E160" s="44" t="str">
        <f>G!AP128</f>
        <v>--</v>
      </c>
      <c r="G160" s="35" t="str">
        <f>G!AS128</f>
        <v/>
      </c>
      <c r="H160" s="44" t="str">
        <f>G!AR128</f>
        <v>--</v>
      </c>
      <c r="I160" s="35" t="str">
        <f>G!AT128</f>
        <v/>
      </c>
      <c r="J160" s="35" t="str">
        <f>G!AU128</f>
        <v/>
      </c>
      <c r="L160" s="44" t="str">
        <f>G!AW128</f>
        <v/>
      </c>
      <c r="M160" s="44" t="str">
        <f>G!AV128</f>
        <v>--</v>
      </c>
      <c r="O160" s="35" t="str">
        <f>G!AY128</f>
        <v/>
      </c>
      <c r="P160" s="44" t="str">
        <f>G!AX128</f>
        <v>--</v>
      </c>
      <c r="Q160" s="35" t="str">
        <f>G!AZ128</f>
        <v/>
      </c>
      <c r="R160" s="35" t="str">
        <f>G!BA128</f>
        <v/>
      </c>
      <c r="T160" s="44" t="str">
        <f>G!BC128</f>
        <v/>
      </c>
      <c r="U160" s="44" t="str">
        <f>G!BB128</f>
        <v>--</v>
      </c>
      <c r="V160" s="44"/>
      <c r="W160" s="35" t="str">
        <f>G!BE128</f>
        <v/>
      </c>
      <c r="X160" s="44" t="str">
        <f>G!BD128</f>
        <v>--</v>
      </c>
      <c r="Y160" s="35" t="str">
        <f>G!BF128</f>
        <v/>
      </c>
      <c r="Z160" s="35" t="str">
        <f>G!BG128</f>
        <v/>
      </c>
      <c r="AA160" s="44"/>
      <c r="AE160" s="72">
        <f t="shared" si="5"/>
        <v>1</v>
      </c>
    </row>
    <row r="161" spans="1:31" ht="9" hidden="1" customHeight="1" x14ac:dyDescent="0.15">
      <c r="A161" s="195" t="str">
        <f>F!A129</f>
        <v>2,4,6-Trichloorfenol</v>
      </c>
      <c r="B161" s="195"/>
      <c r="C161" s="195"/>
      <c r="D161" s="44" t="str">
        <f>G!AQ129</f>
        <v/>
      </c>
      <c r="E161" s="44" t="str">
        <f>G!AP129</f>
        <v>--</v>
      </c>
      <c r="G161" s="35" t="str">
        <f>G!AS129</f>
        <v/>
      </c>
      <c r="H161" s="44" t="str">
        <f>G!AR129</f>
        <v>--</v>
      </c>
      <c r="I161" s="35" t="str">
        <f>G!AT129</f>
        <v/>
      </c>
      <c r="J161" s="35" t="str">
        <f>G!AU129</f>
        <v/>
      </c>
      <c r="L161" s="44" t="str">
        <f>G!AW129</f>
        <v/>
      </c>
      <c r="M161" s="44" t="str">
        <f>G!AV129</f>
        <v>--</v>
      </c>
      <c r="O161" s="35" t="str">
        <f>G!AY129</f>
        <v/>
      </c>
      <c r="P161" s="44" t="str">
        <f>G!AX129</f>
        <v>--</v>
      </c>
      <c r="Q161" s="35" t="str">
        <f>G!AZ129</f>
        <v/>
      </c>
      <c r="R161" s="35" t="str">
        <f>G!BA129</f>
        <v/>
      </c>
      <c r="T161" s="44" t="str">
        <f>G!BC129</f>
        <v/>
      </c>
      <c r="U161" s="44" t="str">
        <f>G!BB129</f>
        <v>--</v>
      </c>
      <c r="V161" s="44"/>
      <c r="W161" s="35" t="str">
        <f>G!BE129</f>
        <v/>
      </c>
      <c r="X161" s="44" t="str">
        <f>G!BD129</f>
        <v>--</v>
      </c>
      <c r="Y161" s="35" t="str">
        <f>G!BF129</f>
        <v/>
      </c>
      <c r="Z161" s="35" t="str">
        <f>G!BG129</f>
        <v/>
      </c>
      <c r="AA161" s="44"/>
      <c r="AE161" s="72">
        <f t="shared" si="5"/>
        <v>1</v>
      </c>
    </row>
    <row r="162" spans="1:31" ht="9" hidden="1" customHeight="1" x14ac:dyDescent="0.15">
      <c r="A162" s="195" t="str">
        <f>F!A130</f>
        <v>3,4,5-Trichloorfenol</v>
      </c>
      <c r="B162" s="195"/>
      <c r="C162" s="195"/>
      <c r="D162" s="44" t="str">
        <f>G!AQ130</f>
        <v/>
      </c>
      <c r="E162" s="44" t="str">
        <f>G!AP130</f>
        <v>--</v>
      </c>
      <c r="G162" s="35" t="str">
        <f>G!AS130</f>
        <v/>
      </c>
      <c r="H162" s="44" t="str">
        <f>G!AR130</f>
        <v>--</v>
      </c>
      <c r="I162" s="35" t="str">
        <f>G!AT130</f>
        <v/>
      </c>
      <c r="J162" s="35" t="str">
        <f>G!AU130</f>
        <v/>
      </c>
      <c r="L162" s="44" t="str">
        <f>G!AW130</f>
        <v/>
      </c>
      <c r="M162" s="44" t="str">
        <f>G!AV130</f>
        <v>--</v>
      </c>
      <c r="O162" s="35" t="str">
        <f>G!AY130</f>
        <v/>
      </c>
      <c r="P162" s="44" t="str">
        <f>G!AX130</f>
        <v>--</v>
      </c>
      <c r="Q162" s="35" t="str">
        <f>G!AZ130</f>
        <v/>
      </c>
      <c r="R162" s="35" t="str">
        <f>G!BA130</f>
        <v/>
      </c>
      <c r="T162" s="44" t="str">
        <f>G!BC130</f>
        <v/>
      </c>
      <c r="U162" s="44" t="str">
        <f>G!BB130</f>
        <v>--</v>
      </c>
      <c r="V162" s="44"/>
      <c r="W162" s="35" t="str">
        <f>G!BE130</f>
        <v/>
      </c>
      <c r="X162" s="44" t="str">
        <f>G!BD130</f>
        <v>--</v>
      </c>
      <c r="Y162" s="35" t="str">
        <f>G!BF130</f>
        <v/>
      </c>
      <c r="Z162" s="35" t="str">
        <f>G!BG130</f>
        <v/>
      </c>
      <c r="AA162" s="44"/>
      <c r="AE162" s="72">
        <f t="shared" si="5"/>
        <v>1</v>
      </c>
    </row>
    <row r="163" spans="1:31" ht="9" hidden="1" customHeight="1" x14ac:dyDescent="0.15">
      <c r="A163" s="195" t="str">
        <f>F!A131</f>
        <v>Trichloorfenolen (som)</v>
      </c>
      <c r="B163" s="195"/>
      <c r="C163" s="195"/>
      <c r="D163" s="44" t="str">
        <f>G!AQ131</f>
        <v/>
      </c>
      <c r="E163" s="44" t="str">
        <f>G!AP131</f>
        <v>--</v>
      </c>
      <c r="G163" s="35" t="str">
        <f>G!AS131</f>
        <v/>
      </c>
      <c r="H163" s="44" t="str">
        <f>G!AR131</f>
        <v>--</v>
      </c>
      <c r="I163" s="35" t="str">
        <f>G!AT131</f>
        <v/>
      </c>
      <c r="J163" s="35" t="str">
        <f>G!AU131</f>
        <v/>
      </c>
      <c r="L163" s="44" t="str">
        <f>G!AW131</f>
        <v/>
      </c>
      <c r="M163" s="44" t="str">
        <f>G!AV131</f>
        <v>--</v>
      </c>
      <c r="O163" s="35" t="str">
        <f>G!AY131</f>
        <v/>
      </c>
      <c r="P163" s="44" t="str">
        <f>G!AX131</f>
        <v>--</v>
      </c>
      <c r="Q163" s="35" t="str">
        <f>G!AZ131</f>
        <v/>
      </c>
      <c r="R163" s="35" t="str">
        <f>G!BA131</f>
        <v/>
      </c>
      <c r="T163" s="44" t="str">
        <f>G!BC131</f>
        <v/>
      </c>
      <c r="U163" s="44" t="str">
        <f>G!BB131</f>
        <v>--</v>
      </c>
      <c r="V163" s="44"/>
      <c r="W163" s="35" t="str">
        <f>G!BE131</f>
        <v/>
      </c>
      <c r="X163" s="44" t="str">
        <f>G!BD131</f>
        <v>--</v>
      </c>
      <c r="Y163" s="35" t="str">
        <f>G!BF131</f>
        <v/>
      </c>
      <c r="Z163" s="35" t="str">
        <f>G!BG131</f>
        <v/>
      </c>
      <c r="AA163" s="44"/>
      <c r="AE163" s="72">
        <f t="shared" si="5"/>
        <v>1</v>
      </c>
    </row>
    <row r="164" spans="1:31" ht="9" hidden="1" customHeight="1" x14ac:dyDescent="0.15">
      <c r="A164" s="195" t="str">
        <f>F!A132</f>
        <v>2-Chloorfenol</v>
      </c>
      <c r="B164" s="195"/>
      <c r="C164" s="195"/>
      <c r="D164" s="44" t="str">
        <f>G!AQ132</f>
        <v/>
      </c>
      <c r="E164" s="44" t="str">
        <f>G!AP132</f>
        <v>--</v>
      </c>
      <c r="G164" s="35" t="str">
        <f>G!AS132</f>
        <v/>
      </c>
      <c r="H164" s="44" t="str">
        <f>G!AR132</f>
        <v>--</v>
      </c>
      <c r="I164" s="35" t="str">
        <f>G!AT132</f>
        <v/>
      </c>
      <c r="J164" s="35" t="str">
        <f>G!AU132</f>
        <v/>
      </c>
      <c r="L164" s="44" t="str">
        <f>G!AW132</f>
        <v/>
      </c>
      <c r="M164" s="44" t="str">
        <f>G!AV132</f>
        <v>--</v>
      </c>
      <c r="O164" s="35" t="str">
        <f>G!AY132</f>
        <v/>
      </c>
      <c r="P164" s="44" t="str">
        <f>G!AX132</f>
        <v>--</v>
      </c>
      <c r="Q164" s="35" t="str">
        <f>G!AZ132</f>
        <v/>
      </c>
      <c r="R164" s="35" t="str">
        <f>G!BA132</f>
        <v/>
      </c>
      <c r="T164" s="44" t="str">
        <f>G!BC132</f>
        <v/>
      </c>
      <c r="U164" s="44" t="str">
        <f>G!BB132</f>
        <v>--</v>
      </c>
      <c r="V164" s="44"/>
      <c r="W164" s="35" t="str">
        <f>G!BE132</f>
        <v/>
      </c>
      <c r="X164" s="44" t="str">
        <f>G!BD132</f>
        <v>--</v>
      </c>
      <c r="Y164" s="35" t="str">
        <f>G!BF132</f>
        <v/>
      </c>
      <c r="Z164" s="35" t="str">
        <f>G!BG132</f>
        <v/>
      </c>
      <c r="AA164" s="44"/>
      <c r="AE164" s="72">
        <f t="shared" si="5"/>
        <v>1</v>
      </c>
    </row>
    <row r="165" spans="1:31" ht="9" hidden="1" customHeight="1" x14ac:dyDescent="0.15">
      <c r="A165" s="195" t="str">
        <f>F!A133</f>
        <v>4-Chloor-3-methylfenol</v>
      </c>
      <c r="B165" s="195"/>
      <c r="C165" s="195"/>
      <c r="D165" s="44" t="str">
        <f>G!AQ133</f>
        <v/>
      </c>
      <c r="E165" s="44" t="str">
        <f>G!AP133</f>
        <v>--</v>
      </c>
      <c r="G165" s="35" t="str">
        <f>G!AS133</f>
        <v/>
      </c>
      <c r="H165" s="44" t="str">
        <f>G!AR133</f>
        <v>--</v>
      </c>
      <c r="I165" s="35" t="str">
        <f>G!AT133</f>
        <v/>
      </c>
      <c r="J165" s="35" t="str">
        <f>G!AU133</f>
        <v/>
      </c>
      <c r="L165" s="44" t="str">
        <f>G!AW133</f>
        <v/>
      </c>
      <c r="M165" s="44" t="str">
        <f>G!AV133</f>
        <v>--</v>
      </c>
      <c r="O165" s="35" t="str">
        <f>G!AY133</f>
        <v/>
      </c>
      <c r="P165" s="44" t="str">
        <f>G!AX133</f>
        <v>--</v>
      </c>
      <c r="Q165" s="35" t="str">
        <f>G!AZ133</f>
        <v/>
      </c>
      <c r="R165" s="35" t="str">
        <f>G!BA133</f>
        <v/>
      </c>
      <c r="T165" s="44" t="str">
        <f>G!BC133</f>
        <v/>
      </c>
      <c r="U165" s="44" t="str">
        <f>G!BB133</f>
        <v>--</v>
      </c>
      <c r="V165" s="44"/>
      <c r="W165" s="35" t="str">
        <f>G!BE133</f>
        <v/>
      </c>
      <c r="X165" s="44" t="str">
        <f>G!BD133</f>
        <v>--</v>
      </c>
      <c r="Y165" s="35" t="str">
        <f>G!BF133</f>
        <v/>
      </c>
      <c r="Z165" s="35" t="str">
        <f>G!BG133</f>
        <v/>
      </c>
      <c r="AA165" s="44"/>
      <c r="AE165" s="72">
        <f t="shared" si="5"/>
        <v>1</v>
      </c>
    </row>
    <row r="166" spans="1:31" ht="9" hidden="1" customHeight="1" x14ac:dyDescent="0.15">
      <c r="A166" s="195" t="str">
        <f>F!A134</f>
        <v>4-Chloor-2-methylfenol</v>
      </c>
      <c r="B166" s="195"/>
      <c r="C166" s="195"/>
      <c r="D166" s="44" t="str">
        <f>G!AQ134</f>
        <v/>
      </c>
      <c r="E166" s="44" t="str">
        <f>G!AP134</f>
        <v>--</v>
      </c>
      <c r="G166" s="35" t="str">
        <f>G!AS134</f>
        <v/>
      </c>
      <c r="H166" s="44" t="str">
        <f>G!AR134</f>
        <v>--</v>
      </c>
      <c r="I166" s="35" t="str">
        <f>G!AT134</f>
        <v/>
      </c>
      <c r="J166" s="35" t="str">
        <f>G!AU134</f>
        <v/>
      </c>
      <c r="L166" s="44" t="str">
        <f>G!AW134</f>
        <v/>
      </c>
      <c r="M166" s="44" t="str">
        <f>G!AV134</f>
        <v>--</v>
      </c>
      <c r="O166" s="35" t="str">
        <f>G!AY134</f>
        <v/>
      </c>
      <c r="P166" s="44" t="str">
        <f>G!AX134</f>
        <v>--</v>
      </c>
      <c r="Q166" s="35" t="str">
        <f>G!AZ134</f>
        <v/>
      </c>
      <c r="R166" s="35" t="str">
        <f>G!BA134</f>
        <v/>
      </c>
      <c r="T166" s="44" t="str">
        <f>G!BC134</f>
        <v/>
      </c>
      <c r="U166" s="44" t="str">
        <f>G!BB134</f>
        <v>--</v>
      </c>
      <c r="V166" s="44"/>
      <c r="W166" s="35" t="str">
        <f>G!BE134</f>
        <v/>
      </c>
      <c r="X166" s="44" t="str">
        <f>G!BD134</f>
        <v>--</v>
      </c>
      <c r="Y166" s="35" t="str">
        <f>G!BF134</f>
        <v/>
      </c>
      <c r="Z166" s="35" t="str">
        <f>G!BG134</f>
        <v/>
      </c>
      <c r="AA166" s="44"/>
      <c r="AE166" s="72">
        <f t="shared" si="5"/>
        <v>1</v>
      </c>
    </row>
    <row r="167" spans="1:31" ht="9" hidden="1" customHeight="1" x14ac:dyDescent="0.15">
      <c r="A167" s="195" t="str">
        <f>F!A135</f>
        <v>4-Chloormethyfenolen (som)</v>
      </c>
      <c r="B167" s="195"/>
      <c r="C167" s="195"/>
      <c r="D167" s="44" t="str">
        <f>G!AQ135</f>
        <v/>
      </c>
      <c r="E167" s="44" t="str">
        <f>G!AP135</f>
        <v>--</v>
      </c>
      <c r="G167" s="35" t="str">
        <f>G!AS135</f>
        <v/>
      </c>
      <c r="H167" s="44" t="str">
        <f>G!AR135</f>
        <v>--</v>
      </c>
      <c r="I167" s="35" t="str">
        <f>G!AT135</f>
        <v/>
      </c>
      <c r="J167" s="35" t="str">
        <f>G!AU135</f>
        <v/>
      </c>
      <c r="L167" s="44" t="str">
        <f>G!AW135</f>
        <v/>
      </c>
      <c r="M167" s="44" t="str">
        <f>G!AV135</f>
        <v>--</v>
      </c>
      <c r="O167" s="35" t="str">
        <f>G!AY135</f>
        <v/>
      </c>
      <c r="P167" s="44" t="str">
        <f>G!AX135</f>
        <v>--</v>
      </c>
      <c r="Q167" s="35" t="str">
        <f>G!AZ135</f>
        <v/>
      </c>
      <c r="R167" s="35" t="str">
        <f>G!BA135</f>
        <v/>
      </c>
      <c r="T167" s="44" t="str">
        <f>G!BC135</f>
        <v/>
      </c>
      <c r="U167" s="44" t="str">
        <f>G!BB135</f>
        <v>--</v>
      </c>
      <c r="V167" s="44"/>
      <c r="W167" s="35" t="str">
        <f>G!BE135</f>
        <v/>
      </c>
      <c r="X167" s="44" t="str">
        <f>G!BD135</f>
        <v>--</v>
      </c>
      <c r="Y167" s="35" t="str">
        <f>G!BF135</f>
        <v/>
      </c>
      <c r="Z167" s="35" t="str">
        <f>G!BG135</f>
        <v/>
      </c>
      <c r="AA167" s="44"/>
      <c r="AE167" s="72">
        <f t="shared" si="5"/>
        <v>1</v>
      </c>
    </row>
    <row r="168" spans="1:31" ht="9" hidden="1" customHeight="1" x14ac:dyDescent="0.15">
      <c r="A168" s="195" t="str">
        <f>F!A136</f>
        <v>2,3-dichloorfenol</v>
      </c>
      <c r="B168" s="195"/>
      <c r="C168" s="195"/>
      <c r="D168" s="44" t="str">
        <f>G!AQ136</f>
        <v/>
      </c>
      <c r="E168" s="44" t="str">
        <f>G!AP136</f>
        <v>--</v>
      </c>
      <c r="G168" s="35" t="str">
        <f>G!AS136</f>
        <v/>
      </c>
      <c r="H168" s="44" t="str">
        <f>G!AR136</f>
        <v>--</v>
      </c>
      <c r="I168" s="35" t="str">
        <f>G!AT136</f>
        <v/>
      </c>
      <c r="J168" s="35" t="str">
        <f>G!AU136</f>
        <v/>
      </c>
      <c r="L168" s="44" t="str">
        <f>G!AW136</f>
        <v/>
      </c>
      <c r="M168" s="44" t="str">
        <f>G!AV136</f>
        <v>--</v>
      </c>
      <c r="O168" s="35" t="str">
        <f>G!AY136</f>
        <v/>
      </c>
      <c r="P168" s="44" t="str">
        <f>G!AX136</f>
        <v>--</v>
      </c>
      <c r="Q168" s="35" t="str">
        <f>G!AZ136</f>
        <v/>
      </c>
      <c r="R168" s="35" t="str">
        <f>G!BA136</f>
        <v/>
      </c>
      <c r="T168" s="44" t="str">
        <f>G!BC136</f>
        <v/>
      </c>
      <c r="U168" s="44" t="str">
        <f>G!BB136</f>
        <v>--</v>
      </c>
      <c r="V168" s="44"/>
      <c r="W168" s="35" t="str">
        <f>G!BE136</f>
        <v/>
      </c>
      <c r="X168" s="44" t="str">
        <f>G!BD136</f>
        <v>--</v>
      </c>
      <c r="Y168" s="35" t="str">
        <f>G!BF136</f>
        <v/>
      </c>
      <c r="Z168" s="35" t="str">
        <f>G!BG136</f>
        <v/>
      </c>
      <c r="AA168" s="44"/>
      <c r="AE168" s="72">
        <f t="shared" si="5"/>
        <v>1</v>
      </c>
    </row>
    <row r="169" spans="1:31" ht="9" hidden="1" customHeight="1" x14ac:dyDescent="0.15">
      <c r="A169" s="195" t="str">
        <f>F!A137</f>
        <v>2,4-dichloorfenol</v>
      </c>
      <c r="B169" s="195"/>
      <c r="C169" s="195"/>
      <c r="D169" s="44" t="str">
        <f>G!AQ137</f>
        <v/>
      </c>
      <c r="E169" s="44" t="str">
        <f>G!AP137</f>
        <v>--</v>
      </c>
      <c r="G169" s="35" t="str">
        <f>G!AS137</f>
        <v/>
      </c>
      <c r="H169" s="44" t="str">
        <f>G!AR137</f>
        <v>--</v>
      </c>
      <c r="I169" s="35" t="str">
        <f>G!AT137</f>
        <v/>
      </c>
      <c r="J169" s="35" t="str">
        <f>G!AU137</f>
        <v/>
      </c>
      <c r="L169" s="44" t="str">
        <f>G!AW137</f>
        <v/>
      </c>
      <c r="M169" s="44" t="str">
        <f>G!AV137</f>
        <v>--</v>
      </c>
      <c r="O169" s="35" t="str">
        <f>G!AY137</f>
        <v/>
      </c>
      <c r="P169" s="44" t="str">
        <f>G!AX137</f>
        <v>--</v>
      </c>
      <c r="Q169" s="35" t="str">
        <f>G!AZ137</f>
        <v/>
      </c>
      <c r="R169" s="35" t="str">
        <f>G!BA137</f>
        <v/>
      </c>
      <c r="T169" s="44" t="str">
        <f>G!BC137</f>
        <v/>
      </c>
      <c r="U169" s="44" t="str">
        <f>G!BB137</f>
        <v>--</v>
      </c>
      <c r="V169" s="44"/>
      <c r="W169" s="35" t="str">
        <f>G!BE137</f>
        <v/>
      </c>
      <c r="X169" s="44" t="str">
        <f>G!BD137</f>
        <v>--</v>
      </c>
      <c r="Y169" s="35" t="str">
        <f>G!BF137</f>
        <v/>
      </c>
      <c r="Z169" s="35" t="str">
        <f>G!BG137</f>
        <v/>
      </c>
      <c r="AA169" s="44"/>
      <c r="AE169" s="72">
        <f t="shared" si="5"/>
        <v>1</v>
      </c>
    </row>
    <row r="170" spans="1:31" ht="9" hidden="1" customHeight="1" x14ac:dyDescent="0.15">
      <c r="A170" s="195" t="str">
        <f>F!A138</f>
        <v>2,5-dichloorfenol</v>
      </c>
      <c r="B170" s="195"/>
      <c r="C170" s="195"/>
      <c r="D170" s="44" t="str">
        <f>G!AQ138</f>
        <v/>
      </c>
      <c r="E170" s="44" t="str">
        <f>G!AP138</f>
        <v>--</v>
      </c>
      <c r="G170" s="35" t="str">
        <f>G!AS138</f>
        <v/>
      </c>
      <c r="H170" s="44" t="str">
        <f>G!AR138</f>
        <v>--</v>
      </c>
      <c r="I170" s="35" t="str">
        <f>G!AT138</f>
        <v/>
      </c>
      <c r="J170" s="35" t="str">
        <f>G!AU138</f>
        <v/>
      </c>
      <c r="L170" s="44" t="str">
        <f>G!AW138</f>
        <v/>
      </c>
      <c r="M170" s="44" t="str">
        <f>G!AV138</f>
        <v>--</v>
      </c>
      <c r="O170" s="35" t="str">
        <f>G!AY138</f>
        <v/>
      </c>
      <c r="P170" s="44" t="str">
        <f>G!AX138</f>
        <v>--</v>
      </c>
      <c r="Q170" s="35" t="str">
        <f>G!AZ138</f>
        <v/>
      </c>
      <c r="R170" s="35" t="str">
        <f>G!BA138</f>
        <v/>
      </c>
      <c r="T170" s="44" t="str">
        <f>G!BC138</f>
        <v/>
      </c>
      <c r="U170" s="44" t="str">
        <f>G!BB138</f>
        <v>--</v>
      </c>
      <c r="V170" s="44"/>
      <c r="W170" s="35" t="str">
        <f>G!BE138</f>
        <v/>
      </c>
      <c r="X170" s="44" t="str">
        <f>G!BD138</f>
        <v>--</v>
      </c>
      <c r="Y170" s="35" t="str">
        <f>G!BF138</f>
        <v/>
      </c>
      <c r="Z170" s="35" t="str">
        <f>G!BG138</f>
        <v/>
      </c>
      <c r="AA170" s="44"/>
      <c r="AE170" s="72">
        <f t="shared" si="5"/>
        <v>1</v>
      </c>
    </row>
    <row r="171" spans="1:31" ht="9" hidden="1" customHeight="1" x14ac:dyDescent="0.15">
      <c r="A171" s="195" t="str">
        <f>F!A139</f>
        <v>2,6-dichloorfenol</v>
      </c>
      <c r="B171" s="195"/>
      <c r="C171" s="195"/>
      <c r="D171" s="44" t="str">
        <f>G!AQ139</f>
        <v/>
      </c>
      <c r="E171" s="44" t="str">
        <f>G!AP139</f>
        <v>--</v>
      </c>
      <c r="G171" s="35" t="str">
        <f>G!AS139</f>
        <v/>
      </c>
      <c r="H171" s="44" t="str">
        <f>G!AR139</f>
        <v>--</v>
      </c>
      <c r="I171" s="35" t="str">
        <f>G!AT139</f>
        <v/>
      </c>
      <c r="J171" s="35" t="str">
        <f>G!AU139</f>
        <v/>
      </c>
      <c r="L171" s="44" t="str">
        <f>G!AW139</f>
        <v/>
      </c>
      <c r="M171" s="44" t="str">
        <f>G!AV139</f>
        <v>--</v>
      </c>
      <c r="O171" s="35" t="str">
        <f>G!AY139</f>
        <v/>
      </c>
      <c r="P171" s="44" t="str">
        <f>G!AX139</f>
        <v>--</v>
      </c>
      <c r="Q171" s="35" t="str">
        <f>G!AZ139</f>
        <v/>
      </c>
      <c r="R171" s="35" t="str">
        <f>G!BA139</f>
        <v/>
      </c>
      <c r="T171" s="44" t="str">
        <f>G!BC139</f>
        <v/>
      </c>
      <c r="U171" s="44" t="str">
        <f>G!BB139</f>
        <v>--</v>
      </c>
      <c r="V171" s="44"/>
      <c r="W171" s="35" t="str">
        <f>G!BE139</f>
        <v/>
      </c>
      <c r="X171" s="44" t="str">
        <f>G!BD139</f>
        <v>--</v>
      </c>
      <c r="Y171" s="35" t="str">
        <f>G!BF139</f>
        <v/>
      </c>
      <c r="Z171" s="35" t="str">
        <f>G!BG139</f>
        <v/>
      </c>
      <c r="AA171" s="44"/>
      <c r="AE171" s="72">
        <f t="shared" si="5"/>
        <v>1</v>
      </c>
    </row>
    <row r="172" spans="1:31" ht="9" hidden="1" customHeight="1" x14ac:dyDescent="0.15">
      <c r="A172" s="195" t="str">
        <f>F!A140</f>
        <v>3,4-dichloorfenol</v>
      </c>
      <c r="B172" s="195"/>
      <c r="C172" s="195"/>
      <c r="D172" s="44" t="str">
        <f>G!AQ140</f>
        <v/>
      </c>
      <c r="E172" s="44" t="str">
        <f>G!AP140</f>
        <v>--</v>
      </c>
      <c r="G172" s="35" t="str">
        <f>G!AS140</f>
        <v/>
      </c>
      <c r="H172" s="44" t="str">
        <f>G!AR140</f>
        <v>--</v>
      </c>
      <c r="I172" s="35" t="str">
        <f>G!AT140</f>
        <v/>
      </c>
      <c r="J172" s="35" t="str">
        <f>G!AU140</f>
        <v/>
      </c>
      <c r="L172" s="44" t="str">
        <f>G!AW140</f>
        <v/>
      </c>
      <c r="M172" s="44" t="str">
        <f>G!AV140</f>
        <v>--</v>
      </c>
      <c r="O172" s="35" t="str">
        <f>G!AY140</f>
        <v/>
      </c>
      <c r="P172" s="44" t="str">
        <f>G!AX140</f>
        <v>--</v>
      </c>
      <c r="Q172" s="35" t="str">
        <f>G!AZ140</f>
        <v/>
      </c>
      <c r="R172" s="35" t="str">
        <f>G!BA140</f>
        <v/>
      </c>
      <c r="T172" s="44" t="str">
        <f>G!BC140</f>
        <v/>
      </c>
      <c r="U172" s="44" t="str">
        <f>G!BB140</f>
        <v>--</v>
      </c>
      <c r="V172" s="44"/>
      <c r="W172" s="35" t="str">
        <f>G!BE140</f>
        <v/>
      </c>
      <c r="X172" s="44" t="str">
        <f>G!BD140</f>
        <v>--</v>
      </c>
      <c r="Y172" s="35" t="str">
        <f>G!BF140</f>
        <v/>
      </c>
      <c r="Z172" s="35" t="str">
        <f>G!BG140</f>
        <v/>
      </c>
      <c r="AA172" s="44"/>
      <c r="AE172" s="72">
        <f t="shared" si="5"/>
        <v>1</v>
      </c>
    </row>
    <row r="173" spans="1:31" ht="9" hidden="1" customHeight="1" x14ac:dyDescent="0.15">
      <c r="A173" s="195" t="str">
        <f>F!A141</f>
        <v>3,5-dichloorfenol</v>
      </c>
      <c r="B173" s="195"/>
      <c r="C173" s="195"/>
      <c r="D173" s="44" t="str">
        <f>G!AQ141</f>
        <v/>
      </c>
      <c r="E173" s="44" t="str">
        <f>G!AP141</f>
        <v>--</v>
      </c>
      <c r="G173" s="35" t="str">
        <f>G!AS141</f>
        <v/>
      </c>
      <c r="H173" s="44" t="str">
        <f>G!AR141</f>
        <v>--</v>
      </c>
      <c r="I173" s="35" t="str">
        <f>G!AT141</f>
        <v/>
      </c>
      <c r="J173" s="35" t="str">
        <f>G!AU141</f>
        <v/>
      </c>
      <c r="L173" s="44" t="str">
        <f>G!AW141</f>
        <v/>
      </c>
      <c r="M173" s="44" t="str">
        <f>G!AV141</f>
        <v>--</v>
      </c>
      <c r="O173" s="35" t="str">
        <f>G!AY141</f>
        <v/>
      </c>
      <c r="P173" s="44" t="str">
        <f>G!AX141</f>
        <v>--</v>
      </c>
      <c r="Q173" s="35" t="str">
        <f>G!AZ141</f>
        <v/>
      </c>
      <c r="R173" s="35" t="str">
        <f>G!BA141</f>
        <v/>
      </c>
      <c r="T173" s="44" t="str">
        <f>G!BC141</f>
        <v/>
      </c>
      <c r="U173" s="44" t="str">
        <f>G!BB141</f>
        <v>--</v>
      </c>
      <c r="V173" s="44"/>
      <c r="W173" s="35" t="str">
        <f>G!BE141</f>
        <v/>
      </c>
      <c r="X173" s="44" t="str">
        <f>G!BD141</f>
        <v>--</v>
      </c>
      <c r="Y173" s="35" t="str">
        <f>G!BF141</f>
        <v/>
      </c>
      <c r="Z173" s="35" t="str">
        <f>G!BG141</f>
        <v/>
      </c>
      <c r="AA173" s="44"/>
      <c r="AE173" s="72">
        <f t="shared" si="5"/>
        <v>1</v>
      </c>
    </row>
    <row r="174" spans="1:31" ht="9" hidden="1" customHeight="1" x14ac:dyDescent="0.15">
      <c r="A174" s="195" t="str">
        <f>F!A142</f>
        <v>Dichloorfenolen (som)</v>
      </c>
      <c r="B174" s="195"/>
      <c r="C174" s="195"/>
      <c r="D174" s="44" t="str">
        <f>G!AQ142</f>
        <v/>
      </c>
      <c r="E174" s="44" t="str">
        <f>G!AP142</f>
        <v>--</v>
      </c>
      <c r="G174" s="35" t="str">
        <f>G!AS142</f>
        <v/>
      </c>
      <c r="H174" s="44" t="str">
        <f>G!AR142</f>
        <v>--</v>
      </c>
      <c r="I174" s="35" t="str">
        <f>G!AT142</f>
        <v/>
      </c>
      <c r="J174" s="35" t="str">
        <f>G!AU142</f>
        <v/>
      </c>
      <c r="L174" s="44" t="str">
        <f>G!AW142</f>
        <v/>
      </c>
      <c r="M174" s="44" t="str">
        <f>G!AV142</f>
        <v>--</v>
      </c>
      <c r="O174" s="35" t="str">
        <f>G!AY142</f>
        <v/>
      </c>
      <c r="P174" s="44" t="str">
        <f>G!AX142</f>
        <v>--</v>
      </c>
      <c r="Q174" s="35" t="str">
        <f>G!AZ142</f>
        <v/>
      </c>
      <c r="R174" s="35" t="str">
        <f>G!BA142</f>
        <v/>
      </c>
      <c r="T174" s="44" t="str">
        <f>G!BC142</f>
        <v/>
      </c>
      <c r="U174" s="44" t="str">
        <f>G!BB142</f>
        <v>--</v>
      </c>
      <c r="V174" s="44"/>
      <c r="W174" s="35" t="str">
        <f>G!BE142</f>
        <v/>
      </c>
      <c r="X174" s="44" t="str">
        <f>G!BD142</f>
        <v>--</v>
      </c>
      <c r="Y174" s="35" t="str">
        <f>G!BF142</f>
        <v/>
      </c>
      <c r="Z174" s="35" t="str">
        <f>G!BG142</f>
        <v/>
      </c>
      <c r="AA174" s="44"/>
      <c r="AE174" s="72">
        <f t="shared" si="5"/>
        <v>1</v>
      </c>
    </row>
    <row r="175" spans="1:31" ht="9" hidden="1" customHeight="1" x14ac:dyDescent="0.15">
      <c r="A175" s="195" t="str">
        <f>F!A143</f>
        <v>2,3,4,5-tetrachloorfenol</v>
      </c>
      <c r="B175" s="195"/>
      <c r="C175" s="195"/>
      <c r="D175" s="44" t="str">
        <f>G!AQ143</f>
        <v/>
      </c>
      <c r="E175" s="44" t="str">
        <f>G!AP143</f>
        <v>--</v>
      </c>
      <c r="G175" s="35" t="str">
        <f>G!AS143</f>
        <v/>
      </c>
      <c r="H175" s="44" t="str">
        <f>G!AR143</f>
        <v>--</v>
      </c>
      <c r="I175" s="35" t="str">
        <f>G!AT143</f>
        <v/>
      </c>
      <c r="J175" s="35" t="str">
        <f>G!AU143</f>
        <v/>
      </c>
      <c r="L175" s="44" t="str">
        <f>G!AW143</f>
        <v/>
      </c>
      <c r="M175" s="44" t="str">
        <f>G!AV143</f>
        <v>--</v>
      </c>
      <c r="O175" s="35" t="str">
        <f>G!AY143</f>
        <v/>
      </c>
      <c r="P175" s="44" t="str">
        <f>G!AX143</f>
        <v>--</v>
      </c>
      <c r="Q175" s="35" t="str">
        <f>G!AZ143</f>
        <v/>
      </c>
      <c r="R175" s="35" t="str">
        <f>G!BA143</f>
        <v/>
      </c>
      <c r="T175" s="44" t="str">
        <f>G!BC143</f>
        <v/>
      </c>
      <c r="U175" s="44" t="str">
        <f>G!BB143</f>
        <v>--</v>
      </c>
      <c r="V175" s="44"/>
      <c r="W175" s="35" t="str">
        <f>G!BE143</f>
        <v/>
      </c>
      <c r="X175" s="44" t="str">
        <f>G!BD143</f>
        <v>--</v>
      </c>
      <c r="Y175" s="35" t="str">
        <f>G!BF143</f>
        <v/>
      </c>
      <c r="Z175" s="35" t="str">
        <f>G!BG143</f>
        <v/>
      </c>
      <c r="AA175" s="44"/>
      <c r="AE175" s="72">
        <f t="shared" si="5"/>
        <v>1</v>
      </c>
    </row>
    <row r="176" spans="1:31" ht="9" hidden="1" customHeight="1" x14ac:dyDescent="0.15">
      <c r="A176" s="195" t="str">
        <f>F!A144</f>
        <v>2,3,4,6-tetrachloorfenol</v>
      </c>
      <c r="B176" s="195"/>
      <c r="C176" s="195"/>
      <c r="D176" s="44" t="str">
        <f>G!AQ144</f>
        <v/>
      </c>
      <c r="E176" s="44" t="str">
        <f>G!AP144</f>
        <v>--</v>
      </c>
      <c r="G176" s="35" t="str">
        <f>G!AS144</f>
        <v/>
      </c>
      <c r="H176" s="44" t="str">
        <f>G!AR144</f>
        <v>--</v>
      </c>
      <c r="I176" s="35" t="str">
        <f>G!AT144</f>
        <v/>
      </c>
      <c r="J176" s="35" t="str">
        <f>G!AU144</f>
        <v/>
      </c>
      <c r="L176" s="44" t="str">
        <f>G!AW144</f>
        <v/>
      </c>
      <c r="M176" s="44" t="str">
        <f>G!AV144</f>
        <v>--</v>
      </c>
      <c r="O176" s="35" t="str">
        <f>G!AY144</f>
        <v/>
      </c>
      <c r="P176" s="44" t="str">
        <f>G!AX144</f>
        <v>--</v>
      </c>
      <c r="Q176" s="35" t="str">
        <f>G!AZ144</f>
        <v/>
      </c>
      <c r="R176" s="35" t="str">
        <f>G!BA144</f>
        <v/>
      </c>
      <c r="T176" s="44" t="str">
        <f>G!BC144</f>
        <v/>
      </c>
      <c r="U176" s="44" t="str">
        <f>G!BB144</f>
        <v>--</v>
      </c>
      <c r="V176" s="44"/>
      <c r="W176" s="35" t="str">
        <f>G!BE144</f>
        <v/>
      </c>
      <c r="X176" s="44" t="str">
        <f>G!BD144</f>
        <v>--</v>
      </c>
      <c r="Y176" s="35" t="str">
        <f>G!BF144</f>
        <v/>
      </c>
      <c r="Z176" s="35" t="str">
        <f>G!BG144</f>
        <v/>
      </c>
      <c r="AA176" s="44"/>
      <c r="AE176" s="72">
        <f t="shared" si="5"/>
        <v>1</v>
      </c>
    </row>
    <row r="177" spans="1:31" ht="9" hidden="1" customHeight="1" x14ac:dyDescent="0.15">
      <c r="A177" s="195" t="str">
        <f>F!A145</f>
        <v>2,3,5,6-tetrachloorfenol</v>
      </c>
      <c r="B177" s="195"/>
      <c r="C177" s="195"/>
      <c r="D177" s="44" t="str">
        <f>G!AQ145</f>
        <v/>
      </c>
      <c r="E177" s="44" t="str">
        <f>G!AP145</f>
        <v>--</v>
      </c>
      <c r="G177" s="35" t="str">
        <f>G!AS145</f>
        <v/>
      </c>
      <c r="H177" s="44" t="str">
        <f>G!AR145</f>
        <v>--</v>
      </c>
      <c r="I177" s="35" t="str">
        <f>G!AT145</f>
        <v/>
      </c>
      <c r="J177" s="35" t="str">
        <f>G!AU145</f>
        <v/>
      </c>
      <c r="L177" s="44" t="str">
        <f>G!AW145</f>
        <v/>
      </c>
      <c r="M177" s="44" t="str">
        <f>G!AV145</f>
        <v>--</v>
      </c>
      <c r="O177" s="35" t="str">
        <f>G!AY145</f>
        <v/>
      </c>
      <c r="P177" s="44" t="str">
        <f>G!AX145</f>
        <v>--</v>
      </c>
      <c r="Q177" s="35" t="str">
        <f>G!AZ145</f>
        <v/>
      </c>
      <c r="R177" s="35" t="str">
        <f>G!BA145</f>
        <v/>
      </c>
      <c r="T177" s="44" t="str">
        <f>G!BC145</f>
        <v/>
      </c>
      <c r="U177" s="44" t="str">
        <f>G!BB145</f>
        <v>--</v>
      </c>
      <c r="V177" s="44"/>
      <c r="W177" s="35" t="str">
        <f>G!BE145</f>
        <v/>
      </c>
      <c r="X177" s="44" t="str">
        <f>G!BD145</f>
        <v>--</v>
      </c>
      <c r="Y177" s="35" t="str">
        <f>G!BF145</f>
        <v/>
      </c>
      <c r="Z177" s="35" t="str">
        <f>G!BG145</f>
        <v/>
      </c>
      <c r="AA177" s="44"/>
      <c r="AE177" s="72">
        <f t="shared" si="5"/>
        <v>1</v>
      </c>
    </row>
    <row r="178" spans="1:31" ht="9" hidden="1" customHeight="1" x14ac:dyDescent="0.15">
      <c r="A178" s="195" t="str">
        <f>F!A146</f>
        <v>Tetrachloorfenolen (som)</v>
      </c>
      <c r="B178" s="195"/>
      <c r="C178" s="195"/>
      <c r="D178" s="44" t="str">
        <f>G!AQ146</f>
        <v/>
      </c>
      <c r="E178" s="44" t="str">
        <f>G!AP146</f>
        <v>--</v>
      </c>
      <c r="G178" s="35" t="str">
        <f>G!AS146</f>
        <v/>
      </c>
      <c r="H178" s="44" t="str">
        <f>G!AR146</f>
        <v>--</v>
      </c>
      <c r="I178" s="35" t="str">
        <f>G!AT146</f>
        <v/>
      </c>
      <c r="J178" s="35" t="str">
        <f>G!AU146</f>
        <v/>
      </c>
      <c r="L178" s="44" t="str">
        <f>G!AW146</f>
        <v/>
      </c>
      <c r="M178" s="44" t="str">
        <f>G!AV146</f>
        <v>--</v>
      </c>
      <c r="O178" s="35" t="str">
        <f>G!AY146</f>
        <v/>
      </c>
      <c r="P178" s="44" t="str">
        <f>G!AX146</f>
        <v>--</v>
      </c>
      <c r="Q178" s="35" t="str">
        <f>G!AZ146</f>
        <v/>
      </c>
      <c r="R178" s="35" t="str">
        <f>G!BA146</f>
        <v/>
      </c>
      <c r="T178" s="44" t="str">
        <f>G!BC146</f>
        <v/>
      </c>
      <c r="U178" s="44" t="str">
        <f>G!BB146</f>
        <v>--</v>
      </c>
      <c r="V178" s="44"/>
      <c r="W178" s="35" t="str">
        <f>G!BE146</f>
        <v/>
      </c>
      <c r="X178" s="44" t="str">
        <f>G!BD146</f>
        <v>--</v>
      </c>
      <c r="Y178" s="35" t="str">
        <f>G!BF146</f>
        <v/>
      </c>
      <c r="Z178" s="35" t="str">
        <f>G!BG146</f>
        <v/>
      </c>
      <c r="AA178" s="44"/>
      <c r="AE178" s="72">
        <f t="shared" si="5"/>
        <v>1</v>
      </c>
    </row>
    <row r="179" spans="1:31" ht="9" hidden="1" customHeight="1" x14ac:dyDescent="0.15">
      <c r="A179" s="195" t="str">
        <f>F!A147</f>
        <v>Pentachloorfenol</v>
      </c>
      <c r="B179" s="195"/>
      <c r="C179" s="195"/>
      <c r="D179" s="44" t="str">
        <f>G!AQ147</f>
        <v/>
      </c>
      <c r="E179" s="44" t="str">
        <f>G!AP147</f>
        <v>--</v>
      </c>
      <c r="G179" s="35" t="str">
        <f>G!AS147</f>
        <v/>
      </c>
      <c r="H179" s="44" t="str">
        <f>G!AR147</f>
        <v>--</v>
      </c>
      <c r="I179" s="35" t="str">
        <f>G!AT147</f>
        <v/>
      </c>
      <c r="J179" s="35" t="str">
        <f>G!AU147</f>
        <v/>
      </c>
      <c r="L179" s="44" t="str">
        <f>G!AW147</f>
        <v/>
      </c>
      <c r="M179" s="44" t="str">
        <f>G!AV147</f>
        <v>--</v>
      </c>
      <c r="O179" s="35" t="str">
        <f>G!AY147</f>
        <v/>
      </c>
      <c r="P179" s="44" t="str">
        <f>G!AX147</f>
        <v>--</v>
      </c>
      <c r="Q179" s="35" t="str">
        <f>G!AZ147</f>
        <v/>
      </c>
      <c r="R179" s="35" t="str">
        <f>G!BA147</f>
        <v/>
      </c>
      <c r="T179" s="44" t="str">
        <f>G!BC147</f>
        <v/>
      </c>
      <c r="U179" s="44" t="str">
        <f>G!BB147</f>
        <v>--</v>
      </c>
      <c r="V179" s="44"/>
      <c r="W179" s="35" t="str">
        <f>G!BE147</f>
        <v/>
      </c>
      <c r="X179" s="44" t="str">
        <f>G!BD147</f>
        <v>--</v>
      </c>
      <c r="Y179" s="35" t="str">
        <f>G!BF147</f>
        <v/>
      </c>
      <c r="Z179" s="35" t="str">
        <f>G!BG147</f>
        <v/>
      </c>
      <c r="AA179" s="44"/>
      <c r="AE179" s="72">
        <f t="shared" si="5"/>
        <v>1</v>
      </c>
    </row>
    <row r="180" spans="1:31" ht="9" hidden="1" customHeight="1" x14ac:dyDescent="0.15">
      <c r="A180" s="195" t="str">
        <f>F!A148</f>
        <v>Chloorfenolen (som)</v>
      </c>
      <c r="B180" s="195"/>
      <c r="C180" s="195"/>
      <c r="D180" s="44" t="str">
        <f>G!AQ148</f>
        <v/>
      </c>
      <c r="E180" s="44" t="str">
        <f>G!AP148</f>
        <v>--</v>
      </c>
      <c r="G180" s="35" t="str">
        <f>G!AS148</f>
        <v/>
      </c>
      <c r="H180" s="44" t="str">
        <f>G!AR148</f>
        <v>--</v>
      </c>
      <c r="I180" s="35" t="str">
        <f>G!AT148</f>
        <v/>
      </c>
      <c r="J180" s="35" t="str">
        <f>G!AU148</f>
        <v/>
      </c>
      <c r="L180" s="44" t="str">
        <f>G!AW148</f>
        <v/>
      </c>
      <c r="M180" s="44" t="str">
        <f>G!AV148</f>
        <v>--</v>
      </c>
      <c r="O180" s="35" t="str">
        <f>G!AY148</f>
        <v/>
      </c>
      <c r="P180" s="44" t="str">
        <f>G!AX148</f>
        <v>--</v>
      </c>
      <c r="Q180" s="35" t="str">
        <f>G!AZ148</f>
        <v/>
      </c>
      <c r="R180" s="35" t="str">
        <f>G!BA148</f>
        <v/>
      </c>
      <c r="T180" s="44" t="str">
        <f>G!BC148</f>
        <v/>
      </c>
      <c r="U180" s="44" t="str">
        <f>G!BB148</f>
        <v>--</v>
      </c>
      <c r="V180" s="44"/>
      <c r="W180" s="35" t="str">
        <f>G!BE148</f>
        <v/>
      </c>
      <c r="X180" s="44" t="str">
        <f>G!BD148</f>
        <v>--</v>
      </c>
      <c r="Y180" s="35" t="str">
        <f>G!BF148</f>
        <v/>
      </c>
      <c r="Z180" s="35" t="str">
        <f>G!BG148</f>
        <v/>
      </c>
      <c r="AA180" s="44"/>
      <c r="AE180" s="72">
        <f t="shared" si="5"/>
        <v>1</v>
      </c>
    </row>
    <row r="181" spans="1:31" ht="3.95" hidden="1" customHeight="1" x14ac:dyDescent="0.15">
      <c r="A181" s="41"/>
      <c r="B181" s="41"/>
      <c r="C181" s="41"/>
      <c r="D181" s="44"/>
      <c r="E181" s="44"/>
      <c r="H181" s="44"/>
      <c r="L181" s="44"/>
      <c r="M181" s="44"/>
      <c r="P181" s="44"/>
      <c r="T181" s="44"/>
      <c r="U181" s="44"/>
      <c r="V181" s="44"/>
      <c r="X181" s="44"/>
      <c r="Z181" s="44"/>
      <c r="AA181" s="44"/>
      <c r="AE181" s="94">
        <f>AE182</f>
        <v>1</v>
      </c>
    </row>
    <row r="182" spans="1:31" ht="9" hidden="1" customHeight="1" x14ac:dyDescent="0.15">
      <c r="A182" s="198" t="str">
        <f>IF(COUNTIF(F!D149:D188,131)&gt;0,"Chloorbestrijdingsmiddelen (µg/kgds)","Chloorbestrijdingsmiddelen (mg/kgds)")</f>
        <v>Chloorbestrijdingsmiddelen (mg/kgds)</v>
      </c>
      <c r="B182" s="198"/>
      <c r="C182" s="198"/>
      <c r="D182" s="198"/>
      <c r="E182" s="198"/>
      <c r="F182" s="198"/>
      <c r="G182" s="198"/>
      <c r="H182" s="198"/>
      <c r="I182" s="198"/>
      <c r="J182" s="198"/>
      <c r="K182" s="198"/>
      <c r="L182" s="198"/>
      <c r="M182" s="198"/>
      <c r="N182" s="198"/>
      <c r="O182" s="198"/>
      <c r="P182" s="198"/>
      <c r="Q182" s="198"/>
      <c r="R182" s="198"/>
      <c r="S182" s="198"/>
      <c r="T182" s="198"/>
      <c r="U182" s="198"/>
      <c r="V182" s="198"/>
      <c r="W182" s="198"/>
      <c r="X182" s="198"/>
      <c r="Y182" s="198"/>
      <c r="Z182" s="198"/>
      <c r="AA182" s="198"/>
      <c r="AE182" s="94">
        <f>IF(COUNTIF(AE183:AE222,1)=COUNT(AE183:AE222),1,0)</f>
        <v>1</v>
      </c>
    </row>
    <row r="183" spans="1:31" ht="9" hidden="1" customHeight="1" x14ac:dyDescent="0.15">
      <c r="A183" s="195" t="str">
        <f>F!A149</f>
        <v>o,p-DDT</v>
      </c>
      <c r="B183" s="195"/>
      <c r="C183" s="195"/>
      <c r="D183" s="44" t="str">
        <f>G!AQ149</f>
        <v/>
      </c>
      <c r="E183" s="44" t="str">
        <f>G!AP149</f>
        <v>--</v>
      </c>
      <c r="G183" s="35" t="str">
        <f>G!AS149</f>
        <v/>
      </c>
      <c r="H183" s="44" t="str">
        <f>G!AR149</f>
        <v>--</v>
      </c>
      <c r="I183" s="35" t="str">
        <f>G!AT149</f>
        <v/>
      </c>
      <c r="J183" s="35" t="str">
        <f>G!AU149</f>
        <v/>
      </c>
      <c r="L183" s="44" t="str">
        <f>G!AW149</f>
        <v/>
      </c>
      <c r="M183" s="44" t="str">
        <f>G!AV149</f>
        <v>--</v>
      </c>
      <c r="O183" s="35" t="str">
        <f>G!AY149</f>
        <v/>
      </c>
      <c r="P183" s="44" t="str">
        <f>G!AX149</f>
        <v>--</v>
      </c>
      <c r="Q183" s="35" t="str">
        <f>G!AZ149</f>
        <v/>
      </c>
      <c r="R183" s="35" t="str">
        <f>G!BA149</f>
        <v/>
      </c>
      <c r="T183" s="44" t="str">
        <f>G!BC149</f>
        <v/>
      </c>
      <c r="U183" s="44" t="str">
        <f>G!BB149</f>
        <v>--</v>
      </c>
      <c r="V183" s="44"/>
      <c r="W183" s="35" t="str">
        <f>G!BE149</f>
        <v/>
      </c>
      <c r="X183" s="44" t="str">
        <f>G!BD149</f>
        <v>--</v>
      </c>
      <c r="Y183" s="35" t="str">
        <f>G!BF149</f>
        <v/>
      </c>
      <c r="Z183" s="35" t="str">
        <f>G!BG149</f>
        <v/>
      </c>
      <c r="AA183" s="44"/>
      <c r="AE183" s="72">
        <f t="shared" si="5"/>
        <v>1</v>
      </c>
    </row>
    <row r="184" spans="1:31" ht="9" hidden="1" customHeight="1" x14ac:dyDescent="0.15">
      <c r="A184" s="195" t="str">
        <f>F!A150</f>
        <v>p,p-DDT</v>
      </c>
      <c r="B184" s="195"/>
      <c r="C184" s="195"/>
      <c r="D184" s="44" t="str">
        <f>G!AQ150</f>
        <v/>
      </c>
      <c r="E184" s="44" t="str">
        <f>G!AP150</f>
        <v>--</v>
      </c>
      <c r="G184" s="35" t="str">
        <f>G!AS150</f>
        <v/>
      </c>
      <c r="H184" s="44" t="str">
        <f>G!AR150</f>
        <v>--</v>
      </c>
      <c r="I184" s="35" t="str">
        <f>G!AT150</f>
        <v/>
      </c>
      <c r="J184" s="35" t="str">
        <f>G!AU150</f>
        <v/>
      </c>
      <c r="L184" s="44" t="str">
        <f>G!AW150</f>
        <v/>
      </c>
      <c r="M184" s="44" t="str">
        <f>G!AV150</f>
        <v>--</v>
      </c>
      <c r="O184" s="35" t="str">
        <f>G!AY150</f>
        <v/>
      </c>
      <c r="P184" s="44" t="str">
        <f>G!AX150</f>
        <v>--</v>
      </c>
      <c r="Q184" s="35" t="str">
        <f>G!AZ150</f>
        <v/>
      </c>
      <c r="R184" s="35" t="str">
        <f>G!BA150</f>
        <v/>
      </c>
      <c r="T184" s="44" t="str">
        <f>G!BC150</f>
        <v/>
      </c>
      <c r="U184" s="44" t="str">
        <f>G!BB150</f>
        <v>--</v>
      </c>
      <c r="V184" s="44"/>
      <c r="W184" s="35" t="str">
        <f>G!BE150</f>
        <v/>
      </c>
      <c r="X184" s="44" t="str">
        <f>G!BD150</f>
        <v>--</v>
      </c>
      <c r="Y184" s="35" t="str">
        <f>G!BF150</f>
        <v/>
      </c>
      <c r="Z184" s="35" t="str">
        <f>G!BG150</f>
        <v/>
      </c>
      <c r="AA184" s="44"/>
      <c r="AE184" s="72">
        <f t="shared" si="5"/>
        <v>1</v>
      </c>
    </row>
    <row r="185" spans="1:31" ht="9" hidden="1" customHeight="1" x14ac:dyDescent="0.15">
      <c r="A185" s="195" t="str">
        <f>F!A151</f>
        <v>Som DDT</v>
      </c>
      <c r="B185" s="195"/>
      <c r="C185" s="195"/>
      <c r="D185" s="44" t="str">
        <f>G!AQ151</f>
        <v/>
      </c>
      <c r="E185" s="44" t="str">
        <f>G!AP151</f>
        <v>--</v>
      </c>
      <c r="G185" s="35" t="str">
        <f>G!AS151</f>
        <v/>
      </c>
      <c r="H185" s="44" t="str">
        <f>G!AR151</f>
        <v>--</v>
      </c>
      <c r="I185" s="35" t="str">
        <f>G!AT151</f>
        <v/>
      </c>
      <c r="J185" s="35" t="str">
        <f>G!AU151</f>
        <v/>
      </c>
      <c r="L185" s="44" t="str">
        <f>G!AW151</f>
        <v/>
      </c>
      <c r="M185" s="44" t="str">
        <f>G!AV151</f>
        <v>--</v>
      </c>
      <c r="O185" s="35" t="str">
        <f>G!AY151</f>
        <v/>
      </c>
      <c r="P185" s="44" t="str">
        <f>G!AX151</f>
        <v>--</v>
      </c>
      <c r="Q185" s="35" t="str">
        <f>G!AZ151</f>
        <v/>
      </c>
      <c r="R185" s="35" t="str">
        <f>G!BA151</f>
        <v/>
      </c>
      <c r="T185" s="44" t="str">
        <f>G!BC151</f>
        <v/>
      </c>
      <c r="U185" s="44" t="str">
        <f>G!BB151</f>
        <v>--</v>
      </c>
      <c r="V185" s="44"/>
      <c r="W185" s="35" t="str">
        <f>G!BE151</f>
        <v/>
      </c>
      <c r="X185" s="44" t="str">
        <f>G!BD151</f>
        <v>--</v>
      </c>
      <c r="Y185" s="35" t="str">
        <f>G!BF151</f>
        <v/>
      </c>
      <c r="Z185" s="35" t="str">
        <f>G!BG151</f>
        <v/>
      </c>
      <c r="AA185" s="44"/>
      <c r="AE185" s="72">
        <f t="shared" si="5"/>
        <v>1</v>
      </c>
    </row>
    <row r="186" spans="1:31" ht="9" hidden="1" customHeight="1" x14ac:dyDescent="0.15">
      <c r="A186" s="195" t="str">
        <f>F!A152</f>
        <v>o,p-DDD</v>
      </c>
      <c r="B186" s="195"/>
      <c r="C186" s="195"/>
      <c r="D186" s="44" t="str">
        <f>G!AQ152</f>
        <v/>
      </c>
      <c r="E186" s="44" t="str">
        <f>G!AP152</f>
        <v>--</v>
      </c>
      <c r="G186" s="35" t="str">
        <f>G!AS152</f>
        <v/>
      </c>
      <c r="H186" s="44" t="str">
        <f>G!AR152</f>
        <v>--</v>
      </c>
      <c r="I186" s="35" t="str">
        <f>G!AT152</f>
        <v/>
      </c>
      <c r="J186" s="35" t="str">
        <f>G!AU152</f>
        <v/>
      </c>
      <c r="L186" s="44" t="str">
        <f>G!AW152</f>
        <v/>
      </c>
      <c r="M186" s="44" t="str">
        <f>G!AV152</f>
        <v>--</v>
      </c>
      <c r="O186" s="35" t="str">
        <f>G!AY152</f>
        <v/>
      </c>
      <c r="P186" s="44" t="str">
        <f>G!AX152</f>
        <v>--</v>
      </c>
      <c r="Q186" s="35" t="str">
        <f>G!AZ152</f>
        <v/>
      </c>
      <c r="R186" s="35" t="str">
        <f>G!BA152</f>
        <v/>
      </c>
      <c r="T186" s="44" t="str">
        <f>G!BC152</f>
        <v/>
      </c>
      <c r="U186" s="44" t="str">
        <f>G!BB152</f>
        <v>--</v>
      </c>
      <c r="V186" s="44"/>
      <c r="W186" s="35" t="str">
        <f>G!BE152</f>
        <v/>
      </c>
      <c r="X186" s="44" t="str">
        <f>G!BD152</f>
        <v>--</v>
      </c>
      <c r="Y186" s="35" t="str">
        <f>G!BF152</f>
        <v/>
      </c>
      <c r="Z186" s="35" t="str">
        <f>G!BG152</f>
        <v/>
      </c>
      <c r="AA186" s="44"/>
      <c r="AE186" s="72">
        <f t="shared" si="5"/>
        <v>1</v>
      </c>
    </row>
    <row r="187" spans="1:31" ht="9" hidden="1" customHeight="1" x14ac:dyDescent="0.15">
      <c r="A187" s="195" t="str">
        <f>F!A153</f>
        <v>p,p-DDD</v>
      </c>
      <c r="B187" s="195"/>
      <c r="C187" s="195"/>
      <c r="D187" s="44" t="str">
        <f>G!AQ153</f>
        <v/>
      </c>
      <c r="E187" s="44" t="str">
        <f>G!AP153</f>
        <v>--</v>
      </c>
      <c r="G187" s="35" t="str">
        <f>G!AS153</f>
        <v/>
      </c>
      <c r="H187" s="44" t="str">
        <f>G!AR153</f>
        <v>--</v>
      </c>
      <c r="I187" s="35" t="str">
        <f>G!AT153</f>
        <v/>
      </c>
      <c r="J187" s="35" t="str">
        <f>G!AU153</f>
        <v/>
      </c>
      <c r="L187" s="44" t="str">
        <f>G!AW153</f>
        <v/>
      </c>
      <c r="M187" s="44" t="str">
        <f>G!AV153</f>
        <v>--</v>
      </c>
      <c r="O187" s="35" t="str">
        <f>G!AY153</f>
        <v/>
      </c>
      <c r="P187" s="44" t="str">
        <f>G!AX153</f>
        <v>--</v>
      </c>
      <c r="Q187" s="35" t="str">
        <f>G!AZ153</f>
        <v/>
      </c>
      <c r="R187" s="35" t="str">
        <f>G!BA153</f>
        <v/>
      </c>
      <c r="T187" s="44" t="str">
        <f>G!BC153</f>
        <v/>
      </c>
      <c r="U187" s="44" t="str">
        <f>G!BB153</f>
        <v>--</v>
      </c>
      <c r="V187" s="44"/>
      <c r="W187" s="35" t="str">
        <f>G!BE153</f>
        <v/>
      </c>
      <c r="X187" s="44" t="str">
        <f>G!BD153</f>
        <v>--</v>
      </c>
      <c r="Y187" s="35" t="str">
        <f>G!BF153</f>
        <v/>
      </c>
      <c r="Z187" s="35" t="str">
        <f>G!BG153</f>
        <v/>
      </c>
      <c r="AA187" s="44"/>
      <c r="AE187" s="72">
        <f t="shared" si="5"/>
        <v>1</v>
      </c>
    </row>
    <row r="188" spans="1:31" ht="9" hidden="1" customHeight="1" x14ac:dyDescent="0.15">
      <c r="A188" s="195" t="str">
        <f>F!A154</f>
        <v>Som DDD</v>
      </c>
      <c r="B188" s="195"/>
      <c r="C188" s="195"/>
      <c r="D188" s="44" t="str">
        <f>G!AQ154</f>
        <v/>
      </c>
      <c r="E188" s="44" t="str">
        <f>G!AP154</f>
        <v>--</v>
      </c>
      <c r="G188" s="35" t="str">
        <f>G!AS154</f>
        <v/>
      </c>
      <c r="H188" s="44" t="str">
        <f>G!AR154</f>
        <v>--</v>
      </c>
      <c r="I188" s="35" t="str">
        <f>G!AT154</f>
        <v/>
      </c>
      <c r="J188" s="35" t="str">
        <f>G!AU154</f>
        <v/>
      </c>
      <c r="L188" s="44" t="str">
        <f>G!AW154</f>
        <v/>
      </c>
      <c r="M188" s="44" t="str">
        <f>G!AV154</f>
        <v>--</v>
      </c>
      <c r="O188" s="35" t="str">
        <f>G!AY154</f>
        <v/>
      </c>
      <c r="P188" s="44" t="str">
        <f>G!AX154</f>
        <v>--</v>
      </c>
      <c r="Q188" s="35" t="str">
        <f>G!AZ154</f>
        <v/>
      </c>
      <c r="R188" s="35" t="str">
        <f>G!BA154</f>
        <v/>
      </c>
      <c r="T188" s="44" t="str">
        <f>G!BC154</f>
        <v/>
      </c>
      <c r="U188" s="44" t="str">
        <f>G!BB154</f>
        <v>--</v>
      </c>
      <c r="V188" s="44"/>
      <c r="W188" s="35" t="str">
        <f>G!BE154</f>
        <v/>
      </c>
      <c r="X188" s="44" t="str">
        <f>G!BD154</f>
        <v>--</v>
      </c>
      <c r="Y188" s="35" t="str">
        <f>G!BF154</f>
        <v/>
      </c>
      <c r="Z188" s="35" t="str">
        <f>G!BG154</f>
        <v/>
      </c>
      <c r="AA188" s="44"/>
      <c r="AE188" s="72">
        <f t="shared" si="5"/>
        <v>1</v>
      </c>
    </row>
    <row r="189" spans="1:31" ht="9" hidden="1" customHeight="1" x14ac:dyDescent="0.15">
      <c r="A189" s="195" t="str">
        <f>F!A155</f>
        <v>o,p-DDE</v>
      </c>
      <c r="B189" s="195"/>
      <c r="C189" s="195"/>
      <c r="D189" s="44" t="str">
        <f>G!AQ155</f>
        <v/>
      </c>
      <c r="E189" s="44" t="str">
        <f>G!AP155</f>
        <v>--</v>
      </c>
      <c r="G189" s="35" t="str">
        <f>G!AS155</f>
        <v/>
      </c>
      <c r="H189" s="44" t="str">
        <f>G!AR155</f>
        <v>--</v>
      </c>
      <c r="I189" s="35" t="str">
        <f>G!AT155</f>
        <v/>
      </c>
      <c r="J189" s="35" t="str">
        <f>G!AU155</f>
        <v/>
      </c>
      <c r="L189" s="44" t="str">
        <f>G!AW155</f>
        <v/>
      </c>
      <c r="M189" s="44" t="str">
        <f>G!AV155</f>
        <v>--</v>
      </c>
      <c r="O189" s="35" t="str">
        <f>G!AY155</f>
        <v/>
      </c>
      <c r="P189" s="44" t="str">
        <f>G!AX155</f>
        <v>--</v>
      </c>
      <c r="Q189" s="35" t="str">
        <f>G!AZ155</f>
        <v/>
      </c>
      <c r="R189" s="35" t="str">
        <f>G!BA155</f>
        <v/>
      </c>
      <c r="T189" s="44" t="str">
        <f>G!BC155</f>
        <v/>
      </c>
      <c r="U189" s="44" t="str">
        <f>G!BB155</f>
        <v>--</v>
      </c>
      <c r="V189" s="44"/>
      <c r="W189" s="35" t="str">
        <f>G!BE155</f>
        <v/>
      </c>
      <c r="X189" s="44" t="str">
        <f>G!BD155</f>
        <v>--</v>
      </c>
      <c r="Y189" s="35" t="str">
        <f>G!BF155</f>
        <v/>
      </c>
      <c r="Z189" s="35" t="str">
        <f>G!BG155</f>
        <v/>
      </c>
      <c r="AA189" s="44"/>
      <c r="AE189" s="72">
        <f t="shared" si="5"/>
        <v>1</v>
      </c>
    </row>
    <row r="190" spans="1:31" ht="9" hidden="1" customHeight="1" x14ac:dyDescent="0.15">
      <c r="A190" s="195" t="str">
        <f>F!A156</f>
        <v>p,p-DDE</v>
      </c>
      <c r="B190" s="195"/>
      <c r="C190" s="195"/>
      <c r="D190" s="44" t="str">
        <f>G!AQ156</f>
        <v/>
      </c>
      <c r="E190" s="44" t="str">
        <f>G!AP156</f>
        <v>--</v>
      </c>
      <c r="G190" s="35" t="str">
        <f>G!AS156</f>
        <v/>
      </c>
      <c r="H190" s="44" t="str">
        <f>G!AR156</f>
        <v>--</v>
      </c>
      <c r="I190" s="35" t="str">
        <f>G!AT156</f>
        <v/>
      </c>
      <c r="J190" s="35" t="str">
        <f>G!AU156</f>
        <v/>
      </c>
      <c r="L190" s="44" t="str">
        <f>G!AW156</f>
        <v/>
      </c>
      <c r="M190" s="44" t="str">
        <f>G!AV156</f>
        <v>--</v>
      </c>
      <c r="O190" s="35" t="str">
        <f>G!AY156</f>
        <v/>
      </c>
      <c r="P190" s="44" t="str">
        <f>G!AX156</f>
        <v>--</v>
      </c>
      <c r="Q190" s="35" t="str">
        <f>G!AZ156</f>
        <v/>
      </c>
      <c r="R190" s="35" t="str">
        <f>G!BA156</f>
        <v/>
      </c>
      <c r="T190" s="44" t="str">
        <f>G!BC156</f>
        <v/>
      </c>
      <c r="U190" s="44" t="str">
        <f>G!BB156</f>
        <v>--</v>
      </c>
      <c r="V190" s="44"/>
      <c r="W190" s="35" t="str">
        <f>G!BE156</f>
        <v/>
      </c>
      <c r="X190" s="44" t="str">
        <f>G!BD156</f>
        <v>--</v>
      </c>
      <c r="Y190" s="35" t="str">
        <f>G!BF156</f>
        <v/>
      </c>
      <c r="Z190" s="35" t="str">
        <f>G!BG156</f>
        <v/>
      </c>
      <c r="AA190" s="44"/>
      <c r="AE190" s="72">
        <f t="shared" si="5"/>
        <v>1</v>
      </c>
    </row>
    <row r="191" spans="1:31" ht="9" hidden="1" customHeight="1" x14ac:dyDescent="0.15">
      <c r="A191" s="195" t="str">
        <f>F!A157</f>
        <v>Som DDE</v>
      </c>
      <c r="B191" s="195"/>
      <c r="C191" s="195"/>
      <c r="D191" s="44" t="str">
        <f>G!AQ157</f>
        <v/>
      </c>
      <c r="E191" s="44" t="str">
        <f>G!AP157</f>
        <v>--</v>
      </c>
      <c r="G191" s="35" t="str">
        <f>G!AS157</f>
        <v/>
      </c>
      <c r="H191" s="44" t="str">
        <f>G!AR157</f>
        <v>--</v>
      </c>
      <c r="I191" s="35" t="str">
        <f>G!AT157</f>
        <v/>
      </c>
      <c r="J191" s="35" t="str">
        <f>G!AU157</f>
        <v/>
      </c>
      <c r="L191" s="44" t="str">
        <f>G!AW157</f>
        <v/>
      </c>
      <c r="M191" s="44" t="str">
        <f>G!AV157</f>
        <v>--</v>
      </c>
      <c r="O191" s="35" t="str">
        <f>G!AY157</f>
        <v/>
      </c>
      <c r="P191" s="44" t="str">
        <f>G!AX157</f>
        <v>--</v>
      </c>
      <c r="Q191" s="35" t="str">
        <f>G!AZ157</f>
        <v/>
      </c>
      <c r="R191" s="35" t="str">
        <f>G!BA157</f>
        <v/>
      </c>
      <c r="T191" s="44" t="str">
        <f>G!BC157</f>
        <v/>
      </c>
      <c r="U191" s="44" t="str">
        <f>G!BB157</f>
        <v>--</v>
      </c>
      <c r="V191" s="44"/>
      <c r="W191" s="35" t="str">
        <f>G!BE157</f>
        <v/>
      </c>
      <c r="X191" s="44" t="str">
        <f>G!BD157</f>
        <v>--</v>
      </c>
      <c r="Y191" s="35" t="str">
        <f>G!BF157</f>
        <v/>
      </c>
      <c r="Z191" s="35" t="str">
        <f>G!BG157</f>
        <v/>
      </c>
      <c r="AA191" s="44"/>
      <c r="AE191" s="72">
        <f t="shared" ref="AE191:AE214" si="6">IF(AND(E191="--",M191="--",U191="--"),1,0)</f>
        <v>1</v>
      </c>
    </row>
    <row r="192" spans="1:31" ht="9" hidden="1" customHeight="1" x14ac:dyDescent="0.15">
      <c r="A192" s="195" t="str">
        <f>F!A158</f>
        <v>Som DDT,DDE,DDD</v>
      </c>
      <c r="B192" s="195"/>
      <c r="C192" s="195"/>
      <c r="D192" s="44" t="str">
        <f>G!AQ158</f>
        <v/>
      </c>
      <c r="E192" s="44" t="str">
        <f>G!AP158</f>
        <v>--</v>
      </c>
      <c r="G192" s="35" t="str">
        <f>G!AS158</f>
        <v/>
      </c>
      <c r="H192" s="44" t="str">
        <f>G!AR158</f>
        <v>--</v>
      </c>
      <c r="I192" s="35" t="str">
        <f>G!AT158</f>
        <v/>
      </c>
      <c r="J192" s="35" t="str">
        <f>G!AU158</f>
        <v/>
      </c>
      <c r="L192" s="44" t="str">
        <f>G!AW158</f>
        <v/>
      </c>
      <c r="M192" s="44" t="str">
        <f>G!AV158</f>
        <v>--</v>
      </c>
      <c r="O192" s="35" t="str">
        <f>G!AY158</f>
        <v/>
      </c>
      <c r="P192" s="44" t="str">
        <f>G!AX158</f>
        <v>--</v>
      </c>
      <c r="Q192" s="35" t="str">
        <f>G!AZ158</f>
        <v/>
      </c>
      <c r="R192" s="35" t="str">
        <f>G!BA158</f>
        <v/>
      </c>
      <c r="T192" s="44" t="str">
        <f>G!BC158</f>
        <v/>
      </c>
      <c r="U192" s="44" t="str">
        <f>G!BB158</f>
        <v>--</v>
      </c>
      <c r="V192" s="44"/>
      <c r="W192" s="35" t="str">
        <f>G!BE158</f>
        <v/>
      </c>
      <c r="X192" s="44" t="str">
        <f>G!BD158</f>
        <v>--</v>
      </c>
      <c r="Y192" s="35" t="str">
        <f>G!BF158</f>
        <v/>
      </c>
      <c r="Z192" s="35" t="str">
        <f>G!BG158</f>
        <v/>
      </c>
      <c r="AA192" s="44"/>
      <c r="AE192" s="72">
        <f t="shared" si="6"/>
        <v>1</v>
      </c>
    </row>
    <row r="193" spans="1:31" ht="9" hidden="1" customHeight="1" x14ac:dyDescent="0.15">
      <c r="A193" s="195" t="str">
        <f>F!A159</f>
        <v>Aldrin</v>
      </c>
      <c r="B193" s="195"/>
      <c r="C193" s="195"/>
      <c r="D193" s="44" t="str">
        <f>G!AQ159</f>
        <v/>
      </c>
      <c r="E193" s="44" t="str">
        <f>G!AP159</f>
        <v>--</v>
      </c>
      <c r="G193" s="35" t="str">
        <f>G!AS159</f>
        <v/>
      </c>
      <c r="H193" s="44" t="str">
        <f>G!AR159</f>
        <v>--</v>
      </c>
      <c r="I193" s="35" t="str">
        <f>G!AT159</f>
        <v/>
      </c>
      <c r="J193" s="35" t="str">
        <f>G!AU159</f>
        <v/>
      </c>
      <c r="L193" s="44" t="str">
        <f>G!AW159</f>
        <v/>
      </c>
      <c r="M193" s="44" t="str">
        <f>G!AV159</f>
        <v>--</v>
      </c>
      <c r="O193" s="35" t="str">
        <f>G!AY159</f>
        <v/>
      </c>
      <c r="P193" s="44" t="str">
        <f>G!AX159</f>
        <v>--</v>
      </c>
      <c r="Q193" s="35" t="str">
        <f>G!AZ159</f>
        <v/>
      </c>
      <c r="R193" s="35" t="str">
        <f>G!BA159</f>
        <v/>
      </c>
      <c r="T193" s="44" t="str">
        <f>G!BC159</f>
        <v/>
      </c>
      <c r="U193" s="44" t="str">
        <f>G!BB159</f>
        <v>--</v>
      </c>
      <c r="V193" s="44"/>
      <c r="W193" s="35" t="str">
        <f>G!BE159</f>
        <v/>
      </c>
      <c r="X193" s="44" t="str">
        <f>G!BD159</f>
        <v>--</v>
      </c>
      <c r="Y193" s="35" t="str">
        <f>G!BF159</f>
        <v/>
      </c>
      <c r="Z193" s="35" t="str">
        <f>G!BG159</f>
        <v/>
      </c>
      <c r="AA193" s="44"/>
      <c r="AE193" s="72">
        <f t="shared" si="6"/>
        <v>1</v>
      </c>
    </row>
    <row r="194" spans="1:31" ht="9" hidden="1" customHeight="1" x14ac:dyDescent="0.15">
      <c r="A194" s="195" t="str">
        <f>F!A160</f>
        <v>Dieldrin</v>
      </c>
      <c r="B194" s="195"/>
      <c r="C194" s="195"/>
      <c r="D194" s="44" t="str">
        <f>G!AQ160</f>
        <v/>
      </c>
      <c r="E194" s="44" t="str">
        <f>G!AP160</f>
        <v>--</v>
      </c>
      <c r="G194" s="35" t="str">
        <f>G!AS160</f>
        <v/>
      </c>
      <c r="H194" s="44" t="str">
        <f>G!AR160</f>
        <v>--</v>
      </c>
      <c r="I194" s="35" t="str">
        <f>G!AT160</f>
        <v/>
      </c>
      <c r="J194" s="35" t="str">
        <f>G!AU160</f>
        <v/>
      </c>
      <c r="L194" s="44" t="str">
        <f>G!AW160</f>
        <v/>
      </c>
      <c r="M194" s="44" t="str">
        <f>G!AV160</f>
        <v>--</v>
      </c>
      <c r="O194" s="35" t="str">
        <f>G!AY160</f>
        <v/>
      </c>
      <c r="P194" s="44" t="str">
        <f>G!AX160</f>
        <v>--</v>
      </c>
      <c r="Q194" s="35" t="str">
        <f>G!AZ160</f>
        <v/>
      </c>
      <c r="R194" s="35" t="str">
        <f>G!BA160</f>
        <v/>
      </c>
      <c r="T194" s="44" t="str">
        <f>G!BC160</f>
        <v/>
      </c>
      <c r="U194" s="44" t="str">
        <f>G!BB160</f>
        <v>--</v>
      </c>
      <c r="V194" s="44"/>
      <c r="W194" s="35" t="str">
        <f>G!BE160</f>
        <v/>
      </c>
      <c r="X194" s="44" t="str">
        <f>G!BD160</f>
        <v>--</v>
      </c>
      <c r="Y194" s="35" t="str">
        <f>G!BF160</f>
        <v/>
      </c>
      <c r="Z194" s="35" t="str">
        <f>G!BG160</f>
        <v/>
      </c>
      <c r="AA194" s="44"/>
      <c r="AE194" s="72">
        <f t="shared" si="6"/>
        <v>1</v>
      </c>
    </row>
    <row r="195" spans="1:31" ht="9" hidden="1" customHeight="1" x14ac:dyDescent="0.15">
      <c r="A195" s="195" t="str">
        <f>F!A161</f>
        <v>Endrin</v>
      </c>
      <c r="B195" s="195"/>
      <c r="C195" s="195"/>
      <c r="D195" s="44" t="str">
        <f>G!AQ161</f>
        <v/>
      </c>
      <c r="E195" s="44" t="str">
        <f>G!AP161</f>
        <v>--</v>
      </c>
      <c r="G195" s="35" t="str">
        <f>G!AS161</f>
        <v/>
      </c>
      <c r="H195" s="44" t="str">
        <f>G!AR161</f>
        <v>--</v>
      </c>
      <c r="I195" s="35" t="str">
        <f>G!AT161</f>
        <v/>
      </c>
      <c r="J195" s="35" t="str">
        <f>G!AU161</f>
        <v/>
      </c>
      <c r="L195" s="44" t="str">
        <f>G!AW161</f>
        <v/>
      </c>
      <c r="M195" s="44" t="str">
        <f>G!AV161</f>
        <v>--</v>
      </c>
      <c r="O195" s="35" t="str">
        <f>G!AY161</f>
        <v/>
      </c>
      <c r="P195" s="44" t="str">
        <f>G!AX161</f>
        <v>--</v>
      </c>
      <c r="Q195" s="35" t="str">
        <f>G!AZ161</f>
        <v/>
      </c>
      <c r="R195" s="35" t="str">
        <f>G!BA161</f>
        <v/>
      </c>
      <c r="T195" s="44" t="str">
        <f>G!BC161</f>
        <v/>
      </c>
      <c r="U195" s="44" t="str">
        <f>G!BB161</f>
        <v>--</v>
      </c>
      <c r="V195" s="44"/>
      <c r="W195" s="35" t="str">
        <f>G!BE161</f>
        <v/>
      </c>
      <c r="X195" s="44" t="str">
        <f>G!BD161</f>
        <v>--</v>
      </c>
      <c r="Y195" s="35" t="str">
        <f>G!BF161</f>
        <v/>
      </c>
      <c r="Z195" s="35" t="str">
        <f>G!BG161</f>
        <v/>
      </c>
      <c r="AA195" s="44"/>
      <c r="AE195" s="72">
        <f t="shared" si="6"/>
        <v>1</v>
      </c>
    </row>
    <row r="196" spans="1:31" ht="9" hidden="1" customHeight="1" x14ac:dyDescent="0.15">
      <c r="A196" s="195" t="str">
        <f>F!A162</f>
        <v>Som aldrin,dieldrin,endrin</v>
      </c>
      <c r="B196" s="195"/>
      <c r="C196" s="195"/>
      <c r="D196" s="44" t="str">
        <f>G!AQ162</f>
        <v/>
      </c>
      <c r="E196" s="44" t="str">
        <f>G!AP162</f>
        <v>--</v>
      </c>
      <c r="G196" s="35" t="str">
        <f>G!AS162</f>
        <v/>
      </c>
      <c r="H196" s="44" t="str">
        <f>G!AR162</f>
        <v>--</v>
      </c>
      <c r="I196" s="35" t="str">
        <f>G!AT162</f>
        <v/>
      </c>
      <c r="J196" s="35" t="str">
        <f>G!AU162</f>
        <v/>
      </c>
      <c r="L196" s="44" t="str">
        <f>G!AW162</f>
        <v/>
      </c>
      <c r="M196" s="44" t="str">
        <f>G!AV162</f>
        <v>--</v>
      </c>
      <c r="O196" s="35" t="str">
        <f>G!AY162</f>
        <v/>
      </c>
      <c r="P196" s="44" t="str">
        <f>G!AX162</f>
        <v>--</v>
      </c>
      <c r="Q196" s="35" t="str">
        <f>G!AZ162</f>
        <v/>
      </c>
      <c r="R196" s="35" t="str">
        <f>G!BA162</f>
        <v/>
      </c>
      <c r="T196" s="44" t="str">
        <f>G!BC162</f>
        <v/>
      </c>
      <c r="U196" s="44" t="str">
        <f>G!BB162</f>
        <v>--</v>
      </c>
      <c r="V196" s="44"/>
      <c r="W196" s="35" t="str">
        <f>G!BE162</f>
        <v/>
      </c>
      <c r="X196" s="44" t="str">
        <f>G!BD162</f>
        <v>--</v>
      </c>
      <c r="Y196" s="35" t="str">
        <f>G!BF162</f>
        <v/>
      </c>
      <c r="Z196" s="35" t="str">
        <f>G!BG162</f>
        <v/>
      </c>
      <c r="AA196" s="44"/>
      <c r="AE196" s="72">
        <f t="shared" si="6"/>
        <v>1</v>
      </c>
    </row>
    <row r="197" spans="1:31" ht="9" hidden="1" customHeight="1" x14ac:dyDescent="0.15">
      <c r="A197" s="195" t="str">
        <f>F!A163</f>
        <v>Isodrin</v>
      </c>
      <c r="B197" s="195"/>
      <c r="C197" s="195"/>
      <c r="D197" s="44" t="str">
        <f>G!AQ163</f>
        <v/>
      </c>
      <c r="E197" s="44" t="str">
        <f>G!AP163</f>
        <v>--</v>
      </c>
      <c r="G197" s="35" t="str">
        <f>G!AS163</f>
        <v/>
      </c>
      <c r="H197" s="44" t="str">
        <f>G!AR163</f>
        <v>--</v>
      </c>
      <c r="I197" s="35" t="str">
        <f>G!AT163</f>
        <v/>
      </c>
      <c r="J197" s="35" t="str">
        <f>G!AU163</f>
        <v/>
      </c>
      <c r="L197" s="44" t="str">
        <f>G!AW163</f>
        <v/>
      </c>
      <c r="M197" s="44" t="str">
        <f>G!AV163</f>
        <v>--</v>
      </c>
      <c r="O197" s="35" t="str">
        <f>G!AY163</f>
        <v/>
      </c>
      <c r="P197" s="44" t="str">
        <f>G!AX163</f>
        <v>--</v>
      </c>
      <c r="Q197" s="35" t="str">
        <f>G!AZ163</f>
        <v/>
      </c>
      <c r="R197" s="35" t="str">
        <f>G!BA163</f>
        <v/>
      </c>
      <c r="T197" s="44" t="str">
        <f>G!BC163</f>
        <v/>
      </c>
      <c r="U197" s="44" t="str">
        <f>G!BB163</f>
        <v>--</v>
      </c>
      <c r="V197" s="44"/>
      <c r="W197" s="35" t="str">
        <f>G!BE163</f>
        <v/>
      </c>
      <c r="X197" s="44" t="str">
        <f>G!BD163</f>
        <v>--</v>
      </c>
      <c r="Y197" s="35" t="str">
        <f>G!BF163</f>
        <v/>
      </c>
      <c r="Z197" s="35" t="str">
        <f>G!BG163</f>
        <v/>
      </c>
      <c r="AA197" s="44"/>
      <c r="AE197" s="72">
        <f t="shared" si="6"/>
        <v>1</v>
      </c>
    </row>
    <row r="198" spans="1:31" ht="9" hidden="1" customHeight="1" x14ac:dyDescent="0.15">
      <c r="A198" s="195" t="str">
        <f>F!A164</f>
        <v>Telodrin</v>
      </c>
      <c r="B198" s="195"/>
      <c r="C198" s="195"/>
      <c r="D198" s="44" t="str">
        <f>G!AQ164</f>
        <v/>
      </c>
      <c r="E198" s="44" t="str">
        <f>G!AP164</f>
        <v>--</v>
      </c>
      <c r="G198" s="35" t="str">
        <f>G!AS164</f>
        <v/>
      </c>
      <c r="H198" s="44" t="str">
        <f>G!AR164</f>
        <v>--</v>
      </c>
      <c r="I198" s="35" t="str">
        <f>G!AT164</f>
        <v/>
      </c>
      <c r="J198" s="35" t="str">
        <f>G!AU164</f>
        <v/>
      </c>
      <c r="L198" s="44" t="str">
        <f>G!AW164</f>
        <v/>
      </c>
      <c r="M198" s="44" t="str">
        <f>G!AV164</f>
        <v>--</v>
      </c>
      <c r="O198" s="35" t="str">
        <f>G!AY164</f>
        <v/>
      </c>
      <c r="P198" s="44" t="str">
        <f>G!AX164</f>
        <v>--</v>
      </c>
      <c r="Q198" s="35" t="str">
        <f>G!AZ164</f>
        <v/>
      </c>
      <c r="R198" s="35" t="str">
        <f>G!BA164</f>
        <v/>
      </c>
      <c r="T198" s="44" t="str">
        <f>G!BC164</f>
        <v/>
      </c>
      <c r="U198" s="44" t="str">
        <f>G!BB164</f>
        <v>--</v>
      </c>
      <c r="V198" s="44"/>
      <c r="W198" s="35" t="str">
        <f>G!BE164</f>
        <v/>
      </c>
      <c r="X198" s="44" t="str">
        <f>G!BD164</f>
        <v>--</v>
      </c>
      <c r="Y198" s="35" t="str">
        <f>G!BF164</f>
        <v/>
      </c>
      <c r="Z198" s="35" t="str">
        <f>G!BG164</f>
        <v/>
      </c>
      <c r="AA198" s="44"/>
      <c r="AE198" s="72">
        <f t="shared" si="6"/>
        <v>1</v>
      </c>
    </row>
    <row r="199" spans="1:31" ht="9" hidden="1" customHeight="1" x14ac:dyDescent="0.15">
      <c r="A199" s="195" t="str">
        <f>F!A165</f>
        <v>Alpha-HCH</v>
      </c>
      <c r="B199" s="195"/>
      <c r="C199" s="195"/>
      <c r="D199" s="44" t="str">
        <f>G!AQ165</f>
        <v/>
      </c>
      <c r="E199" s="44" t="str">
        <f>G!AP165</f>
        <v>--</v>
      </c>
      <c r="G199" s="35" t="str">
        <f>G!AS165</f>
        <v/>
      </c>
      <c r="H199" s="44" t="str">
        <f>G!AR165</f>
        <v>--</v>
      </c>
      <c r="I199" s="35" t="str">
        <f>G!AT165</f>
        <v/>
      </c>
      <c r="J199" s="35" t="str">
        <f>G!AU165</f>
        <v/>
      </c>
      <c r="L199" s="44" t="str">
        <f>G!AW165</f>
        <v/>
      </c>
      <c r="M199" s="44" t="str">
        <f>G!AV165</f>
        <v>--</v>
      </c>
      <c r="O199" s="35" t="str">
        <f>G!AY165</f>
        <v/>
      </c>
      <c r="P199" s="44" t="str">
        <f>G!AX165</f>
        <v>--</v>
      </c>
      <c r="Q199" s="35" t="str">
        <f>G!AZ165</f>
        <v/>
      </c>
      <c r="R199" s="35" t="str">
        <f>G!BA165</f>
        <v/>
      </c>
      <c r="T199" s="44" t="str">
        <f>G!BC165</f>
        <v/>
      </c>
      <c r="U199" s="44" t="str">
        <f>G!BB165</f>
        <v>--</v>
      </c>
      <c r="V199" s="44"/>
      <c r="W199" s="35" t="str">
        <f>G!BE165</f>
        <v/>
      </c>
      <c r="X199" s="44" t="str">
        <f>G!BD165</f>
        <v>--</v>
      </c>
      <c r="Y199" s="35" t="str">
        <f>G!BF165</f>
        <v/>
      </c>
      <c r="Z199" s="35" t="str">
        <f>G!BG165</f>
        <v/>
      </c>
      <c r="AA199" s="44"/>
      <c r="AE199" s="72">
        <f t="shared" si="6"/>
        <v>1</v>
      </c>
    </row>
    <row r="200" spans="1:31" ht="9" hidden="1" customHeight="1" x14ac:dyDescent="0.15">
      <c r="A200" s="195" t="str">
        <f>F!A166</f>
        <v>Beta-HCH</v>
      </c>
      <c r="B200" s="195"/>
      <c r="C200" s="195"/>
      <c r="D200" s="44" t="str">
        <f>G!AQ166</f>
        <v/>
      </c>
      <c r="E200" s="44" t="str">
        <f>G!AP166</f>
        <v>--</v>
      </c>
      <c r="G200" s="35" t="str">
        <f>G!AS166</f>
        <v/>
      </c>
      <c r="H200" s="44" t="str">
        <f>G!AR166</f>
        <v>--</v>
      </c>
      <c r="I200" s="35" t="str">
        <f>G!AT166</f>
        <v/>
      </c>
      <c r="J200" s="35" t="str">
        <f>G!AU166</f>
        <v/>
      </c>
      <c r="L200" s="44" t="str">
        <f>G!AW166</f>
        <v/>
      </c>
      <c r="M200" s="44" t="str">
        <f>G!AV166</f>
        <v>--</v>
      </c>
      <c r="O200" s="35" t="str">
        <f>G!AY166</f>
        <v/>
      </c>
      <c r="P200" s="44" t="str">
        <f>G!AX166</f>
        <v>--</v>
      </c>
      <c r="Q200" s="35" t="str">
        <f>G!AZ166</f>
        <v/>
      </c>
      <c r="R200" s="35" t="str">
        <f>G!BA166</f>
        <v/>
      </c>
      <c r="T200" s="44" t="str">
        <f>G!BC166</f>
        <v/>
      </c>
      <c r="U200" s="44" t="str">
        <f>G!BB166</f>
        <v>--</v>
      </c>
      <c r="V200" s="44"/>
      <c r="W200" s="35" t="str">
        <f>G!BE166</f>
        <v/>
      </c>
      <c r="X200" s="44" t="str">
        <f>G!BD166</f>
        <v>--</v>
      </c>
      <c r="Y200" s="35" t="str">
        <f>G!BF166</f>
        <v/>
      </c>
      <c r="Z200" s="35" t="str">
        <f>G!BG166</f>
        <v/>
      </c>
      <c r="AA200" s="44"/>
      <c r="AE200" s="72">
        <f t="shared" si="6"/>
        <v>1</v>
      </c>
    </row>
    <row r="201" spans="1:31" ht="9" hidden="1" customHeight="1" x14ac:dyDescent="0.15">
      <c r="A201" s="195" t="str">
        <f>F!A167</f>
        <v>Gamma-HCH</v>
      </c>
      <c r="B201" s="195"/>
      <c r="C201" s="195"/>
      <c r="D201" s="44" t="str">
        <f>G!AQ167</f>
        <v/>
      </c>
      <c r="E201" s="44" t="str">
        <f>G!AP167</f>
        <v>--</v>
      </c>
      <c r="G201" s="35" t="str">
        <f>G!AS167</f>
        <v/>
      </c>
      <c r="H201" s="44" t="str">
        <f>G!AR167</f>
        <v>--</v>
      </c>
      <c r="I201" s="35" t="str">
        <f>G!AT167</f>
        <v/>
      </c>
      <c r="J201" s="35" t="str">
        <f>G!AU167</f>
        <v/>
      </c>
      <c r="L201" s="44" t="str">
        <f>G!AW167</f>
        <v/>
      </c>
      <c r="M201" s="44" t="str">
        <f>G!AV167</f>
        <v>--</v>
      </c>
      <c r="O201" s="35" t="str">
        <f>G!AY167</f>
        <v/>
      </c>
      <c r="P201" s="44" t="str">
        <f>G!AX167</f>
        <v>--</v>
      </c>
      <c r="Q201" s="35" t="str">
        <f>G!AZ167</f>
        <v/>
      </c>
      <c r="R201" s="35" t="str">
        <f>G!BA167</f>
        <v/>
      </c>
      <c r="T201" s="44" t="str">
        <f>G!BC167</f>
        <v/>
      </c>
      <c r="U201" s="44" t="str">
        <f>G!BB167</f>
        <v>--</v>
      </c>
      <c r="V201" s="44"/>
      <c r="W201" s="35" t="str">
        <f>G!BE167</f>
        <v/>
      </c>
      <c r="X201" s="44" t="str">
        <f>G!BD167</f>
        <v>--</v>
      </c>
      <c r="Y201" s="35" t="str">
        <f>G!BF167</f>
        <v/>
      </c>
      <c r="Z201" s="35" t="str">
        <f>G!BG167</f>
        <v/>
      </c>
      <c r="AA201" s="44"/>
      <c r="AE201" s="72">
        <f t="shared" si="6"/>
        <v>1</v>
      </c>
    </row>
    <row r="202" spans="1:31" ht="9" hidden="1" customHeight="1" x14ac:dyDescent="0.15">
      <c r="A202" s="195" t="str">
        <f>F!A168</f>
        <v>Delta-HCH</v>
      </c>
      <c r="B202" s="195"/>
      <c r="C202" s="195"/>
      <c r="D202" s="44" t="str">
        <f>G!AQ168</f>
        <v/>
      </c>
      <c r="E202" s="44" t="str">
        <f>G!AP168</f>
        <v>--</v>
      </c>
      <c r="G202" s="35" t="str">
        <f>G!AS168</f>
        <v/>
      </c>
      <c r="H202" s="44" t="str">
        <f>G!AR168</f>
        <v>--</v>
      </c>
      <c r="I202" s="35" t="str">
        <f>G!AT168</f>
        <v/>
      </c>
      <c r="J202" s="35" t="str">
        <f>G!AU168</f>
        <v/>
      </c>
      <c r="L202" s="44" t="str">
        <f>G!AW168</f>
        <v/>
      </c>
      <c r="M202" s="44" t="str">
        <f>G!AV168</f>
        <v>--</v>
      </c>
      <c r="O202" s="35" t="str">
        <f>G!AY168</f>
        <v/>
      </c>
      <c r="P202" s="44" t="str">
        <f>G!AX168</f>
        <v>--</v>
      </c>
      <c r="Q202" s="35" t="str">
        <f>G!AZ168</f>
        <v/>
      </c>
      <c r="R202" s="35" t="str">
        <f>G!BA168</f>
        <v/>
      </c>
      <c r="T202" s="44" t="str">
        <f>G!BC168</f>
        <v/>
      </c>
      <c r="U202" s="44" t="str">
        <f>G!BB168</f>
        <v>--</v>
      </c>
      <c r="V202" s="44"/>
      <c r="W202" s="35" t="str">
        <f>G!BE168</f>
        <v/>
      </c>
      <c r="X202" s="44" t="str">
        <f>G!BD168</f>
        <v>--</v>
      </c>
      <c r="Y202" s="35" t="str">
        <f>G!BF168</f>
        <v/>
      </c>
      <c r="Z202" s="35" t="str">
        <f>G!BG168</f>
        <v/>
      </c>
      <c r="AA202" s="44"/>
      <c r="AE202" s="72">
        <f t="shared" si="6"/>
        <v>1</v>
      </c>
    </row>
    <row r="203" spans="1:31" ht="9" hidden="1" customHeight="1" x14ac:dyDescent="0.15">
      <c r="A203" s="195" t="str">
        <f>F!A169</f>
        <v>Som a-b-c-d HCH</v>
      </c>
      <c r="B203" s="195"/>
      <c r="C203" s="195"/>
      <c r="D203" s="44" t="str">
        <f>G!AQ169</f>
        <v/>
      </c>
      <c r="E203" s="44" t="str">
        <f>G!AP169</f>
        <v>--</v>
      </c>
      <c r="G203" s="35" t="str">
        <f>G!AS169</f>
        <v/>
      </c>
      <c r="H203" s="44" t="str">
        <f>G!AR169</f>
        <v>--</v>
      </c>
      <c r="I203" s="35" t="str">
        <f>G!AT169</f>
        <v/>
      </c>
      <c r="J203" s="35" t="str">
        <f>G!AU169</f>
        <v/>
      </c>
      <c r="L203" s="44" t="str">
        <f>G!AW169</f>
        <v/>
      </c>
      <c r="M203" s="44" t="str">
        <f>G!AV169</f>
        <v>--</v>
      </c>
      <c r="O203" s="35" t="str">
        <f>G!AY169</f>
        <v/>
      </c>
      <c r="P203" s="44" t="str">
        <f>G!AX169</f>
        <v>--</v>
      </c>
      <c r="Q203" s="35" t="str">
        <f>G!AZ169</f>
        <v/>
      </c>
      <c r="R203" s="35" t="str">
        <f>G!BA169</f>
        <v/>
      </c>
      <c r="T203" s="44" t="str">
        <f>G!BC169</f>
        <v/>
      </c>
      <c r="U203" s="44" t="str">
        <f>G!BB169</f>
        <v>--</v>
      </c>
      <c r="V203" s="44"/>
      <c r="W203" s="35" t="str">
        <f>G!BE169</f>
        <v/>
      </c>
      <c r="X203" s="44" t="str">
        <f>G!BD169</f>
        <v>--</v>
      </c>
      <c r="Y203" s="35" t="str">
        <f>G!BF169</f>
        <v/>
      </c>
      <c r="Z203" s="35" t="str">
        <f>G!BG169</f>
        <v/>
      </c>
      <c r="AA203" s="44"/>
      <c r="AE203" s="72">
        <f t="shared" si="6"/>
        <v>1</v>
      </c>
    </row>
    <row r="204" spans="1:31" ht="9" hidden="1" customHeight="1" x14ac:dyDescent="0.15">
      <c r="A204" s="195" t="str">
        <f>F!A170</f>
        <v>Heptachloor</v>
      </c>
      <c r="B204" s="195"/>
      <c r="C204" s="195"/>
      <c r="D204" s="44" t="str">
        <f>G!AQ170</f>
        <v/>
      </c>
      <c r="E204" s="44" t="str">
        <f>G!AP170</f>
        <v>--</v>
      </c>
      <c r="G204" s="35" t="str">
        <f>G!AS170</f>
        <v/>
      </c>
      <c r="H204" s="44" t="str">
        <f>G!AR170</f>
        <v>--</v>
      </c>
      <c r="I204" s="35" t="str">
        <f>G!AT170</f>
        <v/>
      </c>
      <c r="J204" s="35" t="str">
        <f>G!AU170</f>
        <v/>
      </c>
      <c r="L204" s="44" t="str">
        <f>G!AW170</f>
        <v/>
      </c>
      <c r="M204" s="44" t="str">
        <f>G!AV170</f>
        <v>--</v>
      </c>
      <c r="O204" s="35" t="str">
        <f>G!AY170</f>
        <v/>
      </c>
      <c r="P204" s="44" t="str">
        <f>G!AX170</f>
        <v>--</v>
      </c>
      <c r="Q204" s="35" t="str">
        <f>G!AZ170</f>
        <v/>
      </c>
      <c r="R204" s="35" t="str">
        <f>G!BA170</f>
        <v/>
      </c>
      <c r="T204" s="44" t="str">
        <f>G!BC170</f>
        <v/>
      </c>
      <c r="U204" s="44" t="str">
        <f>G!BB170</f>
        <v>--</v>
      </c>
      <c r="V204" s="44"/>
      <c r="W204" s="35" t="str">
        <f>G!BE170</f>
        <v/>
      </c>
      <c r="X204" s="44" t="str">
        <f>G!BD170</f>
        <v>--</v>
      </c>
      <c r="Y204" s="35" t="str">
        <f>G!BF170</f>
        <v/>
      </c>
      <c r="Z204" s="35" t="str">
        <f>G!BG170</f>
        <v/>
      </c>
      <c r="AA204" s="44"/>
      <c r="AE204" s="72">
        <f t="shared" si="6"/>
        <v>1</v>
      </c>
    </row>
    <row r="205" spans="1:31" ht="9" hidden="1" customHeight="1" x14ac:dyDescent="0.15">
      <c r="A205" s="195" t="str">
        <f>F!A171</f>
        <v>Cis-heptachloorepoxide</v>
      </c>
      <c r="B205" s="195"/>
      <c r="C205" s="195"/>
      <c r="D205" s="44" t="str">
        <f>G!AQ171</f>
        <v/>
      </c>
      <c r="E205" s="44" t="str">
        <f>G!AP171</f>
        <v>--</v>
      </c>
      <c r="G205" s="35" t="str">
        <f>G!AS171</f>
        <v/>
      </c>
      <c r="H205" s="44" t="str">
        <f>G!AR171</f>
        <v>--</v>
      </c>
      <c r="I205" s="35" t="str">
        <f>G!AT171</f>
        <v/>
      </c>
      <c r="J205" s="35" t="str">
        <f>G!AU171</f>
        <v/>
      </c>
      <c r="L205" s="44" t="str">
        <f>G!AW171</f>
        <v/>
      </c>
      <c r="M205" s="44" t="str">
        <f>G!AV171</f>
        <v>--</v>
      </c>
      <c r="O205" s="35" t="str">
        <f>G!AY171</f>
        <v/>
      </c>
      <c r="P205" s="44" t="str">
        <f>G!AX171</f>
        <v>--</v>
      </c>
      <c r="Q205" s="35" t="str">
        <f>G!AZ171</f>
        <v/>
      </c>
      <c r="R205" s="35" t="str">
        <f>G!BA171</f>
        <v/>
      </c>
      <c r="T205" s="44" t="str">
        <f>G!BC171</f>
        <v/>
      </c>
      <c r="U205" s="44" t="str">
        <f>G!BB171</f>
        <v>--</v>
      </c>
      <c r="V205" s="44"/>
      <c r="W205" s="35" t="str">
        <f>G!BE171</f>
        <v/>
      </c>
      <c r="X205" s="44" t="str">
        <f>G!BD171</f>
        <v>--</v>
      </c>
      <c r="Y205" s="35" t="str">
        <f>G!BF171</f>
        <v/>
      </c>
      <c r="Z205" s="35" t="str">
        <f>G!BG171</f>
        <v/>
      </c>
      <c r="AA205" s="44"/>
      <c r="AE205" s="72">
        <f t="shared" si="6"/>
        <v>1</v>
      </c>
    </row>
    <row r="206" spans="1:31" ht="9" hidden="1" customHeight="1" x14ac:dyDescent="0.15">
      <c r="A206" s="195" t="str">
        <f>F!A172</f>
        <v>Trans-heptachloorepoxide</v>
      </c>
      <c r="B206" s="195"/>
      <c r="C206" s="195"/>
      <c r="D206" s="44" t="str">
        <f>G!AQ172</f>
        <v/>
      </c>
      <c r="E206" s="44" t="str">
        <f>G!AP172</f>
        <v>--</v>
      </c>
      <c r="G206" s="35" t="str">
        <f>G!AS172</f>
        <v/>
      </c>
      <c r="H206" s="44" t="str">
        <f>G!AR172</f>
        <v>--</v>
      </c>
      <c r="I206" s="35" t="str">
        <f>G!AT172</f>
        <v/>
      </c>
      <c r="J206" s="35" t="str">
        <f>G!AU172</f>
        <v/>
      </c>
      <c r="L206" s="44" t="str">
        <f>G!AW172</f>
        <v/>
      </c>
      <c r="M206" s="44" t="str">
        <f>G!AV172</f>
        <v>--</v>
      </c>
      <c r="O206" s="35" t="str">
        <f>G!AY172</f>
        <v/>
      </c>
      <c r="P206" s="44" t="str">
        <f>G!AX172</f>
        <v>--</v>
      </c>
      <c r="Q206" s="35" t="str">
        <f>G!AZ172</f>
        <v/>
      </c>
      <c r="R206" s="35" t="str">
        <f>G!BA172</f>
        <v/>
      </c>
      <c r="T206" s="44" t="str">
        <f>G!BC172</f>
        <v/>
      </c>
      <c r="U206" s="44" t="str">
        <f>G!BB172</f>
        <v>--</v>
      </c>
      <c r="V206" s="44"/>
      <c r="W206" s="35" t="str">
        <f>G!BE172</f>
        <v/>
      </c>
      <c r="X206" s="44" t="str">
        <f>G!BD172</f>
        <v>--</v>
      </c>
      <c r="Y206" s="35" t="str">
        <f>G!BF172</f>
        <v/>
      </c>
      <c r="Z206" s="35" t="str">
        <f>G!BG172</f>
        <v/>
      </c>
      <c r="AA206" s="44"/>
      <c r="AE206" s="72">
        <f t="shared" si="6"/>
        <v>1</v>
      </c>
    </row>
    <row r="207" spans="1:31" ht="9" hidden="1" customHeight="1" x14ac:dyDescent="0.15">
      <c r="A207" s="195" t="str">
        <f>F!A173</f>
        <v>Som heptachloorepoxide</v>
      </c>
      <c r="B207" s="195"/>
      <c r="C207" s="195"/>
      <c r="D207" s="44" t="str">
        <f>G!AQ173</f>
        <v/>
      </c>
      <c r="E207" s="44" t="str">
        <f>G!AP173</f>
        <v>--</v>
      </c>
      <c r="G207" s="35" t="str">
        <f>G!AS173</f>
        <v/>
      </c>
      <c r="H207" s="44" t="str">
        <f>G!AR173</f>
        <v>--</v>
      </c>
      <c r="I207" s="35" t="str">
        <f>G!AT173</f>
        <v/>
      </c>
      <c r="J207" s="35" t="str">
        <f>G!AU173</f>
        <v/>
      </c>
      <c r="L207" s="44" t="str">
        <f>G!AW173</f>
        <v/>
      </c>
      <c r="M207" s="44" t="str">
        <f>G!AV173</f>
        <v>--</v>
      </c>
      <c r="O207" s="35" t="str">
        <f>G!AY173</f>
        <v/>
      </c>
      <c r="P207" s="44" t="str">
        <f>G!AX173</f>
        <v>--</v>
      </c>
      <c r="Q207" s="35" t="str">
        <f>G!AZ173</f>
        <v/>
      </c>
      <c r="R207" s="35" t="str">
        <f>G!BA173</f>
        <v/>
      </c>
      <c r="T207" s="44" t="str">
        <f>G!BC173</f>
        <v/>
      </c>
      <c r="U207" s="44" t="str">
        <f>G!BB173</f>
        <v>--</v>
      </c>
      <c r="V207" s="44"/>
      <c r="W207" s="35" t="str">
        <f>G!BE173</f>
        <v/>
      </c>
      <c r="X207" s="44" t="str">
        <f>G!BD173</f>
        <v>--</v>
      </c>
      <c r="Y207" s="35" t="str">
        <f>G!BF173</f>
        <v/>
      </c>
      <c r="Z207" s="35" t="str">
        <f>G!BG173</f>
        <v/>
      </c>
      <c r="AA207" s="44"/>
      <c r="AE207" s="72">
        <f t="shared" si="6"/>
        <v>1</v>
      </c>
    </row>
    <row r="208" spans="1:31" ht="9" hidden="1" customHeight="1" x14ac:dyDescent="0.15">
      <c r="A208" s="195" t="str">
        <f>F!A174</f>
        <v>Alpha-endosulfan</v>
      </c>
      <c r="B208" s="195"/>
      <c r="C208" s="195"/>
      <c r="D208" s="44" t="str">
        <f>G!AQ174</f>
        <v/>
      </c>
      <c r="E208" s="44" t="str">
        <f>G!AP174</f>
        <v>--</v>
      </c>
      <c r="G208" s="35" t="str">
        <f>G!AS174</f>
        <v/>
      </c>
      <c r="H208" s="44" t="str">
        <f>G!AR174</f>
        <v>--</v>
      </c>
      <c r="I208" s="35" t="str">
        <f>G!AT174</f>
        <v/>
      </c>
      <c r="J208" s="35" t="str">
        <f>G!AU174</f>
        <v/>
      </c>
      <c r="L208" s="44" t="str">
        <f>G!AW174</f>
        <v/>
      </c>
      <c r="M208" s="44" t="str">
        <f>G!AV174</f>
        <v>--</v>
      </c>
      <c r="O208" s="35" t="str">
        <f>G!AY174</f>
        <v/>
      </c>
      <c r="P208" s="44" t="str">
        <f>G!AX174</f>
        <v>--</v>
      </c>
      <c r="Q208" s="35" t="str">
        <f>G!AZ174</f>
        <v/>
      </c>
      <c r="R208" s="35" t="str">
        <f>G!BA174</f>
        <v/>
      </c>
      <c r="T208" s="44" t="str">
        <f>G!BC174</f>
        <v/>
      </c>
      <c r="U208" s="44" t="str">
        <f>G!BB174</f>
        <v>--</v>
      </c>
      <c r="V208" s="44"/>
      <c r="W208" s="35" t="str">
        <f>G!BE174</f>
        <v/>
      </c>
      <c r="X208" s="44" t="str">
        <f>G!BD174</f>
        <v>--</v>
      </c>
      <c r="Y208" s="35" t="str">
        <f>G!BF174</f>
        <v/>
      </c>
      <c r="Z208" s="35" t="str">
        <f>G!BG174</f>
        <v/>
      </c>
      <c r="AA208" s="44"/>
      <c r="AE208" s="72">
        <f t="shared" si="6"/>
        <v>1</v>
      </c>
    </row>
    <row r="209" spans="1:31" ht="9" hidden="1" customHeight="1" x14ac:dyDescent="0.15">
      <c r="A209" s="195" t="str">
        <f>F!A175</f>
        <v>Hexachloorbutadieen</v>
      </c>
      <c r="B209" s="195"/>
      <c r="C209" s="195"/>
      <c r="D209" s="44" t="str">
        <f>G!AQ175</f>
        <v/>
      </c>
      <c r="E209" s="44" t="str">
        <f>G!AP175</f>
        <v>--</v>
      </c>
      <c r="G209" s="35" t="str">
        <f>G!AS175</f>
        <v/>
      </c>
      <c r="H209" s="44" t="str">
        <f>G!AR175</f>
        <v>--</v>
      </c>
      <c r="I209" s="35" t="str">
        <f>G!AT175</f>
        <v/>
      </c>
      <c r="J209" s="35" t="str">
        <f>G!AU175</f>
        <v/>
      </c>
      <c r="L209" s="44" t="str">
        <f>G!AW175</f>
        <v/>
      </c>
      <c r="M209" s="44" t="str">
        <f>G!AV175</f>
        <v>--</v>
      </c>
      <c r="O209" s="35" t="str">
        <f>G!AY175</f>
        <v/>
      </c>
      <c r="P209" s="44" t="str">
        <f>G!AX175</f>
        <v>--</v>
      </c>
      <c r="Q209" s="35" t="str">
        <f>G!AZ175</f>
        <v/>
      </c>
      <c r="R209" s="35" t="str">
        <f>G!BA175</f>
        <v/>
      </c>
      <c r="T209" s="44" t="str">
        <f>G!BC175</f>
        <v/>
      </c>
      <c r="U209" s="44" t="str">
        <f>G!BB175</f>
        <v>--</v>
      </c>
      <c r="V209" s="44"/>
      <c r="W209" s="35" t="str">
        <f>G!BE175</f>
        <v/>
      </c>
      <c r="X209" s="44" t="str">
        <f>G!BD175</f>
        <v>--</v>
      </c>
      <c r="Y209" s="35" t="str">
        <f>G!BF175</f>
        <v/>
      </c>
      <c r="Z209" s="35" t="str">
        <f>G!BG175</f>
        <v/>
      </c>
      <c r="AA209" s="44"/>
      <c r="AE209" s="72">
        <f t="shared" si="6"/>
        <v>1</v>
      </c>
    </row>
    <row r="210" spans="1:31" ht="9" hidden="1" customHeight="1" x14ac:dyDescent="0.15">
      <c r="A210" s="195" t="str">
        <f>F!A176</f>
        <v>Trans-chloordaan</v>
      </c>
      <c r="B210" s="195"/>
      <c r="C210" s="195"/>
      <c r="D210" s="44" t="str">
        <f>G!AQ176</f>
        <v/>
      </c>
      <c r="E210" s="44" t="str">
        <f>G!AP176</f>
        <v>--</v>
      </c>
      <c r="G210" s="35" t="str">
        <f>G!AS176</f>
        <v/>
      </c>
      <c r="H210" s="44" t="str">
        <f>G!AR176</f>
        <v>--</v>
      </c>
      <c r="I210" s="35" t="str">
        <f>G!AT176</f>
        <v/>
      </c>
      <c r="J210" s="35" t="str">
        <f>G!AU176</f>
        <v/>
      </c>
      <c r="L210" s="44" t="str">
        <f>G!AW176</f>
        <v/>
      </c>
      <c r="M210" s="44" t="str">
        <f>G!AV176</f>
        <v>--</v>
      </c>
      <c r="O210" s="35" t="str">
        <f>G!AY176</f>
        <v/>
      </c>
      <c r="P210" s="44" t="str">
        <f>G!AX176</f>
        <v>--</v>
      </c>
      <c r="Q210" s="35" t="str">
        <f>G!AZ176</f>
        <v/>
      </c>
      <c r="R210" s="35" t="str">
        <f>G!BA176</f>
        <v/>
      </c>
      <c r="T210" s="44" t="str">
        <f>G!BC176</f>
        <v/>
      </c>
      <c r="U210" s="44" t="str">
        <f>G!BB176</f>
        <v>--</v>
      </c>
      <c r="V210" s="44"/>
      <c r="W210" s="35" t="str">
        <f>G!BE176</f>
        <v/>
      </c>
      <c r="X210" s="44" t="str">
        <f>G!BD176</f>
        <v>--</v>
      </c>
      <c r="Y210" s="35" t="str">
        <f>G!BF176</f>
        <v/>
      </c>
      <c r="Z210" s="35" t="str">
        <f>G!BG176</f>
        <v/>
      </c>
      <c r="AA210" s="44"/>
      <c r="AE210" s="72">
        <f t="shared" si="6"/>
        <v>1</v>
      </c>
    </row>
    <row r="211" spans="1:31" ht="9" hidden="1" customHeight="1" x14ac:dyDescent="0.15">
      <c r="A211" s="195" t="str">
        <f>F!A177</f>
        <v>Cis-chloordaan</v>
      </c>
      <c r="B211" s="195"/>
      <c r="C211" s="195"/>
      <c r="D211" s="44" t="str">
        <f>G!AQ177</f>
        <v/>
      </c>
      <c r="E211" s="44" t="str">
        <f>G!AP177</f>
        <v>--</v>
      </c>
      <c r="G211" s="35" t="str">
        <f>G!AS177</f>
        <v/>
      </c>
      <c r="H211" s="44" t="str">
        <f>G!AR177</f>
        <v>--</v>
      </c>
      <c r="I211" s="35" t="str">
        <f>G!AT177</f>
        <v/>
      </c>
      <c r="J211" s="35" t="str">
        <f>G!AU177</f>
        <v/>
      </c>
      <c r="L211" s="44" t="str">
        <f>G!AW177</f>
        <v/>
      </c>
      <c r="M211" s="44" t="str">
        <f>G!AV177</f>
        <v>--</v>
      </c>
      <c r="O211" s="35" t="str">
        <f>G!AY177</f>
        <v/>
      </c>
      <c r="P211" s="44" t="str">
        <f>G!AX177</f>
        <v>--</v>
      </c>
      <c r="Q211" s="35" t="str">
        <f>G!AZ177</f>
        <v/>
      </c>
      <c r="R211" s="35" t="str">
        <f>G!BA177</f>
        <v/>
      </c>
      <c r="T211" s="44" t="str">
        <f>G!BC177</f>
        <v/>
      </c>
      <c r="U211" s="44" t="str">
        <f>G!BB177</f>
        <v>--</v>
      </c>
      <c r="V211" s="44"/>
      <c r="W211" s="35" t="str">
        <f>G!BE177</f>
        <v/>
      </c>
      <c r="X211" s="44" t="str">
        <f>G!BD177</f>
        <v>--</v>
      </c>
      <c r="Y211" s="35" t="str">
        <f>G!BF177</f>
        <v/>
      </c>
      <c r="Z211" s="35" t="str">
        <f>G!BG177</f>
        <v/>
      </c>
      <c r="AA211" s="44"/>
      <c r="AE211" s="72">
        <f t="shared" si="6"/>
        <v>1</v>
      </c>
    </row>
    <row r="212" spans="1:31" ht="9" hidden="1" customHeight="1" x14ac:dyDescent="0.15">
      <c r="A212" s="195" t="str">
        <f>F!A178</f>
        <v>Som chloordaan</v>
      </c>
      <c r="B212" s="195"/>
      <c r="C212" s="195"/>
      <c r="D212" s="44" t="str">
        <f>G!AQ178</f>
        <v/>
      </c>
      <c r="E212" s="44" t="str">
        <f>G!AP178</f>
        <v>--</v>
      </c>
      <c r="G212" s="35" t="str">
        <f>G!AS178</f>
        <v/>
      </c>
      <c r="H212" s="44" t="str">
        <f>G!AR178</f>
        <v>--</v>
      </c>
      <c r="I212" s="35" t="str">
        <f>G!AT178</f>
        <v/>
      </c>
      <c r="J212" s="35" t="str">
        <f>G!AU178</f>
        <v/>
      </c>
      <c r="L212" s="44" t="str">
        <f>G!AW178</f>
        <v/>
      </c>
      <c r="M212" s="44" t="str">
        <f>G!AV178</f>
        <v>--</v>
      </c>
      <c r="O212" s="35" t="str">
        <f>G!AY178</f>
        <v/>
      </c>
      <c r="P212" s="44" t="str">
        <f>G!AX178</f>
        <v>--</v>
      </c>
      <c r="Q212" s="35" t="str">
        <f>G!AZ178</f>
        <v/>
      </c>
      <c r="R212" s="35" t="str">
        <f>G!BA178</f>
        <v/>
      </c>
      <c r="T212" s="44" t="str">
        <f>G!BC178</f>
        <v/>
      </c>
      <c r="U212" s="44" t="str">
        <f>G!BB178</f>
        <v>--</v>
      </c>
      <c r="V212" s="44"/>
      <c r="W212" s="35" t="str">
        <f>G!BE178</f>
        <v/>
      </c>
      <c r="X212" s="44" t="str">
        <f>G!BD178</f>
        <v>--</v>
      </c>
      <c r="Y212" s="35" t="str">
        <f>G!BF178</f>
        <v/>
      </c>
      <c r="Z212" s="35" t="str">
        <f>G!BG178</f>
        <v/>
      </c>
      <c r="AA212" s="44"/>
      <c r="AE212" s="72">
        <f t="shared" si="6"/>
        <v>1</v>
      </c>
    </row>
    <row r="213" spans="1:31" ht="9" hidden="1" customHeight="1" x14ac:dyDescent="0.15">
      <c r="A213" s="195" t="str">
        <f>F!A179</f>
        <v>Som OCB landbodem</v>
      </c>
      <c r="B213" s="195"/>
      <c r="C213" s="195"/>
      <c r="D213" s="44" t="str">
        <f>G!AQ179</f>
        <v/>
      </c>
      <c r="E213" s="44" t="str">
        <f>G!AP179</f>
        <v>--</v>
      </c>
      <c r="G213" s="35" t="str">
        <f>G!AS179</f>
        <v/>
      </c>
      <c r="H213" s="44" t="str">
        <f>G!AR179</f>
        <v>--</v>
      </c>
      <c r="I213" s="35" t="str">
        <f>G!AT179</f>
        <v/>
      </c>
      <c r="J213" s="35" t="str">
        <f>G!AU179</f>
        <v/>
      </c>
      <c r="L213" s="44" t="str">
        <f>G!AW179</f>
        <v/>
      </c>
      <c r="M213" s="44" t="str">
        <f>G!AV179</f>
        <v>--</v>
      </c>
      <c r="O213" s="35" t="str">
        <f>G!AY179</f>
        <v/>
      </c>
      <c r="P213" s="44" t="str">
        <f>G!AX179</f>
        <v>--</v>
      </c>
      <c r="Q213" s="35" t="str">
        <f>G!AZ179</f>
        <v/>
      </c>
      <c r="R213" s="35" t="str">
        <f>G!BA179</f>
        <v/>
      </c>
      <c r="T213" s="44" t="str">
        <f>G!BC179</f>
        <v/>
      </c>
      <c r="U213" s="44" t="str">
        <f>G!BB179</f>
        <v>--</v>
      </c>
      <c r="V213" s="44"/>
      <c r="W213" s="35" t="str">
        <f>G!BE179</f>
        <v/>
      </c>
      <c r="X213" s="44" t="str">
        <f>G!BD179</f>
        <v>--</v>
      </c>
      <c r="Y213" s="35" t="str">
        <f>G!BF179</f>
        <v/>
      </c>
      <c r="Z213" s="35" t="str">
        <f>G!BG179</f>
        <v/>
      </c>
      <c r="AA213" s="44"/>
      <c r="AE213" s="72">
        <f t="shared" si="6"/>
        <v>1</v>
      </c>
    </row>
    <row r="214" spans="1:31" ht="9" hidden="1" customHeight="1" x14ac:dyDescent="0.15">
      <c r="A214" s="195" t="str">
        <f>F!A180</f>
        <v>Chloorthalonil</v>
      </c>
      <c r="B214" s="195"/>
      <c r="C214" s="195"/>
      <c r="D214" s="44" t="str">
        <f>G!AQ180</f>
        <v/>
      </c>
      <c r="E214" s="44" t="str">
        <f>G!AP180</f>
        <v>--</v>
      </c>
      <c r="G214" s="35" t="str">
        <f>G!AS180</f>
        <v/>
      </c>
      <c r="H214" s="44" t="str">
        <f>G!AR180</f>
        <v>--</v>
      </c>
      <c r="I214" s="35" t="str">
        <f>G!AT180</f>
        <v/>
      </c>
      <c r="J214" s="35" t="str">
        <f>G!AU180</f>
        <v/>
      </c>
      <c r="L214" s="44" t="str">
        <f>G!AW180</f>
        <v/>
      </c>
      <c r="M214" s="44" t="str">
        <f>G!AV180</f>
        <v>--</v>
      </c>
      <c r="O214" s="35" t="str">
        <f>G!AY180</f>
        <v/>
      </c>
      <c r="P214" s="44" t="str">
        <f>G!AX180</f>
        <v>--</v>
      </c>
      <c r="Q214" s="35" t="str">
        <f>G!AZ180</f>
        <v/>
      </c>
      <c r="R214" s="35" t="str">
        <f>G!BA180</f>
        <v/>
      </c>
      <c r="T214" s="44" t="str">
        <f>G!BC180</f>
        <v/>
      </c>
      <c r="U214" s="44" t="str">
        <f>G!BB180</f>
        <v>--</v>
      </c>
      <c r="V214" s="44"/>
      <c r="W214" s="35" t="str">
        <f>G!BE180</f>
        <v/>
      </c>
      <c r="X214" s="44" t="str">
        <f>G!BD180</f>
        <v>--</v>
      </c>
      <c r="Y214" s="35" t="str">
        <f>G!BF180</f>
        <v/>
      </c>
      <c r="Z214" s="35" t="str">
        <f>G!BG180</f>
        <v/>
      </c>
      <c r="AA214" s="44"/>
      <c r="AE214" s="72">
        <f t="shared" si="6"/>
        <v>1</v>
      </c>
    </row>
    <row r="215" spans="1:31" ht="9" hidden="1" customHeight="1" x14ac:dyDescent="0.15">
      <c r="A215" s="195" t="str">
        <f>F!A181</f>
        <v>Beta-endolsulfan</v>
      </c>
      <c r="B215" s="195"/>
      <c r="C215" s="195"/>
      <c r="D215" s="44" t="str">
        <f>G!AQ181</f>
        <v/>
      </c>
      <c r="E215" s="44" t="str">
        <f>G!AP181</f>
        <v>--</v>
      </c>
      <c r="G215" s="35" t="str">
        <f>G!AS181</f>
        <v/>
      </c>
      <c r="H215" s="44" t="str">
        <f>G!AR181</f>
        <v>--</v>
      </c>
      <c r="I215" s="35" t="str">
        <f>G!AT181</f>
        <v/>
      </c>
      <c r="J215" s="35" t="str">
        <f>G!AU181</f>
        <v/>
      </c>
      <c r="L215" s="44" t="str">
        <f>G!AW181</f>
        <v/>
      </c>
      <c r="M215" s="44" t="str">
        <f>G!AV181</f>
        <v>--</v>
      </c>
      <c r="O215" s="35" t="str">
        <f>G!AY181</f>
        <v/>
      </c>
      <c r="P215" s="44" t="str">
        <f>G!AX181</f>
        <v>--</v>
      </c>
      <c r="Q215" s="35" t="str">
        <f>G!AZ181</f>
        <v/>
      </c>
      <c r="R215" s="35" t="str">
        <f>G!BA181</f>
        <v/>
      </c>
      <c r="T215" s="44" t="str">
        <f>G!BC181</f>
        <v/>
      </c>
      <c r="U215" s="44" t="str">
        <f>G!BB181</f>
        <v>--</v>
      </c>
      <c r="V215" s="44"/>
      <c r="W215" s="35" t="str">
        <f>G!BE181</f>
        <v/>
      </c>
      <c r="X215" s="44" t="str">
        <f>G!BD181</f>
        <v>--</v>
      </c>
      <c r="Y215" s="35" t="str">
        <f>G!BF181</f>
        <v/>
      </c>
      <c r="Z215" s="35" t="str">
        <f>G!BG181</f>
        <v/>
      </c>
      <c r="AA215" s="44"/>
      <c r="AE215" s="72">
        <f t="shared" ref="AE215:AE228" si="7">IF(AND(E215="--",M215="--",U215="--"),1,0)</f>
        <v>1</v>
      </c>
    </row>
    <row r="216" spans="1:31" ht="9" hidden="1" customHeight="1" x14ac:dyDescent="0.15">
      <c r="A216" s="195" t="str">
        <f>F!A182</f>
        <v>Endosulfansulfaat</v>
      </c>
      <c r="B216" s="195"/>
      <c r="C216" s="195"/>
      <c r="D216" s="44" t="str">
        <f>G!AQ182</f>
        <v/>
      </c>
      <c r="E216" s="44" t="str">
        <f>G!AP182</f>
        <v>--</v>
      </c>
      <c r="G216" s="35" t="str">
        <f>G!AS182</f>
        <v/>
      </c>
      <c r="H216" s="44" t="str">
        <f>G!AR182</f>
        <v>--</v>
      </c>
      <c r="I216" s="35" t="str">
        <f>G!AT182</f>
        <v/>
      </c>
      <c r="J216" s="35" t="str">
        <f>G!AU182</f>
        <v/>
      </c>
      <c r="L216" s="44" t="str">
        <f>G!AW182</f>
        <v/>
      </c>
      <c r="M216" s="44" t="str">
        <f>G!AV182</f>
        <v>--</v>
      </c>
      <c r="O216" s="35" t="str">
        <f>G!AY182</f>
        <v/>
      </c>
      <c r="P216" s="44" t="str">
        <f>G!AX182</f>
        <v>--</v>
      </c>
      <c r="Q216" s="35" t="str">
        <f>G!AZ182</f>
        <v/>
      </c>
      <c r="R216" s="35" t="str">
        <f>G!BA182</f>
        <v/>
      </c>
      <c r="T216" s="44" t="str">
        <f>G!BC182</f>
        <v/>
      </c>
      <c r="U216" s="44" t="str">
        <f>G!BB182</f>
        <v>--</v>
      </c>
      <c r="V216" s="44"/>
      <c r="W216" s="35" t="str">
        <f>G!BE182</f>
        <v/>
      </c>
      <c r="X216" s="44" t="str">
        <f>G!BD182</f>
        <v>--</v>
      </c>
      <c r="Y216" s="35" t="str">
        <f>G!BF182</f>
        <v/>
      </c>
      <c r="Z216" s="35" t="str">
        <f>G!BG182</f>
        <v/>
      </c>
      <c r="AA216" s="44"/>
      <c r="AE216" s="72">
        <f t="shared" si="7"/>
        <v>1</v>
      </c>
    </row>
    <row r="217" spans="1:31" ht="9" hidden="1" customHeight="1" x14ac:dyDescent="0.15">
      <c r="A217" s="195" t="str">
        <f>F!A183</f>
        <v>Som endosulfan</v>
      </c>
      <c r="B217" s="195"/>
      <c r="C217" s="195"/>
      <c r="D217" s="44" t="str">
        <f>G!AQ183</f>
        <v/>
      </c>
      <c r="E217" s="44" t="str">
        <f>G!AP183</f>
        <v>--</v>
      </c>
      <c r="G217" s="35" t="str">
        <f>G!AS183</f>
        <v/>
      </c>
      <c r="H217" s="44" t="str">
        <f>G!AR183</f>
        <v>--</v>
      </c>
      <c r="I217" s="35" t="str">
        <f>G!AT183</f>
        <v/>
      </c>
      <c r="J217" s="35" t="str">
        <f>G!AU183</f>
        <v/>
      </c>
      <c r="L217" s="44" t="str">
        <f>G!AW183</f>
        <v/>
      </c>
      <c r="M217" s="44" t="str">
        <f>G!AV183</f>
        <v>--</v>
      </c>
      <c r="O217" s="35" t="str">
        <f>G!AY183</f>
        <v/>
      </c>
      <c r="P217" s="44" t="str">
        <f>G!AX183</f>
        <v>--</v>
      </c>
      <c r="Q217" s="35" t="str">
        <f>G!AZ183</f>
        <v/>
      </c>
      <c r="R217" s="35" t="str">
        <f>G!BA183</f>
        <v/>
      </c>
      <c r="T217" s="44" t="str">
        <f>G!BC183</f>
        <v/>
      </c>
      <c r="U217" s="44" t="str">
        <f>G!BB183</f>
        <v>--</v>
      </c>
      <c r="V217" s="44"/>
      <c r="W217" s="35" t="str">
        <f>G!BE183</f>
        <v/>
      </c>
      <c r="X217" s="44" t="str">
        <f>G!BD183</f>
        <v>--</v>
      </c>
      <c r="Y217" s="35" t="str">
        <f>G!BF183</f>
        <v/>
      </c>
      <c r="Z217" s="35" t="str">
        <f>G!BG183</f>
        <v/>
      </c>
      <c r="AA217" s="44"/>
      <c r="AE217" s="72">
        <f t="shared" si="7"/>
        <v>1</v>
      </c>
    </row>
    <row r="218" spans="1:31" ht="9" hidden="1" customHeight="1" x14ac:dyDescent="0.15">
      <c r="A218" s="195" t="str">
        <f>F!A184</f>
        <v>Hexachloorethaan</v>
      </c>
      <c r="B218" s="195"/>
      <c r="C218" s="195"/>
      <c r="D218" s="44" t="str">
        <f>G!AQ184</f>
        <v/>
      </c>
      <c r="E218" s="44" t="str">
        <f>G!AP184</f>
        <v>--</v>
      </c>
      <c r="G218" s="35" t="str">
        <f>G!AS184</f>
        <v/>
      </c>
      <c r="H218" s="44" t="str">
        <f>G!AR184</f>
        <v>--</v>
      </c>
      <c r="I218" s="35" t="str">
        <f>G!AT184</f>
        <v/>
      </c>
      <c r="J218" s="35" t="str">
        <f>G!AU184</f>
        <v/>
      </c>
      <c r="L218" s="44" t="str">
        <f>G!AW184</f>
        <v/>
      </c>
      <c r="M218" s="44" t="str">
        <f>G!AV184</f>
        <v>--</v>
      </c>
      <c r="O218" s="35" t="str">
        <f>G!AY184</f>
        <v/>
      </c>
      <c r="P218" s="44" t="str">
        <f>G!AX184</f>
        <v>--</v>
      </c>
      <c r="Q218" s="35" t="str">
        <f>G!AZ184</f>
        <v/>
      </c>
      <c r="R218" s="35" t="str">
        <f>G!BA184</f>
        <v/>
      </c>
      <c r="T218" s="44" t="str">
        <f>G!BC184</f>
        <v/>
      </c>
      <c r="U218" s="44" t="str">
        <f>G!BB184</f>
        <v>--</v>
      </c>
      <c r="V218" s="44"/>
      <c r="W218" s="35" t="str">
        <f>G!BE184</f>
        <v/>
      </c>
      <c r="X218" s="44" t="str">
        <f>G!BD184</f>
        <v>--</v>
      </c>
      <c r="Y218" s="35" t="str">
        <f>G!BF184</f>
        <v/>
      </c>
      <c r="Z218" s="35" t="str">
        <f>G!BG184</f>
        <v/>
      </c>
      <c r="AA218" s="44"/>
      <c r="AE218" s="72">
        <f t="shared" si="7"/>
        <v>1</v>
      </c>
    </row>
    <row r="219" spans="1:31" ht="9" hidden="1" customHeight="1" x14ac:dyDescent="0.15">
      <c r="A219" s="195" t="str">
        <f>F!A185</f>
        <v>Quintozeen</v>
      </c>
      <c r="B219" s="195"/>
      <c r="C219" s="195"/>
      <c r="D219" s="44" t="str">
        <f>G!AQ185</f>
        <v/>
      </c>
      <c r="E219" s="44" t="str">
        <f>G!AP185</f>
        <v>--</v>
      </c>
      <c r="G219" s="35" t="str">
        <f>G!AS185</f>
        <v/>
      </c>
      <c r="H219" s="44" t="str">
        <f>G!AR185</f>
        <v>--</v>
      </c>
      <c r="I219" s="35" t="str">
        <f>G!AT185</f>
        <v/>
      </c>
      <c r="J219" s="35" t="str">
        <f>G!AU185</f>
        <v/>
      </c>
      <c r="L219" s="44" t="str">
        <f>G!AW185</f>
        <v/>
      </c>
      <c r="M219" s="44" t="str">
        <f>G!AV185</f>
        <v>--</v>
      </c>
      <c r="O219" s="35" t="str">
        <f>G!AY185</f>
        <v/>
      </c>
      <c r="P219" s="44" t="str">
        <f>G!AX185</f>
        <v>--</v>
      </c>
      <c r="Q219" s="35" t="str">
        <f>G!AZ185</f>
        <v/>
      </c>
      <c r="R219" s="35" t="str">
        <f>G!BA185</f>
        <v/>
      </c>
      <c r="T219" s="44" t="str">
        <f>G!BC185</f>
        <v/>
      </c>
      <c r="U219" s="44" t="str">
        <f>G!BB185</f>
        <v>--</v>
      </c>
      <c r="V219" s="44"/>
      <c r="W219" s="35" t="str">
        <f>G!BE185</f>
        <v/>
      </c>
      <c r="X219" s="44" t="str">
        <f>G!BD185</f>
        <v>--</v>
      </c>
      <c r="Y219" s="35" t="str">
        <f>G!BF185</f>
        <v/>
      </c>
      <c r="Z219" s="35" t="str">
        <f>G!BG185</f>
        <v/>
      </c>
      <c r="AA219" s="44"/>
      <c r="AE219" s="72">
        <f t="shared" si="7"/>
        <v>1</v>
      </c>
    </row>
    <row r="220" spans="1:31" ht="9" hidden="1" customHeight="1" x14ac:dyDescent="0.15">
      <c r="A220" s="195" t="str">
        <f>F!A186</f>
        <v>Tecnazeen</v>
      </c>
      <c r="B220" s="195"/>
      <c r="C220" s="195"/>
      <c r="D220" s="44" t="str">
        <f>G!AQ186</f>
        <v/>
      </c>
      <c r="E220" s="44" t="str">
        <f>G!AP186</f>
        <v>--</v>
      </c>
      <c r="G220" s="35" t="str">
        <f>G!AS186</f>
        <v/>
      </c>
      <c r="H220" s="44" t="str">
        <f>G!AR186</f>
        <v>--</v>
      </c>
      <c r="I220" s="35" t="str">
        <f>G!AT186</f>
        <v/>
      </c>
      <c r="J220" s="35" t="str">
        <f>G!AU186</f>
        <v/>
      </c>
      <c r="L220" s="44" t="str">
        <f>G!AW186</f>
        <v/>
      </c>
      <c r="M220" s="44" t="str">
        <f>G!AV186</f>
        <v>--</v>
      </c>
      <c r="O220" s="35" t="str">
        <f>G!AY186</f>
        <v/>
      </c>
      <c r="P220" s="44" t="str">
        <f>G!AX186</f>
        <v>--</v>
      </c>
      <c r="Q220" s="35" t="str">
        <f>G!AZ186</f>
        <v/>
      </c>
      <c r="R220" s="35" t="str">
        <f>G!BA186</f>
        <v/>
      </c>
      <c r="T220" s="44" t="str">
        <f>G!BC186</f>
        <v/>
      </c>
      <c r="U220" s="44" t="str">
        <f>G!BB186</f>
        <v>--</v>
      </c>
      <c r="V220" s="44"/>
      <c r="W220" s="35" t="str">
        <f>G!BE186</f>
        <v/>
      </c>
      <c r="X220" s="44" t="str">
        <f>G!BD186</f>
        <v>--</v>
      </c>
      <c r="Y220" s="35" t="str">
        <f>G!BF186</f>
        <v/>
      </c>
      <c r="Z220" s="35" t="str">
        <f>G!BG186</f>
        <v/>
      </c>
      <c r="AA220" s="44"/>
      <c r="AE220" s="72">
        <f t="shared" si="7"/>
        <v>1</v>
      </c>
    </row>
    <row r="221" spans="1:31" ht="9" hidden="1" customHeight="1" x14ac:dyDescent="0.15">
      <c r="A221" s="195" t="str">
        <f>F!A187</f>
        <v>Triallaat</v>
      </c>
      <c r="B221" s="195"/>
      <c r="C221" s="195"/>
      <c r="D221" s="44" t="str">
        <f>G!AQ187</f>
        <v/>
      </c>
      <c r="E221" s="44" t="str">
        <f>G!AP187</f>
        <v>--</v>
      </c>
      <c r="G221" s="35" t="str">
        <f>G!AS187</f>
        <v/>
      </c>
      <c r="H221" s="44" t="str">
        <f>G!AR187</f>
        <v>--</v>
      </c>
      <c r="I221" s="35" t="str">
        <f>G!AT187</f>
        <v/>
      </c>
      <c r="J221" s="35" t="str">
        <f>G!AU187</f>
        <v/>
      </c>
      <c r="L221" s="44" t="str">
        <f>G!AW187</f>
        <v/>
      </c>
      <c r="M221" s="44" t="str">
        <f>G!AV187</f>
        <v>--</v>
      </c>
      <c r="O221" s="35" t="str">
        <f>G!AY187</f>
        <v/>
      </c>
      <c r="P221" s="44" t="str">
        <f>G!AX187</f>
        <v>--</v>
      </c>
      <c r="Q221" s="35" t="str">
        <f>G!AZ187</f>
        <v/>
      </c>
      <c r="R221" s="35" t="str">
        <f>G!BA187</f>
        <v/>
      </c>
      <c r="T221" s="44" t="str">
        <f>G!BC187</f>
        <v/>
      </c>
      <c r="U221" s="44" t="str">
        <f>G!BB187</f>
        <v>--</v>
      </c>
      <c r="V221" s="44"/>
      <c r="W221" s="35" t="str">
        <f>G!BE187</f>
        <v/>
      </c>
      <c r="X221" s="44" t="str">
        <f>G!BD187</f>
        <v>--</v>
      </c>
      <c r="Y221" s="35" t="str">
        <f>G!BF187</f>
        <v/>
      </c>
      <c r="Z221" s="35" t="str">
        <f>G!BG187</f>
        <v/>
      </c>
      <c r="AA221" s="44"/>
      <c r="AE221" s="72">
        <f t="shared" si="7"/>
        <v>1</v>
      </c>
    </row>
    <row r="222" spans="1:31" ht="9" hidden="1" customHeight="1" x14ac:dyDescent="0.15">
      <c r="A222" s="195" t="str">
        <f>F!A188</f>
        <v>p,p-Methoxychloor</v>
      </c>
      <c r="B222" s="195"/>
      <c r="C222" s="195"/>
      <c r="D222" s="44" t="str">
        <f>G!AQ188</f>
        <v/>
      </c>
      <c r="E222" s="44" t="str">
        <f>G!AP188</f>
        <v>--</v>
      </c>
      <c r="G222" s="35" t="str">
        <f>G!AS188</f>
        <v/>
      </c>
      <c r="H222" s="44" t="str">
        <f>G!AR188</f>
        <v>--</v>
      </c>
      <c r="I222" s="35" t="str">
        <f>G!AT188</f>
        <v/>
      </c>
      <c r="J222" s="35" t="str">
        <f>G!AU188</f>
        <v/>
      </c>
      <c r="L222" s="44" t="str">
        <f>G!AW188</f>
        <v/>
      </c>
      <c r="M222" s="44" t="str">
        <f>G!AV188</f>
        <v>--</v>
      </c>
      <c r="O222" s="35" t="str">
        <f>G!AY188</f>
        <v/>
      </c>
      <c r="P222" s="44" t="str">
        <f>G!AX188</f>
        <v>--</v>
      </c>
      <c r="Q222" s="35" t="str">
        <f>G!AZ188</f>
        <v/>
      </c>
      <c r="R222" s="35" t="str">
        <f>G!BA188</f>
        <v/>
      </c>
      <c r="T222" s="44" t="str">
        <f>G!BC188</f>
        <v/>
      </c>
      <c r="U222" s="44" t="str">
        <f>G!BB188</f>
        <v>--</v>
      </c>
      <c r="V222" s="44"/>
      <c r="W222" s="35" t="str">
        <f>G!BE188</f>
        <v/>
      </c>
      <c r="X222" s="44" t="str">
        <f>G!BD188</f>
        <v>--</v>
      </c>
      <c r="Y222" s="35" t="str">
        <f>G!BF188</f>
        <v/>
      </c>
      <c r="Z222" s="35" t="str">
        <f>G!BG188</f>
        <v/>
      </c>
      <c r="AA222" s="44"/>
      <c r="AE222" s="72">
        <f t="shared" si="7"/>
        <v>1</v>
      </c>
    </row>
    <row r="223" spans="1:31" ht="3.95" hidden="1" customHeight="1" x14ac:dyDescent="0.15">
      <c r="A223" s="41"/>
      <c r="B223" s="41"/>
      <c r="C223" s="41"/>
      <c r="D223" s="44"/>
      <c r="E223" s="44"/>
      <c r="H223" s="44"/>
      <c r="L223" s="44"/>
      <c r="M223" s="44"/>
      <c r="P223" s="44"/>
      <c r="T223" s="44"/>
      <c r="U223" s="44"/>
      <c r="V223" s="44"/>
      <c r="X223" s="44"/>
      <c r="Z223" s="44"/>
      <c r="AA223" s="44"/>
      <c r="AE223" s="94">
        <f>AE224</f>
        <v>1</v>
      </c>
    </row>
    <row r="224" spans="1:31" ht="9" hidden="1" customHeight="1" x14ac:dyDescent="0.15">
      <c r="A224" s="198" t="str">
        <f>IF(COUNTIF(F!D189:D212,131)&gt;0,"Fosforbestrijdingsmiddelen (µg/kgds)","Fosforbestrijdingsmiddelen (mg/kgds)")</f>
        <v>Fosforbestrijdingsmiddelen (mg/kgds)</v>
      </c>
      <c r="B224" s="198"/>
      <c r="C224" s="198"/>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E224" s="94">
        <f>IF(COUNTIF(AE225:AE248,1)=COUNT(AE225:AE248),1,0)</f>
        <v>1</v>
      </c>
    </row>
    <row r="225" spans="1:31" ht="9" hidden="1" customHeight="1" x14ac:dyDescent="0.15">
      <c r="A225" s="195" t="str">
        <f>F!A189</f>
        <v>Azinfos-ethyl</v>
      </c>
      <c r="B225" s="195"/>
      <c r="C225" s="195"/>
      <c r="D225" s="44" t="str">
        <f>G!AQ189</f>
        <v/>
      </c>
      <c r="E225" s="44" t="str">
        <f>G!AP189</f>
        <v>--</v>
      </c>
      <c r="G225" s="35" t="str">
        <f>G!AS189</f>
        <v/>
      </c>
      <c r="H225" s="44" t="str">
        <f>G!AR189</f>
        <v>--</v>
      </c>
      <c r="I225" s="35" t="str">
        <f>G!AT189</f>
        <v/>
      </c>
      <c r="J225" s="35" t="str">
        <f>G!AU189</f>
        <v/>
      </c>
      <c r="L225" s="44" t="str">
        <f>G!AW189</f>
        <v/>
      </c>
      <c r="M225" s="44" t="str">
        <f>G!AV189</f>
        <v>--</v>
      </c>
      <c r="O225" s="35" t="str">
        <f>G!AY189</f>
        <v/>
      </c>
      <c r="P225" s="44" t="str">
        <f>G!AX189</f>
        <v>--</v>
      </c>
      <c r="Q225" s="35" t="str">
        <f>G!AZ189</f>
        <v/>
      </c>
      <c r="R225" s="35" t="str">
        <f>G!BA189</f>
        <v/>
      </c>
      <c r="T225" s="44" t="str">
        <f>G!BC189</f>
        <v/>
      </c>
      <c r="U225" s="44" t="str">
        <f>G!BB189</f>
        <v>--</v>
      </c>
      <c r="V225" s="44"/>
      <c r="W225" s="35" t="str">
        <f>G!BE189</f>
        <v/>
      </c>
      <c r="X225" s="44" t="str">
        <f>G!BD189</f>
        <v>--</v>
      </c>
      <c r="Y225" s="35" t="str">
        <f>G!BF189</f>
        <v/>
      </c>
      <c r="Z225" s="35" t="str">
        <f>G!BG189</f>
        <v/>
      </c>
      <c r="AA225" s="44"/>
      <c r="AE225" s="72">
        <f t="shared" si="7"/>
        <v>1</v>
      </c>
    </row>
    <row r="226" spans="1:31" ht="9" hidden="1" customHeight="1" x14ac:dyDescent="0.15">
      <c r="A226" s="195" t="str">
        <f>F!A190</f>
        <v>Azinfos-methyl</v>
      </c>
      <c r="B226" s="195"/>
      <c r="C226" s="195"/>
      <c r="D226" s="44" t="str">
        <f>G!AQ190</f>
        <v/>
      </c>
      <c r="E226" s="44" t="str">
        <f>G!AP190</f>
        <v>--</v>
      </c>
      <c r="G226" s="35" t="str">
        <f>G!AS190</f>
        <v/>
      </c>
      <c r="H226" s="44" t="str">
        <f>G!AR190</f>
        <v>--</v>
      </c>
      <c r="I226" s="35" t="str">
        <f>G!AT190</f>
        <v/>
      </c>
      <c r="J226" s="35" t="str">
        <f>G!AU190</f>
        <v/>
      </c>
      <c r="L226" s="44" t="str">
        <f>G!AW190</f>
        <v/>
      </c>
      <c r="M226" s="44" t="str">
        <f>G!AV190</f>
        <v>--</v>
      </c>
      <c r="O226" s="35" t="str">
        <f>G!AY190</f>
        <v/>
      </c>
      <c r="P226" s="44" t="str">
        <f>G!AX190</f>
        <v>--</v>
      </c>
      <c r="Q226" s="35" t="str">
        <f>G!AZ190</f>
        <v/>
      </c>
      <c r="R226" s="35" t="str">
        <f>G!BA190</f>
        <v/>
      </c>
      <c r="T226" s="44" t="str">
        <f>G!BC190</f>
        <v/>
      </c>
      <c r="U226" s="44" t="str">
        <f>G!BB190</f>
        <v>--</v>
      </c>
      <c r="V226" s="44"/>
      <c r="W226" s="35" t="str">
        <f>G!BE190</f>
        <v/>
      </c>
      <c r="X226" s="44" t="str">
        <f>G!BD190</f>
        <v>--</v>
      </c>
      <c r="Y226" s="35" t="str">
        <f>G!BF190</f>
        <v/>
      </c>
      <c r="Z226" s="35" t="str">
        <f>G!BG190</f>
        <v/>
      </c>
      <c r="AA226" s="44"/>
      <c r="AE226" s="72">
        <f t="shared" si="7"/>
        <v>1</v>
      </c>
    </row>
    <row r="227" spans="1:31" ht="9" hidden="1" customHeight="1" x14ac:dyDescent="0.15">
      <c r="A227" s="195" t="str">
        <f>F!A191</f>
        <v>Carbofenothion</v>
      </c>
      <c r="B227" s="195"/>
      <c r="C227" s="195"/>
      <c r="D227" s="44" t="str">
        <f>G!AQ191</f>
        <v/>
      </c>
      <c r="E227" s="44" t="str">
        <f>G!AP191</f>
        <v>--</v>
      </c>
      <c r="G227" s="35" t="str">
        <f>G!AS191</f>
        <v/>
      </c>
      <c r="H227" s="44" t="str">
        <f>G!AR191</f>
        <v>--</v>
      </c>
      <c r="I227" s="35" t="str">
        <f>G!AT191</f>
        <v/>
      </c>
      <c r="J227" s="35" t="str">
        <f>G!AU191</f>
        <v/>
      </c>
      <c r="L227" s="44" t="str">
        <f>G!AW191</f>
        <v/>
      </c>
      <c r="M227" s="44" t="str">
        <f>G!AV191</f>
        <v>--</v>
      </c>
      <c r="O227" s="35" t="str">
        <f>G!AY191</f>
        <v/>
      </c>
      <c r="P227" s="44" t="str">
        <f>G!AX191</f>
        <v>--</v>
      </c>
      <c r="Q227" s="35" t="str">
        <f>G!AZ191</f>
        <v/>
      </c>
      <c r="R227" s="35" t="str">
        <f>G!BA191</f>
        <v/>
      </c>
      <c r="T227" s="44" t="str">
        <f>G!BC191</f>
        <v/>
      </c>
      <c r="U227" s="44" t="str">
        <f>G!BB191</f>
        <v>--</v>
      </c>
      <c r="V227" s="44"/>
      <c r="W227" s="35" t="str">
        <f>G!BE191</f>
        <v/>
      </c>
      <c r="X227" s="44" t="str">
        <f>G!BD191</f>
        <v>--</v>
      </c>
      <c r="Y227" s="35" t="str">
        <f>G!BF191</f>
        <v/>
      </c>
      <c r="Z227" s="35" t="str">
        <f>G!BG191</f>
        <v/>
      </c>
      <c r="AA227" s="44"/>
      <c r="AE227" s="72">
        <f t="shared" si="7"/>
        <v>1</v>
      </c>
    </row>
    <row r="228" spans="1:31" ht="9" hidden="1" customHeight="1" x14ac:dyDescent="0.15">
      <c r="A228" s="195" t="str">
        <f>F!A192</f>
        <v>Chloorfenvinfos A</v>
      </c>
      <c r="B228" s="195"/>
      <c r="C228" s="195"/>
      <c r="D228" s="44" t="str">
        <f>G!AQ192</f>
        <v/>
      </c>
      <c r="E228" s="44" t="str">
        <f>G!AP192</f>
        <v>--</v>
      </c>
      <c r="G228" s="35" t="str">
        <f>G!AS192</f>
        <v/>
      </c>
      <c r="H228" s="44" t="str">
        <f>G!AR192</f>
        <v>--</v>
      </c>
      <c r="I228" s="35" t="str">
        <f>G!AT192</f>
        <v/>
      </c>
      <c r="J228" s="35" t="str">
        <f>G!AU192</f>
        <v/>
      </c>
      <c r="L228" s="44" t="str">
        <f>G!AW192</f>
        <v/>
      </c>
      <c r="M228" s="44" t="str">
        <f>G!AV192</f>
        <v>--</v>
      </c>
      <c r="O228" s="35" t="str">
        <f>G!AY192</f>
        <v/>
      </c>
      <c r="P228" s="44" t="str">
        <f>G!AX192</f>
        <v>--</v>
      </c>
      <c r="Q228" s="35" t="str">
        <f>G!AZ192</f>
        <v/>
      </c>
      <c r="R228" s="35" t="str">
        <f>G!BA192</f>
        <v/>
      </c>
      <c r="T228" s="44" t="str">
        <f>G!BC192</f>
        <v/>
      </c>
      <c r="U228" s="44" t="str">
        <f>G!BB192</f>
        <v>--</v>
      </c>
      <c r="V228" s="44"/>
      <c r="W228" s="35" t="str">
        <f>G!BE192</f>
        <v/>
      </c>
      <c r="X228" s="44" t="str">
        <f>G!BD192</f>
        <v>--</v>
      </c>
      <c r="Y228" s="35" t="str">
        <f>G!BF192</f>
        <v/>
      </c>
      <c r="Z228" s="35" t="str">
        <f>G!BG192</f>
        <v/>
      </c>
      <c r="AA228" s="44"/>
      <c r="AE228" s="72">
        <f t="shared" si="7"/>
        <v>1</v>
      </c>
    </row>
    <row r="229" spans="1:31" ht="9" hidden="1" customHeight="1" x14ac:dyDescent="0.15">
      <c r="A229" s="195" t="str">
        <f>F!A193</f>
        <v>Chloorfenvinfos B</v>
      </c>
      <c r="B229" s="195"/>
      <c r="C229" s="195"/>
      <c r="D229" s="44" t="str">
        <f>G!AQ193</f>
        <v/>
      </c>
      <c r="E229" s="44" t="str">
        <f>G!AP193</f>
        <v>--</v>
      </c>
      <c r="G229" s="35" t="str">
        <f>G!AS193</f>
        <v/>
      </c>
      <c r="H229" s="44" t="str">
        <f>G!AR193</f>
        <v>--</v>
      </c>
      <c r="I229" s="35" t="str">
        <f>G!AT193</f>
        <v/>
      </c>
      <c r="J229" s="35" t="str">
        <f>G!AU193</f>
        <v/>
      </c>
      <c r="L229" s="44" t="str">
        <f>G!AW193</f>
        <v/>
      </c>
      <c r="M229" s="44" t="str">
        <f>G!AV193</f>
        <v>--</v>
      </c>
      <c r="O229" s="35" t="str">
        <f>G!AY193</f>
        <v/>
      </c>
      <c r="P229" s="44" t="str">
        <f>G!AX193</f>
        <v>--</v>
      </c>
      <c r="Q229" s="35" t="str">
        <f>G!AZ193</f>
        <v/>
      </c>
      <c r="R229" s="35" t="str">
        <f>G!BA193</f>
        <v/>
      </c>
      <c r="T229" s="44" t="str">
        <f>G!BC193</f>
        <v/>
      </c>
      <c r="U229" s="44" t="str">
        <f>G!BB193</f>
        <v>--</v>
      </c>
      <c r="V229" s="44"/>
      <c r="W229" s="35" t="str">
        <f>G!BE193</f>
        <v/>
      </c>
      <c r="X229" s="44" t="str">
        <f>G!BD193</f>
        <v>--</v>
      </c>
      <c r="Y229" s="35" t="str">
        <f>G!BF193</f>
        <v/>
      </c>
      <c r="Z229" s="35" t="str">
        <f>G!BG193</f>
        <v/>
      </c>
      <c r="AA229" s="44"/>
      <c r="AE229" s="72">
        <f t="shared" ref="AE229:AE234" si="8">IF(AND(E229="--",M229="--",U229="--"),1,0)</f>
        <v>1</v>
      </c>
    </row>
    <row r="230" spans="1:31" ht="9" hidden="1" customHeight="1" x14ac:dyDescent="0.15">
      <c r="A230" s="195" t="str">
        <f>F!A194</f>
        <v>Chlorfenvinfos (som)</v>
      </c>
      <c r="B230" s="195"/>
      <c r="C230" s="195"/>
      <c r="D230" s="44" t="str">
        <f>G!AQ194</f>
        <v/>
      </c>
      <c r="E230" s="44" t="str">
        <f>G!AP194</f>
        <v>--</v>
      </c>
      <c r="G230" s="35" t="str">
        <f>G!AS194</f>
        <v/>
      </c>
      <c r="H230" s="44" t="str">
        <f>G!AR194</f>
        <v>--</v>
      </c>
      <c r="I230" s="35" t="str">
        <f>G!AT194</f>
        <v/>
      </c>
      <c r="J230" s="35" t="str">
        <f>G!AU194</f>
        <v/>
      </c>
      <c r="L230" s="44" t="str">
        <f>G!AW194</f>
        <v/>
      </c>
      <c r="M230" s="44" t="str">
        <f>G!AV194</f>
        <v>--</v>
      </c>
      <c r="O230" s="35" t="str">
        <f>G!AY194</f>
        <v/>
      </c>
      <c r="P230" s="44" t="str">
        <f>G!AX194</f>
        <v>--</v>
      </c>
      <c r="Q230" s="35" t="str">
        <f>G!AZ194</f>
        <v/>
      </c>
      <c r="R230" s="35" t="str">
        <f>G!BA194</f>
        <v/>
      </c>
      <c r="T230" s="44" t="str">
        <f>G!BC194</f>
        <v/>
      </c>
      <c r="U230" s="44" t="str">
        <f>G!BB194</f>
        <v>--</v>
      </c>
      <c r="V230" s="44"/>
      <c r="W230" s="35" t="str">
        <f>G!BE194</f>
        <v/>
      </c>
      <c r="X230" s="44" t="str">
        <f>G!BD194</f>
        <v>--</v>
      </c>
      <c r="Y230" s="35" t="str">
        <f>G!BF194</f>
        <v/>
      </c>
      <c r="Z230" s="35" t="str">
        <f>G!BG194</f>
        <v/>
      </c>
      <c r="AA230" s="44"/>
      <c r="AE230" s="72">
        <f t="shared" si="8"/>
        <v>1</v>
      </c>
    </row>
    <row r="231" spans="1:31" ht="9" hidden="1" customHeight="1" x14ac:dyDescent="0.15">
      <c r="A231" s="195" t="str">
        <f>F!A195</f>
        <v>Chloorpyrifos-ethyl</v>
      </c>
      <c r="B231" s="195"/>
      <c r="C231" s="195"/>
      <c r="D231" s="44" t="str">
        <f>G!AQ195</f>
        <v/>
      </c>
      <c r="E231" s="44" t="str">
        <f>G!AP195</f>
        <v>--</v>
      </c>
      <c r="G231" s="35" t="str">
        <f>G!AS195</f>
        <v/>
      </c>
      <c r="H231" s="44" t="str">
        <f>G!AR195</f>
        <v>--</v>
      </c>
      <c r="I231" s="35" t="str">
        <f>G!AT195</f>
        <v/>
      </c>
      <c r="J231" s="35" t="str">
        <f>G!AU195</f>
        <v/>
      </c>
      <c r="L231" s="44" t="str">
        <f>G!AW195</f>
        <v/>
      </c>
      <c r="M231" s="44" t="str">
        <f>G!AV195</f>
        <v>--</v>
      </c>
      <c r="O231" s="35" t="str">
        <f>G!AY195</f>
        <v/>
      </c>
      <c r="P231" s="44" t="str">
        <f>G!AX195</f>
        <v>--</v>
      </c>
      <c r="Q231" s="35" t="str">
        <f>G!AZ195</f>
        <v/>
      </c>
      <c r="R231" s="35" t="str">
        <f>G!BA195</f>
        <v/>
      </c>
      <c r="T231" s="44" t="str">
        <f>G!BC195</f>
        <v/>
      </c>
      <c r="U231" s="44" t="str">
        <f>G!BB195</f>
        <v>--</v>
      </c>
      <c r="V231" s="44"/>
      <c r="W231" s="35" t="str">
        <f>G!BE195</f>
        <v/>
      </c>
      <c r="X231" s="44" t="str">
        <f>G!BD195</f>
        <v>--</v>
      </c>
      <c r="Y231" s="35" t="str">
        <f>G!BF195</f>
        <v/>
      </c>
      <c r="Z231" s="35" t="str">
        <f>G!BG195</f>
        <v/>
      </c>
      <c r="AA231" s="44"/>
      <c r="AE231" s="72">
        <f t="shared" si="8"/>
        <v>1</v>
      </c>
    </row>
    <row r="232" spans="1:31" ht="9" hidden="1" customHeight="1" x14ac:dyDescent="0.15">
      <c r="A232" s="195" t="str">
        <f>F!A196</f>
        <v>Chloorpyrifos-methyl</v>
      </c>
      <c r="B232" s="195"/>
      <c r="C232" s="195"/>
      <c r="D232" s="44" t="str">
        <f>G!AQ196</f>
        <v/>
      </c>
      <c r="E232" s="44" t="str">
        <f>G!AP196</f>
        <v>--</v>
      </c>
      <c r="G232" s="35" t="str">
        <f>G!AS196</f>
        <v/>
      </c>
      <c r="H232" s="44" t="str">
        <f>G!AR196</f>
        <v>--</v>
      </c>
      <c r="I232" s="35" t="str">
        <f>G!AT196</f>
        <v/>
      </c>
      <c r="J232" s="35" t="str">
        <f>G!AU196</f>
        <v/>
      </c>
      <c r="L232" s="44" t="str">
        <f>G!AW196</f>
        <v/>
      </c>
      <c r="M232" s="44" t="str">
        <f>G!AV196</f>
        <v>--</v>
      </c>
      <c r="O232" s="35" t="str">
        <f>G!AY196</f>
        <v/>
      </c>
      <c r="P232" s="44" t="str">
        <f>G!AX196</f>
        <v>--</v>
      </c>
      <c r="Q232" s="35" t="str">
        <f>G!AZ196</f>
        <v/>
      </c>
      <c r="R232" s="35" t="str">
        <f>G!BA196</f>
        <v/>
      </c>
      <c r="T232" s="44" t="str">
        <f>G!BC196</f>
        <v/>
      </c>
      <c r="U232" s="44" t="str">
        <f>G!BB196</f>
        <v>--</v>
      </c>
      <c r="V232" s="44"/>
      <c r="W232" s="35" t="str">
        <f>G!BE196</f>
        <v/>
      </c>
      <c r="X232" s="44" t="str">
        <f>G!BD196</f>
        <v>--</v>
      </c>
      <c r="Y232" s="35" t="str">
        <f>G!BF196</f>
        <v/>
      </c>
      <c r="Z232" s="35" t="str">
        <f>G!BG196</f>
        <v/>
      </c>
      <c r="AA232" s="44"/>
      <c r="AE232" s="72">
        <f t="shared" si="8"/>
        <v>1</v>
      </c>
    </row>
    <row r="233" spans="1:31" ht="9" hidden="1" customHeight="1" x14ac:dyDescent="0.15">
      <c r="A233" s="195" t="str">
        <f>F!A197</f>
        <v>Diazinon</v>
      </c>
      <c r="B233" s="195"/>
      <c r="C233" s="195"/>
      <c r="D233" s="44" t="str">
        <f>G!AQ197</f>
        <v/>
      </c>
      <c r="E233" s="44" t="str">
        <f>G!AP197</f>
        <v>--</v>
      </c>
      <c r="G233" s="35" t="str">
        <f>G!AS197</f>
        <v/>
      </c>
      <c r="H233" s="44" t="str">
        <f>G!AR197</f>
        <v>--</v>
      </c>
      <c r="I233" s="35" t="str">
        <f>G!AT197</f>
        <v/>
      </c>
      <c r="J233" s="35" t="str">
        <f>G!AU197</f>
        <v/>
      </c>
      <c r="L233" s="44" t="str">
        <f>G!AW197</f>
        <v/>
      </c>
      <c r="M233" s="44" t="str">
        <f>G!AV197</f>
        <v>--</v>
      </c>
      <c r="O233" s="35" t="str">
        <f>G!AY197</f>
        <v/>
      </c>
      <c r="P233" s="44" t="str">
        <f>G!AX197</f>
        <v>--</v>
      </c>
      <c r="Q233" s="35" t="str">
        <f>G!AZ197</f>
        <v/>
      </c>
      <c r="R233" s="35" t="str">
        <f>G!BA197</f>
        <v/>
      </c>
      <c r="T233" s="44" t="str">
        <f>G!BC197</f>
        <v/>
      </c>
      <c r="U233" s="44" t="str">
        <f>G!BB197</f>
        <v>--</v>
      </c>
      <c r="V233" s="44"/>
      <c r="W233" s="35" t="str">
        <f>G!BE197</f>
        <v/>
      </c>
      <c r="X233" s="44" t="str">
        <f>G!BD197</f>
        <v>--</v>
      </c>
      <c r="Y233" s="35" t="str">
        <f>G!BF197</f>
        <v/>
      </c>
      <c r="Z233" s="35" t="str">
        <f>G!BG197</f>
        <v/>
      </c>
      <c r="AA233" s="44"/>
      <c r="AE233" s="72">
        <f t="shared" si="8"/>
        <v>1</v>
      </c>
    </row>
    <row r="234" spans="1:31" ht="9" hidden="1" customHeight="1" x14ac:dyDescent="0.15">
      <c r="A234" s="195" t="str">
        <f>F!A198</f>
        <v>Dichloorvos</v>
      </c>
      <c r="B234" s="195"/>
      <c r="C234" s="195"/>
      <c r="D234" s="44" t="str">
        <f>G!AQ198</f>
        <v/>
      </c>
      <c r="E234" s="44" t="str">
        <f>G!AP198</f>
        <v>--</v>
      </c>
      <c r="G234" s="35" t="str">
        <f>G!AS198</f>
        <v/>
      </c>
      <c r="H234" s="44" t="str">
        <f>G!AR198</f>
        <v>--</v>
      </c>
      <c r="I234" s="35" t="str">
        <f>G!AT198</f>
        <v/>
      </c>
      <c r="J234" s="35" t="str">
        <f>G!AU198</f>
        <v/>
      </c>
      <c r="L234" s="44" t="str">
        <f>G!AW198</f>
        <v/>
      </c>
      <c r="M234" s="44" t="str">
        <f>G!AV198</f>
        <v>--</v>
      </c>
      <c r="O234" s="35" t="str">
        <f>G!AY198</f>
        <v/>
      </c>
      <c r="P234" s="44" t="str">
        <f>G!AX198</f>
        <v>--</v>
      </c>
      <c r="Q234" s="35" t="str">
        <f>G!AZ198</f>
        <v/>
      </c>
      <c r="R234" s="35" t="str">
        <f>G!BA198</f>
        <v/>
      </c>
      <c r="T234" s="44" t="str">
        <f>G!BC198</f>
        <v/>
      </c>
      <c r="U234" s="44" t="str">
        <f>G!BB198</f>
        <v>--</v>
      </c>
      <c r="V234" s="44"/>
      <c r="W234" s="35" t="str">
        <f>G!BE198</f>
        <v/>
      </c>
      <c r="X234" s="44" t="str">
        <f>G!BD198</f>
        <v>--</v>
      </c>
      <c r="Y234" s="35" t="str">
        <f>G!BF198</f>
        <v/>
      </c>
      <c r="Z234" s="35" t="str">
        <f>G!BG198</f>
        <v/>
      </c>
      <c r="AA234" s="44"/>
      <c r="AE234" s="72">
        <f t="shared" si="8"/>
        <v>1</v>
      </c>
    </row>
    <row r="235" spans="1:31" ht="9" hidden="1" customHeight="1" x14ac:dyDescent="0.15">
      <c r="A235" s="195" t="str">
        <f>F!A199</f>
        <v>Dimethoaat</v>
      </c>
      <c r="B235" s="195"/>
      <c r="C235" s="195"/>
      <c r="D235" s="44" t="str">
        <f>G!AQ199</f>
        <v/>
      </c>
      <c r="E235" s="44" t="str">
        <f>G!AP199</f>
        <v>--</v>
      </c>
      <c r="G235" s="35" t="str">
        <f>G!AS199</f>
        <v/>
      </c>
      <c r="H235" s="44" t="str">
        <f>G!AR199</f>
        <v>--</v>
      </c>
      <c r="I235" s="35" t="str">
        <f>G!AT199</f>
        <v/>
      </c>
      <c r="J235" s="35" t="str">
        <f>G!AU199</f>
        <v/>
      </c>
      <c r="L235" s="44" t="str">
        <f>G!AW199</f>
        <v/>
      </c>
      <c r="M235" s="44" t="str">
        <f>G!AV199</f>
        <v>--</v>
      </c>
      <c r="O235" s="35" t="str">
        <f>G!AY199</f>
        <v/>
      </c>
      <c r="P235" s="44" t="str">
        <f>G!AX199</f>
        <v>--</v>
      </c>
      <c r="Q235" s="35" t="str">
        <f>G!AZ199</f>
        <v/>
      </c>
      <c r="R235" s="35" t="str">
        <f>G!BA199</f>
        <v/>
      </c>
      <c r="T235" s="44" t="str">
        <f>G!BC199</f>
        <v/>
      </c>
      <c r="U235" s="44" t="str">
        <f>G!BB199</f>
        <v>--</v>
      </c>
      <c r="V235" s="44"/>
      <c r="W235" s="35" t="str">
        <f>G!BE199</f>
        <v/>
      </c>
      <c r="X235" s="44" t="str">
        <f>G!BD199</f>
        <v>--</v>
      </c>
      <c r="Y235" s="35" t="str">
        <f>G!BF199</f>
        <v/>
      </c>
      <c r="Z235" s="35" t="str">
        <f>G!BG199</f>
        <v/>
      </c>
      <c r="AA235" s="44"/>
      <c r="AE235" s="72">
        <f t="shared" ref="AE235:AE244" si="9">IF(AND(E235="--",M235="--",U235="--"),1,0)</f>
        <v>1</v>
      </c>
    </row>
    <row r="236" spans="1:31" ht="9" hidden="1" customHeight="1" x14ac:dyDescent="0.15">
      <c r="A236" s="195" t="str">
        <f>F!A200</f>
        <v>Disulfoton</v>
      </c>
      <c r="B236" s="195"/>
      <c r="C236" s="195"/>
      <c r="D236" s="44" t="str">
        <f>G!AQ200</f>
        <v/>
      </c>
      <c r="E236" s="44" t="str">
        <f>G!AP200</f>
        <v>--</v>
      </c>
      <c r="G236" s="35" t="str">
        <f>G!AS200</f>
        <v/>
      </c>
      <c r="H236" s="44" t="str">
        <f>G!AR200</f>
        <v>--</v>
      </c>
      <c r="I236" s="35" t="str">
        <f>G!AT200</f>
        <v/>
      </c>
      <c r="J236" s="35" t="str">
        <f>G!AU200</f>
        <v/>
      </c>
      <c r="L236" s="44" t="str">
        <f>G!AW200</f>
        <v/>
      </c>
      <c r="M236" s="44" t="str">
        <f>G!AV200</f>
        <v>--</v>
      </c>
      <c r="O236" s="35" t="str">
        <f>G!AY200</f>
        <v/>
      </c>
      <c r="P236" s="44" t="str">
        <f>G!AX200</f>
        <v>--</v>
      </c>
      <c r="Q236" s="35" t="str">
        <f>G!AZ200</f>
        <v/>
      </c>
      <c r="R236" s="35" t="str">
        <f>G!BA200</f>
        <v/>
      </c>
      <c r="T236" s="44" t="str">
        <f>G!BC200</f>
        <v/>
      </c>
      <c r="U236" s="44" t="str">
        <f>G!BB200</f>
        <v>--</v>
      </c>
      <c r="V236" s="44"/>
      <c r="W236" s="35" t="str">
        <f>G!BE200</f>
        <v/>
      </c>
      <c r="X236" s="44" t="str">
        <f>G!BD200</f>
        <v>--</v>
      </c>
      <c r="Y236" s="35" t="str">
        <f>G!BF200</f>
        <v/>
      </c>
      <c r="Z236" s="35" t="str">
        <f>G!BG200</f>
        <v/>
      </c>
      <c r="AA236" s="44"/>
      <c r="AE236" s="72">
        <f t="shared" si="9"/>
        <v>1</v>
      </c>
    </row>
    <row r="237" spans="1:31" ht="9" hidden="1" customHeight="1" x14ac:dyDescent="0.15">
      <c r="A237" s="195" t="str">
        <f>F!A201</f>
        <v>Ethion</v>
      </c>
      <c r="B237" s="195"/>
      <c r="C237" s="195"/>
      <c r="D237" s="44" t="str">
        <f>G!AQ201</f>
        <v/>
      </c>
      <c r="E237" s="44" t="str">
        <f>G!AP201</f>
        <v>--</v>
      </c>
      <c r="G237" s="35" t="str">
        <f>G!AS201</f>
        <v/>
      </c>
      <c r="H237" s="44" t="str">
        <f>G!AR201</f>
        <v>--</v>
      </c>
      <c r="I237" s="35" t="str">
        <f>G!AT201</f>
        <v/>
      </c>
      <c r="J237" s="35" t="str">
        <f>G!AU201</f>
        <v/>
      </c>
      <c r="L237" s="44" t="str">
        <f>G!AW201</f>
        <v/>
      </c>
      <c r="M237" s="44" t="str">
        <f>G!AV201</f>
        <v>--</v>
      </c>
      <c r="O237" s="35" t="str">
        <f>G!AY201</f>
        <v/>
      </c>
      <c r="P237" s="44" t="str">
        <f>G!AX201</f>
        <v>--</v>
      </c>
      <c r="Q237" s="35" t="str">
        <f>G!AZ201</f>
        <v/>
      </c>
      <c r="R237" s="35" t="str">
        <f>G!BA201</f>
        <v/>
      </c>
      <c r="T237" s="44" t="str">
        <f>G!BC201</f>
        <v/>
      </c>
      <c r="U237" s="44" t="str">
        <f>G!BB201</f>
        <v>--</v>
      </c>
      <c r="V237" s="44"/>
      <c r="W237" s="35" t="str">
        <f>G!BE201</f>
        <v/>
      </c>
      <c r="X237" s="44" t="str">
        <f>G!BD201</f>
        <v>--</v>
      </c>
      <c r="Y237" s="35" t="str">
        <f>G!BF201</f>
        <v/>
      </c>
      <c r="Z237" s="35" t="str">
        <f>G!BG201</f>
        <v/>
      </c>
      <c r="AA237" s="44"/>
      <c r="AE237" s="72">
        <f t="shared" si="9"/>
        <v>1</v>
      </c>
    </row>
    <row r="238" spans="1:31" ht="9" hidden="1" customHeight="1" x14ac:dyDescent="0.15">
      <c r="A238" s="195" t="str">
        <f>F!A202</f>
        <v>Etrimfos</v>
      </c>
      <c r="B238" s="195"/>
      <c r="C238" s="195"/>
      <c r="D238" s="44" t="str">
        <f>G!AQ202</f>
        <v/>
      </c>
      <c r="E238" s="44" t="str">
        <f>G!AP202</f>
        <v>--</v>
      </c>
      <c r="G238" s="35" t="str">
        <f>G!AS202</f>
        <v/>
      </c>
      <c r="H238" s="44" t="str">
        <f>G!AR202</f>
        <v>--</v>
      </c>
      <c r="I238" s="35" t="str">
        <f>G!AT202</f>
        <v/>
      </c>
      <c r="J238" s="35" t="str">
        <f>G!AU202</f>
        <v/>
      </c>
      <c r="L238" s="44" t="str">
        <f>G!AW202</f>
        <v/>
      </c>
      <c r="M238" s="44" t="str">
        <f>G!AV202</f>
        <v>--</v>
      </c>
      <c r="O238" s="35" t="str">
        <f>G!AY202</f>
        <v/>
      </c>
      <c r="P238" s="44" t="str">
        <f>G!AX202</f>
        <v>--</v>
      </c>
      <c r="Q238" s="35" t="str">
        <f>G!AZ202</f>
        <v/>
      </c>
      <c r="R238" s="35" t="str">
        <f>G!BA202</f>
        <v/>
      </c>
      <c r="T238" s="44" t="str">
        <f>G!BC202</f>
        <v/>
      </c>
      <c r="U238" s="44" t="str">
        <f>G!BB202</f>
        <v>--</v>
      </c>
      <c r="V238" s="44"/>
      <c r="W238" s="35" t="str">
        <f>G!BE202</f>
        <v/>
      </c>
      <c r="X238" s="44" t="str">
        <f>G!BD202</f>
        <v>--</v>
      </c>
      <c r="Y238" s="35" t="str">
        <f>G!BF202</f>
        <v/>
      </c>
      <c r="Z238" s="35" t="str">
        <f>G!BG202</f>
        <v/>
      </c>
      <c r="AA238" s="44"/>
      <c r="AE238" s="72">
        <f t="shared" si="9"/>
        <v>1</v>
      </c>
    </row>
    <row r="239" spans="1:31" ht="9" hidden="1" customHeight="1" x14ac:dyDescent="0.15">
      <c r="A239" s="195" t="str">
        <f>F!A203</f>
        <v>Fenitrothion</v>
      </c>
      <c r="B239" s="195"/>
      <c r="C239" s="195"/>
      <c r="D239" s="44" t="str">
        <f>G!AQ203</f>
        <v/>
      </c>
      <c r="E239" s="44" t="str">
        <f>G!AP203</f>
        <v>--</v>
      </c>
      <c r="G239" s="35" t="str">
        <f>G!AS203</f>
        <v/>
      </c>
      <c r="H239" s="44" t="str">
        <f>G!AR203</f>
        <v>--</v>
      </c>
      <c r="I239" s="35" t="str">
        <f>G!AT203</f>
        <v/>
      </c>
      <c r="J239" s="35" t="str">
        <f>G!AU203</f>
        <v/>
      </c>
      <c r="L239" s="44" t="str">
        <f>G!AW203</f>
        <v/>
      </c>
      <c r="M239" s="44" t="str">
        <f>G!AV203</f>
        <v>--</v>
      </c>
      <c r="O239" s="35" t="str">
        <f>G!AY203</f>
        <v/>
      </c>
      <c r="P239" s="44" t="str">
        <f>G!AX203</f>
        <v>--</v>
      </c>
      <c r="Q239" s="35" t="str">
        <f>G!AZ203</f>
        <v/>
      </c>
      <c r="R239" s="35" t="str">
        <f>G!BA203</f>
        <v/>
      </c>
      <c r="T239" s="44" t="str">
        <f>G!BC203</f>
        <v/>
      </c>
      <c r="U239" s="44" t="str">
        <f>G!BB203</f>
        <v>--</v>
      </c>
      <c r="V239" s="44"/>
      <c r="W239" s="35" t="str">
        <f>G!BE203</f>
        <v/>
      </c>
      <c r="X239" s="44" t="str">
        <f>G!BD203</f>
        <v>--</v>
      </c>
      <c r="Y239" s="35" t="str">
        <f>G!BF203</f>
        <v/>
      </c>
      <c r="Z239" s="35" t="str">
        <f>G!BG203</f>
        <v/>
      </c>
      <c r="AA239" s="44"/>
      <c r="AE239" s="72">
        <f t="shared" si="9"/>
        <v>1</v>
      </c>
    </row>
    <row r="240" spans="1:31" ht="9" hidden="1" customHeight="1" x14ac:dyDescent="0.15">
      <c r="A240" s="195" t="str">
        <f>F!A204</f>
        <v>Fenthion</v>
      </c>
      <c r="B240" s="195"/>
      <c r="C240" s="195"/>
      <c r="D240" s="44" t="str">
        <f>G!AQ204</f>
        <v/>
      </c>
      <c r="E240" s="44" t="str">
        <f>G!AP204</f>
        <v>--</v>
      </c>
      <c r="G240" s="35" t="str">
        <f>G!AS204</f>
        <v/>
      </c>
      <c r="H240" s="44" t="str">
        <f>G!AR204</f>
        <v>--</v>
      </c>
      <c r="I240" s="35" t="str">
        <f>G!AT204</f>
        <v/>
      </c>
      <c r="J240" s="35" t="str">
        <f>G!AU204</f>
        <v/>
      </c>
      <c r="L240" s="44" t="str">
        <f>G!AW204</f>
        <v/>
      </c>
      <c r="M240" s="44" t="str">
        <f>G!AV204</f>
        <v>--</v>
      </c>
      <c r="O240" s="35" t="str">
        <f>G!AY204</f>
        <v/>
      </c>
      <c r="P240" s="44" t="str">
        <f>G!AX204</f>
        <v>--</v>
      </c>
      <c r="Q240" s="35" t="str">
        <f>G!AZ204</f>
        <v/>
      </c>
      <c r="R240" s="35" t="str">
        <f>G!BA204</f>
        <v/>
      </c>
      <c r="T240" s="44" t="str">
        <f>G!BC204</f>
        <v/>
      </c>
      <c r="U240" s="44" t="str">
        <f>G!BB204</f>
        <v>--</v>
      </c>
      <c r="V240" s="44"/>
      <c r="W240" s="35" t="str">
        <f>G!BE204</f>
        <v/>
      </c>
      <c r="X240" s="44" t="str">
        <f>G!BD204</f>
        <v>--</v>
      </c>
      <c r="Y240" s="35" t="str">
        <f>G!BF204</f>
        <v/>
      </c>
      <c r="Z240" s="35" t="str">
        <f>G!BG204</f>
        <v/>
      </c>
      <c r="AA240" s="44"/>
      <c r="AE240" s="72">
        <f t="shared" si="9"/>
        <v>1</v>
      </c>
    </row>
    <row r="241" spans="1:31" ht="9" hidden="1" customHeight="1" x14ac:dyDescent="0.15">
      <c r="A241" s="195" t="str">
        <f>F!A205</f>
        <v>Fosalon</v>
      </c>
      <c r="B241" s="195"/>
      <c r="C241" s="195"/>
      <c r="D241" s="44" t="str">
        <f>G!AQ205</f>
        <v/>
      </c>
      <c r="E241" s="44" t="str">
        <f>G!AP205</f>
        <v>--</v>
      </c>
      <c r="G241" s="35" t="str">
        <f>G!AS205</f>
        <v/>
      </c>
      <c r="H241" s="44" t="str">
        <f>G!AR205</f>
        <v>--</v>
      </c>
      <c r="I241" s="35" t="str">
        <f>G!AT205</f>
        <v/>
      </c>
      <c r="J241" s="35" t="str">
        <f>G!AU205</f>
        <v/>
      </c>
      <c r="L241" s="44" t="str">
        <f>G!AW205</f>
        <v/>
      </c>
      <c r="M241" s="44" t="str">
        <f>G!AV205</f>
        <v>--</v>
      </c>
      <c r="O241" s="35" t="str">
        <f>G!AY205</f>
        <v/>
      </c>
      <c r="P241" s="44" t="str">
        <f>G!AX205</f>
        <v>--</v>
      </c>
      <c r="Q241" s="35" t="str">
        <f>G!AZ205</f>
        <v/>
      </c>
      <c r="R241" s="35" t="str">
        <f>G!BA205</f>
        <v/>
      </c>
      <c r="T241" s="44" t="str">
        <f>G!BC205</f>
        <v/>
      </c>
      <c r="U241" s="44" t="str">
        <f>G!BB205</f>
        <v>--</v>
      </c>
      <c r="V241" s="44"/>
      <c r="W241" s="35" t="str">
        <f>G!BE205</f>
        <v/>
      </c>
      <c r="X241" s="44" t="str">
        <f>G!BD205</f>
        <v>--</v>
      </c>
      <c r="Y241" s="35" t="str">
        <f>G!BF205</f>
        <v/>
      </c>
      <c r="Z241" s="35" t="str">
        <f>G!BG205</f>
        <v/>
      </c>
      <c r="AA241" s="44"/>
      <c r="AE241" s="72">
        <f t="shared" si="9"/>
        <v>1</v>
      </c>
    </row>
    <row r="242" spans="1:31" ht="9" hidden="1" customHeight="1" x14ac:dyDescent="0.15">
      <c r="A242" s="195" t="str">
        <f>F!A206</f>
        <v>Malathion</v>
      </c>
      <c r="B242" s="195"/>
      <c r="C242" s="195"/>
      <c r="D242" s="44" t="str">
        <f>G!AQ206</f>
        <v/>
      </c>
      <c r="E242" s="44" t="str">
        <f>G!AP206</f>
        <v>--</v>
      </c>
      <c r="G242" s="35" t="str">
        <f>G!AS206</f>
        <v/>
      </c>
      <c r="H242" s="44" t="str">
        <f>G!AR206</f>
        <v>--</v>
      </c>
      <c r="I242" s="35" t="str">
        <f>G!AT206</f>
        <v/>
      </c>
      <c r="J242" s="35" t="str">
        <f>G!AU206</f>
        <v/>
      </c>
      <c r="L242" s="44" t="str">
        <f>G!AW206</f>
        <v/>
      </c>
      <c r="M242" s="44" t="str">
        <f>G!AV206</f>
        <v>--</v>
      </c>
      <c r="O242" s="35" t="str">
        <f>G!AY206</f>
        <v/>
      </c>
      <c r="P242" s="44" t="str">
        <f>G!AX206</f>
        <v>--</v>
      </c>
      <c r="Q242" s="35" t="str">
        <f>G!AZ206</f>
        <v/>
      </c>
      <c r="R242" s="35" t="str">
        <f>G!BA206</f>
        <v/>
      </c>
      <c r="T242" s="44" t="str">
        <f>G!BC206</f>
        <v/>
      </c>
      <c r="U242" s="44" t="str">
        <f>G!BB206</f>
        <v>--</v>
      </c>
      <c r="V242" s="44"/>
      <c r="W242" s="35" t="str">
        <f>G!BE206</f>
        <v/>
      </c>
      <c r="X242" s="44" t="str">
        <f>G!BD206</f>
        <v>--</v>
      </c>
      <c r="Y242" s="35" t="str">
        <f>G!BF206</f>
        <v/>
      </c>
      <c r="Z242" s="35" t="str">
        <f>G!BG206</f>
        <v/>
      </c>
      <c r="AA242" s="44"/>
      <c r="AE242" s="72">
        <f t="shared" si="9"/>
        <v>1</v>
      </c>
    </row>
    <row r="243" spans="1:31" ht="9" hidden="1" customHeight="1" x14ac:dyDescent="0.15">
      <c r="A243" s="195" t="str">
        <f>F!A207</f>
        <v>Mevinfos (som)</v>
      </c>
      <c r="B243" s="195"/>
      <c r="C243" s="195"/>
      <c r="D243" s="44" t="str">
        <f>G!AQ207</f>
        <v/>
      </c>
      <c r="E243" s="44" t="str">
        <f>G!AP207</f>
        <v>--</v>
      </c>
      <c r="G243" s="35" t="str">
        <f>G!AS207</f>
        <v/>
      </c>
      <c r="H243" s="44" t="str">
        <f>G!AR207</f>
        <v>--</v>
      </c>
      <c r="I243" s="35" t="str">
        <f>G!AT207</f>
        <v/>
      </c>
      <c r="J243" s="35" t="str">
        <f>G!AU207</f>
        <v/>
      </c>
      <c r="L243" s="44" t="str">
        <f>G!AW207</f>
        <v/>
      </c>
      <c r="M243" s="44" t="str">
        <f>G!AV207</f>
        <v>--</v>
      </c>
      <c r="O243" s="35" t="str">
        <f>G!AY207</f>
        <v/>
      </c>
      <c r="P243" s="44" t="str">
        <f>G!AX207</f>
        <v>--</v>
      </c>
      <c r="Q243" s="35" t="str">
        <f>G!AZ207</f>
        <v/>
      </c>
      <c r="R243" s="35" t="str">
        <f>G!BA207</f>
        <v/>
      </c>
      <c r="T243" s="44" t="str">
        <f>G!BC207</f>
        <v/>
      </c>
      <c r="U243" s="44" t="str">
        <f>G!BB207</f>
        <v>--</v>
      </c>
      <c r="V243" s="44"/>
      <c r="W243" s="35" t="str">
        <f>G!BE207</f>
        <v/>
      </c>
      <c r="X243" s="44" t="str">
        <f>G!BD207</f>
        <v>--</v>
      </c>
      <c r="Y243" s="35" t="str">
        <f>G!BF207</f>
        <v/>
      </c>
      <c r="Z243" s="35" t="str">
        <f>G!BG207</f>
        <v/>
      </c>
      <c r="AA243" s="44"/>
      <c r="AE243" s="72">
        <f t="shared" si="9"/>
        <v>1</v>
      </c>
    </row>
    <row r="244" spans="1:31" ht="9" hidden="1" customHeight="1" x14ac:dyDescent="0.15">
      <c r="A244" s="195" t="str">
        <f>F!A208</f>
        <v>Parathion-ethyl</v>
      </c>
      <c r="B244" s="195"/>
      <c r="C244" s="195"/>
      <c r="D244" s="44" t="str">
        <f>G!AQ208</f>
        <v/>
      </c>
      <c r="E244" s="44" t="str">
        <f>G!AP208</f>
        <v>--</v>
      </c>
      <c r="G244" s="35" t="str">
        <f>G!AS208</f>
        <v/>
      </c>
      <c r="H244" s="44" t="str">
        <f>G!AR208</f>
        <v>--</v>
      </c>
      <c r="I244" s="35" t="str">
        <f>G!AT208</f>
        <v/>
      </c>
      <c r="J244" s="35" t="str">
        <f>G!AU208</f>
        <v/>
      </c>
      <c r="L244" s="44" t="str">
        <f>G!AW208</f>
        <v/>
      </c>
      <c r="M244" s="44" t="str">
        <f>G!AV208</f>
        <v>--</v>
      </c>
      <c r="O244" s="35" t="str">
        <f>G!AY208</f>
        <v/>
      </c>
      <c r="P244" s="44" t="str">
        <f>G!AX208</f>
        <v>--</v>
      </c>
      <c r="Q244" s="35" t="str">
        <f>G!AZ208</f>
        <v/>
      </c>
      <c r="R244" s="35" t="str">
        <f>G!BA208</f>
        <v/>
      </c>
      <c r="T244" s="44" t="str">
        <f>G!BC208</f>
        <v/>
      </c>
      <c r="U244" s="44" t="str">
        <f>G!BB208</f>
        <v>--</v>
      </c>
      <c r="V244" s="44"/>
      <c r="W244" s="35" t="str">
        <f>G!BE208</f>
        <v/>
      </c>
      <c r="X244" s="44" t="str">
        <f>G!BD208</f>
        <v>--</v>
      </c>
      <c r="Y244" s="35" t="str">
        <f>G!BF208</f>
        <v/>
      </c>
      <c r="Z244" s="35" t="str">
        <f>G!BG208</f>
        <v/>
      </c>
      <c r="AA244" s="44"/>
      <c r="AE244" s="72">
        <f t="shared" si="9"/>
        <v>1</v>
      </c>
    </row>
    <row r="245" spans="1:31" ht="9" hidden="1" customHeight="1" x14ac:dyDescent="0.15">
      <c r="A245" s="195" t="str">
        <f>F!A209</f>
        <v>Parathion-methyl</v>
      </c>
      <c r="B245" s="195"/>
      <c r="C245" s="195"/>
      <c r="D245" s="44" t="str">
        <f>G!AQ209</f>
        <v/>
      </c>
      <c r="E245" s="44" t="str">
        <f>G!AP209</f>
        <v>--</v>
      </c>
      <c r="G245" s="35" t="str">
        <f>G!AS209</f>
        <v/>
      </c>
      <c r="H245" s="44" t="str">
        <f>G!AR209</f>
        <v>--</v>
      </c>
      <c r="I245" s="35" t="str">
        <f>G!AT209</f>
        <v/>
      </c>
      <c r="J245" s="35" t="str">
        <f>G!AU209</f>
        <v/>
      </c>
      <c r="L245" s="44" t="str">
        <f>G!AW209</f>
        <v/>
      </c>
      <c r="M245" s="44" t="str">
        <f>G!AV209</f>
        <v>--</v>
      </c>
      <c r="O245" s="35" t="str">
        <f>G!AY209</f>
        <v/>
      </c>
      <c r="P245" s="44" t="str">
        <f>G!AX209</f>
        <v>--</v>
      </c>
      <c r="Q245" s="35" t="str">
        <f>G!AZ209</f>
        <v/>
      </c>
      <c r="R245" s="35" t="str">
        <f>G!BA209</f>
        <v/>
      </c>
      <c r="T245" s="44" t="str">
        <f>G!BC209</f>
        <v/>
      </c>
      <c r="U245" s="44" t="str">
        <f>G!BB209</f>
        <v>--</v>
      </c>
      <c r="V245" s="44"/>
      <c r="W245" s="35" t="str">
        <f>G!BE209</f>
        <v/>
      </c>
      <c r="X245" s="44" t="str">
        <f>G!BD209</f>
        <v>--</v>
      </c>
      <c r="Y245" s="35" t="str">
        <f>G!BF209</f>
        <v/>
      </c>
      <c r="Z245" s="35" t="str">
        <f>G!BG209</f>
        <v/>
      </c>
      <c r="AA245" s="44"/>
      <c r="AE245" s="72">
        <f t="shared" ref="AE245:AE254" si="10">IF(AND(E245="--",M245="--",U245="--"),1,0)</f>
        <v>1</v>
      </c>
    </row>
    <row r="246" spans="1:31" ht="9" hidden="1" customHeight="1" x14ac:dyDescent="0.15">
      <c r="A246" s="195" t="str">
        <f>F!A210</f>
        <v>Pirimifos-methyl</v>
      </c>
      <c r="B246" s="195"/>
      <c r="C246" s="195"/>
      <c r="D246" s="44" t="str">
        <f>G!AQ210</f>
        <v/>
      </c>
      <c r="E246" s="44" t="str">
        <f>G!AP210</f>
        <v>--</v>
      </c>
      <c r="G246" s="35" t="str">
        <f>G!AS210</f>
        <v/>
      </c>
      <c r="H246" s="44" t="str">
        <f>G!AR210</f>
        <v>--</v>
      </c>
      <c r="I246" s="35" t="str">
        <f>G!AT210</f>
        <v/>
      </c>
      <c r="J246" s="35" t="str">
        <f>G!AU210</f>
        <v/>
      </c>
      <c r="L246" s="44" t="str">
        <f>G!AW210</f>
        <v/>
      </c>
      <c r="M246" s="44" t="str">
        <f>G!AV210</f>
        <v>--</v>
      </c>
      <c r="O246" s="35" t="str">
        <f>G!AY210</f>
        <v/>
      </c>
      <c r="P246" s="44" t="str">
        <f>G!AX210</f>
        <v>--</v>
      </c>
      <c r="Q246" s="35" t="str">
        <f>G!AZ210</f>
        <v/>
      </c>
      <c r="R246" s="35" t="str">
        <f>G!BA210</f>
        <v/>
      </c>
      <c r="T246" s="44" t="str">
        <f>G!BC210</f>
        <v/>
      </c>
      <c r="U246" s="44" t="str">
        <f>G!BB210</f>
        <v>--</v>
      </c>
      <c r="V246" s="44"/>
      <c r="W246" s="35" t="str">
        <f>G!BE210</f>
        <v/>
      </c>
      <c r="X246" s="44" t="str">
        <f>G!BD210</f>
        <v>--</v>
      </c>
      <c r="Y246" s="35" t="str">
        <f>G!BF210</f>
        <v/>
      </c>
      <c r="Z246" s="35" t="str">
        <f>G!BG210</f>
        <v/>
      </c>
      <c r="AA246" s="44"/>
      <c r="AE246" s="72">
        <f t="shared" si="10"/>
        <v>1</v>
      </c>
    </row>
    <row r="247" spans="1:31" ht="9" hidden="1" customHeight="1" x14ac:dyDescent="0.15">
      <c r="A247" s="195" t="str">
        <f>F!A211</f>
        <v>Propetamfos</v>
      </c>
      <c r="B247" s="195"/>
      <c r="C247" s="195"/>
      <c r="D247" s="44" t="str">
        <f>G!AQ211</f>
        <v/>
      </c>
      <c r="E247" s="44" t="str">
        <f>G!AP211</f>
        <v>--</v>
      </c>
      <c r="G247" s="35" t="str">
        <f>G!AS211</f>
        <v/>
      </c>
      <c r="H247" s="44" t="str">
        <f>G!AR211</f>
        <v>--</v>
      </c>
      <c r="I247" s="35" t="str">
        <f>G!AT211</f>
        <v/>
      </c>
      <c r="J247" s="35" t="str">
        <f>G!AU211</f>
        <v/>
      </c>
      <c r="L247" s="44" t="str">
        <f>G!AW211</f>
        <v/>
      </c>
      <c r="M247" s="44" t="str">
        <f>G!AV211</f>
        <v>--</v>
      </c>
      <c r="O247" s="35" t="str">
        <f>G!AY211</f>
        <v/>
      </c>
      <c r="P247" s="44" t="str">
        <f>G!AX211</f>
        <v>--</v>
      </c>
      <c r="Q247" s="35" t="str">
        <f>G!AZ211</f>
        <v/>
      </c>
      <c r="R247" s="35" t="str">
        <f>G!BA211</f>
        <v/>
      </c>
      <c r="T247" s="44" t="str">
        <f>G!BC211</f>
        <v/>
      </c>
      <c r="U247" s="44" t="str">
        <f>G!BB211</f>
        <v>--</v>
      </c>
      <c r="V247" s="44"/>
      <c r="W247" s="35" t="str">
        <f>G!BE211</f>
        <v/>
      </c>
      <c r="X247" s="44" t="str">
        <f>G!BD211</f>
        <v>--</v>
      </c>
      <c r="Y247" s="35" t="str">
        <f>G!BF211</f>
        <v/>
      </c>
      <c r="Z247" s="35" t="str">
        <f>G!BG211</f>
        <v/>
      </c>
      <c r="AA247" s="44"/>
      <c r="AE247" s="72">
        <f t="shared" si="10"/>
        <v>1</v>
      </c>
    </row>
    <row r="248" spans="1:31" ht="9" hidden="1" customHeight="1" x14ac:dyDescent="0.15">
      <c r="A248" s="195" t="str">
        <f>F!A212</f>
        <v>Triazofos</v>
      </c>
      <c r="B248" s="195"/>
      <c r="C248" s="195"/>
      <c r="D248" s="44" t="str">
        <f>G!AQ212</f>
        <v/>
      </c>
      <c r="E248" s="44" t="str">
        <f>G!AP212</f>
        <v>--</v>
      </c>
      <c r="G248" s="35" t="str">
        <f>G!AS212</f>
        <v/>
      </c>
      <c r="H248" s="44" t="str">
        <f>G!AR212</f>
        <v>--</v>
      </c>
      <c r="I248" s="35" t="str">
        <f>G!AT212</f>
        <v/>
      </c>
      <c r="J248" s="35" t="str">
        <f>G!AU212</f>
        <v/>
      </c>
      <c r="L248" s="44" t="str">
        <f>G!AW212</f>
        <v/>
      </c>
      <c r="M248" s="44" t="str">
        <f>G!AV212</f>
        <v>--</v>
      </c>
      <c r="O248" s="35" t="str">
        <f>G!AY212</f>
        <v/>
      </c>
      <c r="P248" s="44" t="str">
        <f>G!AX212</f>
        <v>--</v>
      </c>
      <c r="Q248" s="35" t="str">
        <f>G!AZ212</f>
        <v/>
      </c>
      <c r="R248" s="35" t="str">
        <f>G!BA212</f>
        <v/>
      </c>
      <c r="T248" s="44" t="str">
        <f>G!BC212</f>
        <v/>
      </c>
      <c r="U248" s="44" t="str">
        <f>G!BB212</f>
        <v>--</v>
      </c>
      <c r="V248" s="44"/>
      <c r="W248" s="35" t="str">
        <f>G!BE212</f>
        <v/>
      </c>
      <c r="X248" s="44" t="str">
        <f>G!BD212</f>
        <v>--</v>
      </c>
      <c r="Y248" s="35" t="str">
        <f>G!BF212</f>
        <v/>
      </c>
      <c r="Z248" s="35" t="str">
        <f>G!BG212</f>
        <v/>
      </c>
      <c r="AA248" s="44"/>
      <c r="AE248" s="72">
        <f t="shared" si="10"/>
        <v>1</v>
      </c>
    </row>
    <row r="249" spans="1:31" ht="3.95" hidden="1" customHeight="1" x14ac:dyDescent="0.15">
      <c r="A249" s="41"/>
      <c r="B249" s="41"/>
      <c r="C249" s="41"/>
      <c r="D249" s="44"/>
      <c r="E249" s="44"/>
      <c r="H249" s="44"/>
      <c r="L249" s="44"/>
      <c r="M249" s="44"/>
      <c r="P249" s="44"/>
      <c r="T249" s="44"/>
      <c r="U249" s="44"/>
      <c r="V249" s="44"/>
      <c r="X249" s="44"/>
      <c r="Z249" s="44"/>
      <c r="AA249" s="44"/>
      <c r="AE249" s="94">
        <f>AE250</f>
        <v>1</v>
      </c>
    </row>
    <row r="250" spans="1:31" ht="9" hidden="1" customHeight="1" x14ac:dyDescent="0.15">
      <c r="A250" s="198" t="str">
        <f>IF(COUNTIF(F!D213:D231,131)&gt;0,"Stikstofbestrijdingsmiddelen (µg/kgds)","Stikstofbestrijdingsmiddelen (mg/kgds)")</f>
        <v>Stikstofbestrijdingsmiddelen (mg/kgds)</v>
      </c>
      <c r="B250" s="198"/>
      <c r="C250" s="198"/>
      <c r="D250" s="198"/>
      <c r="E250" s="198"/>
      <c r="F250" s="198"/>
      <c r="G250" s="198"/>
      <c r="H250" s="198"/>
      <c r="I250" s="198"/>
      <c r="J250" s="198"/>
      <c r="K250" s="198"/>
      <c r="L250" s="198"/>
      <c r="M250" s="198"/>
      <c r="N250" s="198"/>
      <c r="O250" s="198"/>
      <c r="P250" s="198"/>
      <c r="Q250" s="198"/>
      <c r="R250" s="198"/>
      <c r="S250" s="198"/>
      <c r="T250" s="198"/>
      <c r="U250" s="198"/>
      <c r="V250" s="198"/>
      <c r="W250" s="198"/>
      <c r="X250" s="198"/>
      <c r="Y250" s="198"/>
      <c r="Z250" s="198"/>
      <c r="AA250" s="198"/>
      <c r="AE250" s="94">
        <f>IF(COUNTIF(AE251:AE269,1)=COUNT(AE251:AE269),1,0)</f>
        <v>1</v>
      </c>
    </row>
    <row r="251" spans="1:31" ht="9" hidden="1" customHeight="1" x14ac:dyDescent="0.15">
      <c r="A251" s="195" t="str">
        <f>F!A213</f>
        <v>Ametryn</v>
      </c>
      <c r="B251" s="195"/>
      <c r="C251" s="195"/>
      <c r="D251" s="44" t="str">
        <f>G!AQ213</f>
        <v/>
      </c>
      <c r="E251" s="44" t="str">
        <f>G!AP213</f>
        <v>--</v>
      </c>
      <c r="G251" s="35" t="str">
        <f>G!AS213</f>
        <v/>
      </c>
      <c r="H251" s="44" t="str">
        <f>G!AR213</f>
        <v>--</v>
      </c>
      <c r="I251" s="35" t="str">
        <f>G!AT213</f>
        <v/>
      </c>
      <c r="J251" s="35" t="str">
        <f>G!AU213</f>
        <v/>
      </c>
      <c r="L251" s="44" t="str">
        <f>G!AW213</f>
        <v/>
      </c>
      <c r="M251" s="44" t="str">
        <f>G!AV213</f>
        <v>--</v>
      </c>
      <c r="O251" s="35" t="str">
        <f>G!AY213</f>
        <v/>
      </c>
      <c r="P251" s="44" t="str">
        <f>G!AX213</f>
        <v>--</v>
      </c>
      <c r="Q251" s="35" t="str">
        <f>G!AZ213</f>
        <v/>
      </c>
      <c r="R251" s="35" t="str">
        <f>G!BA213</f>
        <v/>
      </c>
      <c r="T251" s="44" t="str">
        <f>G!BC213</f>
        <v/>
      </c>
      <c r="U251" s="44" t="str">
        <f>G!BB213</f>
        <v>--</v>
      </c>
      <c r="V251" s="44"/>
      <c r="W251" s="35" t="str">
        <f>G!BE213</f>
        <v/>
      </c>
      <c r="X251" s="44" t="str">
        <f>G!BD213</f>
        <v>--</v>
      </c>
      <c r="Y251" s="35" t="str">
        <f>G!BF213</f>
        <v/>
      </c>
      <c r="Z251" s="35" t="str">
        <f>G!BG213</f>
        <v/>
      </c>
      <c r="AA251" s="44"/>
      <c r="AE251" s="72">
        <f t="shared" si="10"/>
        <v>1</v>
      </c>
    </row>
    <row r="252" spans="1:31" ht="9" hidden="1" customHeight="1" x14ac:dyDescent="0.15">
      <c r="A252" s="195" t="str">
        <f>F!A214</f>
        <v>Atraton</v>
      </c>
      <c r="B252" s="195"/>
      <c r="C252" s="195"/>
      <c r="D252" s="44" t="str">
        <f>G!AQ214</f>
        <v/>
      </c>
      <c r="E252" s="44" t="str">
        <f>G!AP214</f>
        <v>--</v>
      </c>
      <c r="G252" s="35" t="str">
        <f>G!AS214</f>
        <v/>
      </c>
      <c r="H252" s="44" t="str">
        <f>G!AR214</f>
        <v>--</v>
      </c>
      <c r="I252" s="35" t="str">
        <f>G!AT214</f>
        <v/>
      </c>
      <c r="J252" s="35" t="str">
        <f>G!AU214</f>
        <v/>
      </c>
      <c r="L252" s="44" t="str">
        <f>G!AW214</f>
        <v/>
      </c>
      <c r="M252" s="44" t="str">
        <f>G!AV214</f>
        <v>--</v>
      </c>
      <c r="O252" s="35" t="str">
        <f>G!AY214</f>
        <v/>
      </c>
      <c r="P252" s="44" t="str">
        <f>G!AX214</f>
        <v>--</v>
      </c>
      <c r="Q252" s="35" t="str">
        <f>G!AZ214</f>
        <v/>
      </c>
      <c r="R252" s="35" t="str">
        <f>G!BA214</f>
        <v/>
      </c>
      <c r="T252" s="44" t="str">
        <f>G!BC214</f>
        <v/>
      </c>
      <c r="U252" s="44" t="str">
        <f>G!BB214</f>
        <v>--</v>
      </c>
      <c r="V252" s="44"/>
      <c r="W252" s="35" t="str">
        <f>G!BE214</f>
        <v/>
      </c>
      <c r="X252" s="44" t="str">
        <f>G!BD214</f>
        <v>--</v>
      </c>
      <c r="Y252" s="35" t="str">
        <f>G!BF214</f>
        <v/>
      </c>
      <c r="Z252" s="35" t="str">
        <f>G!BG214</f>
        <v/>
      </c>
      <c r="AA252" s="44"/>
      <c r="AE252" s="72">
        <f t="shared" si="10"/>
        <v>1</v>
      </c>
    </row>
    <row r="253" spans="1:31" ht="9" hidden="1" customHeight="1" x14ac:dyDescent="0.15">
      <c r="A253" s="195" t="str">
        <f>F!A215</f>
        <v>Atrazine</v>
      </c>
      <c r="B253" s="195"/>
      <c r="C253" s="195"/>
      <c r="D253" s="44" t="str">
        <f>G!AQ215</f>
        <v/>
      </c>
      <c r="E253" s="44" t="str">
        <f>G!AP215</f>
        <v>--</v>
      </c>
      <c r="G253" s="35" t="str">
        <f>G!AS215</f>
        <v/>
      </c>
      <c r="H253" s="44" t="str">
        <f>G!AR215</f>
        <v>--</v>
      </c>
      <c r="I253" s="35" t="str">
        <f>G!AT215</f>
        <v/>
      </c>
      <c r="J253" s="35" t="str">
        <f>G!AU215</f>
        <v/>
      </c>
      <c r="L253" s="44" t="str">
        <f>G!AW215</f>
        <v/>
      </c>
      <c r="M253" s="44" t="str">
        <f>G!AV215</f>
        <v>--</v>
      </c>
      <c r="O253" s="35" t="str">
        <f>G!AY215</f>
        <v/>
      </c>
      <c r="P253" s="44" t="str">
        <f>G!AX215</f>
        <v>--</v>
      </c>
      <c r="Q253" s="35" t="str">
        <f>G!AZ215</f>
        <v/>
      </c>
      <c r="R253" s="35" t="str">
        <f>G!BA215</f>
        <v/>
      </c>
      <c r="T253" s="44" t="str">
        <f>G!BC215</f>
        <v/>
      </c>
      <c r="U253" s="44" t="str">
        <f>G!BB215</f>
        <v>--</v>
      </c>
      <c r="V253" s="44"/>
      <c r="W253" s="35" t="str">
        <f>G!BE215</f>
        <v/>
      </c>
      <c r="X253" s="44" t="str">
        <f>G!BD215</f>
        <v>--</v>
      </c>
      <c r="Y253" s="35" t="str">
        <f>G!BF215</f>
        <v/>
      </c>
      <c r="Z253" s="35" t="str">
        <f>G!BG215</f>
        <v/>
      </c>
      <c r="AA253" s="44"/>
      <c r="AE253" s="72">
        <f t="shared" si="10"/>
        <v>1</v>
      </c>
    </row>
    <row r="254" spans="1:31" ht="9" hidden="1" customHeight="1" x14ac:dyDescent="0.15">
      <c r="A254" s="195" t="str">
        <f>F!A216</f>
        <v>Carbaryl</v>
      </c>
      <c r="B254" s="195"/>
      <c r="C254" s="195"/>
      <c r="D254" s="44" t="str">
        <f>G!AQ216</f>
        <v/>
      </c>
      <c r="E254" s="44" t="str">
        <f>G!AP216</f>
        <v>--</v>
      </c>
      <c r="G254" s="35" t="str">
        <f>G!AS216</f>
        <v/>
      </c>
      <c r="H254" s="44" t="str">
        <f>G!AR216</f>
        <v>--</v>
      </c>
      <c r="I254" s="35" t="str">
        <f>G!AT216</f>
        <v/>
      </c>
      <c r="J254" s="35" t="str">
        <f>G!AU216</f>
        <v/>
      </c>
      <c r="L254" s="44" t="str">
        <f>G!AW216</f>
        <v/>
      </c>
      <c r="M254" s="44" t="str">
        <f>G!AV216</f>
        <v>--</v>
      </c>
      <c r="O254" s="35" t="str">
        <f>G!AY216</f>
        <v/>
      </c>
      <c r="P254" s="44" t="str">
        <f>G!AX216</f>
        <v>--</v>
      </c>
      <c r="Q254" s="35" t="str">
        <f>G!AZ216</f>
        <v/>
      </c>
      <c r="R254" s="35" t="str">
        <f>G!BA216</f>
        <v/>
      </c>
      <c r="T254" s="44" t="str">
        <f>G!BC216</f>
        <v/>
      </c>
      <c r="U254" s="44" t="str">
        <f>G!BB216</f>
        <v>--</v>
      </c>
      <c r="V254" s="44"/>
      <c r="W254" s="35" t="str">
        <f>G!BE216</f>
        <v/>
      </c>
      <c r="X254" s="44" t="str">
        <f>G!BD216</f>
        <v>--</v>
      </c>
      <c r="Y254" s="35" t="str">
        <f>G!BF216</f>
        <v/>
      </c>
      <c r="Z254" s="35" t="str">
        <f>G!BG216</f>
        <v/>
      </c>
      <c r="AA254" s="44"/>
      <c r="AE254" s="72">
        <f t="shared" si="10"/>
        <v>1</v>
      </c>
    </row>
    <row r="255" spans="1:31" ht="9" hidden="1" customHeight="1" x14ac:dyDescent="0.15">
      <c r="A255" s="195" t="str">
        <f>F!A217</f>
        <v>Carbofuran</v>
      </c>
      <c r="B255" s="195"/>
      <c r="C255" s="195"/>
      <c r="D255" s="44" t="str">
        <f>G!AQ217</f>
        <v/>
      </c>
      <c r="E255" s="44" t="str">
        <f>G!AP217</f>
        <v>--</v>
      </c>
      <c r="G255" s="35" t="str">
        <f>G!AS217</f>
        <v/>
      </c>
      <c r="H255" s="44" t="str">
        <f>G!AR217</f>
        <v>--</v>
      </c>
      <c r="I255" s="35" t="str">
        <f>G!AT217</f>
        <v/>
      </c>
      <c r="J255" s="35" t="str">
        <f>G!AU217</f>
        <v/>
      </c>
      <c r="L255" s="44" t="str">
        <f>G!AW217</f>
        <v/>
      </c>
      <c r="M255" s="44" t="str">
        <f>G!AV217</f>
        <v>--</v>
      </c>
      <c r="O255" s="35" t="str">
        <f>G!AY217</f>
        <v/>
      </c>
      <c r="P255" s="44" t="str">
        <f>G!AX217</f>
        <v>--</v>
      </c>
      <c r="Q255" s="35" t="str">
        <f>G!AZ217</f>
        <v/>
      </c>
      <c r="R255" s="35" t="str">
        <f>G!BA217</f>
        <v/>
      </c>
      <c r="T255" s="44" t="str">
        <f>G!BC217</f>
        <v/>
      </c>
      <c r="U255" s="44" t="str">
        <f>G!BB217</f>
        <v>--</v>
      </c>
      <c r="V255" s="44"/>
      <c r="W255" s="35" t="str">
        <f>G!BE217</f>
        <v/>
      </c>
      <c r="X255" s="44" t="str">
        <f>G!BD217</f>
        <v>--</v>
      </c>
      <c r="Y255" s="35" t="str">
        <f>G!BF217</f>
        <v/>
      </c>
      <c r="Z255" s="35" t="str">
        <f>G!BG217</f>
        <v/>
      </c>
      <c r="AA255" s="44"/>
      <c r="AE255" s="72">
        <f t="shared" ref="AE255:AE262" si="11">IF(AND(E255="--",M255="--",U255="--"),1,0)</f>
        <v>1</v>
      </c>
    </row>
    <row r="256" spans="1:31" ht="9" hidden="1" customHeight="1" x14ac:dyDescent="0.15">
      <c r="A256" s="195" t="str">
        <f>F!A218</f>
        <v>4-Chloormethylfenolen (som)</v>
      </c>
      <c r="B256" s="195"/>
      <c r="C256" s="195"/>
      <c r="D256" s="44" t="str">
        <f>G!AQ218</f>
        <v/>
      </c>
      <c r="E256" s="44" t="str">
        <f>G!AP218</f>
        <v>--</v>
      </c>
      <c r="G256" s="35" t="str">
        <f>G!AS218</f>
        <v/>
      </c>
      <c r="H256" s="44" t="str">
        <f>G!AR218</f>
        <v>--</v>
      </c>
      <c r="I256" s="35" t="str">
        <f>G!AT218</f>
        <v/>
      </c>
      <c r="J256" s="35" t="str">
        <f>G!AU218</f>
        <v/>
      </c>
      <c r="L256" s="44" t="str">
        <f>G!AW218</f>
        <v/>
      </c>
      <c r="M256" s="44" t="str">
        <f>G!AV218</f>
        <v>--</v>
      </c>
      <c r="O256" s="35" t="str">
        <f>G!AY218</f>
        <v/>
      </c>
      <c r="P256" s="44" t="str">
        <f>G!AX218</f>
        <v>--</v>
      </c>
      <c r="Q256" s="35" t="str">
        <f>G!AZ218</f>
        <v/>
      </c>
      <c r="R256" s="35" t="str">
        <f>G!BA218</f>
        <v/>
      </c>
      <c r="T256" s="44" t="str">
        <f>G!BC218</f>
        <v/>
      </c>
      <c r="U256" s="44" t="str">
        <f>G!BB218</f>
        <v>--</v>
      </c>
      <c r="V256" s="44"/>
      <c r="W256" s="35" t="str">
        <f>G!BE218</f>
        <v/>
      </c>
      <c r="X256" s="44" t="str">
        <f>G!BD218</f>
        <v>--</v>
      </c>
      <c r="Y256" s="35" t="str">
        <f>G!BF218</f>
        <v/>
      </c>
      <c r="Z256" s="35" t="str">
        <f>G!BG218</f>
        <v/>
      </c>
      <c r="AA256" s="44"/>
      <c r="AE256" s="72">
        <f t="shared" si="11"/>
        <v>1</v>
      </c>
    </row>
    <row r="257" spans="1:31" ht="9" hidden="1" customHeight="1" x14ac:dyDescent="0.15">
      <c r="A257" s="195" t="str">
        <f>F!A219</f>
        <v>Organostikstof- en organofosforbestrijdingsmiddelen (som)</v>
      </c>
      <c r="B257" s="195"/>
      <c r="C257" s="195"/>
      <c r="D257" s="44" t="str">
        <f>G!AQ219</f>
        <v/>
      </c>
      <c r="E257" s="44" t="str">
        <f>G!AP219</f>
        <v>--</v>
      </c>
      <c r="G257" s="35" t="str">
        <f>G!AS219</f>
        <v/>
      </c>
      <c r="H257" s="44" t="str">
        <f>G!AR219</f>
        <v>--</v>
      </c>
      <c r="I257" s="35" t="str">
        <f>G!AT219</f>
        <v/>
      </c>
      <c r="J257" s="35" t="str">
        <f>G!AU219</f>
        <v/>
      </c>
      <c r="L257" s="44" t="str">
        <f>G!AW219</f>
        <v/>
      </c>
      <c r="M257" s="44" t="str">
        <f>G!AV219</f>
        <v>--</v>
      </c>
      <c r="O257" s="35" t="str">
        <f>G!AY219</f>
        <v/>
      </c>
      <c r="P257" s="44" t="str">
        <f>G!AX219</f>
        <v>--</v>
      </c>
      <c r="Q257" s="35" t="str">
        <f>G!AZ219</f>
        <v/>
      </c>
      <c r="R257" s="35" t="str">
        <f>G!BA219</f>
        <v/>
      </c>
      <c r="T257" s="44" t="str">
        <f>G!BC219</f>
        <v/>
      </c>
      <c r="U257" s="44" t="str">
        <f>G!BB219</f>
        <v>--</v>
      </c>
      <c r="V257" s="44"/>
      <c r="W257" s="35" t="str">
        <f>G!BE219</f>
        <v/>
      </c>
      <c r="X257" s="44" t="str">
        <f>G!BD219</f>
        <v>--</v>
      </c>
      <c r="Y257" s="35" t="str">
        <f>G!BF219</f>
        <v/>
      </c>
      <c r="Z257" s="35" t="str">
        <f>G!BG219</f>
        <v/>
      </c>
      <c r="AA257" s="44"/>
      <c r="AE257" s="72">
        <f t="shared" si="11"/>
        <v>1</v>
      </c>
    </row>
    <row r="258" spans="1:31" ht="9" hidden="1" customHeight="1" x14ac:dyDescent="0.15">
      <c r="A258" s="195" t="str">
        <f>F!A220</f>
        <v>Organotinverbindingen (som)</v>
      </c>
      <c r="B258" s="195"/>
      <c r="C258" s="195"/>
      <c r="D258" s="44" t="str">
        <f>G!AQ220</f>
        <v/>
      </c>
      <c r="E258" s="44" t="str">
        <f>G!AP220</f>
        <v>--</v>
      </c>
      <c r="G258" s="35" t="str">
        <f>G!AS220</f>
        <v/>
      </c>
      <c r="H258" s="44" t="str">
        <f>G!AR220</f>
        <v>--</v>
      </c>
      <c r="I258" s="35" t="str">
        <f>G!AT220</f>
        <v/>
      </c>
      <c r="J258" s="35" t="str">
        <f>G!AU220</f>
        <v/>
      </c>
      <c r="L258" s="44" t="str">
        <f>G!AW220</f>
        <v/>
      </c>
      <c r="M258" s="44" t="str">
        <f>G!AV220</f>
        <v>--</v>
      </c>
      <c r="O258" s="35" t="str">
        <f>G!AY220</f>
        <v/>
      </c>
      <c r="P258" s="44" t="str">
        <f>G!AX220</f>
        <v>--</v>
      </c>
      <c r="Q258" s="35" t="str">
        <f>G!AZ220</f>
        <v/>
      </c>
      <c r="R258" s="35" t="str">
        <f>G!BA220</f>
        <v/>
      </c>
      <c r="T258" s="44" t="str">
        <f>G!BC220</f>
        <v/>
      </c>
      <c r="U258" s="44" t="str">
        <f>G!BB220</f>
        <v>--</v>
      </c>
      <c r="V258" s="44"/>
      <c r="W258" s="35" t="str">
        <f>G!BE220</f>
        <v/>
      </c>
      <c r="X258" s="44" t="str">
        <f>G!BD220</f>
        <v>--</v>
      </c>
      <c r="Y258" s="35" t="str">
        <f>G!BF220</f>
        <v/>
      </c>
      <c r="Z258" s="35" t="str">
        <f>G!BG220</f>
        <v/>
      </c>
      <c r="AA258" s="44"/>
      <c r="AE258" s="72">
        <f t="shared" si="11"/>
        <v>1</v>
      </c>
    </row>
    <row r="259" spans="1:31" ht="9" hidden="1" customHeight="1" x14ac:dyDescent="0.15">
      <c r="A259" s="195" t="str">
        <f>F!A221</f>
        <v>Tributyltin (TBT)</v>
      </c>
      <c r="B259" s="195"/>
      <c r="C259" s="195"/>
      <c r="D259" s="44" t="str">
        <f>G!AQ221</f>
        <v/>
      </c>
      <c r="E259" s="44" t="str">
        <f>G!AP221</f>
        <v>--</v>
      </c>
      <c r="G259" s="35" t="str">
        <f>G!AS221</f>
        <v/>
      </c>
      <c r="H259" s="44" t="str">
        <f>G!AR221</f>
        <v>--</v>
      </c>
      <c r="I259" s="35" t="str">
        <f>G!AT221</f>
        <v/>
      </c>
      <c r="J259" s="35" t="str">
        <f>G!AU221</f>
        <v/>
      </c>
      <c r="L259" s="44" t="str">
        <f>G!AW221</f>
        <v/>
      </c>
      <c r="M259" s="44" t="str">
        <f>G!AV221</f>
        <v>--</v>
      </c>
      <c r="O259" s="35" t="str">
        <f>G!AY221</f>
        <v/>
      </c>
      <c r="P259" s="44" t="str">
        <f>G!AX221</f>
        <v>--</v>
      </c>
      <c r="Q259" s="35" t="str">
        <f>G!AZ221</f>
        <v/>
      </c>
      <c r="R259" s="35" t="str">
        <f>G!BA221</f>
        <v/>
      </c>
      <c r="T259" s="44" t="str">
        <f>G!BC221</f>
        <v/>
      </c>
      <c r="U259" s="44" t="str">
        <f>G!BB221</f>
        <v>--</v>
      </c>
      <c r="V259" s="44"/>
      <c r="W259" s="35" t="str">
        <f>G!BE221</f>
        <v/>
      </c>
      <c r="X259" s="44" t="str">
        <f>G!BD221</f>
        <v>--</v>
      </c>
      <c r="Y259" s="35" t="str">
        <f>G!BF221</f>
        <v/>
      </c>
      <c r="Z259" s="35" t="str">
        <f>G!BG221</f>
        <v/>
      </c>
      <c r="AA259" s="44"/>
      <c r="AE259" s="72">
        <f t="shared" si="11"/>
        <v>1</v>
      </c>
    </row>
    <row r="260" spans="1:31" ht="9" hidden="1" customHeight="1" x14ac:dyDescent="0.15">
      <c r="A260" s="195" t="str">
        <f>F!A222</f>
        <v>MCPA</v>
      </c>
      <c r="B260" s="195"/>
      <c r="C260" s="195"/>
      <c r="D260" s="44" t="str">
        <f>G!AQ222</f>
        <v/>
      </c>
      <c r="E260" s="44" t="str">
        <f>G!AP222</f>
        <v>--</v>
      </c>
      <c r="G260" s="35" t="str">
        <f>G!AS222</f>
        <v/>
      </c>
      <c r="H260" s="44" t="str">
        <f>G!AR222</f>
        <v>--</v>
      </c>
      <c r="I260" s="35" t="str">
        <f>G!AT222</f>
        <v/>
      </c>
      <c r="J260" s="35" t="str">
        <f>G!AU222</f>
        <v/>
      </c>
      <c r="L260" s="44" t="str">
        <f>G!AW222</f>
        <v/>
      </c>
      <c r="M260" s="44" t="str">
        <f>G!AV222</f>
        <v>--</v>
      </c>
      <c r="O260" s="35" t="str">
        <f>G!AY222</f>
        <v/>
      </c>
      <c r="P260" s="44" t="str">
        <f>G!AX222</f>
        <v>--</v>
      </c>
      <c r="Q260" s="35" t="str">
        <f>G!AZ222</f>
        <v/>
      </c>
      <c r="R260" s="35" t="str">
        <f>G!BA222</f>
        <v/>
      </c>
      <c r="T260" s="44" t="str">
        <f>G!BC222</f>
        <v/>
      </c>
      <c r="U260" s="44" t="str">
        <f>G!BB222</f>
        <v>--</v>
      </c>
      <c r="V260" s="44"/>
      <c r="W260" s="35" t="str">
        <f>G!BE222</f>
        <v/>
      </c>
      <c r="X260" s="44" t="str">
        <f>G!BD222</f>
        <v>--</v>
      </c>
      <c r="Y260" s="35" t="str">
        <f>G!BF222</f>
        <v/>
      </c>
      <c r="Z260" s="35" t="str">
        <f>G!BG222</f>
        <v/>
      </c>
      <c r="AA260" s="44"/>
      <c r="AE260" s="72">
        <f t="shared" si="11"/>
        <v>1</v>
      </c>
    </row>
    <row r="261" spans="1:31" ht="9" hidden="1" customHeight="1" x14ac:dyDescent="0.15">
      <c r="A261" s="195" t="str">
        <f>F!A223</f>
        <v>Prometryn</v>
      </c>
      <c r="B261" s="195"/>
      <c r="C261" s="195"/>
      <c r="D261" s="44" t="str">
        <f>G!AQ223</f>
        <v/>
      </c>
      <c r="E261" s="44" t="str">
        <f>G!AP223</f>
        <v>--</v>
      </c>
      <c r="G261" s="35" t="str">
        <f>G!AS223</f>
        <v/>
      </c>
      <c r="H261" s="44" t="str">
        <f>G!AR223</f>
        <v>--</v>
      </c>
      <c r="I261" s="35" t="str">
        <f>G!AT223</f>
        <v/>
      </c>
      <c r="J261" s="35" t="str">
        <f>G!AU223</f>
        <v/>
      </c>
      <c r="L261" s="44" t="str">
        <f>G!AW223</f>
        <v/>
      </c>
      <c r="M261" s="44" t="str">
        <f>G!AV223</f>
        <v>--</v>
      </c>
      <c r="O261" s="35" t="str">
        <f>G!AY223</f>
        <v/>
      </c>
      <c r="P261" s="44" t="str">
        <f>G!AX223</f>
        <v>--</v>
      </c>
      <c r="Q261" s="35" t="str">
        <f>G!AZ223</f>
        <v/>
      </c>
      <c r="R261" s="35" t="str">
        <f>G!BA223</f>
        <v/>
      </c>
      <c r="T261" s="44" t="str">
        <f>G!BC223</f>
        <v/>
      </c>
      <c r="U261" s="44" t="str">
        <f>G!BB223</f>
        <v>--</v>
      </c>
      <c r="V261" s="44"/>
      <c r="W261" s="35" t="str">
        <f>G!BE223</f>
        <v/>
      </c>
      <c r="X261" s="44" t="str">
        <f>G!BD223</f>
        <v>--</v>
      </c>
      <c r="Y261" s="35" t="str">
        <f>G!BF223</f>
        <v/>
      </c>
      <c r="Z261" s="35" t="str">
        <f>G!BG223</f>
        <v/>
      </c>
      <c r="AA261" s="44"/>
      <c r="AE261" s="72">
        <f t="shared" si="11"/>
        <v>1</v>
      </c>
    </row>
    <row r="262" spans="1:31" ht="9" hidden="1" customHeight="1" x14ac:dyDescent="0.15">
      <c r="A262" s="195" t="str">
        <f>F!A224</f>
        <v>Prometon</v>
      </c>
      <c r="B262" s="195"/>
      <c r="C262" s="195"/>
      <c r="D262" s="44" t="str">
        <f>G!AQ224</f>
        <v/>
      </c>
      <c r="E262" s="44" t="str">
        <f>G!AP224</f>
        <v>--</v>
      </c>
      <c r="G262" s="35" t="str">
        <f>G!AS224</f>
        <v/>
      </c>
      <c r="H262" s="44" t="str">
        <f>G!AR224</f>
        <v>--</v>
      </c>
      <c r="I262" s="35" t="str">
        <f>G!AT224</f>
        <v/>
      </c>
      <c r="J262" s="35" t="str">
        <f>G!AU224</f>
        <v/>
      </c>
      <c r="L262" s="44" t="str">
        <f>G!AW224</f>
        <v/>
      </c>
      <c r="M262" s="44" t="str">
        <f>G!AV224</f>
        <v>--</v>
      </c>
      <c r="O262" s="35" t="str">
        <f>G!AY224</f>
        <v/>
      </c>
      <c r="P262" s="44" t="str">
        <f>G!AX224</f>
        <v>--</v>
      </c>
      <c r="Q262" s="35" t="str">
        <f>G!AZ224</f>
        <v/>
      </c>
      <c r="R262" s="35" t="str">
        <f>G!BA224</f>
        <v/>
      </c>
      <c r="T262" s="44" t="str">
        <f>G!BC224</f>
        <v/>
      </c>
      <c r="U262" s="44" t="str">
        <f>G!BB224</f>
        <v>--</v>
      </c>
      <c r="V262" s="44"/>
      <c r="W262" s="35" t="str">
        <f>G!BE224</f>
        <v/>
      </c>
      <c r="X262" s="44" t="str">
        <f>G!BD224</f>
        <v>--</v>
      </c>
      <c r="Y262" s="35" t="str">
        <f>G!BF224</f>
        <v/>
      </c>
      <c r="Z262" s="35" t="str">
        <f>G!BG224</f>
        <v/>
      </c>
      <c r="AA262" s="44"/>
      <c r="AE262" s="72">
        <f t="shared" si="11"/>
        <v>1</v>
      </c>
    </row>
    <row r="263" spans="1:31" ht="9" hidden="1" customHeight="1" x14ac:dyDescent="0.15">
      <c r="A263" s="195" t="str">
        <f>F!A225</f>
        <v>Propazine</v>
      </c>
      <c r="B263" s="195"/>
      <c r="C263" s="195"/>
      <c r="D263" s="44" t="str">
        <f>G!AQ225</f>
        <v/>
      </c>
      <c r="E263" s="44" t="str">
        <f>G!AP225</f>
        <v>--</v>
      </c>
      <c r="G263" s="35" t="str">
        <f>G!AS225</f>
        <v/>
      </c>
      <c r="H263" s="44" t="str">
        <f>G!AR225</f>
        <v>--</v>
      </c>
      <c r="I263" s="35" t="str">
        <f>G!AT225</f>
        <v/>
      </c>
      <c r="J263" s="35" t="str">
        <f>G!AU225</f>
        <v/>
      </c>
      <c r="L263" s="44" t="str">
        <f>G!AW225</f>
        <v/>
      </c>
      <c r="M263" s="44" t="str">
        <f>G!AV225</f>
        <v>--</v>
      </c>
      <c r="O263" s="35" t="str">
        <f>G!AY225</f>
        <v/>
      </c>
      <c r="P263" s="44" t="str">
        <f>G!AX225</f>
        <v>--</v>
      </c>
      <c r="Q263" s="35" t="str">
        <f>G!AZ225</f>
        <v/>
      </c>
      <c r="R263" s="35" t="str">
        <f>G!BA225</f>
        <v/>
      </c>
      <c r="T263" s="44" t="str">
        <f>G!BC225</f>
        <v/>
      </c>
      <c r="U263" s="44" t="str">
        <f>G!BB225</f>
        <v>--</v>
      </c>
      <c r="V263" s="44"/>
      <c r="W263" s="35" t="str">
        <f>G!BE225</f>
        <v/>
      </c>
      <c r="X263" s="44" t="str">
        <f>G!BD225</f>
        <v>--</v>
      </c>
      <c r="Y263" s="35" t="str">
        <f>G!BF225</f>
        <v/>
      </c>
      <c r="Z263" s="35" t="str">
        <f>G!BG225</f>
        <v/>
      </c>
      <c r="AA263" s="44"/>
      <c r="AE263" s="72">
        <f t="shared" ref="AE263:AE267" si="12">IF(AND(E263="--",M263="--",U263="--"),1,0)</f>
        <v>1</v>
      </c>
    </row>
    <row r="264" spans="1:31" ht="9" hidden="1" customHeight="1" x14ac:dyDescent="0.15">
      <c r="A264" s="195" t="str">
        <f>F!A226</f>
        <v>Simazine</v>
      </c>
      <c r="B264" s="195"/>
      <c r="C264" s="195"/>
      <c r="D264" s="44" t="str">
        <f>G!AQ226</f>
        <v/>
      </c>
      <c r="E264" s="44" t="str">
        <f>G!AP226</f>
        <v>--</v>
      </c>
      <c r="G264" s="35" t="str">
        <f>G!AS226</f>
        <v/>
      </c>
      <c r="H264" s="44" t="str">
        <f>G!AR226</f>
        <v>--</v>
      </c>
      <c r="I264" s="35" t="str">
        <f>G!AT226</f>
        <v/>
      </c>
      <c r="J264" s="35" t="str">
        <f>G!AU226</f>
        <v/>
      </c>
      <c r="L264" s="44" t="str">
        <f>G!AW226</f>
        <v/>
      </c>
      <c r="M264" s="44" t="str">
        <f>G!AV226</f>
        <v>--</v>
      </c>
      <c r="O264" s="35" t="str">
        <f>G!AY226</f>
        <v/>
      </c>
      <c r="P264" s="44" t="str">
        <f>G!AX226</f>
        <v>--</v>
      </c>
      <c r="Q264" s="35" t="str">
        <f>G!AZ226</f>
        <v/>
      </c>
      <c r="R264" s="35" t="str">
        <f>G!BA226</f>
        <v/>
      </c>
      <c r="T264" s="44" t="str">
        <f>G!BC226</f>
        <v/>
      </c>
      <c r="U264" s="44" t="str">
        <f>G!BB226</f>
        <v>--</v>
      </c>
      <c r="V264" s="44"/>
      <c r="W264" s="35" t="str">
        <f>G!BE226</f>
        <v/>
      </c>
      <c r="X264" s="44" t="str">
        <f>G!BD226</f>
        <v>--</v>
      </c>
      <c r="Y264" s="35" t="str">
        <f>G!BF226</f>
        <v/>
      </c>
      <c r="Z264" s="35" t="str">
        <f>G!BG226</f>
        <v/>
      </c>
      <c r="AA264" s="44"/>
      <c r="AE264" s="72">
        <f t="shared" si="12"/>
        <v>1</v>
      </c>
    </row>
    <row r="265" spans="1:31" ht="9" hidden="1" customHeight="1" x14ac:dyDescent="0.15">
      <c r="A265" s="195" t="str">
        <f>F!A227</f>
        <v>Simetryn</v>
      </c>
      <c r="B265" s="195"/>
      <c r="C265" s="195"/>
      <c r="D265" s="44" t="str">
        <f>G!AQ227</f>
        <v/>
      </c>
      <c r="E265" s="44" t="str">
        <f>G!AP227</f>
        <v>--</v>
      </c>
      <c r="G265" s="35" t="str">
        <f>G!AS227</f>
        <v/>
      </c>
      <c r="H265" s="44" t="str">
        <f>G!AR227</f>
        <v>--</v>
      </c>
      <c r="I265" s="35" t="str">
        <f>G!AT227</f>
        <v/>
      </c>
      <c r="J265" s="35" t="str">
        <f>G!AU227</f>
        <v/>
      </c>
      <c r="L265" s="44" t="str">
        <f>G!AW227</f>
        <v/>
      </c>
      <c r="M265" s="44" t="str">
        <f>G!AV227</f>
        <v>--</v>
      </c>
      <c r="O265" s="35" t="str">
        <f>G!AY227</f>
        <v/>
      </c>
      <c r="P265" s="44" t="str">
        <f>G!AX227</f>
        <v>--</v>
      </c>
      <c r="Q265" s="35" t="str">
        <f>G!AZ227</f>
        <v/>
      </c>
      <c r="R265" s="35" t="str">
        <f>G!BA227</f>
        <v/>
      </c>
      <c r="T265" s="44" t="str">
        <f>G!BC227</f>
        <v/>
      </c>
      <c r="U265" s="44" t="str">
        <f>G!BB227</f>
        <v>--</v>
      </c>
      <c r="V265" s="44"/>
      <c r="W265" s="35" t="str">
        <f>G!BE227</f>
        <v/>
      </c>
      <c r="X265" s="44" t="str">
        <f>G!BD227</f>
        <v>--</v>
      </c>
      <c r="Y265" s="35" t="str">
        <f>G!BF227</f>
        <v/>
      </c>
      <c r="Z265" s="35" t="str">
        <f>G!BG227</f>
        <v/>
      </c>
      <c r="AA265" s="44"/>
      <c r="AE265" s="72">
        <f t="shared" si="12"/>
        <v>1</v>
      </c>
    </row>
    <row r="266" spans="1:31" ht="9" hidden="1" customHeight="1" x14ac:dyDescent="0.15">
      <c r="A266" s="195" t="str">
        <f>F!A228</f>
        <v>Terbutryn</v>
      </c>
      <c r="B266" s="195"/>
      <c r="C266" s="195"/>
      <c r="D266" s="44" t="str">
        <f>G!AQ228</f>
        <v/>
      </c>
      <c r="E266" s="44" t="str">
        <f>G!AP228</f>
        <v>--</v>
      </c>
      <c r="G266" s="35" t="str">
        <f>G!AS228</f>
        <v/>
      </c>
      <c r="H266" s="44" t="str">
        <f>G!AR228</f>
        <v>--</v>
      </c>
      <c r="I266" s="35" t="str">
        <f>G!AT228</f>
        <v/>
      </c>
      <c r="J266" s="35" t="str">
        <f>G!AU228</f>
        <v/>
      </c>
      <c r="L266" s="44" t="str">
        <f>G!AW228</f>
        <v/>
      </c>
      <c r="M266" s="44" t="str">
        <f>G!AV228</f>
        <v>--</v>
      </c>
      <c r="O266" s="35" t="str">
        <f>G!AY228</f>
        <v/>
      </c>
      <c r="P266" s="44" t="str">
        <f>G!AX228</f>
        <v>--</v>
      </c>
      <c r="Q266" s="35" t="str">
        <f>G!AZ228</f>
        <v/>
      </c>
      <c r="R266" s="35" t="str">
        <f>G!BA228</f>
        <v/>
      </c>
      <c r="T266" s="44" t="str">
        <f>G!BC228</f>
        <v/>
      </c>
      <c r="U266" s="44" t="str">
        <f>G!BB228</f>
        <v>--</v>
      </c>
      <c r="V266" s="44"/>
      <c r="W266" s="35" t="str">
        <f>G!BE228</f>
        <v/>
      </c>
      <c r="X266" s="44" t="str">
        <f>G!BD228</f>
        <v>--</v>
      </c>
      <c r="Y266" s="35" t="str">
        <f>G!BF228</f>
        <v/>
      </c>
      <c r="Z266" s="35" t="str">
        <f>G!BG228</f>
        <v/>
      </c>
      <c r="AA266" s="44"/>
      <c r="AE266" s="72">
        <f t="shared" si="12"/>
        <v>1</v>
      </c>
    </row>
    <row r="267" spans="1:31" ht="9" hidden="1" customHeight="1" x14ac:dyDescent="0.15">
      <c r="A267" s="195" t="str">
        <f>F!A229</f>
        <v>Terbuthylazine</v>
      </c>
      <c r="B267" s="195"/>
      <c r="C267" s="195"/>
      <c r="D267" s="44" t="str">
        <f>G!AQ229</f>
        <v/>
      </c>
      <c r="E267" s="44" t="str">
        <f>G!AP229</f>
        <v>--</v>
      </c>
      <c r="G267" s="35" t="str">
        <f>G!AS229</f>
        <v/>
      </c>
      <c r="H267" s="44" t="str">
        <f>G!AR229</f>
        <v>--</v>
      </c>
      <c r="I267" s="35" t="str">
        <f>G!AT229</f>
        <v/>
      </c>
      <c r="J267" s="35" t="str">
        <f>G!AU229</f>
        <v/>
      </c>
      <c r="L267" s="44" t="str">
        <f>G!AW229</f>
        <v/>
      </c>
      <c r="M267" s="44" t="str">
        <f>G!AV229</f>
        <v>--</v>
      </c>
      <c r="O267" s="35" t="str">
        <f>G!AY229</f>
        <v/>
      </c>
      <c r="P267" s="44" t="str">
        <f>G!AX229</f>
        <v>--</v>
      </c>
      <c r="Q267" s="35" t="str">
        <f>G!AZ229</f>
        <v/>
      </c>
      <c r="R267" s="35" t="str">
        <f>G!BA229</f>
        <v/>
      </c>
      <c r="T267" s="44" t="str">
        <f>G!BC229</f>
        <v/>
      </c>
      <c r="U267" s="44" t="str">
        <f>G!BB229</f>
        <v>--</v>
      </c>
      <c r="V267" s="44"/>
      <c r="W267" s="35" t="str">
        <f>G!BE229</f>
        <v/>
      </c>
      <c r="X267" s="44" t="str">
        <f>G!BD229</f>
        <v>--</v>
      </c>
      <c r="Y267" s="35" t="str">
        <f>G!BF229</f>
        <v/>
      </c>
      <c r="Z267" s="35" t="str">
        <f>G!BG229</f>
        <v/>
      </c>
      <c r="AA267" s="44"/>
      <c r="AE267" s="72">
        <f t="shared" si="12"/>
        <v>1</v>
      </c>
    </row>
    <row r="268" spans="1:31" ht="9" hidden="1" customHeight="1" x14ac:dyDescent="0.15">
      <c r="A268" s="195" t="str">
        <f>F!A230</f>
        <v>Triadimefon</v>
      </c>
      <c r="B268" s="195"/>
      <c r="C268" s="195"/>
      <c r="D268" s="44" t="str">
        <f>G!AQ230</f>
        <v/>
      </c>
      <c r="E268" s="44" t="str">
        <f>G!AP230</f>
        <v>--</v>
      </c>
      <c r="G268" s="35" t="str">
        <f>G!AS230</f>
        <v/>
      </c>
      <c r="H268" s="44" t="str">
        <f>G!AR230</f>
        <v>--</v>
      </c>
      <c r="I268" s="35" t="str">
        <f>G!AT230</f>
        <v/>
      </c>
      <c r="J268" s="35" t="str">
        <f>G!AU230</f>
        <v/>
      </c>
      <c r="L268" s="44" t="str">
        <f>G!AW230</f>
        <v/>
      </c>
      <c r="M268" s="44" t="str">
        <f>G!AV230</f>
        <v>--</v>
      </c>
      <c r="O268" s="35" t="str">
        <f>G!AY230</f>
        <v/>
      </c>
      <c r="P268" s="44" t="str">
        <f>G!AX230</f>
        <v>--</v>
      </c>
      <c r="Q268" s="35" t="str">
        <f>G!AZ230</f>
        <v/>
      </c>
      <c r="R268" s="35" t="str">
        <f>G!BA230</f>
        <v/>
      </c>
      <c r="T268" s="44" t="str">
        <f>G!BC230</f>
        <v/>
      </c>
      <c r="U268" s="44" t="str">
        <f>G!BB230</f>
        <v>--</v>
      </c>
      <c r="V268" s="44"/>
      <c r="W268" s="35" t="str">
        <f>G!BE230</f>
        <v/>
      </c>
      <c r="X268" s="44" t="str">
        <f>G!BD230</f>
        <v>--</v>
      </c>
      <c r="Y268" s="35" t="str">
        <f>G!BF230</f>
        <v/>
      </c>
      <c r="Z268" s="35" t="str">
        <f>G!BG230</f>
        <v/>
      </c>
      <c r="AA268" s="44"/>
      <c r="AE268" s="72">
        <f t="shared" ref="AE268:AE269" si="13">IF(AND(E268="--",M268="--",U268="--"),1,0)</f>
        <v>1</v>
      </c>
    </row>
    <row r="269" spans="1:31" ht="9" hidden="1" customHeight="1" x14ac:dyDescent="0.15">
      <c r="A269" s="195" t="str">
        <f>F!A231</f>
        <v>Trifluralin</v>
      </c>
      <c r="B269" s="195"/>
      <c r="C269" s="195"/>
      <c r="D269" s="44" t="str">
        <f>G!AQ231</f>
        <v/>
      </c>
      <c r="E269" s="44" t="str">
        <f>G!AP231</f>
        <v>--</v>
      </c>
      <c r="G269" s="35" t="str">
        <f>G!AS231</f>
        <v/>
      </c>
      <c r="H269" s="44" t="str">
        <f>G!AR231</f>
        <v>--</v>
      </c>
      <c r="I269" s="35" t="str">
        <f>G!AT231</f>
        <v/>
      </c>
      <c r="J269" s="35" t="str">
        <f>G!AU231</f>
        <v/>
      </c>
      <c r="L269" s="44" t="str">
        <f>G!AW231</f>
        <v/>
      </c>
      <c r="M269" s="44" t="str">
        <f>G!AV231</f>
        <v>--</v>
      </c>
      <c r="O269" s="35" t="str">
        <f>G!AY231</f>
        <v/>
      </c>
      <c r="P269" s="44" t="str">
        <f>G!AX231</f>
        <v>--</v>
      </c>
      <c r="Q269" s="35" t="str">
        <f>G!AZ231</f>
        <v/>
      </c>
      <c r="R269" s="35" t="str">
        <f>G!BA231</f>
        <v/>
      </c>
      <c r="T269" s="44" t="str">
        <f>G!BC231</f>
        <v/>
      </c>
      <c r="U269" s="44" t="str">
        <f>G!BB231</f>
        <v>--</v>
      </c>
      <c r="V269" s="44"/>
      <c r="W269" s="35" t="str">
        <f>G!BE231</f>
        <v/>
      </c>
      <c r="X269" s="44" t="str">
        <f>G!BD231</f>
        <v>--</v>
      </c>
      <c r="Y269" s="35" t="str">
        <f>G!BF231</f>
        <v/>
      </c>
      <c r="Z269" s="35" t="str">
        <f>G!BG231</f>
        <v/>
      </c>
      <c r="AA269" s="44"/>
      <c r="AE269" s="72">
        <f t="shared" si="13"/>
        <v>1</v>
      </c>
    </row>
    <row r="270" spans="1:31" ht="3.95" hidden="1" customHeight="1" x14ac:dyDescent="0.15">
      <c r="A270" s="41"/>
      <c r="B270" s="41"/>
      <c r="C270" s="41"/>
      <c r="D270" s="44"/>
      <c r="E270" s="44"/>
      <c r="H270" s="44"/>
      <c r="L270" s="44"/>
      <c r="M270" s="44"/>
      <c r="P270" s="44"/>
      <c r="T270" s="44"/>
      <c r="U270" s="44"/>
      <c r="V270" s="44"/>
      <c r="X270" s="44"/>
      <c r="Z270" s="44"/>
      <c r="AA270" s="44"/>
      <c r="AE270" s="94">
        <f>AE271</f>
        <v>1</v>
      </c>
    </row>
    <row r="271" spans="1:31" ht="9" hidden="1" customHeight="1" x14ac:dyDescent="0.15">
      <c r="A271" s="198" t="str">
        <f>IF(COUNTIF(F!D232:D239,131)&gt;0,"Ftalaten (µg/kgds)","Ftalaten (mg/kgds)")</f>
        <v>Ftalaten (mg/kgds)</v>
      </c>
      <c r="B271" s="198"/>
      <c r="C271" s="198"/>
      <c r="D271" s="198"/>
      <c r="E271" s="198"/>
      <c r="F271" s="198"/>
      <c r="G271" s="198"/>
      <c r="H271" s="198"/>
      <c r="I271" s="198"/>
      <c r="J271" s="198"/>
      <c r="K271" s="198"/>
      <c r="L271" s="198"/>
      <c r="M271" s="198"/>
      <c r="N271" s="198"/>
      <c r="O271" s="198"/>
      <c r="P271" s="198"/>
      <c r="Q271" s="198"/>
      <c r="R271" s="198"/>
      <c r="S271" s="198"/>
      <c r="T271" s="198"/>
      <c r="U271" s="198"/>
      <c r="V271" s="198"/>
      <c r="W271" s="198"/>
      <c r="X271" s="198"/>
      <c r="Y271" s="198"/>
      <c r="Z271" s="198"/>
      <c r="AA271" s="198"/>
      <c r="AE271" s="94">
        <f>IF(COUNTIF(AE272:AE279,1)=COUNT(AE272:AE279),1,0)</f>
        <v>1</v>
      </c>
    </row>
    <row r="272" spans="1:31" ht="9" hidden="1" customHeight="1" x14ac:dyDescent="0.15">
      <c r="A272" s="195" t="str">
        <f>F!A232</f>
        <v>Butylbenzylftalaat</v>
      </c>
      <c r="B272" s="195"/>
      <c r="C272" s="195"/>
      <c r="D272" s="44" t="str">
        <f>G!AQ232</f>
        <v/>
      </c>
      <c r="E272" s="44" t="str">
        <f>G!AP232</f>
        <v>--</v>
      </c>
      <c r="G272" s="35" t="str">
        <f>G!AS232</f>
        <v/>
      </c>
      <c r="H272" s="44" t="str">
        <f>G!AR232</f>
        <v>--</v>
      </c>
      <c r="I272" s="35" t="str">
        <f>G!AT232</f>
        <v/>
      </c>
      <c r="J272" s="35" t="str">
        <f>G!AU232</f>
        <v/>
      </c>
      <c r="L272" s="44" t="str">
        <f>G!AW232</f>
        <v/>
      </c>
      <c r="M272" s="44" t="str">
        <f>G!AV232</f>
        <v>--</v>
      </c>
      <c r="O272" s="35" t="str">
        <f>G!AY232</f>
        <v/>
      </c>
      <c r="P272" s="44" t="str">
        <f>G!AX232</f>
        <v>--</v>
      </c>
      <c r="Q272" s="35" t="str">
        <f>G!AZ232</f>
        <v/>
      </c>
      <c r="R272" s="35" t="str">
        <f>G!BA232</f>
        <v/>
      </c>
      <c r="T272" s="44" t="str">
        <f>G!BC232</f>
        <v/>
      </c>
      <c r="U272" s="44" t="str">
        <f>G!BB232</f>
        <v>--</v>
      </c>
      <c r="V272" s="44"/>
      <c r="W272" s="35" t="str">
        <f>G!BE232</f>
        <v/>
      </c>
      <c r="X272" s="44" t="str">
        <f>G!BD232</f>
        <v>--</v>
      </c>
      <c r="Y272" s="35" t="str">
        <f>G!BF232</f>
        <v/>
      </c>
      <c r="Z272" s="35" t="str">
        <f>G!BG232</f>
        <v/>
      </c>
      <c r="AA272" s="44"/>
      <c r="AE272" s="72">
        <f t="shared" ref="AE272:AE294" si="14">IF(AND(E272="--",M272="--",U272="--"),1,0)</f>
        <v>1</v>
      </c>
    </row>
    <row r="273" spans="1:31" ht="9" hidden="1" customHeight="1" x14ac:dyDescent="0.15">
      <c r="A273" s="195" t="str">
        <f>F!A233</f>
        <v>Di-2-ethylhexylftalaat</v>
      </c>
      <c r="B273" s="195"/>
      <c r="C273" s="195"/>
      <c r="D273" s="44" t="str">
        <f>G!AQ233</f>
        <v/>
      </c>
      <c r="E273" s="44" t="str">
        <f>G!AP233</f>
        <v>--</v>
      </c>
      <c r="G273" s="35" t="str">
        <f>G!AS233</f>
        <v/>
      </c>
      <c r="H273" s="44" t="str">
        <f>G!AR233</f>
        <v>--</v>
      </c>
      <c r="I273" s="35" t="str">
        <f>G!AT233</f>
        <v/>
      </c>
      <c r="J273" s="35" t="str">
        <f>G!AU233</f>
        <v/>
      </c>
      <c r="L273" s="44" t="str">
        <f>G!AW233</f>
        <v/>
      </c>
      <c r="M273" s="44" t="str">
        <f>G!AV233</f>
        <v>--</v>
      </c>
      <c r="O273" s="35" t="str">
        <f>G!AY233</f>
        <v/>
      </c>
      <c r="P273" s="44" t="str">
        <f>G!AX233</f>
        <v>--</v>
      </c>
      <c r="Q273" s="35" t="str">
        <f>G!AZ233</f>
        <v/>
      </c>
      <c r="R273" s="35" t="str">
        <f>G!BA233</f>
        <v/>
      </c>
      <c r="T273" s="44" t="str">
        <f>G!BC233</f>
        <v/>
      </c>
      <c r="U273" s="44" t="str">
        <f>G!BB233</f>
        <v>--</v>
      </c>
      <c r="V273" s="44"/>
      <c r="W273" s="35" t="str">
        <f>G!BE233</f>
        <v/>
      </c>
      <c r="X273" s="44" t="str">
        <f>G!BD233</f>
        <v>--</v>
      </c>
      <c r="Y273" s="35" t="str">
        <f>G!BF233</f>
        <v/>
      </c>
      <c r="Z273" s="35" t="str">
        <f>G!BG233</f>
        <v/>
      </c>
      <c r="AA273" s="44"/>
      <c r="AE273" s="72">
        <f t="shared" si="14"/>
        <v>1</v>
      </c>
    </row>
    <row r="274" spans="1:31" ht="9" hidden="1" customHeight="1" x14ac:dyDescent="0.15">
      <c r="A274" s="195" t="str">
        <f>F!A234</f>
        <v>Diethylftalaat</v>
      </c>
      <c r="B274" s="195"/>
      <c r="C274" s="195"/>
      <c r="D274" s="44" t="str">
        <f>G!AQ234</f>
        <v/>
      </c>
      <c r="E274" s="44" t="str">
        <f>G!AP234</f>
        <v>--</v>
      </c>
      <c r="G274" s="35" t="str">
        <f>G!AS234</f>
        <v/>
      </c>
      <c r="H274" s="44" t="str">
        <f>G!AR234</f>
        <v>--</v>
      </c>
      <c r="I274" s="35" t="str">
        <f>G!AT234</f>
        <v/>
      </c>
      <c r="J274" s="35" t="str">
        <f>G!AU234</f>
        <v/>
      </c>
      <c r="L274" s="44" t="str">
        <f>G!AW234</f>
        <v/>
      </c>
      <c r="M274" s="44" t="str">
        <f>G!AV234</f>
        <v>--</v>
      </c>
      <c r="O274" s="35" t="str">
        <f>G!AY234</f>
        <v/>
      </c>
      <c r="P274" s="44" t="str">
        <f>G!AX234</f>
        <v>--</v>
      </c>
      <c r="Q274" s="35" t="str">
        <f>G!AZ234</f>
        <v/>
      </c>
      <c r="R274" s="35" t="str">
        <f>G!BA234</f>
        <v/>
      </c>
      <c r="T274" s="44" t="str">
        <f>G!BC234</f>
        <v/>
      </c>
      <c r="U274" s="44" t="str">
        <f>G!BB234</f>
        <v>--</v>
      </c>
      <c r="V274" s="44"/>
      <c r="W274" s="35" t="str">
        <f>G!BE234</f>
        <v/>
      </c>
      <c r="X274" s="44" t="str">
        <f>G!BD234</f>
        <v>--</v>
      </c>
      <c r="Y274" s="35" t="str">
        <f>G!BF234</f>
        <v/>
      </c>
      <c r="Z274" s="35" t="str">
        <f>G!BG234</f>
        <v/>
      </c>
      <c r="AA274" s="44"/>
      <c r="AE274" s="72">
        <f t="shared" si="14"/>
        <v>1</v>
      </c>
    </row>
    <row r="275" spans="1:31" ht="9" hidden="1" customHeight="1" x14ac:dyDescent="0.15">
      <c r="A275" s="195" t="str">
        <f>F!A235</f>
        <v>Dimethylftalaat</v>
      </c>
      <c r="B275" s="195"/>
      <c r="C275" s="195"/>
      <c r="D275" s="44" t="str">
        <f>G!AQ235</f>
        <v/>
      </c>
      <c r="E275" s="44" t="str">
        <f>G!AP235</f>
        <v>--</v>
      </c>
      <c r="G275" s="35" t="str">
        <f>G!AS235</f>
        <v/>
      </c>
      <c r="H275" s="44" t="str">
        <f>G!AR235</f>
        <v>--</v>
      </c>
      <c r="I275" s="35" t="str">
        <f>G!AT235</f>
        <v/>
      </c>
      <c r="J275" s="35" t="str">
        <f>G!AU235</f>
        <v/>
      </c>
      <c r="L275" s="44" t="str">
        <f>G!AW235</f>
        <v/>
      </c>
      <c r="M275" s="44" t="str">
        <f>G!AV235</f>
        <v>--</v>
      </c>
      <c r="O275" s="35" t="str">
        <f>G!AY235</f>
        <v/>
      </c>
      <c r="P275" s="44" t="str">
        <f>G!AX235</f>
        <v>--</v>
      </c>
      <c r="Q275" s="35" t="str">
        <f>G!AZ235</f>
        <v/>
      </c>
      <c r="R275" s="35" t="str">
        <f>G!BA235</f>
        <v/>
      </c>
      <c r="T275" s="44" t="str">
        <f>G!BC235</f>
        <v/>
      </c>
      <c r="U275" s="44" t="str">
        <f>G!BB235</f>
        <v>--</v>
      </c>
      <c r="V275" s="44"/>
      <c r="W275" s="35" t="str">
        <f>G!BE235</f>
        <v/>
      </c>
      <c r="X275" s="44" t="str">
        <f>G!BD235</f>
        <v>--</v>
      </c>
      <c r="Y275" s="35" t="str">
        <f>G!BF235</f>
        <v/>
      </c>
      <c r="Z275" s="35" t="str">
        <f>G!BG235</f>
        <v/>
      </c>
      <c r="AA275" s="44"/>
      <c r="AE275" s="72">
        <f t="shared" si="14"/>
        <v>1</v>
      </c>
    </row>
    <row r="276" spans="1:31" ht="9" hidden="1" customHeight="1" x14ac:dyDescent="0.15">
      <c r="A276" s="195" t="str">
        <f>F!A236</f>
        <v>Di-isobutylftalaat</v>
      </c>
      <c r="B276" s="195"/>
      <c r="C276" s="195"/>
      <c r="D276" s="44" t="str">
        <f>G!AQ236</f>
        <v/>
      </c>
      <c r="E276" s="44" t="str">
        <f>G!AP236</f>
        <v>--</v>
      </c>
      <c r="G276" s="35" t="str">
        <f>G!AS236</f>
        <v/>
      </c>
      <c r="H276" s="44" t="str">
        <f>G!AR236</f>
        <v>--</v>
      </c>
      <c r="I276" s="35" t="str">
        <f>G!AT236</f>
        <v/>
      </c>
      <c r="J276" s="35" t="str">
        <f>G!AU236</f>
        <v/>
      </c>
      <c r="L276" s="44" t="str">
        <f>G!AW236</f>
        <v/>
      </c>
      <c r="M276" s="44" t="str">
        <f>G!AV236</f>
        <v>--</v>
      </c>
      <c r="O276" s="35" t="str">
        <f>G!AY236</f>
        <v/>
      </c>
      <c r="P276" s="44" t="str">
        <f>G!AX236</f>
        <v>--</v>
      </c>
      <c r="Q276" s="35" t="str">
        <f>G!AZ236</f>
        <v/>
      </c>
      <c r="R276" s="35" t="str">
        <f>G!BA236</f>
        <v/>
      </c>
      <c r="T276" s="44" t="str">
        <f>G!BC236</f>
        <v/>
      </c>
      <c r="U276" s="44" t="str">
        <f>G!BB236</f>
        <v>--</v>
      </c>
      <c r="V276" s="44"/>
      <c r="W276" s="35" t="str">
        <f>G!BE236</f>
        <v/>
      </c>
      <c r="X276" s="44" t="str">
        <f>G!BD236</f>
        <v>--</v>
      </c>
      <c r="Y276" s="35" t="str">
        <f>G!BF236</f>
        <v/>
      </c>
      <c r="Z276" s="35" t="str">
        <f>G!BG236</f>
        <v/>
      </c>
      <c r="AA276" s="44"/>
      <c r="AE276" s="72">
        <f t="shared" si="14"/>
        <v>1</v>
      </c>
    </row>
    <row r="277" spans="1:31" ht="9" hidden="1" customHeight="1" x14ac:dyDescent="0.15">
      <c r="A277" s="195" t="str">
        <f>F!A237</f>
        <v>Di-n-butylftalaat</v>
      </c>
      <c r="B277" s="195"/>
      <c r="C277" s="195"/>
      <c r="D277" s="44" t="str">
        <f>G!AQ237</f>
        <v/>
      </c>
      <c r="E277" s="44" t="str">
        <f>G!AP237</f>
        <v>--</v>
      </c>
      <c r="G277" s="35" t="str">
        <f>G!AS237</f>
        <v/>
      </c>
      <c r="H277" s="44" t="str">
        <f>G!AR237</f>
        <v>--</v>
      </c>
      <c r="I277" s="35" t="str">
        <f>G!AT237</f>
        <v/>
      </c>
      <c r="J277" s="35" t="str">
        <f>G!AU237</f>
        <v/>
      </c>
      <c r="L277" s="44" t="str">
        <f>G!AW237</f>
        <v/>
      </c>
      <c r="M277" s="44" t="str">
        <f>G!AV237</f>
        <v>--</v>
      </c>
      <c r="O277" s="35" t="str">
        <f>G!AY237</f>
        <v/>
      </c>
      <c r="P277" s="44" t="str">
        <f>G!AX237</f>
        <v>--</v>
      </c>
      <c r="Q277" s="35" t="str">
        <f>G!AZ237</f>
        <v/>
      </c>
      <c r="R277" s="35" t="str">
        <f>G!BA237</f>
        <v/>
      </c>
      <c r="T277" s="44" t="str">
        <f>G!BC237</f>
        <v/>
      </c>
      <c r="U277" s="44" t="str">
        <f>G!BB237</f>
        <v>--</v>
      </c>
      <c r="V277" s="44"/>
      <c r="W277" s="35" t="str">
        <f>G!BE237</f>
        <v/>
      </c>
      <c r="X277" s="44" t="str">
        <f>G!BD237</f>
        <v>--</v>
      </c>
      <c r="Y277" s="35" t="str">
        <f>G!BF237</f>
        <v/>
      </c>
      <c r="Z277" s="35" t="str">
        <f>G!BG237</f>
        <v/>
      </c>
      <c r="AA277" s="44"/>
      <c r="AE277" s="72">
        <f t="shared" si="14"/>
        <v>1</v>
      </c>
    </row>
    <row r="278" spans="1:31" ht="9" hidden="1" customHeight="1" x14ac:dyDescent="0.15">
      <c r="A278" s="195" t="str">
        <f>F!A238</f>
        <v>Di-n-octylftalaat</v>
      </c>
      <c r="B278" s="195"/>
      <c r="C278" s="195"/>
      <c r="D278" s="44" t="str">
        <f>G!AQ238</f>
        <v/>
      </c>
      <c r="E278" s="44" t="str">
        <f>G!AP238</f>
        <v>--</v>
      </c>
      <c r="G278" s="35" t="str">
        <f>G!AS238</f>
        <v/>
      </c>
      <c r="H278" s="44" t="str">
        <f>G!AR238</f>
        <v>--</v>
      </c>
      <c r="I278" s="35" t="str">
        <f>G!AT238</f>
        <v/>
      </c>
      <c r="J278" s="35" t="str">
        <f>G!AU238</f>
        <v/>
      </c>
      <c r="L278" s="44" t="str">
        <f>G!AW238</f>
        <v/>
      </c>
      <c r="M278" s="44" t="str">
        <f>G!AV238</f>
        <v>--</v>
      </c>
      <c r="O278" s="35" t="str">
        <f>G!AY238</f>
        <v/>
      </c>
      <c r="P278" s="44" t="str">
        <f>G!AX238</f>
        <v>--</v>
      </c>
      <c r="Q278" s="35" t="str">
        <f>G!AZ238</f>
        <v/>
      </c>
      <c r="R278" s="35" t="str">
        <f>G!BA238</f>
        <v/>
      </c>
      <c r="T278" s="44" t="str">
        <f>G!BC238</f>
        <v/>
      </c>
      <c r="U278" s="44" t="str">
        <f>G!BB238</f>
        <v>--</v>
      </c>
      <c r="V278" s="44"/>
      <c r="W278" s="35" t="str">
        <f>G!BE238</f>
        <v/>
      </c>
      <c r="X278" s="44" t="str">
        <f>G!BD238</f>
        <v>--</v>
      </c>
      <c r="Y278" s="35" t="str">
        <f>G!BF238</f>
        <v/>
      </c>
      <c r="Z278" s="35" t="str">
        <f>G!BG238</f>
        <v/>
      </c>
      <c r="AA278" s="44"/>
      <c r="AE278" s="72">
        <f t="shared" si="14"/>
        <v>1</v>
      </c>
    </row>
    <row r="279" spans="1:31" ht="9" hidden="1" customHeight="1" x14ac:dyDescent="0.15">
      <c r="A279" s="195" t="str">
        <f>F!A239</f>
        <v>Ftalaten (som)</v>
      </c>
      <c r="B279" s="195"/>
      <c r="C279" s="195"/>
      <c r="D279" s="44" t="str">
        <f>G!AQ239</f>
        <v/>
      </c>
      <c r="E279" s="44" t="str">
        <f>G!AP239</f>
        <v>--</v>
      </c>
      <c r="G279" s="35" t="str">
        <f>G!AS239</f>
        <v/>
      </c>
      <c r="H279" s="44" t="str">
        <f>G!AR239</f>
        <v>--</v>
      </c>
      <c r="I279" s="35" t="str">
        <f>G!AT239</f>
        <v/>
      </c>
      <c r="J279" s="35" t="str">
        <f>G!AU239</f>
        <v/>
      </c>
      <c r="L279" s="44" t="str">
        <f>G!AW239</f>
        <v/>
      </c>
      <c r="M279" s="44" t="str">
        <f>G!AV239</f>
        <v>--</v>
      </c>
      <c r="O279" s="35" t="str">
        <f>G!AY239</f>
        <v/>
      </c>
      <c r="P279" s="44" t="str">
        <f>G!AX239</f>
        <v>--</v>
      </c>
      <c r="Q279" s="35" t="str">
        <f>G!AZ239</f>
        <v/>
      </c>
      <c r="R279" s="35" t="str">
        <f>G!BA239</f>
        <v/>
      </c>
      <c r="T279" s="44" t="str">
        <f>G!BC239</f>
        <v/>
      </c>
      <c r="U279" s="44" t="str">
        <f>G!BB239</f>
        <v>--</v>
      </c>
      <c r="V279" s="44"/>
      <c r="W279" s="35" t="str">
        <f>G!BE239</f>
        <v/>
      </c>
      <c r="X279" s="44" t="str">
        <f>G!BD239</f>
        <v>--</v>
      </c>
      <c r="Y279" s="35" t="str">
        <f>G!BF239</f>
        <v/>
      </c>
      <c r="Z279" s="35" t="str">
        <f>G!BG239</f>
        <v/>
      </c>
      <c r="AA279" s="44"/>
      <c r="AE279" s="72">
        <f t="shared" si="14"/>
        <v>1</v>
      </c>
    </row>
    <row r="280" spans="1:31" ht="3.95" customHeight="1" x14ac:dyDescent="0.15">
      <c r="A280" s="41"/>
      <c r="B280" s="41"/>
      <c r="C280" s="41"/>
      <c r="D280" s="44"/>
      <c r="E280" s="44"/>
      <c r="H280" s="44"/>
      <c r="L280" s="44"/>
      <c r="M280" s="44"/>
      <c r="P280" s="44"/>
      <c r="T280" s="44"/>
      <c r="U280" s="44"/>
      <c r="V280" s="44"/>
      <c r="X280" s="44"/>
      <c r="Z280" s="44"/>
      <c r="AA280" s="44"/>
      <c r="AE280" s="94">
        <f>AE281</f>
        <v>0</v>
      </c>
    </row>
    <row r="281" spans="1:31" ht="9" customHeight="1" x14ac:dyDescent="0.15">
      <c r="A281" s="198" t="str">
        <f>IF(COUNTIF(F!D240:D249,131)&gt;0,"Minerale olie (µg/kgds)","Minerale olie (mg/kgds)")</f>
        <v>Minerale olie (mg/kgds)</v>
      </c>
      <c r="B281" s="198"/>
      <c r="C281" s="198"/>
      <c r="D281" s="198"/>
      <c r="E281" s="198"/>
      <c r="F281" s="198"/>
      <c r="G281" s="198"/>
      <c r="H281" s="198"/>
      <c r="I281" s="198"/>
      <c r="J281" s="198"/>
      <c r="K281" s="198"/>
      <c r="L281" s="198"/>
      <c r="M281" s="198"/>
      <c r="N281" s="198"/>
      <c r="O281" s="198"/>
      <c r="P281" s="198"/>
      <c r="Q281" s="198"/>
      <c r="R281" s="198"/>
      <c r="S281" s="198"/>
      <c r="T281" s="198"/>
      <c r="U281" s="198"/>
      <c r="V281" s="198"/>
      <c r="W281" s="198"/>
      <c r="X281" s="198"/>
      <c r="Y281" s="198"/>
      <c r="Z281" s="198"/>
      <c r="AA281" s="198"/>
      <c r="AE281" s="94">
        <f>IF(COUNTIF(AE282:AE291,1)=COUNT(AE282:AE291),1,0)</f>
        <v>0</v>
      </c>
    </row>
    <row r="282" spans="1:31" ht="9" hidden="1" customHeight="1" x14ac:dyDescent="0.15">
      <c r="A282" s="195" t="str">
        <f>F!A240</f>
        <v>Fractie C6 - C10</v>
      </c>
      <c r="B282" s="195"/>
      <c r="C282" s="195"/>
      <c r="D282" s="44" t="str">
        <f>G!AQ240</f>
        <v/>
      </c>
      <c r="E282" s="44" t="str">
        <f>G!AP240</f>
        <v>--</v>
      </c>
      <c r="G282" s="35" t="str">
        <f>G!AS240</f>
        <v/>
      </c>
      <c r="H282" s="44" t="str">
        <f>G!AR240</f>
        <v>--</v>
      </c>
      <c r="I282" s="35" t="str">
        <f>G!AT240</f>
        <v/>
      </c>
      <c r="J282" s="35" t="str">
        <f>G!AU240</f>
        <v/>
      </c>
      <c r="L282" s="44" t="str">
        <f>G!AW240</f>
        <v/>
      </c>
      <c r="M282" s="44" t="str">
        <f>G!AV240</f>
        <v>--</v>
      </c>
      <c r="O282" s="35" t="str">
        <f>G!AY240</f>
        <v/>
      </c>
      <c r="P282" s="44" t="str">
        <f>G!AX240</f>
        <v>--</v>
      </c>
      <c r="Q282" s="35" t="str">
        <f>G!AZ240</f>
        <v/>
      </c>
      <c r="R282" s="35" t="str">
        <f>G!BA240</f>
        <v/>
      </c>
      <c r="T282" s="44" t="str">
        <f>G!BC240</f>
        <v/>
      </c>
      <c r="U282" s="44" t="str">
        <f>G!BB240</f>
        <v>--</v>
      </c>
      <c r="V282" s="44"/>
      <c r="W282" s="35" t="str">
        <f>G!BE240</f>
        <v/>
      </c>
      <c r="X282" s="44" t="str">
        <f>G!BD240</f>
        <v>--</v>
      </c>
      <c r="Y282" s="35" t="str">
        <f>G!BF240</f>
        <v/>
      </c>
      <c r="Z282" s="35" t="str">
        <f>G!BG240</f>
        <v/>
      </c>
      <c r="AA282" s="44"/>
      <c r="AE282" s="72">
        <f t="shared" si="14"/>
        <v>1</v>
      </c>
    </row>
    <row r="283" spans="1:31" ht="9" customHeight="1" x14ac:dyDescent="0.15">
      <c r="A283" s="195" t="str">
        <f>F!A241</f>
        <v>Fractie C10 - C12</v>
      </c>
      <c r="B283" s="195"/>
      <c r="C283" s="195"/>
      <c r="D283" s="44" t="str">
        <f>G!AQ241</f>
        <v>&lt;</v>
      </c>
      <c r="E283" s="44" t="str">
        <f>G!AP241</f>
        <v>5,0</v>
      </c>
      <c r="G283" s="35" t="str">
        <f>G!AS241</f>
        <v>&lt;</v>
      </c>
      <c r="H283" s="44" t="str">
        <f>G!AR241</f>
        <v>rg</v>
      </c>
      <c r="I283" s="35" t="str">
        <f>G!AT241</f>
        <v/>
      </c>
      <c r="J283" s="35" t="str">
        <f>G!AU241</f>
        <v/>
      </c>
      <c r="L283" s="44" t="str">
        <f>G!AW241</f>
        <v>&lt;</v>
      </c>
      <c r="M283" s="44" t="str">
        <f>G!AV241</f>
        <v>5,0</v>
      </c>
      <c r="O283" s="35" t="str">
        <f>G!AY241</f>
        <v>&lt;</v>
      </c>
      <c r="P283" s="44" t="str">
        <f>G!AX241</f>
        <v>rg</v>
      </c>
      <c r="Q283" s="35" t="str">
        <f>G!AZ241</f>
        <v/>
      </c>
      <c r="R283" s="35" t="str">
        <f>G!BA241</f>
        <v/>
      </c>
      <c r="T283" s="44" t="str">
        <f>G!BC241</f>
        <v>&lt;</v>
      </c>
      <c r="U283" s="44" t="str">
        <f>G!BB241</f>
        <v>5,0</v>
      </c>
      <c r="V283" s="44"/>
      <c r="W283" s="35" t="str">
        <f>G!BE241</f>
        <v>&lt;</v>
      </c>
      <c r="X283" s="44" t="str">
        <f>G!BD241</f>
        <v>rg</v>
      </c>
      <c r="Y283" s="35" t="str">
        <f>G!BF241</f>
        <v/>
      </c>
      <c r="Z283" s="35" t="str">
        <f>G!BG241</f>
        <v/>
      </c>
      <c r="AA283" s="44"/>
      <c r="AE283" s="72">
        <f t="shared" si="14"/>
        <v>0</v>
      </c>
    </row>
    <row r="284" spans="1:31" ht="9" hidden="1" customHeight="1" x14ac:dyDescent="0.15">
      <c r="A284" s="195" t="str">
        <f>F!A242</f>
        <v>Fractie C12 - C16</v>
      </c>
      <c r="B284" s="195"/>
      <c r="C284" s="195"/>
      <c r="D284" s="44" t="str">
        <f>G!AQ242</f>
        <v/>
      </c>
      <c r="E284" s="44" t="str">
        <f>G!AP242</f>
        <v>--</v>
      </c>
      <c r="G284" s="35" t="str">
        <f>G!AS242</f>
        <v/>
      </c>
      <c r="H284" s="44" t="str">
        <f>G!AR242</f>
        <v>--</v>
      </c>
      <c r="I284" s="35" t="str">
        <f>G!AT242</f>
        <v/>
      </c>
      <c r="J284" s="35" t="str">
        <f>G!AU242</f>
        <v/>
      </c>
      <c r="L284" s="44" t="str">
        <f>G!AW242</f>
        <v/>
      </c>
      <c r="M284" s="44" t="str">
        <f>G!AV242</f>
        <v>--</v>
      </c>
      <c r="O284" s="35" t="str">
        <f>G!AY242</f>
        <v/>
      </c>
      <c r="P284" s="44" t="str">
        <f>G!AX242</f>
        <v>--</v>
      </c>
      <c r="Q284" s="35" t="str">
        <f>G!AZ242</f>
        <v/>
      </c>
      <c r="R284" s="35" t="str">
        <f>G!BA242</f>
        <v/>
      </c>
      <c r="T284" s="44" t="str">
        <f>G!BC242</f>
        <v/>
      </c>
      <c r="U284" s="44" t="str">
        <f>G!BB242</f>
        <v>--</v>
      </c>
      <c r="V284" s="44"/>
      <c r="W284" s="35" t="str">
        <f>G!BE242</f>
        <v/>
      </c>
      <c r="X284" s="44" t="str">
        <f>G!BD242</f>
        <v>--</v>
      </c>
      <c r="Y284" s="35" t="str">
        <f>G!BF242</f>
        <v/>
      </c>
      <c r="Z284" s="35" t="str">
        <f>G!BG242</f>
        <v/>
      </c>
      <c r="AA284" s="44"/>
      <c r="AE284" s="72">
        <f t="shared" si="14"/>
        <v>1</v>
      </c>
    </row>
    <row r="285" spans="1:31" ht="9" customHeight="1" x14ac:dyDescent="0.15">
      <c r="A285" s="195" t="str">
        <f>F!A243</f>
        <v>Fractie C12 - C22</v>
      </c>
      <c r="B285" s="195"/>
      <c r="C285" s="195"/>
      <c r="D285" s="44" t="str">
        <f>G!AQ243</f>
        <v>&lt;</v>
      </c>
      <c r="E285" s="44" t="str">
        <f>G!AP243</f>
        <v>5,0</v>
      </c>
      <c r="G285" s="35" t="str">
        <f>G!AS243</f>
        <v>&lt;</v>
      </c>
      <c r="H285" s="44" t="str">
        <f>G!AR243</f>
        <v>rg</v>
      </c>
      <c r="I285" s="35" t="str">
        <f>G!AT243</f>
        <v/>
      </c>
      <c r="J285" s="35" t="str">
        <f>G!AU243</f>
        <v/>
      </c>
      <c r="L285" s="44" t="str">
        <f>G!AW243</f>
        <v>&lt;</v>
      </c>
      <c r="M285" s="44" t="str">
        <f>G!AV243</f>
        <v>5,0</v>
      </c>
      <c r="O285" s="35" t="str">
        <f>G!AY243</f>
        <v>&lt;</v>
      </c>
      <c r="P285" s="44" t="str">
        <f>G!AX243</f>
        <v>rg</v>
      </c>
      <c r="Q285" s="35" t="str">
        <f>G!AZ243</f>
        <v/>
      </c>
      <c r="R285" s="35" t="str">
        <f>G!BA243</f>
        <v/>
      </c>
      <c r="T285" s="44" t="str">
        <f>G!BC243</f>
        <v>&lt;</v>
      </c>
      <c r="U285" s="44" t="str">
        <f>G!BB243</f>
        <v>5,0</v>
      </c>
      <c r="V285" s="44"/>
      <c r="W285" s="35" t="str">
        <f>G!BE243</f>
        <v>&lt;</v>
      </c>
      <c r="X285" s="44" t="str">
        <f>G!BD243</f>
        <v>rg</v>
      </c>
      <c r="Y285" s="35" t="str">
        <f>G!BF243</f>
        <v/>
      </c>
      <c r="Z285" s="35" t="str">
        <f>G!BG243</f>
        <v/>
      </c>
      <c r="AA285" s="44"/>
      <c r="AE285" s="72">
        <f t="shared" si="14"/>
        <v>0</v>
      </c>
    </row>
    <row r="286" spans="1:31" ht="9" hidden="1" customHeight="1" x14ac:dyDescent="0.15">
      <c r="A286" s="195" t="str">
        <f>F!A244</f>
        <v>Fractie C16 - C21</v>
      </c>
      <c r="B286" s="195"/>
      <c r="C286" s="195"/>
      <c r="D286" s="44" t="str">
        <f>G!AQ244</f>
        <v/>
      </c>
      <c r="E286" s="44" t="str">
        <f>G!AP244</f>
        <v>--</v>
      </c>
      <c r="G286" s="35" t="str">
        <f>G!AS244</f>
        <v/>
      </c>
      <c r="H286" s="44" t="str">
        <f>G!AR244</f>
        <v>--</v>
      </c>
      <c r="I286" s="35" t="str">
        <f>G!AT244</f>
        <v/>
      </c>
      <c r="J286" s="35" t="str">
        <f>G!AU244</f>
        <v/>
      </c>
      <c r="L286" s="44" t="str">
        <f>G!AW244</f>
        <v/>
      </c>
      <c r="M286" s="44" t="str">
        <f>G!AV244</f>
        <v>--</v>
      </c>
      <c r="O286" s="35" t="str">
        <f>G!AY244</f>
        <v/>
      </c>
      <c r="P286" s="44" t="str">
        <f>G!AX244</f>
        <v>--</v>
      </c>
      <c r="Q286" s="35" t="str">
        <f>G!AZ244</f>
        <v/>
      </c>
      <c r="R286" s="35" t="str">
        <f>G!BA244</f>
        <v/>
      </c>
      <c r="T286" s="44" t="str">
        <f>G!BC244</f>
        <v/>
      </c>
      <c r="U286" s="44" t="str">
        <f>G!BB244</f>
        <v>--</v>
      </c>
      <c r="V286" s="44"/>
      <c r="W286" s="35" t="str">
        <f>G!BE244</f>
        <v/>
      </c>
      <c r="X286" s="44" t="str">
        <f>G!BD244</f>
        <v>--</v>
      </c>
      <c r="Y286" s="35" t="str">
        <f>G!BF244</f>
        <v/>
      </c>
      <c r="Z286" s="35" t="str">
        <f>G!BG244</f>
        <v/>
      </c>
      <c r="AA286" s="44"/>
      <c r="AE286" s="72">
        <f t="shared" si="14"/>
        <v>1</v>
      </c>
    </row>
    <row r="287" spans="1:31" ht="9" hidden="1" customHeight="1" x14ac:dyDescent="0.15">
      <c r="A287" s="195" t="str">
        <f>F!A245</f>
        <v>Fractie C21 - C40</v>
      </c>
      <c r="B287" s="195"/>
      <c r="C287" s="195"/>
      <c r="D287" s="44" t="str">
        <f>G!AQ245</f>
        <v/>
      </c>
      <c r="E287" s="44" t="str">
        <f>G!AP245</f>
        <v>--</v>
      </c>
      <c r="G287" s="35" t="str">
        <f>G!AS245</f>
        <v/>
      </c>
      <c r="H287" s="44" t="str">
        <f>G!AR245</f>
        <v>--</v>
      </c>
      <c r="I287" s="35" t="str">
        <f>G!AT245</f>
        <v/>
      </c>
      <c r="J287" s="35" t="str">
        <f>G!AU245</f>
        <v/>
      </c>
      <c r="L287" s="44" t="str">
        <f>G!AW245</f>
        <v/>
      </c>
      <c r="M287" s="44" t="str">
        <f>G!AV245</f>
        <v>--</v>
      </c>
      <c r="O287" s="35" t="str">
        <f>G!AY245</f>
        <v/>
      </c>
      <c r="P287" s="44" t="str">
        <f>G!AX245</f>
        <v>--</v>
      </c>
      <c r="Q287" s="35" t="str">
        <f>G!AZ245</f>
        <v/>
      </c>
      <c r="R287" s="35" t="str">
        <f>G!BA245</f>
        <v/>
      </c>
      <c r="T287" s="44" t="str">
        <f>G!BC245</f>
        <v/>
      </c>
      <c r="U287" s="44" t="str">
        <f>G!BB245</f>
        <v>--</v>
      </c>
      <c r="V287" s="44"/>
      <c r="W287" s="35" t="str">
        <f>G!BE245</f>
        <v/>
      </c>
      <c r="X287" s="44" t="str">
        <f>G!BD245</f>
        <v>--</v>
      </c>
      <c r="Y287" s="35" t="str">
        <f>G!BF245</f>
        <v/>
      </c>
      <c r="Z287" s="35" t="str">
        <f>G!BG245</f>
        <v/>
      </c>
      <c r="AA287" s="44"/>
      <c r="AE287" s="72">
        <f t="shared" si="14"/>
        <v>1</v>
      </c>
    </row>
    <row r="288" spans="1:31" ht="9" customHeight="1" x14ac:dyDescent="0.15">
      <c r="A288" s="195" t="str">
        <f>F!A246</f>
        <v>Fractie C22 - C30</v>
      </c>
      <c r="B288" s="195"/>
      <c r="C288" s="195"/>
      <c r="D288" s="44" t="str">
        <f>G!AQ246</f>
        <v>&lt;</v>
      </c>
      <c r="E288" s="44" t="str">
        <f>G!AP246</f>
        <v>5,0</v>
      </c>
      <c r="G288" s="35" t="str">
        <f>G!AS246</f>
        <v>&lt;</v>
      </c>
      <c r="H288" s="44" t="str">
        <f>G!AR246</f>
        <v>rg</v>
      </c>
      <c r="I288" s="35" t="str">
        <f>G!AT246</f>
        <v/>
      </c>
      <c r="J288" s="35" t="str">
        <f>G!AU246</f>
        <v/>
      </c>
      <c r="L288" s="44" t="str">
        <f>G!AW246</f>
        <v>&lt;</v>
      </c>
      <c r="M288" s="44" t="str">
        <f>G!AV246</f>
        <v>5,0</v>
      </c>
      <c r="O288" s="35" t="str">
        <f>G!AY246</f>
        <v>&lt;</v>
      </c>
      <c r="P288" s="44" t="str">
        <f>G!AX246</f>
        <v>rg</v>
      </c>
      <c r="Q288" s="35" t="str">
        <f>G!AZ246</f>
        <v/>
      </c>
      <c r="R288" s="35" t="str">
        <f>G!BA246</f>
        <v/>
      </c>
      <c r="T288" s="44" t="str">
        <f>G!BC246</f>
        <v>&lt;</v>
      </c>
      <c r="U288" s="44" t="str">
        <f>G!BB246</f>
        <v>5,0</v>
      </c>
      <c r="V288" s="44"/>
      <c r="W288" s="35" t="str">
        <f>G!BE246</f>
        <v>&lt;</v>
      </c>
      <c r="X288" s="44" t="str">
        <f>G!BD246</f>
        <v>rg</v>
      </c>
      <c r="Y288" s="35" t="str">
        <f>G!BF246</f>
        <v/>
      </c>
      <c r="Z288" s="35" t="str">
        <f>G!BG246</f>
        <v/>
      </c>
      <c r="AA288" s="44"/>
      <c r="AE288" s="72">
        <f t="shared" si="14"/>
        <v>0</v>
      </c>
    </row>
    <row r="289" spans="1:31" ht="9" customHeight="1" x14ac:dyDescent="0.15">
      <c r="A289" s="195" t="str">
        <f>F!A247</f>
        <v>Fractie C30 - C40</v>
      </c>
      <c r="B289" s="195"/>
      <c r="C289" s="195"/>
      <c r="D289" s="44" t="str">
        <f>G!AQ247</f>
        <v>&lt;</v>
      </c>
      <c r="E289" s="44" t="str">
        <f>G!AP247</f>
        <v>5,0</v>
      </c>
      <c r="G289" s="35" t="str">
        <f>G!AS247</f>
        <v>&lt;</v>
      </c>
      <c r="H289" s="44" t="str">
        <f>G!AR247</f>
        <v>rg</v>
      </c>
      <c r="I289" s="35" t="str">
        <f>G!AT247</f>
        <v/>
      </c>
      <c r="J289" s="35" t="str">
        <f>G!AU247</f>
        <v/>
      </c>
      <c r="L289" s="44" t="str">
        <f>G!AW247</f>
        <v>&lt;</v>
      </c>
      <c r="M289" s="44" t="str">
        <f>G!AV247</f>
        <v>5,0</v>
      </c>
      <c r="O289" s="35" t="str">
        <f>G!AY247</f>
        <v>&lt;</v>
      </c>
      <c r="P289" s="44" t="str">
        <f>G!AX247</f>
        <v>rg</v>
      </c>
      <c r="Q289" s="35" t="str">
        <f>G!AZ247</f>
        <v/>
      </c>
      <c r="R289" s="35" t="str">
        <f>G!BA247</f>
        <v/>
      </c>
      <c r="T289" s="44" t="str">
        <f>G!BC247</f>
        <v>&lt;</v>
      </c>
      <c r="U289" s="44" t="str">
        <f>G!BB247</f>
        <v>5,0</v>
      </c>
      <c r="V289" s="44"/>
      <c r="W289" s="35" t="str">
        <f>G!BE247</f>
        <v>&lt;</v>
      </c>
      <c r="X289" s="44" t="str">
        <f>G!BD247</f>
        <v>rg</v>
      </c>
      <c r="Y289" s="35" t="str">
        <f>G!BF247</f>
        <v/>
      </c>
      <c r="Z289" s="35" t="str">
        <f>G!BG247</f>
        <v/>
      </c>
      <c r="AA289" s="44"/>
      <c r="AE289" s="72">
        <f t="shared" si="14"/>
        <v>0</v>
      </c>
    </row>
    <row r="290" spans="1:31" ht="9" customHeight="1" x14ac:dyDescent="0.15">
      <c r="A290" s="195" t="str">
        <f>F!A248</f>
        <v>Totaal olie C10 - C40</v>
      </c>
      <c r="B290" s="195"/>
      <c r="C290" s="195"/>
      <c r="D290" s="44" t="str">
        <f>G!AQ248</f>
        <v>&lt;</v>
      </c>
      <c r="E290" s="44" t="str">
        <f>G!AP248</f>
        <v>20</v>
      </c>
      <c r="G290" s="35" t="str">
        <f>G!AS248</f>
        <v>&lt;</v>
      </c>
      <c r="H290" s="44" t="str">
        <f>G!AR248</f>
        <v>rg</v>
      </c>
      <c r="I290" s="35" t="str">
        <f>G!AT248</f>
        <v>-</v>
      </c>
      <c r="J290" s="35" t="str">
        <f>G!AU248</f>
        <v/>
      </c>
      <c r="L290" s="44" t="str">
        <f>G!AW248</f>
        <v>&lt;</v>
      </c>
      <c r="M290" s="44" t="str">
        <f>G!AV248</f>
        <v>20</v>
      </c>
      <c r="O290" s="35" t="str">
        <f>G!AY248</f>
        <v>&lt;</v>
      </c>
      <c r="P290" s="44" t="str">
        <f>G!AX248</f>
        <v>rg</v>
      </c>
      <c r="Q290" s="35" t="str">
        <f>G!AZ248</f>
        <v>-</v>
      </c>
      <c r="R290" s="35" t="str">
        <f>G!BA248</f>
        <v/>
      </c>
      <c r="T290" s="44" t="str">
        <f>G!BC248</f>
        <v>&lt;</v>
      </c>
      <c r="U290" s="44" t="str">
        <f>G!BB248</f>
        <v>20</v>
      </c>
      <c r="V290" s="44"/>
      <c r="W290" s="35" t="str">
        <f>G!BE248</f>
        <v>&lt;</v>
      </c>
      <c r="X290" s="44" t="str">
        <f>G!BD248</f>
        <v>rg</v>
      </c>
      <c r="Y290" s="35" t="str">
        <f>G!BF248</f>
        <v>-</v>
      </c>
      <c r="Z290" s="35" t="str">
        <f>G!BG248</f>
        <v/>
      </c>
      <c r="AA290" s="44"/>
      <c r="AE290" s="72">
        <f t="shared" ref="AE290:AE322" si="15">IF(AND(E290="--",M290="--",U290="--"),1,0)</f>
        <v>0</v>
      </c>
    </row>
    <row r="291" spans="1:31" ht="9" hidden="1" customHeight="1" x14ac:dyDescent="0.15">
      <c r="A291" s="195" t="str">
        <f>F!A249</f>
        <v>Totaal olie C6 - C40</v>
      </c>
      <c r="B291" s="195"/>
      <c r="C291" s="195"/>
      <c r="D291" s="44" t="str">
        <f>G!AQ249</f>
        <v/>
      </c>
      <c r="E291" s="44" t="str">
        <f>G!AP249</f>
        <v>--</v>
      </c>
      <c r="G291" s="35" t="str">
        <f>G!AS249</f>
        <v/>
      </c>
      <c r="H291" s="44" t="str">
        <f>G!AR249</f>
        <v>--</v>
      </c>
      <c r="I291" s="35" t="str">
        <f>G!AT249</f>
        <v/>
      </c>
      <c r="J291" s="35" t="str">
        <f>G!AU249</f>
        <v/>
      </c>
      <c r="L291" s="44" t="str">
        <f>G!AW249</f>
        <v/>
      </c>
      <c r="M291" s="44" t="str">
        <f>G!AV249</f>
        <v>--</v>
      </c>
      <c r="O291" s="35" t="str">
        <f>G!AY249</f>
        <v/>
      </c>
      <c r="P291" s="44" t="str">
        <f>G!AX249</f>
        <v>--</v>
      </c>
      <c r="Q291" s="35" t="str">
        <f>G!AZ249</f>
        <v/>
      </c>
      <c r="R291" s="35" t="str">
        <f>G!BA249</f>
        <v/>
      </c>
      <c r="T291" s="44" t="str">
        <f>G!BC249</f>
        <v/>
      </c>
      <c r="U291" s="44" t="str">
        <f>G!BB249</f>
        <v>--</v>
      </c>
      <c r="V291" s="44"/>
      <c r="W291" s="35" t="str">
        <f>G!BE249</f>
        <v/>
      </c>
      <c r="X291" s="44" t="str">
        <f>G!BD249</f>
        <v>--</v>
      </c>
      <c r="Y291" s="35" t="str">
        <f>G!BF249</f>
        <v/>
      </c>
      <c r="Z291" s="35" t="str">
        <f>G!BG249</f>
        <v/>
      </c>
      <c r="AA291" s="44"/>
      <c r="AE291" s="72">
        <f t="shared" si="14"/>
        <v>1</v>
      </c>
    </row>
    <row r="292" spans="1:31" ht="3.95" hidden="1" customHeight="1" x14ac:dyDescent="0.15">
      <c r="A292" s="41"/>
      <c r="B292" s="41"/>
      <c r="C292" s="41"/>
      <c r="D292" s="44"/>
      <c r="E292" s="44"/>
      <c r="H292" s="44"/>
      <c r="L292" s="44"/>
      <c r="M292" s="44"/>
      <c r="P292" s="44"/>
      <c r="T292" s="44"/>
      <c r="U292" s="44"/>
      <c r="V292" s="44"/>
      <c r="X292" s="44"/>
      <c r="Z292" s="44"/>
      <c r="AA292" s="44"/>
      <c r="AE292" s="94">
        <f>AE293</f>
        <v>1</v>
      </c>
    </row>
    <row r="293" spans="1:31" ht="9" hidden="1" customHeight="1" x14ac:dyDescent="0.15">
      <c r="A293" s="198" t="str">
        <f>IF(COUNTIF(F!D250:D258,131)&gt;0,"Glycolen (µg/kgds)","Glycolen (mg/kgds)")</f>
        <v>Glycolen (mg/kgds)</v>
      </c>
      <c r="B293" s="198"/>
      <c r="C293" s="198"/>
      <c r="D293" s="198"/>
      <c r="E293" s="198"/>
      <c r="F293" s="198"/>
      <c r="G293" s="198"/>
      <c r="H293" s="198"/>
      <c r="I293" s="198"/>
      <c r="J293" s="198"/>
      <c r="K293" s="198"/>
      <c r="L293" s="198"/>
      <c r="M293" s="198"/>
      <c r="N293" s="198"/>
      <c r="O293" s="198"/>
      <c r="P293" s="198"/>
      <c r="Q293" s="198"/>
      <c r="R293" s="198"/>
      <c r="S293" s="198"/>
      <c r="T293" s="198"/>
      <c r="U293" s="198"/>
      <c r="V293" s="198"/>
      <c r="W293" s="198"/>
      <c r="X293" s="198"/>
      <c r="Y293" s="198"/>
      <c r="Z293" s="198"/>
      <c r="AA293" s="198"/>
      <c r="AE293" s="94">
        <f>IF(COUNTIF(AE294:AE302,1)=COUNT(AE294:AE302),1,0)</f>
        <v>1</v>
      </c>
    </row>
    <row r="294" spans="1:31" ht="9" hidden="1" customHeight="1" x14ac:dyDescent="0.15">
      <c r="A294" s="195" t="str">
        <f>F!A250</f>
        <v>Propyleenglycol</v>
      </c>
      <c r="B294" s="195"/>
      <c r="C294" s="195"/>
      <c r="D294" s="44" t="str">
        <f>G!AQ250</f>
        <v/>
      </c>
      <c r="E294" s="44" t="str">
        <f>G!AP250</f>
        <v>--</v>
      </c>
      <c r="G294" s="35" t="str">
        <f>G!AS250</f>
        <v/>
      </c>
      <c r="H294" s="44" t="str">
        <f>G!AR250</f>
        <v>--</v>
      </c>
      <c r="I294" s="35" t="str">
        <f>G!AT250</f>
        <v/>
      </c>
      <c r="J294" s="35" t="str">
        <f>G!AU250</f>
        <v/>
      </c>
      <c r="L294" s="44" t="str">
        <f>G!AW250</f>
        <v/>
      </c>
      <c r="M294" s="44" t="str">
        <f>G!AV250</f>
        <v>--</v>
      </c>
      <c r="O294" s="35" t="str">
        <f>G!AY250</f>
        <v/>
      </c>
      <c r="P294" s="44" t="str">
        <f>G!AX250</f>
        <v>--</v>
      </c>
      <c r="Q294" s="35" t="str">
        <f>G!AZ250</f>
        <v/>
      </c>
      <c r="R294" s="35" t="str">
        <f>G!BA250</f>
        <v/>
      </c>
      <c r="T294" s="44" t="str">
        <f>G!BC250</f>
        <v/>
      </c>
      <c r="U294" s="44" t="str">
        <f>G!BB250</f>
        <v>--</v>
      </c>
      <c r="V294" s="44"/>
      <c r="W294" s="35" t="str">
        <f>G!BE250</f>
        <v/>
      </c>
      <c r="X294" s="44" t="str">
        <f>G!BD250</f>
        <v>--</v>
      </c>
      <c r="Y294" s="35" t="str">
        <f>G!BF250</f>
        <v/>
      </c>
      <c r="Z294" s="35" t="str">
        <f>G!BG250</f>
        <v/>
      </c>
      <c r="AA294" s="44"/>
      <c r="AE294" s="72">
        <f t="shared" si="14"/>
        <v>1</v>
      </c>
    </row>
    <row r="295" spans="1:31" ht="9" hidden="1" customHeight="1" x14ac:dyDescent="0.15">
      <c r="A295" s="195" t="str">
        <f>F!A251</f>
        <v>Methylglycol</v>
      </c>
      <c r="B295" s="195"/>
      <c r="C295" s="195"/>
      <c r="D295" s="44" t="str">
        <f>G!AQ251</f>
        <v/>
      </c>
      <c r="E295" s="44" t="str">
        <f>G!AP251</f>
        <v>--</v>
      </c>
      <c r="G295" s="35" t="str">
        <f>G!AS251</f>
        <v/>
      </c>
      <c r="H295" s="44" t="str">
        <f>G!AR251</f>
        <v>--</v>
      </c>
      <c r="I295" s="35" t="str">
        <f>G!AT251</f>
        <v/>
      </c>
      <c r="J295" s="35" t="str">
        <f>G!AU251</f>
        <v/>
      </c>
      <c r="L295" s="44" t="str">
        <f>G!AW251</f>
        <v/>
      </c>
      <c r="M295" s="44" t="str">
        <f>G!AV251</f>
        <v>--</v>
      </c>
      <c r="O295" s="35" t="str">
        <f>G!AY251</f>
        <v/>
      </c>
      <c r="P295" s="44" t="str">
        <f>G!AX251</f>
        <v>--</v>
      </c>
      <c r="Q295" s="35" t="str">
        <f>G!AZ251</f>
        <v/>
      </c>
      <c r="R295" s="35" t="str">
        <f>G!BA251</f>
        <v/>
      </c>
      <c r="T295" s="44" t="str">
        <f>G!BC251</f>
        <v/>
      </c>
      <c r="U295" s="44" t="str">
        <f>G!BB251</f>
        <v>--</v>
      </c>
      <c r="V295" s="44"/>
      <c r="W295" s="35" t="str">
        <f>G!BE251</f>
        <v/>
      </c>
      <c r="X295" s="44" t="str">
        <f>G!BD251</f>
        <v>--</v>
      </c>
      <c r="Y295" s="35" t="str">
        <f>G!BF251</f>
        <v/>
      </c>
      <c r="Z295" s="35" t="str">
        <f>G!BG251</f>
        <v/>
      </c>
      <c r="AA295" s="44"/>
      <c r="AE295" s="72">
        <f t="shared" ref="AE295:AE299" si="16">IF(AND(E295="--",M295="--",U295="--"),1,0)</f>
        <v>1</v>
      </c>
    </row>
    <row r="296" spans="1:31" ht="9" hidden="1" customHeight="1" x14ac:dyDescent="0.15">
      <c r="A296" s="195" t="str">
        <f>F!A252</f>
        <v>Dimethylglycol</v>
      </c>
      <c r="B296" s="195"/>
      <c r="C296" s="195"/>
      <c r="D296" s="44" t="str">
        <f>G!AQ252</f>
        <v/>
      </c>
      <c r="E296" s="44" t="str">
        <f>G!AP252</f>
        <v>--</v>
      </c>
      <c r="G296" s="35" t="str">
        <f>G!AS252</f>
        <v/>
      </c>
      <c r="H296" s="44" t="str">
        <f>G!AR252</f>
        <v>--</v>
      </c>
      <c r="I296" s="35" t="str">
        <f>G!AT252</f>
        <v/>
      </c>
      <c r="J296" s="35" t="str">
        <f>G!AU252</f>
        <v/>
      </c>
      <c r="L296" s="44" t="str">
        <f>G!AW252</f>
        <v/>
      </c>
      <c r="M296" s="44" t="str">
        <f>G!AV252</f>
        <v>--</v>
      </c>
      <c r="O296" s="35" t="str">
        <f>G!AY252</f>
        <v/>
      </c>
      <c r="P296" s="44" t="str">
        <f>G!AX252</f>
        <v>--</v>
      </c>
      <c r="Q296" s="35" t="str">
        <f>G!AZ252</f>
        <v/>
      </c>
      <c r="R296" s="35" t="str">
        <f>G!BA252</f>
        <v/>
      </c>
      <c r="T296" s="44" t="str">
        <f>G!BC252</f>
        <v/>
      </c>
      <c r="U296" s="44" t="str">
        <f>G!BB252</f>
        <v>--</v>
      </c>
      <c r="V296" s="44"/>
      <c r="W296" s="35" t="str">
        <f>G!BE252</f>
        <v/>
      </c>
      <c r="X296" s="44" t="str">
        <f>G!BD252</f>
        <v>--</v>
      </c>
      <c r="Y296" s="35" t="str">
        <f>G!BF252</f>
        <v/>
      </c>
      <c r="Z296" s="35" t="str">
        <f>G!BG252</f>
        <v/>
      </c>
      <c r="AA296" s="44"/>
      <c r="AE296" s="72">
        <f t="shared" si="16"/>
        <v>1</v>
      </c>
    </row>
    <row r="297" spans="1:31" ht="9" hidden="1" customHeight="1" x14ac:dyDescent="0.15">
      <c r="A297" s="195" t="str">
        <f>F!A253</f>
        <v>Ethylglycol</v>
      </c>
      <c r="B297" s="195"/>
      <c r="C297" s="195"/>
      <c r="D297" s="44" t="str">
        <f>G!AQ253</f>
        <v/>
      </c>
      <c r="E297" s="44" t="str">
        <f>G!AP253</f>
        <v>--</v>
      </c>
      <c r="G297" s="35" t="str">
        <f>G!AS253</f>
        <v/>
      </c>
      <c r="H297" s="44" t="str">
        <f>G!AR253</f>
        <v>--</v>
      </c>
      <c r="I297" s="35" t="str">
        <f>G!AT253</f>
        <v/>
      </c>
      <c r="J297" s="35" t="str">
        <f>G!AU253</f>
        <v/>
      </c>
      <c r="L297" s="44" t="str">
        <f>G!AW253</f>
        <v/>
      </c>
      <c r="M297" s="44" t="str">
        <f>G!AV253</f>
        <v>--</v>
      </c>
      <c r="O297" s="35" t="str">
        <f>G!AY253</f>
        <v/>
      </c>
      <c r="P297" s="44" t="str">
        <f>G!AX253</f>
        <v>--</v>
      </c>
      <c r="Q297" s="35" t="str">
        <f>G!AZ253</f>
        <v/>
      </c>
      <c r="R297" s="35" t="str">
        <f>G!BA253</f>
        <v/>
      </c>
      <c r="T297" s="44" t="str">
        <f>G!BC253</f>
        <v/>
      </c>
      <c r="U297" s="44" t="str">
        <f>G!BB253</f>
        <v>--</v>
      </c>
      <c r="V297" s="44"/>
      <c r="W297" s="35" t="str">
        <f>G!BE253</f>
        <v/>
      </c>
      <c r="X297" s="44" t="str">
        <f>G!BD253</f>
        <v>--</v>
      </c>
      <c r="Y297" s="35" t="str">
        <f>G!BF253</f>
        <v/>
      </c>
      <c r="Z297" s="35" t="str">
        <f>G!BG253</f>
        <v/>
      </c>
      <c r="AA297" s="44"/>
      <c r="AE297" s="72">
        <f t="shared" si="16"/>
        <v>1</v>
      </c>
    </row>
    <row r="298" spans="1:31" ht="9" hidden="1" customHeight="1" x14ac:dyDescent="0.15">
      <c r="A298" s="195" t="str">
        <f>F!A254</f>
        <v>Diethylglycol</v>
      </c>
      <c r="B298" s="195"/>
      <c r="C298" s="195"/>
      <c r="D298" s="44" t="str">
        <f>G!AQ254</f>
        <v/>
      </c>
      <c r="E298" s="44" t="str">
        <f>G!AP254</f>
        <v>--</v>
      </c>
      <c r="G298" s="35" t="str">
        <f>G!AS254</f>
        <v/>
      </c>
      <c r="H298" s="44" t="str">
        <f>G!AR254</f>
        <v>--</v>
      </c>
      <c r="I298" s="35" t="str">
        <f>G!AT254</f>
        <v/>
      </c>
      <c r="J298" s="35" t="str">
        <f>G!AU254</f>
        <v/>
      </c>
      <c r="L298" s="44" t="str">
        <f>G!AW254</f>
        <v/>
      </c>
      <c r="M298" s="44" t="str">
        <f>G!AV254</f>
        <v>--</v>
      </c>
      <c r="O298" s="35" t="str">
        <f>G!AY254</f>
        <v/>
      </c>
      <c r="P298" s="44" t="str">
        <f>G!AX254</f>
        <v>--</v>
      </c>
      <c r="Q298" s="35" t="str">
        <f>G!AZ254</f>
        <v/>
      </c>
      <c r="R298" s="35" t="str">
        <f>G!BA254</f>
        <v/>
      </c>
      <c r="T298" s="44" t="str">
        <f>G!BC254</f>
        <v/>
      </c>
      <c r="U298" s="44" t="str">
        <f>G!BB254</f>
        <v>--</v>
      </c>
      <c r="V298" s="44"/>
      <c r="W298" s="35" t="str">
        <f>G!BE254</f>
        <v/>
      </c>
      <c r="X298" s="44" t="str">
        <f>G!BD254</f>
        <v>--</v>
      </c>
      <c r="Y298" s="35" t="str">
        <f>G!BF254</f>
        <v/>
      </c>
      <c r="Z298" s="35" t="str">
        <f>G!BG254</f>
        <v/>
      </c>
      <c r="AA298" s="44"/>
      <c r="AE298" s="72">
        <f t="shared" si="16"/>
        <v>1</v>
      </c>
    </row>
    <row r="299" spans="1:31" ht="9" hidden="1" customHeight="1" x14ac:dyDescent="0.15">
      <c r="A299" s="195" t="str">
        <f>F!A255</f>
        <v>Isopropylglycol</v>
      </c>
      <c r="B299" s="195"/>
      <c r="C299" s="195"/>
      <c r="D299" s="44" t="str">
        <f>G!AQ255</f>
        <v/>
      </c>
      <c r="E299" s="44" t="str">
        <f>G!AP255</f>
        <v>--</v>
      </c>
      <c r="G299" s="35" t="str">
        <f>G!AS255</f>
        <v/>
      </c>
      <c r="H299" s="44" t="str">
        <f>G!AR255</f>
        <v>--</v>
      </c>
      <c r="I299" s="35" t="str">
        <f>G!AT255</f>
        <v/>
      </c>
      <c r="J299" s="35" t="str">
        <f>G!AU255</f>
        <v/>
      </c>
      <c r="L299" s="44" t="str">
        <f>G!AW255</f>
        <v/>
      </c>
      <c r="M299" s="44" t="str">
        <f>G!AV255</f>
        <v>--</v>
      </c>
      <c r="O299" s="35" t="str">
        <f>G!AY255</f>
        <v/>
      </c>
      <c r="P299" s="44" t="str">
        <f>G!AX255</f>
        <v>--</v>
      </c>
      <c r="Q299" s="35" t="str">
        <f>G!AZ255</f>
        <v/>
      </c>
      <c r="R299" s="35" t="str">
        <f>G!BA255</f>
        <v/>
      </c>
      <c r="T299" s="44" t="str">
        <f>G!BC255</f>
        <v/>
      </c>
      <c r="U299" s="44" t="str">
        <f>G!BB255</f>
        <v>--</v>
      </c>
      <c r="V299" s="44"/>
      <c r="W299" s="35" t="str">
        <f>G!BE255</f>
        <v/>
      </c>
      <c r="X299" s="44" t="str">
        <f>G!BD255</f>
        <v>--</v>
      </c>
      <c r="Y299" s="35" t="str">
        <f>G!BF255</f>
        <v/>
      </c>
      <c r="Z299" s="35" t="str">
        <f>G!BG255</f>
        <v/>
      </c>
      <c r="AA299" s="44"/>
      <c r="AE299" s="72">
        <f t="shared" si="16"/>
        <v>1</v>
      </c>
    </row>
    <row r="300" spans="1:31" ht="9" hidden="1" customHeight="1" x14ac:dyDescent="0.15">
      <c r="A300" s="195" t="str">
        <f>F!A256</f>
        <v>Butylglycol</v>
      </c>
      <c r="B300" s="195"/>
      <c r="C300" s="195"/>
      <c r="D300" s="44" t="str">
        <f>G!AQ256</f>
        <v/>
      </c>
      <c r="E300" s="44" t="str">
        <f>G!AP256</f>
        <v>--</v>
      </c>
      <c r="G300" s="35" t="str">
        <f>G!AS256</f>
        <v/>
      </c>
      <c r="H300" s="44" t="str">
        <f>G!AR256</f>
        <v>--</v>
      </c>
      <c r="I300" s="35" t="str">
        <f>G!AT256</f>
        <v/>
      </c>
      <c r="J300" s="35" t="str">
        <f>G!AU256</f>
        <v/>
      </c>
      <c r="L300" s="44" t="str">
        <f>G!AW256</f>
        <v/>
      </c>
      <c r="M300" s="44" t="str">
        <f>G!AV256</f>
        <v>--</v>
      </c>
      <c r="O300" s="35" t="str">
        <f>G!AY256</f>
        <v/>
      </c>
      <c r="P300" s="44" t="str">
        <f>G!AX256</f>
        <v>--</v>
      </c>
      <c r="Q300" s="35" t="str">
        <f>G!AZ256</f>
        <v/>
      </c>
      <c r="R300" s="35" t="str">
        <f>G!BA256</f>
        <v/>
      </c>
      <c r="T300" s="44" t="str">
        <f>G!BC256</f>
        <v/>
      </c>
      <c r="U300" s="44" t="str">
        <f>G!BB256</f>
        <v>--</v>
      </c>
      <c r="V300" s="44"/>
      <c r="W300" s="35" t="str">
        <f>G!BE256</f>
        <v/>
      </c>
      <c r="X300" s="44" t="str">
        <f>G!BD256</f>
        <v>--</v>
      </c>
      <c r="Y300" s="35" t="str">
        <f>G!BF256</f>
        <v/>
      </c>
      <c r="Z300" s="35" t="str">
        <f>G!BG256</f>
        <v/>
      </c>
      <c r="AA300" s="44"/>
      <c r="AE300" s="72">
        <f t="shared" ref="AE300:AE306" si="17">IF(AND(E300="--",M300="--",U300="--"),1,0)</f>
        <v>1</v>
      </c>
    </row>
    <row r="301" spans="1:31" ht="9" hidden="1" customHeight="1" x14ac:dyDescent="0.15">
      <c r="A301" s="195" t="str">
        <f>F!A257</f>
        <v>Ethyleenglycol</v>
      </c>
      <c r="B301" s="195"/>
      <c r="C301" s="195"/>
      <c r="D301" s="44" t="str">
        <f>G!AQ257</f>
        <v/>
      </c>
      <c r="E301" s="44" t="str">
        <f>G!AP257</f>
        <v>--</v>
      </c>
      <c r="G301" s="35" t="str">
        <f>G!AS257</f>
        <v/>
      </c>
      <c r="H301" s="44" t="str">
        <f>G!AR257</f>
        <v>--</v>
      </c>
      <c r="I301" s="35" t="str">
        <f>G!AT257</f>
        <v/>
      </c>
      <c r="J301" s="35" t="str">
        <f>G!AU257</f>
        <v/>
      </c>
      <c r="L301" s="44" t="str">
        <f>G!AW257</f>
        <v/>
      </c>
      <c r="M301" s="44" t="str">
        <f>G!AV257</f>
        <v>--</v>
      </c>
      <c r="O301" s="35" t="str">
        <f>G!AY257</f>
        <v/>
      </c>
      <c r="P301" s="44" t="str">
        <f>G!AX257</f>
        <v>--</v>
      </c>
      <c r="Q301" s="35" t="str">
        <f>G!AZ257</f>
        <v/>
      </c>
      <c r="R301" s="35" t="str">
        <f>G!BA257</f>
        <v/>
      </c>
      <c r="T301" s="44" t="str">
        <f>G!BC257</f>
        <v/>
      </c>
      <c r="U301" s="44" t="str">
        <f>G!BB257</f>
        <v>--</v>
      </c>
      <c r="V301" s="44"/>
      <c r="W301" s="35" t="str">
        <f>G!BE257</f>
        <v/>
      </c>
      <c r="X301" s="44" t="str">
        <f>G!BD257</f>
        <v>--</v>
      </c>
      <c r="Y301" s="35" t="str">
        <f>G!BF257</f>
        <v/>
      </c>
      <c r="Z301" s="35" t="str">
        <f>G!BG257</f>
        <v/>
      </c>
      <c r="AA301" s="44"/>
      <c r="AE301" s="72">
        <f t="shared" si="17"/>
        <v>1</v>
      </c>
    </row>
    <row r="302" spans="1:31" ht="9" hidden="1" customHeight="1" x14ac:dyDescent="0.15">
      <c r="A302" s="195" t="str">
        <f>F!A258</f>
        <v>Diethyleenglycol</v>
      </c>
      <c r="B302" s="195"/>
      <c r="C302" s="195"/>
      <c r="D302" s="44" t="str">
        <f>G!AQ258</f>
        <v/>
      </c>
      <c r="E302" s="44" t="str">
        <f>G!AP258</f>
        <v>--</v>
      </c>
      <c r="G302" s="35" t="str">
        <f>G!AS258</f>
        <v/>
      </c>
      <c r="H302" s="44" t="str">
        <f>G!AR258</f>
        <v>--</v>
      </c>
      <c r="I302" s="35" t="str">
        <f>G!AT258</f>
        <v/>
      </c>
      <c r="J302" s="35" t="str">
        <f>G!AU258</f>
        <v/>
      </c>
      <c r="L302" s="44" t="str">
        <f>G!AW258</f>
        <v/>
      </c>
      <c r="M302" s="44" t="str">
        <f>G!AV258</f>
        <v>--</v>
      </c>
      <c r="O302" s="35" t="str">
        <f>G!AY258</f>
        <v/>
      </c>
      <c r="P302" s="44" t="str">
        <f>G!AX258</f>
        <v>--</v>
      </c>
      <c r="Q302" s="35" t="str">
        <f>G!AZ258</f>
        <v/>
      </c>
      <c r="R302" s="35" t="str">
        <f>G!BA258</f>
        <v/>
      </c>
      <c r="T302" s="44" t="str">
        <f>G!BC258</f>
        <v/>
      </c>
      <c r="U302" s="44" t="str">
        <f>G!BB258</f>
        <v>--</v>
      </c>
      <c r="V302" s="44"/>
      <c r="W302" s="35" t="str">
        <f>G!BE258</f>
        <v/>
      </c>
      <c r="X302" s="44" t="str">
        <f>G!BD258</f>
        <v>--</v>
      </c>
      <c r="Y302" s="35" t="str">
        <f>G!BF258</f>
        <v/>
      </c>
      <c r="Z302" s="35" t="str">
        <f>G!BG258</f>
        <v/>
      </c>
      <c r="AA302" s="44"/>
      <c r="AE302" s="72">
        <f t="shared" si="17"/>
        <v>1</v>
      </c>
    </row>
    <row r="303" spans="1:31" ht="3.95" hidden="1" customHeight="1" x14ac:dyDescent="0.15">
      <c r="A303" s="41"/>
      <c r="B303" s="41"/>
      <c r="C303" s="41"/>
      <c r="D303" s="44"/>
      <c r="E303" s="44"/>
      <c r="H303" s="44"/>
      <c r="L303" s="44"/>
      <c r="M303" s="44"/>
      <c r="P303" s="44"/>
      <c r="T303" s="44"/>
      <c r="U303" s="44"/>
      <c r="V303" s="44"/>
      <c r="X303" s="44"/>
      <c r="Z303" s="44"/>
      <c r="AA303" s="44"/>
      <c r="AE303" s="94">
        <f>AE304</f>
        <v>1</v>
      </c>
    </row>
    <row r="304" spans="1:31" ht="9" hidden="1" customHeight="1" x14ac:dyDescent="0.15">
      <c r="A304" s="198" t="str">
        <f>IF(COUNTIF(F!D259:D266,131)&gt;0,"Alkylbenzenen (µg/kgds)","Alkylbenzenen (mg/kgds)")</f>
        <v>Alkylbenzenen (mg/kgds)</v>
      </c>
      <c r="B304" s="198"/>
      <c r="C304" s="198"/>
      <c r="D304" s="198"/>
      <c r="E304" s="198"/>
      <c r="F304" s="198"/>
      <c r="G304" s="198"/>
      <c r="H304" s="198"/>
      <c r="I304" s="198"/>
      <c r="J304" s="198"/>
      <c r="K304" s="198"/>
      <c r="L304" s="198"/>
      <c r="M304" s="198"/>
      <c r="N304" s="198"/>
      <c r="O304" s="198"/>
      <c r="P304" s="198"/>
      <c r="Q304" s="198"/>
      <c r="R304" s="198"/>
      <c r="S304" s="198"/>
      <c r="T304" s="198"/>
      <c r="U304" s="198"/>
      <c r="V304" s="198"/>
      <c r="W304" s="198"/>
      <c r="X304" s="198"/>
      <c r="Y304" s="198"/>
      <c r="Z304" s="198"/>
      <c r="AA304" s="198"/>
      <c r="AE304" s="94">
        <f>IF(COUNTIF(AE305:AE312,1)=COUNT(AE305:AE312),1,0)</f>
        <v>1</v>
      </c>
    </row>
    <row r="305" spans="1:31" ht="9" hidden="1" customHeight="1" x14ac:dyDescent="0.15">
      <c r="A305" s="195" t="str">
        <f>F!A259</f>
        <v>n-Propylbenzeen</v>
      </c>
      <c r="B305" s="195"/>
      <c r="C305" s="195"/>
      <c r="D305" s="44" t="str">
        <f>G!AQ259</f>
        <v/>
      </c>
      <c r="E305" s="44" t="str">
        <f>G!AP259</f>
        <v>--</v>
      </c>
      <c r="G305" s="35" t="str">
        <f>G!AS259</f>
        <v/>
      </c>
      <c r="H305" s="44" t="str">
        <f>G!AR259</f>
        <v>--</v>
      </c>
      <c r="I305" s="35" t="str">
        <f>G!AT259</f>
        <v/>
      </c>
      <c r="J305" s="35" t="str">
        <f>G!AU259</f>
        <v/>
      </c>
      <c r="L305" s="44" t="str">
        <f>G!AW259</f>
        <v/>
      </c>
      <c r="M305" s="44" t="str">
        <f>G!AV259</f>
        <v>--</v>
      </c>
      <c r="O305" s="35" t="str">
        <f>G!AY259</f>
        <v/>
      </c>
      <c r="P305" s="44" t="str">
        <f>G!AX259</f>
        <v>--</v>
      </c>
      <c r="Q305" s="35" t="str">
        <f>G!AZ259</f>
        <v/>
      </c>
      <c r="R305" s="35" t="str">
        <f>G!BA259</f>
        <v/>
      </c>
      <c r="T305" s="44" t="str">
        <f>G!BC259</f>
        <v/>
      </c>
      <c r="U305" s="44" t="str">
        <f>G!BB259</f>
        <v>--</v>
      </c>
      <c r="V305" s="44"/>
      <c r="W305" s="35" t="str">
        <f>G!BE259</f>
        <v/>
      </c>
      <c r="X305" s="44" t="str">
        <f>G!BD259</f>
        <v>--</v>
      </c>
      <c r="Y305" s="35" t="str">
        <f>G!BF259</f>
        <v/>
      </c>
      <c r="Z305" s="35" t="str">
        <f>G!BG259</f>
        <v/>
      </c>
      <c r="AA305" s="44"/>
      <c r="AE305" s="72">
        <f t="shared" si="17"/>
        <v>1</v>
      </c>
    </row>
    <row r="306" spans="1:31" ht="9" hidden="1" customHeight="1" x14ac:dyDescent="0.15">
      <c r="A306" s="195" t="str">
        <f>F!A260</f>
        <v>Isopropylbenzeen / cumeen</v>
      </c>
      <c r="B306" s="195"/>
      <c r="C306" s="195"/>
      <c r="D306" s="44" t="str">
        <f>G!AQ260</f>
        <v/>
      </c>
      <c r="E306" s="44" t="str">
        <f>G!AP260</f>
        <v>--</v>
      </c>
      <c r="G306" s="35" t="str">
        <f>G!AS260</f>
        <v/>
      </c>
      <c r="H306" s="44" t="str">
        <f>G!AR260</f>
        <v>--</v>
      </c>
      <c r="I306" s="35" t="str">
        <f>G!AT260</f>
        <v/>
      </c>
      <c r="J306" s="35" t="str">
        <f>G!AU260</f>
        <v/>
      </c>
      <c r="L306" s="44" t="str">
        <f>G!AW260</f>
        <v/>
      </c>
      <c r="M306" s="44" t="str">
        <f>G!AV260</f>
        <v>--</v>
      </c>
      <c r="O306" s="35" t="str">
        <f>G!AY260</f>
        <v/>
      </c>
      <c r="P306" s="44" t="str">
        <f>G!AX260</f>
        <v>--</v>
      </c>
      <c r="Q306" s="35" t="str">
        <f>G!AZ260</f>
        <v/>
      </c>
      <c r="R306" s="35" t="str">
        <f>G!BA260</f>
        <v/>
      </c>
      <c r="T306" s="44" t="str">
        <f>G!BC260</f>
        <v/>
      </c>
      <c r="U306" s="44" t="str">
        <f>G!BB260</f>
        <v>--</v>
      </c>
      <c r="V306" s="44"/>
      <c r="W306" s="35" t="str">
        <f>G!BE260</f>
        <v/>
      </c>
      <c r="X306" s="44" t="str">
        <f>G!BD260</f>
        <v>--</v>
      </c>
      <c r="Y306" s="35" t="str">
        <f>G!BF260</f>
        <v/>
      </c>
      <c r="Z306" s="35" t="str">
        <f>G!BG260</f>
        <v/>
      </c>
      <c r="AA306" s="44"/>
      <c r="AE306" s="72">
        <f t="shared" si="17"/>
        <v>1</v>
      </c>
    </row>
    <row r="307" spans="1:31" ht="9" hidden="1" customHeight="1" x14ac:dyDescent="0.15">
      <c r="A307" s="195" t="str">
        <f>F!A261</f>
        <v>1,3,5-Trimethylbenzeen</v>
      </c>
      <c r="B307" s="195"/>
      <c r="C307" s="195"/>
      <c r="D307" s="44" t="str">
        <f>G!AQ261</f>
        <v/>
      </c>
      <c r="E307" s="44" t="str">
        <f>G!AP261</f>
        <v>--</v>
      </c>
      <c r="G307" s="35" t="str">
        <f>G!AS261</f>
        <v/>
      </c>
      <c r="H307" s="44" t="str">
        <f>G!AR261</f>
        <v>--</v>
      </c>
      <c r="I307" s="35" t="str">
        <f>G!AT261</f>
        <v/>
      </c>
      <c r="J307" s="35" t="str">
        <f>G!AU261</f>
        <v/>
      </c>
      <c r="L307" s="44" t="str">
        <f>G!AW261</f>
        <v/>
      </c>
      <c r="M307" s="44" t="str">
        <f>G!AV261</f>
        <v>--</v>
      </c>
      <c r="O307" s="35" t="str">
        <f>G!AY261</f>
        <v/>
      </c>
      <c r="P307" s="44" t="str">
        <f>G!AX261</f>
        <v>--</v>
      </c>
      <c r="Q307" s="35" t="str">
        <f>G!AZ261</f>
        <v/>
      </c>
      <c r="R307" s="35" t="str">
        <f>G!BA261</f>
        <v/>
      </c>
      <c r="T307" s="44" t="str">
        <f>G!BC261</f>
        <v/>
      </c>
      <c r="U307" s="44" t="str">
        <f>G!BB261</f>
        <v>--</v>
      </c>
      <c r="V307" s="44"/>
      <c r="W307" s="35" t="str">
        <f>G!BE261</f>
        <v/>
      </c>
      <c r="X307" s="44" t="str">
        <f>G!BD261</f>
        <v>--</v>
      </c>
      <c r="Y307" s="35" t="str">
        <f>G!BF261</f>
        <v/>
      </c>
      <c r="Z307" s="35" t="str">
        <f>G!BG261</f>
        <v/>
      </c>
      <c r="AA307" s="44"/>
      <c r="AE307" s="72">
        <f t="shared" ref="AE307:AE315" si="18">IF(AND(E307="--",M307="--",U307="--"),1,0)</f>
        <v>1</v>
      </c>
    </row>
    <row r="308" spans="1:31" ht="9" hidden="1" customHeight="1" x14ac:dyDescent="0.15">
      <c r="A308" s="195" t="str">
        <f>F!A262</f>
        <v>1,2,4-Trimethylbenzeen</v>
      </c>
      <c r="B308" s="195"/>
      <c r="C308" s="195"/>
      <c r="D308" s="44" t="str">
        <f>G!AQ262</f>
        <v/>
      </c>
      <c r="E308" s="44" t="str">
        <f>G!AP262</f>
        <v>--</v>
      </c>
      <c r="G308" s="35" t="str">
        <f>G!AS262</f>
        <v/>
      </c>
      <c r="H308" s="44" t="str">
        <f>G!AR262</f>
        <v>--</v>
      </c>
      <c r="I308" s="35" t="str">
        <f>G!AT262</f>
        <v/>
      </c>
      <c r="J308" s="35" t="str">
        <f>G!AU262</f>
        <v/>
      </c>
      <c r="L308" s="44" t="str">
        <f>G!AW262</f>
        <v/>
      </c>
      <c r="M308" s="44" t="str">
        <f>G!AV262</f>
        <v>--</v>
      </c>
      <c r="O308" s="35" t="str">
        <f>G!AY262</f>
        <v/>
      </c>
      <c r="P308" s="44" t="str">
        <f>G!AX262</f>
        <v>--</v>
      </c>
      <c r="Q308" s="35" t="str">
        <f>G!AZ262</f>
        <v/>
      </c>
      <c r="R308" s="35" t="str">
        <f>G!BA262</f>
        <v/>
      </c>
      <c r="T308" s="44" t="str">
        <f>G!BC262</f>
        <v/>
      </c>
      <c r="U308" s="44" t="str">
        <f>G!BB262</f>
        <v>--</v>
      </c>
      <c r="V308" s="44"/>
      <c r="W308" s="35" t="str">
        <f>G!BE262</f>
        <v/>
      </c>
      <c r="X308" s="44" t="str">
        <f>G!BD262</f>
        <v>--</v>
      </c>
      <c r="Y308" s="35" t="str">
        <f>G!BF262</f>
        <v/>
      </c>
      <c r="Z308" s="35" t="str">
        <f>G!BG262</f>
        <v/>
      </c>
      <c r="AA308" s="44"/>
      <c r="AE308" s="72">
        <f t="shared" si="18"/>
        <v>1</v>
      </c>
    </row>
    <row r="309" spans="1:31" ht="9" hidden="1" customHeight="1" x14ac:dyDescent="0.15">
      <c r="A309" s="195" t="str">
        <f>F!A263</f>
        <v>Tert-butylbenzeen</v>
      </c>
      <c r="B309" s="195"/>
      <c r="C309" s="195"/>
      <c r="D309" s="44" t="str">
        <f>G!AQ263</f>
        <v/>
      </c>
      <c r="E309" s="44" t="str">
        <f>G!AP263</f>
        <v>--</v>
      </c>
      <c r="G309" s="35" t="str">
        <f>G!AS263</f>
        <v/>
      </c>
      <c r="H309" s="44" t="str">
        <f>G!AR263</f>
        <v>--</v>
      </c>
      <c r="I309" s="35" t="str">
        <f>G!AT263</f>
        <v/>
      </c>
      <c r="J309" s="35" t="str">
        <f>G!AU263</f>
        <v/>
      </c>
      <c r="L309" s="44" t="str">
        <f>G!AW263</f>
        <v/>
      </c>
      <c r="M309" s="44" t="str">
        <f>G!AV263</f>
        <v>--</v>
      </c>
      <c r="O309" s="35" t="str">
        <f>G!AY263</f>
        <v/>
      </c>
      <c r="P309" s="44" t="str">
        <f>G!AX263</f>
        <v>--</v>
      </c>
      <c r="Q309" s="35" t="str">
        <f>G!AZ263</f>
        <v/>
      </c>
      <c r="R309" s="35" t="str">
        <f>G!BA263</f>
        <v/>
      </c>
      <c r="T309" s="44" t="str">
        <f>G!BC263</f>
        <v/>
      </c>
      <c r="U309" s="44" t="str">
        <f>G!BB263</f>
        <v>--</v>
      </c>
      <c r="V309" s="44"/>
      <c r="W309" s="35" t="str">
        <f>G!BE263</f>
        <v/>
      </c>
      <c r="X309" s="44" t="str">
        <f>G!BD263</f>
        <v>--</v>
      </c>
      <c r="Y309" s="35" t="str">
        <f>G!BF263</f>
        <v/>
      </c>
      <c r="Z309" s="35" t="str">
        <f>G!BG263</f>
        <v/>
      </c>
      <c r="AA309" s="44"/>
      <c r="AE309" s="72">
        <f t="shared" si="18"/>
        <v>1</v>
      </c>
    </row>
    <row r="310" spans="1:31" ht="9" hidden="1" customHeight="1" x14ac:dyDescent="0.15">
      <c r="A310" s="195" t="str">
        <f>F!A264</f>
        <v>Sec-butylbenzeen</v>
      </c>
      <c r="B310" s="195"/>
      <c r="C310" s="195"/>
      <c r="D310" s="44" t="str">
        <f>G!AQ264</f>
        <v/>
      </c>
      <c r="E310" s="44" t="str">
        <f>G!AP264</f>
        <v>--</v>
      </c>
      <c r="G310" s="35" t="str">
        <f>G!AS264</f>
        <v/>
      </c>
      <c r="H310" s="44" t="str">
        <f>G!AR264</f>
        <v>--</v>
      </c>
      <c r="I310" s="35" t="str">
        <f>G!AT264</f>
        <v/>
      </c>
      <c r="J310" s="35" t="str">
        <f>G!AU264</f>
        <v/>
      </c>
      <c r="L310" s="44" t="str">
        <f>G!AW264</f>
        <v/>
      </c>
      <c r="M310" s="44" t="str">
        <f>G!AV264</f>
        <v>--</v>
      </c>
      <c r="O310" s="35" t="str">
        <f>G!AY264</f>
        <v/>
      </c>
      <c r="P310" s="44" t="str">
        <f>G!AX264</f>
        <v>--</v>
      </c>
      <c r="Q310" s="35" t="str">
        <f>G!AZ264</f>
        <v/>
      </c>
      <c r="R310" s="35" t="str">
        <f>G!BA264</f>
        <v/>
      </c>
      <c r="T310" s="44" t="str">
        <f>G!BC264</f>
        <v/>
      </c>
      <c r="U310" s="44" t="str">
        <f>G!BB264</f>
        <v>--</v>
      </c>
      <c r="V310" s="44"/>
      <c r="W310" s="35" t="str">
        <f>G!BE264</f>
        <v/>
      </c>
      <c r="X310" s="44" t="str">
        <f>G!BD264</f>
        <v>--</v>
      </c>
      <c r="Y310" s="35" t="str">
        <f>G!BF264</f>
        <v/>
      </c>
      <c r="Z310" s="35" t="str">
        <f>G!BG264</f>
        <v/>
      </c>
      <c r="AA310" s="44"/>
      <c r="AE310" s="72">
        <f t="shared" si="18"/>
        <v>1</v>
      </c>
    </row>
    <row r="311" spans="1:31" ht="9" hidden="1" customHeight="1" x14ac:dyDescent="0.15">
      <c r="A311" s="195" t="str">
        <f>F!A265</f>
        <v>n-Butylbenzeen</v>
      </c>
      <c r="B311" s="195"/>
      <c r="C311" s="195"/>
      <c r="D311" s="44" t="str">
        <f>G!AQ265</f>
        <v/>
      </c>
      <c r="E311" s="44" t="str">
        <f>G!AP265</f>
        <v>--</v>
      </c>
      <c r="G311" s="35" t="str">
        <f>G!AS265</f>
        <v/>
      </c>
      <c r="H311" s="44" t="str">
        <f>G!AR265</f>
        <v>--</v>
      </c>
      <c r="I311" s="35" t="str">
        <f>G!AT265</f>
        <v/>
      </c>
      <c r="J311" s="35" t="str">
        <f>G!AU265</f>
        <v/>
      </c>
      <c r="L311" s="44" t="str">
        <f>G!AW265</f>
        <v/>
      </c>
      <c r="M311" s="44" t="str">
        <f>G!AV265</f>
        <v>--</v>
      </c>
      <c r="O311" s="35" t="str">
        <f>G!AY265</f>
        <v/>
      </c>
      <c r="P311" s="44" t="str">
        <f>G!AX265</f>
        <v>--</v>
      </c>
      <c r="Q311" s="35" t="str">
        <f>G!AZ265</f>
        <v/>
      </c>
      <c r="R311" s="35" t="str">
        <f>G!BA265</f>
        <v/>
      </c>
      <c r="T311" s="44" t="str">
        <f>G!BC265</f>
        <v/>
      </c>
      <c r="U311" s="44" t="str">
        <f>G!BB265</f>
        <v>--</v>
      </c>
      <c r="V311" s="44"/>
      <c r="W311" s="35" t="str">
        <f>G!BE265</f>
        <v/>
      </c>
      <c r="X311" s="44" t="str">
        <f>G!BD265</f>
        <v>--</v>
      </c>
      <c r="Y311" s="35" t="str">
        <f>G!BF265</f>
        <v/>
      </c>
      <c r="Z311" s="35" t="str">
        <f>G!BG265</f>
        <v/>
      </c>
      <c r="AA311" s="44"/>
      <c r="AE311" s="72">
        <f t="shared" si="18"/>
        <v>1</v>
      </c>
    </row>
    <row r="312" spans="1:31" ht="9" hidden="1" customHeight="1" x14ac:dyDescent="0.15">
      <c r="A312" s="195" t="str">
        <f>F!A266</f>
        <v>4-Isopropyltolueen</v>
      </c>
      <c r="B312" s="195"/>
      <c r="C312" s="195"/>
      <c r="D312" s="44" t="str">
        <f>G!AQ266</f>
        <v/>
      </c>
      <c r="E312" s="44" t="str">
        <f>G!AP266</f>
        <v>--</v>
      </c>
      <c r="G312" s="35" t="str">
        <f>G!AS266</f>
        <v/>
      </c>
      <c r="H312" s="44" t="str">
        <f>G!AR266</f>
        <v>--</v>
      </c>
      <c r="I312" s="35" t="str">
        <f>G!AT266</f>
        <v/>
      </c>
      <c r="J312" s="35" t="str">
        <f>G!AU266</f>
        <v/>
      </c>
      <c r="L312" s="44" t="str">
        <f>G!AW266</f>
        <v/>
      </c>
      <c r="M312" s="44" t="str">
        <f>G!AV266</f>
        <v>--</v>
      </c>
      <c r="O312" s="35" t="str">
        <f>G!AY266</f>
        <v/>
      </c>
      <c r="P312" s="44" t="str">
        <f>G!AX266</f>
        <v>--</v>
      </c>
      <c r="Q312" s="35" t="str">
        <f>G!AZ266</f>
        <v/>
      </c>
      <c r="R312" s="35" t="str">
        <f>G!BA266</f>
        <v/>
      </c>
      <c r="T312" s="44" t="str">
        <f>G!BC266</f>
        <v/>
      </c>
      <c r="U312" s="44" t="str">
        <f>G!BB266</f>
        <v>--</v>
      </c>
      <c r="V312" s="44"/>
      <c r="W312" s="35" t="str">
        <f>G!BE266</f>
        <v/>
      </c>
      <c r="X312" s="44" t="str">
        <f>G!BD266</f>
        <v>--</v>
      </c>
      <c r="Y312" s="35" t="str">
        <f>G!BF266</f>
        <v/>
      </c>
      <c r="Z312" s="35" t="str">
        <f>G!BG266</f>
        <v/>
      </c>
      <c r="AA312" s="44"/>
      <c r="AE312" s="72">
        <f t="shared" si="18"/>
        <v>1</v>
      </c>
    </row>
    <row r="313" spans="1:31" ht="3.95" hidden="1" customHeight="1" x14ac:dyDescent="0.15">
      <c r="A313" s="41"/>
      <c r="B313" s="41"/>
      <c r="C313" s="41"/>
      <c r="D313" s="44"/>
      <c r="E313" s="44"/>
      <c r="H313" s="44"/>
      <c r="L313" s="44"/>
      <c r="M313" s="44"/>
      <c r="P313" s="44"/>
      <c r="T313" s="44"/>
      <c r="U313" s="44"/>
      <c r="V313" s="44"/>
      <c r="X313" s="44"/>
      <c r="Z313" s="44"/>
      <c r="AA313" s="44"/>
      <c r="AE313" s="94">
        <f>AE314</f>
        <v>1</v>
      </c>
    </row>
    <row r="314" spans="1:31" ht="9" hidden="1" customHeight="1" x14ac:dyDescent="0.15">
      <c r="A314" s="198" t="str">
        <f>IF(COUNTIF(F!D267:D269,131)&gt;0,"Overige aromatische stoffen (µg/kgds)","Overige aromatische stoffen (mg/kgds)")</f>
        <v>Overige aromatische stoffen (mg/kgds)</v>
      </c>
      <c r="B314" s="198"/>
      <c r="C314" s="198"/>
      <c r="D314" s="198"/>
      <c r="E314" s="198"/>
      <c r="F314" s="198"/>
      <c r="G314" s="198"/>
      <c r="H314" s="198"/>
      <c r="I314" s="198"/>
      <c r="J314" s="198"/>
      <c r="K314" s="198"/>
      <c r="L314" s="198"/>
      <c r="M314" s="198"/>
      <c r="N314" s="198"/>
      <c r="O314" s="198"/>
      <c r="P314" s="198"/>
      <c r="Q314" s="198"/>
      <c r="R314" s="198"/>
      <c r="S314" s="198"/>
      <c r="T314" s="198"/>
      <c r="U314" s="198"/>
      <c r="V314" s="198"/>
      <c r="W314" s="198"/>
      <c r="X314" s="198"/>
      <c r="Y314" s="198"/>
      <c r="Z314" s="198"/>
      <c r="AA314" s="198"/>
      <c r="AE314" s="94">
        <f>IF(COUNTIF(AE315:AE317,1)=COUNT(AE315:AE317),1,0)</f>
        <v>1</v>
      </c>
    </row>
    <row r="315" spans="1:31" ht="9" hidden="1" customHeight="1" x14ac:dyDescent="0.15">
      <c r="A315" s="195" t="str">
        <f>F!A267</f>
        <v>2-Ethyltolueen</v>
      </c>
      <c r="B315" s="195"/>
      <c r="C315" s="195"/>
      <c r="D315" s="44" t="str">
        <f>G!AQ267</f>
        <v/>
      </c>
      <c r="E315" s="44" t="str">
        <f>G!AP267</f>
        <v>--</v>
      </c>
      <c r="G315" s="35" t="str">
        <f>G!AS267</f>
        <v/>
      </c>
      <c r="H315" s="44" t="str">
        <f>G!AR267</f>
        <v>--</v>
      </c>
      <c r="I315" s="35" t="str">
        <f>G!AT267</f>
        <v/>
      </c>
      <c r="J315" s="35" t="str">
        <f>G!AU267</f>
        <v/>
      </c>
      <c r="L315" s="44" t="str">
        <f>G!AW267</f>
        <v/>
      </c>
      <c r="M315" s="44" t="str">
        <f>G!AV267</f>
        <v>--</v>
      </c>
      <c r="O315" s="35" t="str">
        <f>G!AY267</f>
        <v/>
      </c>
      <c r="P315" s="44" t="str">
        <f>G!AX267</f>
        <v>--</v>
      </c>
      <c r="Q315" s="35" t="str">
        <f>G!AZ267</f>
        <v/>
      </c>
      <c r="R315" s="35" t="str">
        <f>G!BA267</f>
        <v/>
      </c>
      <c r="T315" s="44" t="str">
        <f>G!BC267</f>
        <v/>
      </c>
      <c r="U315" s="44" t="str">
        <f>G!BB267</f>
        <v>--</v>
      </c>
      <c r="V315" s="44"/>
      <c r="W315" s="35" t="str">
        <f>G!BE267</f>
        <v/>
      </c>
      <c r="X315" s="44" t="str">
        <f>G!BD267</f>
        <v>--</v>
      </c>
      <c r="Y315" s="35" t="str">
        <f>G!BF267</f>
        <v/>
      </c>
      <c r="Z315" s="35" t="str">
        <f>G!BG267</f>
        <v/>
      </c>
      <c r="AA315" s="44"/>
      <c r="AE315" s="72">
        <f t="shared" si="18"/>
        <v>1</v>
      </c>
    </row>
    <row r="316" spans="1:31" ht="9" hidden="1" customHeight="1" x14ac:dyDescent="0.15">
      <c r="A316" s="195" t="str">
        <f>F!A268</f>
        <v>3-Ethyltolueen</v>
      </c>
      <c r="B316" s="195"/>
      <c r="C316" s="195"/>
      <c r="D316" s="44" t="str">
        <f>G!AQ268</f>
        <v/>
      </c>
      <c r="E316" s="44" t="str">
        <f>G!AP268</f>
        <v>--</v>
      </c>
      <c r="G316" s="35" t="str">
        <f>G!AS268</f>
        <v/>
      </c>
      <c r="H316" s="44" t="str">
        <f>G!AR268</f>
        <v>--</v>
      </c>
      <c r="I316" s="35" t="str">
        <f>G!AT268</f>
        <v/>
      </c>
      <c r="J316" s="35" t="str">
        <f>G!AU268</f>
        <v/>
      </c>
      <c r="L316" s="44" t="str">
        <f>G!AW268</f>
        <v/>
      </c>
      <c r="M316" s="44" t="str">
        <f>G!AV268</f>
        <v>--</v>
      </c>
      <c r="O316" s="35" t="str">
        <f>G!AY268</f>
        <v/>
      </c>
      <c r="P316" s="44" t="str">
        <f>G!AX268</f>
        <v>--</v>
      </c>
      <c r="Q316" s="35" t="str">
        <f>G!AZ268</f>
        <v/>
      </c>
      <c r="R316" s="35" t="str">
        <f>G!BA268</f>
        <v/>
      </c>
      <c r="T316" s="44" t="str">
        <f>G!BC268</f>
        <v/>
      </c>
      <c r="U316" s="44" t="str">
        <f>G!BB268</f>
        <v>--</v>
      </c>
      <c r="V316" s="44"/>
      <c r="W316" s="35" t="str">
        <f>G!BE268</f>
        <v/>
      </c>
      <c r="X316" s="44" t="str">
        <f>G!BD268</f>
        <v>--</v>
      </c>
      <c r="Y316" s="35" t="str">
        <f>G!BF268</f>
        <v/>
      </c>
      <c r="Z316" s="35" t="str">
        <f>G!BG268</f>
        <v/>
      </c>
      <c r="AA316" s="44"/>
      <c r="AE316" s="72">
        <f t="shared" ref="AE316" si="19">IF(AND(E316="--",M316="--",U316="--"),1,0)</f>
        <v>1</v>
      </c>
    </row>
    <row r="317" spans="1:31" ht="9" hidden="1" customHeight="1" x14ac:dyDescent="0.15">
      <c r="A317" s="195" t="str">
        <f>F!A269</f>
        <v>4-Ethyltolueen</v>
      </c>
      <c r="B317" s="195"/>
      <c r="C317" s="195"/>
      <c r="D317" s="44" t="str">
        <f>G!AQ269</f>
        <v/>
      </c>
      <c r="E317" s="44" t="str">
        <f>G!AP269</f>
        <v>--</v>
      </c>
      <c r="G317" s="35" t="str">
        <f>G!AS269</f>
        <v/>
      </c>
      <c r="H317" s="44" t="str">
        <f>G!AR269</f>
        <v>--</v>
      </c>
      <c r="I317" s="35" t="str">
        <f>G!AT269</f>
        <v/>
      </c>
      <c r="J317" s="35" t="str">
        <f>G!AU269</f>
        <v/>
      </c>
      <c r="L317" s="44" t="str">
        <f>G!AW269</f>
        <v/>
      </c>
      <c r="M317" s="44" t="str">
        <f>G!AV269</f>
        <v>--</v>
      </c>
      <c r="O317" s="35" t="str">
        <f>G!AY269</f>
        <v/>
      </c>
      <c r="P317" s="44" t="str">
        <f>G!AX269</f>
        <v>--</v>
      </c>
      <c r="Q317" s="35" t="str">
        <f>G!AZ269</f>
        <v/>
      </c>
      <c r="R317" s="35" t="str">
        <f>G!BA269</f>
        <v/>
      </c>
      <c r="T317" s="44" t="str">
        <f>G!BC269</f>
        <v/>
      </c>
      <c r="U317" s="44" t="str">
        <f>G!BB269</f>
        <v>--</v>
      </c>
      <c r="V317" s="44"/>
      <c r="W317" s="35" t="str">
        <f>G!BE269</f>
        <v/>
      </c>
      <c r="X317" s="44" t="str">
        <f>G!BD269</f>
        <v>--</v>
      </c>
      <c r="Y317" s="35" t="str">
        <f>G!BF269</f>
        <v/>
      </c>
      <c r="Z317" s="35" t="str">
        <f>G!BG269</f>
        <v/>
      </c>
      <c r="AA317" s="44"/>
      <c r="AE317" s="72">
        <f t="shared" ref="AE317" si="20">IF(AND(E317="--",M317="--",U317="--"),1,0)</f>
        <v>1</v>
      </c>
    </row>
    <row r="318" spans="1:31" ht="3.95" hidden="1" customHeight="1" x14ac:dyDescent="0.15">
      <c r="A318" s="41"/>
      <c r="B318" s="41"/>
      <c r="C318" s="41"/>
      <c r="D318" s="44"/>
      <c r="E318" s="44"/>
      <c r="H318" s="44"/>
      <c r="L318" s="44"/>
      <c r="M318" s="44"/>
      <c r="P318" s="44"/>
      <c r="T318" s="44"/>
      <c r="U318" s="44"/>
      <c r="V318" s="44"/>
      <c r="X318" s="44"/>
      <c r="Z318" s="44"/>
      <c r="AA318" s="44"/>
      <c r="AE318" s="94">
        <f>AE319</f>
        <v>1</v>
      </c>
    </row>
    <row r="319" spans="1:31" ht="9" hidden="1" customHeight="1" x14ac:dyDescent="0.15">
      <c r="A319" s="198" t="str">
        <f>IF(COUNTIF(F!D270:D274,131)&gt;0,"Fenolen (µg/kgds)","Fenolen (mg/kgds)")</f>
        <v>Fenolen (mg/kgds)</v>
      </c>
      <c r="B319" s="198"/>
      <c r="C319" s="198"/>
      <c r="D319" s="198"/>
      <c r="E319" s="198"/>
      <c r="F319" s="198"/>
      <c r="G319" s="198"/>
      <c r="H319" s="198"/>
      <c r="I319" s="198"/>
      <c r="J319" s="198"/>
      <c r="K319" s="198"/>
      <c r="L319" s="198"/>
      <c r="M319" s="198"/>
      <c r="N319" s="198"/>
      <c r="O319" s="198"/>
      <c r="P319" s="198"/>
      <c r="Q319" s="198"/>
      <c r="R319" s="198"/>
      <c r="S319" s="198"/>
      <c r="T319" s="198"/>
      <c r="U319" s="198"/>
      <c r="V319" s="198"/>
      <c r="W319" s="198"/>
      <c r="X319" s="198"/>
      <c r="Y319" s="198"/>
      <c r="Z319" s="198"/>
      <c r="AA319" s="198"/>
      <c r="AE319" s="94">
        <f>IF(COUNTIF(AE320:AE324,1)=COUNT(AE320:AE324),1,0)</f>
        <v>1</v>
      </c>
    </row>
    <row r="320" spans="1:31" ht="9" hidden="1" customHeight="1" x14ac:dyDescent="0.15">
      <c r="A320" s="195" t="str">
        <f>F!A270</f>
        <v>2,4+2,5-Dimethylfenol</v>
      </c>
      <c r="B320" s="195"/>
      <c r="C320" s="195"/>
      <c r="D320" s="44" t="str">
        <f>G!AQ270</f>
        <v/>
      </c>
      <c r="E320" s="44" t="str">
        <f>G!AP270</f>
        <v>--</v>
      </c>
      <c r="G320" s="35" t="str">
        <f>G!AS270</f>
        <v/>
      </c>
      <c r="H320" s="44" t="str">
        <f>G!AR270</f>
        <v>--</v>
      </c>
      <c r="I320" s="35" t="str">
        <f>G!AT270</f>
        <v/>
      </c>
      <c r="J320" s="35" t="str">
        <f>G!AU270</f>
        <v/>
      </c>
      <c r="L320" s="44" t="str">
        <f>G!AW270</f>
        <v/>
      </c>
      <c r="M320" s="44" t="str">
        <f>G!AV270</f>
        <v>--</v>
      </c>
      <c r="O320" s="35" t="str">
        <f>G!AY270</f>
        <v/>
      </c>
      <c r="P320" s="44" t="str">
        <f>G!AX270</f>
        <v>--</v>
      </c>
      <c r="Q320" s="35" t="str">
        <f>G!AZ270</f>
        <v/>
      </c>
      <c r="R320" s="35" t="str">
        <f>G!BA270</f>
        <v/>
      </c>
      <c r="T320" s="44" t="str">
        <f>G!BC270</f>
        <v/>
      </c>
      <c r="U320" s="44" t="str">
        <f>G!BB270</f>
        <v>--</v>
      </c>
      <c r="V320" s="44"/>
      <c r="W320" s="35" t="str">
        <f>G!BE270</f>
        <v/>
      </c>
      <c r="X320" s="44" t="str">
        <f>G!BD270</f>
        <v>--</v>
      </c>
      <c r="Y320" s="35" t="str">
        <f>G!BF270</f>
        <v/>
      </c>
      <c r="Z320" s="35" t="str">
        <f>G!BG270</f>
        <v/>
      </c>
      <c r="AA320" s="44"/>
      <c r="AE320" s="72">
        <f t="shared" ref="AE320" si="21">IF(AND(E320="--",M320="--",U320="--"),1,0)</f>
        <v>1</v>
      </c>
    </row>
    <row r="321" spans="1:31" ht="9" hidden="1" customHeight="1" x14ac:dyDescent="0.15">
      <c r="A321" s="195" t="str">
        <f>F!A271</f>
        <v>o-Cresol</v>
      </c>
      <c r="B321" s="195"/>
      <c r="C321" s="195"/>
      <c r="D321" s="44" t="str">
        <f>G!AQ271</f>
        <v/>
      </c>
      <c r="E321" s="44" t="str">
        <f>G!AP271</f>
        <v>--</v>
      </c>
      <c r="G321" s="35" t="str">
        <f>G!AS271</f>
        <v/>
      </c>
      <c r="H321" s="44" t="str">
        <f>G!AR271</f>
        <v>--</v>
      </c>
      <c r="I321" s="35" t="str">
        <f>G!AT271</f>
        <v/>
      </c>
      <c r="J321" s="35" t="str">
        <f>G!AU271</f>
        <v/>
      </c>
      <c r="L321" s="44" t="str">
        <f>G!AW271</f>
        <v/>
      </c>
      <c r="M321" s="44" t="str">
        <f>G!AV271</f>
        <v>--</v>
      </c>
      <c r="O321" s="35" t="str">
        <f>G!AY271</f>
        <v/>
      </c>
      <c r="P321" s="44" t="str">
        <f>G!AX271</f>
        <v>--</v>
      </c>
      <c r="Q321" s="35" t="str">
        <f>G!AZ271</f>
        <v/>
      </c>
      <c r="R321" s="35" t="str">
        <f>G!BA271</f>
        <v/>
      </c>
      <c r="T321" s="44" t="str">
        <f>G!BC271</f>
        <v/>
      </c>
      <c r="U321" s="44" t="str">
        <f>G!BB271</f>
        <v>--</v>
      </c>
      <c r="V321" s="44"/>
      <c r="W321" s="35" t="str">
        <f>G!BE271</f>
        <v/>
      </c>
      <c r="X321" s="44" t="str">
        <f>G!BD271</f>
        <v>--</v>
      </c>
      <c r="Y321" s="35" t="str">
        <f>G!BF271</f>
        <v/>
      </c>
      <c r="Z321" s="35" t="str">
        <f>G!BG271</f>
        <v/>
      </c>
      <c r="AA321" s="44"/>
      <c r="AE321" s="72">
        <f t="shared" ref="AE321" si="22">IF(AND(E321="--",M321="--",U321="--"),1,0)</f>
        <v>1</v>
      </c>
    </row>
    <row r="322" spans="1:31" ht="9" hidden="1" customHeight="1" x14ac:dyDescent="0.15">
      <c r="A322" s="195" t="str">
        <f>F!A272</f>
        <v>m- en p-Cresol</v>
      </c>
      <c r="B322" s="195"/>
      <c r="C322" s="195"/>
      <c r="D322" s="44" t="str">
        <f>G!AQ272</f>
        <v/>
      </c>
      <c r="E322" s="44" t="str">
        <f>G!AP272</f>
        <v>--</v>
      </c>
      <c r="G322" s="35" t="str">
        <f>G!AS272</f>
        <v/>
      </c>
      <c r="H322" s="44" t="str">
        <f>G!AR272</f>
        <v>--</v>
      </c>
      <c r="I322" s="35" t="str">
        <f>G!AT272</f>
        <v/>
      </c>
      <c r="J322" s="35" t="str">
        <f>G!AU272</f>
        <v/>
      </c>
      <c r="L322" s="44" t="str">
        <f>G!AW272</f>
        <v/>
      </c>
      <c r="M322" s="44" t="str">
        <f>G!AV272</f>
        <v>--</v>
      </c>
      <c r="O322" s="35" t="str">
        <f>G!AY272</f>
        <v/>
      </c>
      <c r="P322" s="44" t="str">
        <f>G!AX272</f>
        <v>--</v>
      </c>
      <c r="Q322" s="35" t="str">
        <f>G!AZ272</f>
        <v/>
      </c>
      <c r="R322" s="35" t="str">
        <f>G!BA272</f>
        <v/>
      </c>
      <c r="T322" s="44" t="str">
        <f>G!BC272</f>
        <v/>
      </c>
      <c r="U322" s="44" t="str">
        <f>G!BB272</f>
        <v>--</v>
      </c>
      <c r="V322" s="44"/>
      <c r="W322" s="35" t="str">
        <f>G!BE272</f>
        <v/>
      </c>
      <c r="X322" s="44" t="str">
        <f>G!BD272</f>
        <v>--</v>
      </c>
      <c r="Y322" s="35" t="str">
        <f>G!BF272</f>
        <v/>
      </c>
      <c r="Z322" s="35" t="str">
        <f>G!BG272</f>
        <v/>
      </c>
      <c r="AA322" s="44"/>
      <c r="AE322" s="72">
        <f t="shared" si="15"/>
        <v>1</v>
      </c>
    </row>
    <row r="323" spans="1:31" ht="9" hidden="1" customHeight="1" x14ac:dyDescent="0.15">
      <c r="A323" s="195" t="str">
        <f>F!A273</f>
        <v>Som cresolen</v>
      </c>
      <c r="B323" s="195"/>
      <c r="C323" s="195"/>
      <c r="D323" s="44" t="str">
        <f>G!AQ273</f>
        <v/>
      </c>
      <c r="E323" s="44" t="str">
        <f>G!AP273</f>
        <v>--</v>
      </c>
      <c r="G323" s="35" t="str">
        <f>G!AS273</f>
        <v/>
      </c>
      <c r="H323" s="44" t="str">
        <f>G!AR273</f>
        <v>--</v>
      </c>
      <c r="I323" s="35" t="str">
        <f>G!AT273</f>
        <v/>
      </c>
      <c r="J323" s="35" t="str">
        <f>G!AU273</f>
        <v/>
      </c>
      <c r="L323" s="44" t="str">
        <f>G!AW273</f>
        <v/>
      </c>
      <c r="M323" s="44" t="str">
        <f>G!AV273</f>
        <v>--</v>
      </c>
      <c r="O323" s="35" t="str">
        <f>G!AY273</f>
        <v/>
      </c>
      <c r="P323" s="44" t="str">
        <f>G!AX273</f>
        <v>--</v>
      </c>
      <c r="Q323" s="35" t="str">
        <f>G!AZ273</f>
        <v/>
      </c>
      <c r="R323" s="35" t="str">
        <f>G!BA273</f>
        <v/>
      </c>
      <c r="T323" s="44" t="str">
        <f>G!BC273</f>
        <v/>
      </c>
      <c r="U323" s="44" t="str">
        <f>G!BB273</f>
        <v>--</v>
      </c>
      <c r="V323" s="44"/>
      <c r="W323" s="35" t="str">
        <f>G!BE273</f>
        <v/>
      </c>
      <c r="X323" s="44" t="str">
        <f>G!BD273</f>
        <v>--</v>
      </c>
      <c r="Y323" s="35" t="str">
        <f>G!BF273</f>
        <v/>
      </c>
      <c r="Z323" s="35" t="str">
        <f>G!BG273</f>
        <v/>
      </c>
      <c r="AA323" s="44"/>
      <c r="AE323" s="72">
        <f t="shared" ref="AE323:AE386" si="23">IF(AND(E323="--",M323="--",U323="--"),1,0)</f>
        <v>1</v>
      </c>
    </row>
    <row r="324" spans="1:31" ht="9" hidden="1" customHeight="1" x14ac:dyDescent="0.15">
      <c r="A324" s="195" t="str">
        <f>F!A274</f>
        <v>Fenol</v>
      </c>
      <c r="B324" s="195"/>
      <c r="C324" s="195"/>
      <c r="D324" s="44" t="str">
        <f>G!AQ274</f>
        <v/>
      </c>
      <c r="E324" s="44" t="str">
        <f>G!AP274</f>
        <v>--</v>
      </c>
      <c r="G324" s="35" t="str">
        <f>G!AS274</f>
        <v/>
      </c>
      <c r="H324" s="44" t="str">
        <f>G!AR274</f>
        <v>--</v>
      </c>
      <c r="I324" s="35" t="str">
        <f>G!AT274</f>
        <v/>
      </c>
      <c r="J324" s="35" t="str">
        <f>G!AU274</f>
        <v/>
      </c>
      <c r="L324" s="44" t="str">
        <f>G!AW274</f>
        <v/>
      </c>
      <c r="M324" s="44" t="str">
        <f>G!AV274</f>
        <v>--</v>
      </c>
      <c r="O324" s="35" t="str">
        <f>G!AY274</f>
        <v/>
      </c>
      <c r="P324" s="44" t="str">
        <f>G!AX274</f>
        <v>--</v>
      </c>
      <c r="Q324" s="35" t="str">
        <f>G!AZ274</f>
        <v/>
      </c>
      <c r="R324" s="35" t="str">
        <f>G!BA274</f>
        <v/>
      </c>
      <c r="T324" s="44" t="str">
        <f>G!BC274</f>
        <v/>
      </c>
      <c r="U324" s="44" t="str">
        <f>G!BB274</f>
        <v>--</v>
      </c>
      <c r="V324" s="44"/>
      <c r="W324" s="35" t="str">
        <f>G!BE274</f>
        <v/>
      </c>
      <c r="X324" s="44" t="str">
        <f>G!BD274</f>
        <v>--</v>
      </c>
      <c r="Y324" s="35" t="str">
        <f>G!BF274</f>
        <v/>
      </c>
      <c r="Z324" s="35" t="str">
        <f>G!BG274</f>
        <v/>
      </c>
      <c r="AA324" s="44"/>
      <c r="AE324" s="72">
        <f t="shared" si="23"/>
        <v>1</v>
      </c>
    </row>
    <row r="325" spans="1:31" ht="3.95" hidden="1" customHeight="1" x14ac:dyDescent="0.15">
      <c r="A325" s="41"/>
      <c r="B325" s="41"/>
      <c r="C325" s="41"/>
      <c r="D325" s="44"/>
      <c r="E325" s="44"/>
      <c r="H325" s="44"/>
      <c r="L325" s="44"/>
      <c r="M325" s="44"/>
      <c r="P325" s="44"/>
      <c r="T325" s="44"/>
      <c r="U325" s="44"/>
      <c r="V325" s="44"/>
      <c r="X325" s="44"/>
      <c r="Z325" s="44"/>
      <c r="AA325" s="44"/>
      <c r="AE325" s="94">
        <f>AE326</f>
        <v>1</v>
      </c>
    </row>
    <row r="326" spans="1:31" ht="9" hidden="1" customHeight="1" x14ac:dyDescent="0.15">
      <c r="A326" s="198" t="str">
        <f>IF(COUNTIF(F!D275:D276,131)&gt;0,"Nitrofenolen (µg/kgds)","Nitrofenolen (mg/kgds)")</f>
        <v>Nitrofenolen (mg/kgds)</v>
      </c>
      <c r="B326" s="198"/>
      <c r="C326" s="198"/>
      <c r="D326" s="198"/>
      <c r="E326" s="198"/>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E326" s="94">
        <f>IF(COUNTIF(AE327:AE328,1)=COUNT(AE327:AE328),1,0)</f>
        <v>1</v>
      </c>
    </row>
    <row r="327" spans="1:31" ht="9" hidden="1" customHeight="1" x14ac:dyDescent="0.15">
      <c r="A327" s="195" t="str">
        <f>F!A275</f>
        <v>2-Nitrofenol</v>
      </c>
      <c r="B327" s="195"/>
      <c r="C327" s="195"/>
      <c r="D327" s="44" t="str">
        <f>G!AQ275</f>
        <v/>
      </c>
      <c r="E327" s="44" t="str">
        <f>G!AP275</f>
        <v>--</v>
      </c>
      <c r="G327" s="35" t="str">
        <f>G!AS275</f>
        <v/>
      </c>
      <c r="H327" s="44" t="str">
        <f>G!AR275</f>
        <v>--</v>
      </c>
      <c r="I327" s="35" t="str">
        <f>G!AT275</f>
        <v/>
      </c>
      <c r="J327" s="35" t="str">
        <f>G!AU275</f>
        <v/>
      </c>
      <c r="L327" s="44" t="str">
        <f>G!AW275</f>
        <v/>
      </c>
      <c r="M327" s="44" t="str">
        <f>G!AV275</f>
        <v>--</v>
      </c>
      <c r="O327" s="35" t="str">
        <f>G!AY275</f>
        <v/>
      </c>
      <c r="P327" s="44" t="str">
        <f>G!AX275</f>
        <v>--</v>
      </c>
      <c r="Q327" s="35" t="str">
        <f>G!AZ275</f>
        <v/>
      </c>
      <c r="R327" s="35" t="str">
        <f>G!BA275</f>
        <v/>
      </c>
      <c r="T327" s="44" t="str">
        <f>G!BC275</f>
        <v/>
      </c>
      <c r="U327" s="44" t="str">
        <f>G!BB275</f>
        <v>--</v>
      </c>
      <c r="V327" s="44"/>
      <c r="W327" s="35" t="str">
        <f>G!BE275</f>
        <v/>
      </c>
      <c r="X327" s="44" t="str">
        <f>G!BD275</f>
        <v>--</v>
      </c>
      <c r="Y327" s="35" t="str">
        <f>G!BF275</f>
        <v/>
      </c>
      <c r="Z327" s="35" t="str">
        <f>G!BG275</f>
        <v/>
      </c>
      <c r="AA327" s="44"/>
      <c r="AE327" s="72">
        <f t="shared" si="23"/>
        <v>1</v>
      </c>
    </row>
    <row r="328" spans="1:31" ht="9" hidden="1" customHeight="1" x14ac:dyDescent="0.15">
      <c r="A328" s="195" t="str">
        <f>F!A276</f>
        <v>4-Nitrofenol</v>
      </c>
      <c r="B328" s="195"/>
      <c r="C328" s="195"/>
      <c r="D328" s="44" t="str">
        <f>G!AQ276</f>
        <v/>
      </c>
      <c r="E328" s="44" t="str">
        <f>G!AP276</f>
        <v>--</v>
      </c>
      <c r="G328" s="35" t="str">
        <f>G!AS276</f>
        <v/>
      </c>
      <c r="H328" s="44" t="str">
        <f>G!AR276</f>
        <v>--</v>
      </c>
      <c r="I328" s="35" t="str">
        <f>G!AT276</f>
        <v/>
      </c>
      <c r="J328" s="35" t="str">
        <f>G!AU276</f>
        <v/>
      </c>
      <c r="L328" s="44" t="str">
        <f>G!AW276</f>
        <v/>
      </c>
      <c r="M328" s="44" t="str">
        <f>G!AV276</f>
        <v>--</v>
      </c>
      <c r="O328" s="35" t="str">
        <f>G!AY276</f>
        <v/>
      </c>
      <c r="P328" s="44" t="str">
        <f>G!AX276</f>
        <v>--</v>
      </c>
      <c r="Q328" s="35" t="str">
        <f>G!AZ276</f>
        <v/>
      </c>
      <c r="R328" s="35" t="str">
        <f>G!BA276</f>
        <v/>
      </c>
      <c r="T328" s="44" t="str">
        <f>G!BC276</f>
        <v/>
      </c>
      <c r="U328" s="44" t="str">
        <f>G!BB276</f>
        <v>--</v>
      </c>
      <c r="V328" s="44"/>
      <c r="W328" s="35" t="str">
        <f>G!BE276</f>
        <v/>
      </c>
      <c r="X328" s="44" t="str">
        <f>G!BD276</f>
        <v>--</v>
      </c>
      <c r="Y328" s="35" t="str">
        <f>G!BF276</f>
        <v/>
      </c>
      <c r="Z328" s="35" t="str">
        <f>G!BG276</f>
        <v/>
      </c>
      <c r="AA328" s="44"/>
      <c r="AE328" s="72">
        <f t="shared" si="23"/>
        <v>1</v>
      </c>
    </row>
    <row r="329" spans="1:31" ht="3.95" hidden="1" customHeight="1" x14ac:dyDescent="0.15">
      <c r="A329" s="41"/>
      <c r="B329" s="41"/>
      <c r="C329" s="41"/>
      <c r="D329" s="44"/>
      <c r="E329" s="44"/>
      <c r="H329" s="44"/>
      <c r="L329" s="44"/>
      <c r="M329" s="44"/>
      <c r="P329" s="44"/>
      <c r="T329" s="44"/>
      <c r="U329" s="44"/>
      <c r="V329" s="44"/>
      <c r="X329" s="44"/>
      <c r="Z329" s="44"/>
      <c r="AA329" s="44"/>
      <c r="AE329" s="94">
        <f>AE330</f>
        <v>1</v>
      </c>
    </row>
    <row r="330" spans="1:31" ht="9" hidden="1" customHeight="1" x14ac:dyDescent="0.15">
      <c r="A330" s="198" t="str">
        <f>IF(COUNTIF(F!D277:D306,131)&gt;0,"Diverse organische verbindingen (µg/kgds)","Diverse organische verbindingen (mg/kgds)")</f>
        <v>Diverse organische verbindingen (mg/kgds)</v>
      </c>
      <c r="B330" s="198"/>
      <c r="C330" s="198"/>
      <c r="D330" s="198"/>
      <c r="E330" s="198"/>
      <c r="F330" s="198"/>
      <c r="G330" s="198"/>
      <c r="H330" s="198"/>
      <c r="I330" s="198"/>
      <c r="J330" s="198"/>
      <c r="K330" s="198"/>
      <c r="L330" s="198"/>
      <c r="M330" s="198"/>
      <c r="N330" s="198"/>
      <c r="O330" s="198"/>
      <c r="P330" s="198"/>
      <c r="Q330" s="198"/>
      <c r="R330" s="198"/>
      <c r="S330" s="198"/>
      <c r="T330" s="198"/>
      <c r="U330" s="198"/>
      <c r="V330" s="198"/>
      <c r="W330" s="198"/>
      <c r="X330" s="198"/>
      <c r="Y330" s="198"/>
      <c r="Z330" s="198"/>
      <c r="AA330" s="198"/>
      <c r="AE330" s="94">
        <f>IF(COUNTIF(AE331:AE360,1)=COUNT(AE331:AE360),1,0)</f>
        <v>1</v>
      </c>
    </row>
    <row r="331" spans="1:31" ht="9" hidden="1" customHeight="1" x14ac:dyDescent="0.15">
      <c r="A331" s="195" t="str">
        <f>F!A277</f>
        <v>cis(1)-Permethrin</v>
      </c>
      <c r="B331" s="195"/>
      <c r="C331" s="195"/>
      <c r="D331" s="44" t="str">
        <f>G!AQ277</f>
        <v/>
      </c>
      <c r="E331" s="44" t="str">
        <f>G!AP277</f>
        <v>--</v>
      </c>
      <c r="G331" s="35" t="str">
        <f>G!AS277</f>
        <v/>
      </c>
      <c r="H331" s="44" t="str">
        <f>G!AR277</f>
        <v>--</v>
      </c>
      <c r="I331" s="35" t="str">
        <f>G!AT277</f>
        <v/>
      </c>
      <c r="J331" s="35" t="str">
        <f>G!AU277</f>
        <v/>
      </c>
      <c r="L331" s="44" t="str">
        <f>G!AW277</f>
        <v/>
      </c>
      <c r="M331" s="44" t="str">
        <f>G!AV277</f>
        <v>--</v>
      </c>
      <c r="O331" s="35" t="str">
        <f>G!AY277</f>
        <v/>
      </c>
      <c r="P331" s="44" t="str">
        <f>G!AX277</f>
        <v>--</v>
      </c>
      <c r="Q331" s="35" t="str">
        <f>G!AZ277</f>
        <v/>
      </c>
      <c r="R331" s="35" t="str">
        <f>G!BA277</f>
        <v/>
      </c>
      <c r="T331" s="44" t="str">
        <f>G!BC277</f>
        <v/>
      </c>
      <c r="U331" s="44" t="str">
        <f>G!BB277</f>
        <v>--</v>
      </c>
      <c r="V331" s="44"/>
      <c r="W331" s="35" t="str">
        <f>G!BE277</f>
        <v/>
      </c>
      <c r="X331" s="44" t="str">
        <f>G!BD277</f>
        <v>--</v>
      </c>
      <c r="Y331" s="35" t="str">
        <f>G!BF277</f>
        <v/>
      </c>
      <c r="Z331" s="35" t="str">
        <f>G!BG277</f>
        <v/>
      </c>
      <c r="AA331" s="44"/>
      <c r="AE331" s="72">
        <f t="shared" si="23"/>
        <v>1</v>
      </c>
    </row>
    <row r="332" spans="1:31" ht="9" hidden="1" customHeight="1" x14ac:dyDescent="0.15">
      <c r="A332" s="195" t="str">
        <f>F!A278</f>
        <v>trans(2)-Permethrin</v>
      </c>
      <c r="B332" s="195"/>
      <c r="C332" s="195"/>
      <c r="D332" s="44" t="str">
        <f>G!AQ278</f>
        <v/>
      </c>
      <c r="E332" s="44" t="str">
        <f>G!AP278</f>
        <v>--</v>
      </c>
      <c r="G332" s="35" t="str">
        <f>G!AS278</f>
        <v/>
      </c>
      <c r="H332" s="44" t="str">
        <f>G!AR278</f>
        <v>--</v>
      </c>
      <c r="I332" s="35" t="str">
        <f>G!AT278</f>
        <v/>
      </c>
      <c r="J332" s="35" t="str">
        <f>G!AU278</f>
        <v/>
      </c>
      <c r="L332" s="44" t="str">
        <f>G!AW278</f>
        <v/>
      </c>
      <c r="M332" s="44" t="str">
        <f>G!AV278</f>
        <v>--</v>
      </c>
      <c r="O332" s="35" t="str">
        <f>G!AY278</f>
        <v/>
      </c>
      <c r="P332" s="44" t="str">
        <f>G!AX278</f>
        <v>--</v>
      </c>
      <c r="Q332" s="35" t="str">
        <f>G!AZ278</f>
        <v/>
      </c>
      <c r="R332" s="35" t="str">
        <f>G!BA278</f>
        <v/>
      </c>
      <c r="T332" s="44" t="str">
        <f>G!BC278</f>
        <v/>
      </c>
      <c r="U332" s="44" t="str">
        <f>G!BB278</f>
        <v>--</v>
      </c>
      <c r="V332" s="44"/>
      <c r="W332" s="35" t="str">
        <f>G!BE278</f>
        <v/>
      </c>
      <c r="X332" s="44" t="str">
        <f>G!BD278</f>
        <v>--</v>
      </c>
      <c r="Y332" s="35" t="str">
        <f>G!BF278</f>
        <v/>
      </c>
      <c r="Z332" s="35" t="str">
        <f>G!BG278</f>
        <v/>
      </c>
      <c r="AA332" s="44"/>
      <c r="AE332" s="72">
        <f t="shared" si="23"/>
        <v>1</v>
      </c>
    </row>
    <row r="333" spans="1:31" ht="9" hidden="1" customHeight="1" x14ac:dyDescent="0.15">
      <c r="A333" s="195" t="str">
        <f>F!A279</f>
        <v>2,4-Dinitrotolueen</v>
      </c>
      <c r="B333" s="195"/>
      <c r="C333" s="195"/>
      <c r="D333" s="44" t="str">
        <f>G!AQ279</f>
        <v/>
      </c>
      <c r="E333" s="44" t="str">
        <f>G!AP279</f>
        <v>--</v>
      </c>
      <c r="G333" s="35" t="str">
        <f>G!AS279</f>
        <v/>
      </c>
      <c r="H333" s="44" t="str">
        <f>G!AR279</f>
        <v>--</v>
      </c>
      <c r="I333" s="35" t="str">
        <f>G!AT279</f>
        <v/>
      </c>
      <c r="J333" s="35" t="str">
        <f>G!AU279</f>
        <v/>
      </c>
      <c r="L333" s="44" t="str">
        <f>G!AW279</f>
        <v/>
      </c>
      <c r="M333" s="44" t="str">
        <f>G!AV279</f>
        <v>--</v>
      </c>
      <c r="O333" s="35" t="str">
        <f>G!AY279</f>
        <v/>
      </c>
      <c r="P333" s="44" t="str">
        <f>G!AX279</f>
        <v>--</v>
      </c>
      <c r="Q333" s="35" t="str">
        <f>G!AZ279</f>
        <v/>
      </c>
      <c r="R333" s="35" t="str">
        <f>G!BA279</f>
        <v/>
      </c>
      <c r="T333" s="44" t="str">
        <f>G!BC279</f>
        <v/>
      </c>
      <c r="U333" s="44" t="str">
        <f>G!BB279</f>
        <v>--</v>
      </c>
      <c r="V333" s="44"/>
      <c r="W333" s="35" t="str">
        <f>G!BE279</f>
        <v/>
      </c>
      <c r="X333" s="44" t="str">
        <f>G!BD279</f>
        <v>--</v>
      </c>
      <c r="Y333" s="35" t="str">
        <f>G!BF279</f>
        <v/>
      </c>
      <c r="Z333" s="35" t="str">
        <f>G!BG279</f>
        <v/>
      </c>
      <c r="AA333" s="44"/>
      <c r="AE333" s="72">
        <f t="shared" si="23"/>
        <v>1</v>
      </c>
    </row>
    <row r="334" spans="1:31" ht="9" hidden="1" customHeight="1" x14ac:dyDescent="0.15">
      <c r="A334" s="195" t="str">
        <f>F!A280</f>
        <v>2,6-Dinitrotolueen</v>
      </c>
      <c r="B334" s="195"/>
      <c r="C334" s="195"/>
      <c r="D334" s="44" t="str">
        <f>G!AQ280</f>
        <v/>
      </c>
      <c r="E334" s="44" t="str">
        <f>G!AP280</f>
        <v>--</v>
      </c>
      <c r="G334" s="35" t="str">
        <f>G!AS280</f>
        <v/>
      </c>
      <c r="H334" s="44" t="str">
        <f>G!AR280</f>
        <v>--</v>
      </c>
      <c r="I334" s="35" t="str">
        <f>G!AT280</f>
        <v/>
      </c>
      <c r="J334" s="35" t="str">
        <f>G!AU280</f>
        <v/>
      </c>
      <c r="L334" s="44" t="str">
        <f>G!AW280</f>
        <v/>
      </c>
      <c r="M334" s="44" t="str">
        <f>G!AV280</f>
        <v>--</v>
      </c>
      <c r="O334" s="35" t="str">
        <f>G!AY280</f>
        <v/>
      </c>
      <c r="P334" s="44" t="str">
        <f>G!AX280</f>
        <v>--</v>
      </c>
      <c r="Q334" s="35" t="str">
        <f>G!AZ280</f>
        <v/>
      </c>
      <c r="R334" s="35" t="str">
        <f>G!BA280</f>
        <v/>
      </c>
      <c r="T334" s="44" t="str">
        <f>G!BC280</f>
        <v/>
      </c>
      <c r="U334" s="44" t="str">
        <f>G!BB280</f>
        <v>--</v>
      </c>
      <c r="V334" s="44"/>
      <c r="W334" s="35" t="str">
        <f>G!BE280</f>
        <v/>
      </c>
      <c r="X334" s="44" t="str">
        <f>G!BD280</f>
        <v>--</v>
      </c>
      <c r="Y334" s="35" t="str">
        <f>G!BF280</f>
        <v/>
      </c>
      <c r="Z334" s="35" t="str">
        <f>G!BG280</f>
        <v/>
      </c>
      <c r="AA334" s="44"/>
      <c r="AE334" s="72">
        <f t="shared" si="23"/>
        <v>1</v>
      </c>
    </row>
    <row r="335" spans="1:31" ht="9" hidden="1" customHeight="1" x14ac:dyDescent="0.15">
      <c r="A335" s="195" t="str">
        <f>F!A281</f>
        <v>2-Chloornaftaleen</v>
      </c>
      <c r="B335" s="195"/>
      <c r="C335" s="195"/>
      <c r="D335" s="44" t="str">
        <f>G!AQ281</f>
        <v/>
      </c>
      <c r="E335" s="44" t="str">
        <f>G!AP281</f>
        <v>--</v>
      </c>
      <c r="G335" s="35" t="str">
        <f>G!AS281</f>
        <v/>
      </c>
      <c r="H335" s="44" t="str">
        <f>G!AR281</f>
        <v>--</v>
      </c>
      <c r="I335" s="35" t="str">
        <f>G!AT281</f>
        <v/>
      </c>
      <c r="J335" s="35" t="str">
        <f>G!AU281</f>
        <v/>
      </c>
      <c r="L335" s="44" t="str">
        <f>G!AW281</f>
        <v/>
      </c>
      <c r="M335" s="44" t="str">
        <f>G!AV281</f>
        <v>--</v>
      </c>
      <c r="O335" s="35" t="str">
        <f>G!AY281</f>
        <v/>
      </c>
      <c r="P335" s="44" t="str">
        <f>G!AX281</f>
        <v>--</v>
      </c>
      <c r="Q335" s="35" t="str">
        <f>G!AZ281</f>
        <v/>
      </c>
      <c r="R335" s="35" t="str">
        <f>G!BA281</f>
        <v/>
      </c>
      <c r="T335" s="44" t="str">
        <f>G!BC281</f>
        <v/>
      </c>
      <c r="U335" s="44" t="str">
        <f>G!BB281</f>
        <v>--</v>
      </c>
      <c r="V335" s="44"/>
      <c r="W335" s="35" t="str">
        <f>G!BE281</f>
        <v/>
      </c>
      <c r="X335" s="44" t="str">
        <f>G!BD281</f>
        <v>--</v>
      </c>
      <c r="Y335" s="35" t="str">
        <f>G!BF281</f>
        <v/>
      </c>
      <c r="Z335" s="35" t="str">
        <f>G!BG281</f>
        <v/>
      </c>
      <c r="AA335" s="44"/>
      <c r="AE335" s="72">
        <f t="shared" si="23"/>
        <v>1</v>
      </c>
    </row>
    <row r="336" spans="1:31" ht="9" hidden="1" customHeight="1" x14ac:dyDescent="0.15">
      <c r="A336" s="195" t="str">
        <f>F!A282</f>
        <v>2-Methylnaftaleen</v>
      </c>
      <c r="B336" s="195"/>
      <c r="C336" s="195"/>
      <c r="D336" s="44" t="str">
        <f>G!AQ282</f>
        <v/>
      </c>
      <c r="E336" s="44" t="str">
        <f>G!AP282</f>
        <v>--</v>
      </c>
      <c r="G336" s="35" t="str">
        <f>G!AS282</f>
        <v/>
      </c>
      <c r="H336" s="44" t="str">
        <f>G!AR282</f>
        <v>--</v>
      </c>
      <c r="I336" s="35" t="str">
        <f>G!AT282</f>
        <v/>
      </c>
      <c r="J336" s="35" t="str">
        <f>G!AU282</f>
        <v/>
      </c>
      <c r="L336" s="44" t="str">
        <f>G!AW282</f>
        <v/>
      </c>
      <c r="M336" s="44" t="str">
        <f>G!AV282</f>
        <v>--</v>
      </c>
      <c r="O336" s="35" t="str">
        <f>G!AY282</f>
        <v/>
      </c>
      <c r="P336" s="44" t="str">
        <f>G!AX282</f>
        <v>--</v>
      </c>
      <c r="Q336" s="35" t="str">
        <f>G!AZ282</f>
        <v/>
      </c>
      <c r="R336" s="35" t="str">
        <f>G!BA282</f>
        <v/>
      </c>
      <c r="T336" s="44" t="str">
        <f>G!BC282</f>
        <v/>
      </c>
      <c r="U336" s="44" t="str">
        <f>G!BB282</f>
        <v>--</v>
      </c>
      <c r="V336" s="44"/>
      <c r="W336" s="35" t="str">
        <f>G!BE282</f>
        <v/>
      </c>
      <c r="X336" s="44" t="str">
        <f>G!BD282</f>
        <v>--</v>
      </c>
      <c r="Y336" s="35" t="str">
        <f>G!BF282</f>
        <v/>
      </c>
      <c r="Z336" s="35" t="str">
        <f>G!BG282</f>
        <v/>
      </c>
      <c r="AA336" s="44"/>
      <c r="AE336" s="72">
        <f t="shared" si="23"/>
        <v>1</v>
      </c>
    </row>
    <row r="337" spans="1:31" ht="9" hidden="1" customHeight="1" x14ac:dyDescent="0.15">
      <c r="A337" s="195" t="str">
        <f>F!A283</f>
        <v>4-Broomfenylfenylether</v>
      </c>
      <c r="B337" s="195"/>
      <c r="C337" s="195"/>
      <c r="D337" s="44" t="str">
        <f>G!AQ283</f>
        <v/>
      </c>
      <c r="E337" s="44" t="str">
        <f>G!AP283</f>
        <v>--</v>
      </c>
      <c r="G337" s="35" t="str">
        <f>G!AS283</f>
        <v/>
      </c>
      <c r="H337" s="44" t="str">
        <f>G!AR283</f>
        <v>--</v>
      </c>
      <c r="I337" s="35" t="str">
        <f>G!AT283</f>
        <v/>
      </c>
      <c r="J337" s="35" t="str">
        <f>G!AU283</f>
        <v/>
      </c>
      <c r="L337" s="44" t="str">
        <f>G!AW283</f>
        <v/>
      </c>
      <c r="M337" s="44" t="str">
        <f>G!AV283</f>
        <v>--</v>
      </c>
      <c r="O337" s="35" t="str">
        <f>G!AY283</f>
        <v/>
      </c>
      <c r="P337" s="44" t="str">
        <f>G!AX283</f>
        <v>--</v>
      </c>
      <c r="Q337" s="35" t="str">
        <f>G!AZ283</f>
        <v/>
      </c>
      <c r="R337" s="35" t="str">
        <f>G!BA283</f>
        <v/>
      </c>
      <c r="T337" s="44" t="str">
        <f>G!BC283</f>
        <v/>
      </c>
      <c r="U337" s="44" t="str">
        <f>G!BB283</f>
        <v>--</v>
      </c>
      <c r="V337" s="44"/>
      <c r="W337" s="35" t="str">
        <f>G!BE283</f>
        <v/>
      </c>
      <c r="X337" s="44" t="str">
        <f>G!BD283</f>
        <v>--</v>
      </c>
      <c r="Y337" s="35" t="str">
        <f>G!BF283</f>
        <v/>
      </c>
      <c r="Z337" s="35" t="str">
        <f>G!BG283</f>
        <v/>
      </c>
      <c r="AA337" s="44"/>
      <c r="AE337" s="72">
        <f t="shared" si="23"/>
        <v>1</v>
      </c>
    </row>
    <row r="338" spans="1:31" ht="9" hidden="1" customHeight="1" x14ac:dyDescent="0.15">
      <c r="A338" s="195" t="str">
        <f>F!A284</f>
        <v>4-Chloorfenylfenylether</v>
      </c>
      <c r="B338" s="195"/>
      <c r="C338" s="195"/>
      <c r="D338" s="44" t="str">
        <f>G!AQ284</f>
        <v/>
      </c>
      <c r="E338" s="44" t="str">
        <f>G!AP284</f>
        <v>--</v>
      </c>
      <c r="G338" s="35" t="str">
        <f>G!AS284</f>
        <v/>
      </c>
      <c r="H338" s="44" t="str">
        <f>G!AR284</f>
        <v>--</v>
      </c>
      <c r="I338" s="35" t="str">
        <f>G!AT284</f>
        <v/>
      </c>
      <c r="J338" s="35" t="str">
        <f>G!AU284</f>
        <v/>
      </c>
      <c r="L338" s="44" t="str">
        <f>G!AW284</f>
        <v/>
      </c>
      <c r="M338" s="44" t="str">
        <f>G!AV284</f>
        <v>--</v>
      </c>
      <c r="O338" s="35" t="str">
        <f>G!AY284</f>
        <v/>
      </c>
      <c r="P338" s="44" t="str">
        <f>G!AX284</f>
        <v>--</v>
      </c>
      <c r="Q338" s="35" t="str">
        <f>G!AZ284</f>
        <v/>
      </c>
      <c r="R338" s="35" t="str">
        <f>G!BA284</f>
        <v/>
      </c>
      <c r="T338" s="44" t="str">
        <f>G!BC284</f>
        <v/>
      </c>
      <c r="U338" s="44" t="str">
        <f>G!BB284</f>
        <v>--</v>
      </c>
      <c r="V338" s="44"/>
      <c r="W338" s="35" t="str">
        <f>G!BE284</f>
        <v/>
      </c>
      <c r="X338" s="44" t="str">
        <f>G!BD284</f>
        <v>--</v>
      </c>
      <c r="Y338" s="35" t="str">
        <f>G!BF284</f>
        <v/>
      </c>
      <c r="Z338" s="35" t="str">
        <f>G!BG284</f>
        <v/>
      </c>
      <c r="AA338" s="44"/>
      <c r="AE338" s="72">
        <f t="shared" si="23"/>
        <v>1</v>
      </c>
    </row>
    <row r="339" spans="1:31" ht="9" hidden="1" customHeight="1" x14ac:dyDescent="0.15">
      <c r="A339" s="195" t="str">
        <f>F!A285</f>
        <v>Azobenzeen</v>
      </c>
      <c r="B339" s="195"/>
      <c r="C339" s="195"/>
      <c r="D339" s="44" t="str">
        <f>G!AQ285</f>
        <v/>
      </c>
      <c r="E339" s="44" t="str">
        <f>G!AP285</f>
        <v>--</v>
      </c>
      <c r="G339" s="35" t="str">
        <f>G!AS285</f>
        <v/>
      </c>
      <c r="H339" s="44" t="str">
        <f>G!AR285</f>
        <v>--</v>
      </c>
      <c r="I339" s="35" t="str">
        <f>G!AT285</f>
        <v/>
      </c>
      <c r="J339" s="35" t="str">
        <f>G!AU285</f>
        <v/>
      </c>
      <c r="L339" s="44" t="str">
        <f>G!AW285</f>
        <v/>
      </c>
      <c r="M339" s="44" t="str">
        <f>G!AV285</f>
        <v>--</v>
      </c>
      <c r="O339" s="35" t="str">
        <f>G!AY285</f>
        <v/>
      </c>
      <c r="P339" s="44" t="str">
        <f>G!AX285</f>
        <v>--</v>
      </c>
      <c r="Q339" s="35" t="str">
        <f>G!AZ285</f>
        <v/>
      </c>
      <c r="R339" s="35" t="str">
        <f>G!BA285</f>
        <v/>
      </c>
      <c r="T339" s="44" t="str">
        <f>G!BC285</f>
        <v/>
      </c>
      <c r="U339" s="44" t="str">
        <f>G!BB285</f>
        <v>--</v>
      </c>
      <c r="V339" s="44"/>
      <c r="W339" s="35" t="str">
        <f>G!BE285</f>
        <v/>
      </c>
      <c r="X339" s="44" t="str">
        <f>G!BD285</f>
        <v>--</v>
      </c>
      <c r="Y339" s="35" t="str">
        <f>G!BF285</f>
        <v/>
      </c>
      <c r="Z339" s="35" t="str">
        <f>G!BG285</f>
        <v/>
      </c>
      <c r="AA339" s="44"/>
      <c r="AE339" s="72">
        <f t="shared" si="23"/>
        <v>1</v>
      </c>
    </row>
    <row r="340" spans="1:31" ht="9" hidden="1" customHeight="1" x14ac:dyDescent="0.15">
      <c r="A340" s="195" t="str">
        <f>F!A286</f>
        <v>bis(2-Chloorethoxy) methaan</v>
      </c>
      <c r="B340" s="195"/>
      <c r="C340" s="195"/>
      <c r="D340" s="44" t="str">
        <f>G!AQ286</f>
        <v/>
      </c>
      <c r="E340" s="44" t="str">
        <f>G!AP286</f>
        <v>--</v>
      </c>
      <c r="G340" s="35" t="str">
        <f>G!AS286</f>
        <v/>
      </c>
      <c r="H340" s="44" t="str">
        <f>G!AR286</f>
        <v>--</v>
      </c>
      <c r="I340" s="35" t="str">
        <f>G!AT286</f>
        <v/>
      </c>
      <c r="J340" s="35" t="str">
        <f>G!AU286</f>
        <v/>
      </c>
      <c r="L340" s="44" t="str">
        <f>G!AW286</f>
        <v/>
      </c>
      <c r="M340" s="44" t="str">
        <f>G!AV286</f>
        <v>--</v>
      </c>
      <c r="O340" s="35" t="str">
        <f>G!AY286</f>
        <v/>
      </c>
      <c r="P340" s="44" t="str">
        <f>G!AX286</f>
        <v>--</v>
      </c>
      <c r="Q340" s="35" t="str">
        <f>G!AZ286</f>
        <v/>
      </c>
      <c r="R340" s="35" t="str">
        <f>G!BA286</f>
        <v/>
      </c>
      <c r="T340" s="44" t="str">
        <f>G!BC286</f>
        <v/>
      </c>
      <c r="U340" s="44" t="str">
        <f>G!BB286</f>
        <v>--</v>
      </c>
      <c r="V340" s="44"/>
      <c r="W340" s="35" t="str">
        <f>G!BE286</f>
        <v/>
      </c>
      <c r="X340" s="44" t="str">
        <f>G!BD286</f>
        <v>--</v>
      </c>
      <c r="Y340" s="35" t="str">
        <f>G!BF286</f>
        <v/>
      </c>
      <c r="Z340" s="35" t="str">
        <f>G!BG286</f>
        <v/>
      </c>
      <c r="AA340" s="44"/>
      <c r="AE340" s="72">
        <f t="shared" si="23"/>
        <v>1</v>
      </c>
    </row>
    <row r="341" spans="1:31" ht="9" hidden="1" customHeight="1" x14ac:dyDescent="0.15">
      <c r="A341" s="195" t="str">
        <f>F!A287</f>
        <v>bis(2-Chloorethyl)ether</v>
      </c>
      <c r="B341" s="195"/>
      <c r="C341" s="195"/>
      <c r="D341" s="44" t="str">
        <f>G!AQ287</f>
        <v/>
      </c>
      <c r="E341" s="44" t="str">
        <f>G!AP287</f>
        <v>--</v>
      </c>
      <c r="G341" s="35" t="str">
        <f>G!AS287</f>
        <v/>
      </c>
      <c r="H341" s="44" t="str">
        <f>G!AR287</f>
        <v>--</v>
      </c>
      <c r="I341" s="35" t="str">
        <f>G!AT287</f>
        <v/>
      </c>
      <c r="J341" s="35" t="str">
        <f>G!AU287</f>
        <v/>
      </c>
      <c r="L341" s="44" t="str">
        <f>G!AW287</f>
        <v/>
      </c>
      <c r="M341" s="44" t="str">
        <f>G!AV287</f>
        <v>--</v>
      </c>
      <c r="O341" s="35" t="str">
        <f>G!AY287</f>
        <v/>
      </c>
      <c r="P341" s="44" t="str">
        <f>G!AX287</f>
        <v>--</v>
      </c>
      <c r="Q341" s="35" t="str">
        <f>G!AZ287</f>
        <v/>
      </c>
      <c r="R341" s="35" t="str">
        <f>G!BA287</f>
        <v/>
      </c>
      <c r="T341" s="44" t="str">
        <f>G!BC287</f>
        <v/>
      </c>
      <c r="U341" s="44" t="str">
        <f>G!BB287</f>
        <v>--</v>
      </c>
      <c r="V341" s="44"/>
      <c r="W341" s="35" t="str">
        <f>G!BE287</f>
        <v/>
      </c>
      <c r="X341" s="44" t="str">
        <f>G!BD287</f>
        <v>--</v>
      </c>
      <c r="Y341" s="35" t="str">
        <f>G!BF287</f>
        <v/>
      </c>
      <c r="Z341" s="35" t="str">
        <f>G!BG287</f>
        <v/>
      </c>
      <c r="AA341" s="44"/>
      <c r="AE341" s="72">
        <f t="shared" si="23"/>
        <v>1</v>
      </c>
    </row>
    <row r="342" spans="1:31" ht="9" hidden="1" customHeight="1" x14ac:dyDescent="0.15">
      <c r="A342" s="195" t="str">
        <f>F!A288</f>
        <v>Carbazole</v>
      </c>
      <c r="B342" s="195"/>
      <c r="C342" s="195"/>
      <c r="D342" s="44" t="str">
        <f>G!AQ288</f>
        <v/>
      </c>
      <c r="E342" s="44" t="str">
        <f>G!AP288</f>
        <v>--</v>
      </c>
      <c r="G342" s="35" t="str">
        <f>G!AS288</f>
        <v/>
      </c>
      <c r="H342" s="44" t="str">
        <f>G!AR288</f>
        <v>--</v>
      </c>
      <c r="I342" s="35" t="str">
        <f>G!AT288</f>
        <v/>
      </c>
      <c r="J342" s="35" t="str">
        <f>G!AU288</f>
        <v/>
      </c>
      <c r="L342" s="44" t="str">
        <f>G!AW288</f>
        <v/>
      </c>
      <c r="M342" s="44" t="str">
        <f>G!AV288</f>
        <v>--</v>
      </c>
      <c r="O342" s="35" t="str">
        <f>G!AY288</f>
        <v/>
      </c>
      <c r="P342" s="44" t="str">
        <f>G!AX288</f>
        <v>--</v>
      </c>
      <c r="Q342" s="35" t="str">
        <f>G!AZ288</f>
        <v/>
      </c>
      <c r="R342" s="35" t="str">
        <f>G!BA288</f>
        <v/>
      </c>
      <c r="T342" s="44" t="str">
        <f>G!BC288</f>
        <v/>
      </c>
      <c r="U342" s="44" t="str">
        <f>G!BB288</f>
        <v>--</v>
      </c>
      <c r="V342" s="44"/>
      <c r="W342" s="35" t="str">
        <f>G!BE288</f>
        <v/>
      </c>
      <c r="X342" s="44" t="str">
        <f>G!BD288</f>
        <v>--</v>
      </c>
      <c r="Y342" s="35" t="str">
        <f>G!BF288</f>
        <v/>
      </c>
      <c r="Z342" s="35" t="str">
        <f>G!BG288</f>
        <v/>
      </c>
      <c r="AA342" s="44"/>
      <c r="AE342" s="72">
        <f t="shared" si="23"/>
        <v>1</v>
      </c>
    </row>
    <row r="343" spans="1:31" ht="9" hidden="1" customHeight="1" x14ac:dyDescent="0.15">
      <c r="A343" s="195" t="str">
        <f>F!A289</f>
        <v>Dibenzofuraan</v>
      </c>
      <c r="B343" s="195"/>
      <c r="C343" s="195"/>
      <c r="D343" s="44" t="str">
        <f>G!AQ289</f>
        <v/>
      </c>
      <c r="E343" s="44" t="str">
        <f>G!AP289</f>
        <v>--</v>
      </c>
      <c r="G343" s="35" t="str">
        <f>G!AS289</f>
        <v/>
      </c>
      <c r="H343" s="44" t="str">
        <f>G!AR289</f>
        <v>--</v>
      </c>
      <c r="I343" s="35" t="str">
        <f>G!AT289</f>
        <v/>
      </c>
      <c r="J343" s="35" t="str">
        <f>G!AU289</f>
        <v/>
      </c>
      <c r="L343" s="44" t="str">
        <f>G!AW289</f>
        <v/>
      </c>
      <c r="M343" s="44" t="str">
        <f>G!AV289</f>
        <v>--</v>
      </c>
      <c r="O343" s="35" t="str">
        <f>G!AY289</f>
        <v/>
      </c>
      <c r="P343" s="44" t="str">
        <f>G!AX289</f>
        <v>--</v>
      </c>
      <c r="Q343" s="35" t="str">
        <f>G!AZ289</f>
        <v/>
      </c>
      <c r="R343" s="35" t="str">
        <f>G!BA289</f>
        <v/>
      </c>
      <c r="T343" s="44" t="str">
        <f>G!BC289</f>
        <v/>
      </c>
      <c r="U343" s="44" t="str">
        <f>G!BB289</f>
        <v>--</v>
      </c>
      <c r="V343" s="44"/>
      <c r="W343" s="35" t="str">
        <f>G!BE289</f>
        <v/>
      </c>
      <c r="X343" s="44" t="str">
        <f>G!BD289</f>
        <v>--</v>
      </c>
      <c r="Y343" s="35" t="str">
        <f>G!BF289</f>
        <v/>
      </c>
      <c r="Z343" s="35" t="str">
        <f>G!BG289</f>
        <v/>
      </c>
      <c r="AA343" s="44"/>
      <c r="AE343" s="72">
        <f t="shared" si="23"/>
        <v>1</v>
      </c>
    </row>
    <row r="344" spans="1:31" ht="9" hidden="1" customHeight="1" x14ac:dyDescent="0.15">
      <c r="A344" s="195" t="str">
        <f>F!A290</f>
        <v>Hexachloorcylcopentadieen</v>
      </c>
      <c r="B344" s="195"/>
      <c r="C344" s="195"/>
      <c r="D344" s="44" t="str">
        <f>G!AQ290</f>
        <v/>
      </c>
      <c r="E344" s="44" t="str">
        <f>G!AP290</f>
        <v>--</v>
      </c>
      <c r="G344" s="35" t="str">
        <f>G!AS290</f>
        <v/>
      </c>
      <c r="H344" s="44" t="str">
        <f>G!AR290</f>
        <v>--</v>
      </c>
      <c r="I344" s="35" t="str">
        <f>G!AT290</f>
        <v/>
      </c>
      <c r="J344" s="35" t="str">
        <f>G!AU290</f>
        <v/>
      </c>
      <c r="L344" s="44" t="str">
        <f>G!AW290</f>
        <v/>
      </c>
      <c r="M344" s="44" t="str">
        <f>G!AV290</f>
        <v>--</v>
      </c>
      <c r="O344" s="35" t="str">
        <f>G!AY290</f>
        <v/>
      </c>
      <c r="P344" s="44" t="str">
        <f>G!AX290</f>
        <v>--</v>
      </c>
      <c r="Q344" s="35" t="str">
        <f>G!AZ290</f>
        <v/>
      </c>
      <c r="R344" s="35" t="str">
        <f>G!BA290</f>
        <v/>
      </c>
      <c r="T344" s="44" t="str">
        <f>G!BC290</f>
        <v/>
      </c>
      <c r="U344" s="44" t="str">
        <f>G!BB290</f>
        <v>--</v>
      </c>
      <c r="V344" s="44"/>
      <c r="W344" s="35" t="str">
        <f>G!BE290</f>
        <v/>
      </c>
      <c r="X344" s="44" t="str">
        <f>G!BD290</f>
        <v>--</v>
      </c>
      <c r="Y344" s="35" t="str">
        <f>G!BF290</f>
        <v/>
      </c>
      <c r="Z344" s="35" t="str">
        <f>G!BG290</f>
        <v/>
      </c>
      <c r="AA344" s="44"/>
      <c r="AE344" s="72">
        <f t="shared" si="23"/>
        <v>1</v>
      </c>
    </row>
    <row r="345" spans="1:31" ht="9" hidden="1" customHeight="1" x14ac:dyDescent="0.15">
      <c r="A345" s="195" t="str">
        <f>F!A291</f>
        <v>Isoforon</v>
      </c>
      <c r="B345" s="195"/>
      <c r="C345" s="195"/>
      <c r="D345" s="44" t="str">
        <f>G!AQ291</f>
        <v/>
      </c>
      <c r="E345" s="44" t="str">
        <f>G!AP291</f>
        <v>--</v>
      </c>
      <c r="G345" s="35" t="str">
        <f>G!AS291</f>
        <v/>
      </c>
      <c r="H345" s="44" t="str">
        <f>G!AR291</f>
        <v>--</v>
      </c>
      <c r="I345" s="35" t="str">
        <f>G!AT291</f>
        <v/>
      </c>
      <c r="J345" s="35" t="str">
        <f>G!AU291</f>
        <v/>
      </c>
      <c r="L345" s="44" t="str">
        <f>G!AW291</f>
        <v/>
      </c>
      <c r="M345" s="44" t="str">
        <f>G!AV291</f>
        <v>--</v>
      </c>
      <c r="O345" s="35" t="str">
        <f>G!AY291</f>
        <v/>
      </c>
      <c r="P345" s="44" t="str">
        <f>G!AX291</f>
        <v>--</v>
      </c>
      <c r="Q345" s="35" t="str">
        <f>G!AZ291</f>
        <v/>
      </c>
      <c r="R345" s="35" t="str">
        <f>G!BA291</f>
        <v/>
      </c>
      <c r="T345" s="44" t="str">
        <f>G!BC291</f>
        <v/>
      </c>
      <c r="U345" s="44" t="str">
        <f>G!BB291</f>
        <v>--</v>
      </c>
      <c r="V345" s="44"/>
      <c r="W345" s="35" t="str">
        <f>G!BE291</f>
        <v/>
      </c>
      <c r="X345" s="44" t="str">
        <f>G!BD291</f>
        <v>--</v>
      </c>
      <c r="Y345" s="35" t="str">
        <f>G!BF291</f>
        <v/>
      </c>
      <c r="Z345" s="35" t="str">
        <f>G!BG291</f>
        <v/>
      </c>
      <c r="AA345" s="44"/>
      <c r="AE345" s="72">
        <f t="shared" si="23"/>
        <v>1</v>
      </c>
    </row>
    <row r="346" spans="1:31" ht="9" hidden="1" customHeight="1" x14ac:dyDescent="0.15">
      <c r="A346" s="195" t="str">
        <f>F!A292</f>
        <v>Nitrobenzeen</v>
      </c>
      <c r="B346" s="195"/>
      <c r="C346" s="195"/>
      <c r="D346" s="44" t="str">
        <f>G!AQ292</f>
        <v/>
      </c>
      <c r="E346" s="44" t="str">
        <f>G!AP292</f>
        <v>--</v>
      </c>
      <c r="G346" s="35" t="str">
        <f>G!AS292</f>
        <v/>
      </c>
      <c r="H346" s="44" t="str">
        <f>G!AR292</f>
        <v>--</v>
      </c>
      <c r="I346" s="35" t="str">
        <f>G!AT292</f>
        <v/>
      </c>
      <c r="J346" s="35" t="str">
        <f>G!AU292</f>
        <v/>
      </c>
      <c r="L346" s="44" t="str">
        <f>G!AW292</f>
        <v/>
      </c>
      <c r="M346" s="44" t="str">
        <f>G!AV292</f>
        <v>--</v>
      </c>
      <c r="O346" s="35" t="str">
        <f>G!AY292</f>
        <v/>
      </c>
      <c r="P346" s="44" t="str">
        <f>G!AX292</f>
        <v>--</v>
      </c>
      <c r="Q346" s="35" t="str">
        <f>G!AZ292</f>
        <v/>
      </c>
      <c r="R346" s="35" t="str">
        <f>G!BA292</f>
        <v/>
      </c>
      <c r="T346" s="44" t="str">
        <f>G!BC292</f>
        <v/>
      </c>
      <c r="U346" s="44" t="str">
        <f>G!BB292</f>
        <v>--</v>
      </c>
      <c r="V346" s="44"/>
      <c r="W346" s="35" t="str">
        <f>G!BE292</f>
        <v/>
      </c>
      <c r="X346" s="44" t="str">
        <f>G!BD292</f>
        <v>--</v>
      </c>
      <c r="Y346" s="35" t="str">
        <f>G!BF292</f>
        <v/>
      </c>
      <c r="Z346" s="35" t="str">
        <f>G!BG292</f>
        <v/>
      </c>
      <c r="AA346" s="44"/>
      <c r="AE346" s="72">
        <f t="shared" si="23"/>
        <v>1</v>
      </c>
    </row>
    <row r="347" spans="1:31" ht="9" hidden="1" customHeight="1" x14ac:dyDescent="0.15">
      <c r="A347" s="195" t="str">
        <f>F!A293</f>
        <v>Dedecylbenzeen</v>
      </c>
      <c r="B347" s="195"/>
      <c r="C347" s="195"/>
      <c r="D347" s="44" t="str">
        <f>G!AQ293</f>
        <v/>
      </c>
      <c r="E347" s="44" t="str">
        <f>G!AP293</f>
        <v>--</v>
      </c>
      <c r="G347" s="35" t="str">
        <f>G!AS293</f>
        <v/>
      </c>
      <c r="H347" s="44" t="str">
        <f>G!AR293</f>
        <v>--</v>
      </c>
      <c r="I347" s="35" t="str">
        <f>G!AT293</f>
        <v/>
      </c>
      <c r="J347" s="35" t="str">
        <f>G!AU293</f>
        <v/>
      </c>
      <c r="L347" s="44" t="str">
        <f>G!AW293</f>
        <v/>
      </c>
      <c r="M347" s="44" t="str">
        <f>G!AV293</f>
        <v>--</v>
      </c>
      <c r="O347" s="35" t="str">
        <f>G!AY293</f>
        <v/>
      </c>
      <c r="P347" s="44" t="str">
        <f>G!AX293</f>
        <v>--</v>
      </c>
      <c r="Q347" s="35" t="str">
        <f>G!AZ293</f>
        <v/>
      </c>
      <c r="R347" s="35" t="str">
        <f>G!BA293</f>
        <v/>
      </c>
      <c r="T347" s="44" t="str">
        <f>G!BC293</f>
        <v/>
      </c>
      <c r="U347" s="44" t="str">
        <f>G!BB293</f>
        <v>--</v>
      </c>
      <c r="V347" s="44"/>
      <c r="W347" s="35" t="str">
        <f>G!BE293</f>
        <v/>
      </c>
      <c r="X347" s="44" t="str">
        <f>G!BD293</f>
        <v>--</v>
      </c>
      <c r="Y347" s="35" t="str">
        <f>G!BF293</f>
        <v/>
      </c>
      <c r="Z347" s="35" t="str">
        <f>G!BG293</f>
        <v/>
      </c>
      <c r="AA347" s="44"/>
      <c r="AE347" s="72">
        <f t="shared" si="23"/>
        <v>1</v>
      </c>
    </row>
    <row r="348" spans="1:31" ht="9" hidden="1" customHeight="1" x14ac:dyDescent="0.15">
      <c r="A348" s="195" t="str">
        <f>F!A294</f>
        <v>Aromatische oplosmiddelen</v>
      </c>
      <c r="B348" s="195"/>
      <c r="C348" s="195"/>
      <c r="D348" s="44" t="str">
        <f>G!AQ294</f>
        <v/>
      </c>
      <c r="E348" s="44" t="str">
        <f>G!AP294</f>
        <v>--</v>
      </c>
      <c r="G348" s="35" t="str">
        <f>G!AS294</f>
        <v/>
      </c>
      <c r="H348" s="44" t="str">
        <f>G!AR294</f>
        <v>--</v>
      </c>
      <c r="I348" s="35" t="str">
        <f>G!AT294</f>
        <v/>
      </c>
      <c r="J348" s="35" t="str">
        <f>G!AU294</f>
        <v/>
      </c>
      <c r="L348" s="44" t="str">
        <f>G!AW294</f>
        <v/>
      </c>
      <c r="M348" s="44" t="str">
        <f>G!AV294</f>
        <v>--</v>
      </c>
      <c r="O348" s="35" t="str">
        <f>G!AY294</f>
        <v/>
      </c>
      <c r="P348" s="44" t="str">
        <f>G!AX294</f>
        <v>--</v>
      </c>
      <c r="Q348" s="35" t="str">
        <f>G!AZ294</f>
        <v/>
      </c>
      <c r="R348" s="35" t="str">
        <f>G!BA294</f>
        <v/>
      </c>
      <c r="T348" s="44" t="str">
        <f>G!BC294</f>
        <v/>
      </c>
      <c r="U348" s="44" t="str">
        <f>G!BB294</f>
        <v>--</v>
      </c>
      <c r="V348" s="44"/>
      <c r="W348" s="35" t="str">
        <f>G!BE294</f>
        <v/>
      </c>
      <c r="X348" s="44" t="str">
        <f>G!BD294</f>
        <v>--</v>
      </c>
      <c r="Y348" s="35" t="str">
        <f>G!BF294</f>
        <v/>
      </c>
      <c r="Z348" s="35" t="str">
        <f>G!BG294</f>
        <v/>
      </c>
      <c r="AA348" s="44"/>
      <c r="AE348" s="72">
        <f t="shared" si="23"/>
        <v>1</v>
      </c>
    </row>
    <row r="349" spans="1:31" ht="9" hidden="1" customHeight="1" x14ac:dyDescent="0.15">
      <c r="A349" s="195" t="str">
        <f>F!A295</f>
        <v>Chloornaftaleen (som)</v>
      </c>
      <c r="B349" s="195"/>
      <c r="C349" s="195"/>
      <c r="D349" s="44" t="str">
        <f>G!AQ295</f>
        <v/>
      </c>
      <c r="E349" s="44" t="str">
        <f>G!AP295</f>
        <v>--</v>
      </c>
      <c r="G349" s="35" t="str">
        <f>G!AS295</f>
        <v/>
      </c>
      <c r="H349" s="44" t="str">
        <f>G!AR295</f>
        <v>--</v>
      </c>
      <c r="I349" s="35" t="str">
        <f>G!AT295</f>
        <v/>
      </c>
      <c r="J349" s="35" t="str">
        <f>G!AU295</f>
        <v/>
      </c>
      <c r="L349" s="44" t="str">
        <f>G!AW295</f>
        <v/>
      </c>
      <c r="M349" s="44" t="str">
        <f>G!AV295</f>
        <v>--</v>
      </c>
      <c r="O349" s="35" t="str">
        <f>G!AY295</f>
        <v/>
      </c>
      <c r="P349" s="44" t="str">
        <f>G!AX295</f>
        <v>--</v>
      </c>
      <c r="Q349" s="35" t="str">
        <f>G!AZ295</f>
        <v/>
      </c>
      <c r="R349" s="35" t="str">
        <f>G!BA295</f>
        <v/>
      </c>
      <c r="T349" s="44" t="str">
        <f>G!BC295</f>
        <v/>
      </c>
      <c r="U349" s="44" t="str">
        <f>G!BB295</f>
        <v>--</v>
      </c>
      <c r="V349" s="44"/>
      <c r="W349" s="35" t="str">
        <f>G!BE295</f>
        <v/>
      </c>
      <c r="X349" s="44" t="str">
        <f>G!BD295</f>
        <v>--</v>
      </c>
      <c r="Y349" s="35" t="str">
        <f>G!BF295</f>
        <v/>
      </c>
      <c r="Z349" s="35" t="str">
        <f>G!BG295</f>
        <v/>
      </c>
      <c r="AA349" s="44"/>
      <c r="AE349" s="72">
        <f t="shared" si="23"/>
        <v>1</v>
      </c>
    </row>
    <row r="350" spans="1:31" ht="9" hidden="1" customHeight="1" x14ac:dyDescent="0.15">
      <c r="A350" s="195" t="str">
        <f>F!A296</f>
        <v>Ethyl(tert)butylether (ETBE)</v>
      </c>
      <c r="B350" s="195"/>
      <c r="C350" s="195"/>
      <c r="D350" s="44" t="str">
        <f>G!AQ296</f>
        <v/>
      </c>
      <c r="E350" s="44" t="str">
        <f>G!AP296</f>
        <v>--</v>
      </c>
      <c r="G350" s="35" t="str">
        <f>G!AS296</f>
        <v/>
      </c>
      <c r="H350" s="44" t="str">
        <f>G!AR296</f>
        <v>--</v>
      </c>
      <c r="I350" s="35" t="str">
        <f>G!AT296</f>
        <v/>
      </c>
      <c r="J350" s="35" t="str">
        <f>G!AU296</f>
        <v/>
      </c>
      <c r="L350" s="44" t="str">
        <f>G!AW296</f>
        <v/>
      </c>
      <c r="M350" s="44" t="str">
        <f>G!AV296</f>
        <v>--</v>
      </c>
      <c r="O350" s="35" t="str">
        <f>G!AY296</f>
        <v/>
      </c>
      <c r="P350" s="44" t="str">
        <f>G!AX296</f>
        <v>--</v>
      </c>
      <c r="Q350" s="35" t="str">
        <f>G!AZ296</f>
        <v/>
      </c>
      <c r="R350" s="35" t="str">
        <f>G!BA296</f>
        <v/>
      </c>
      <c r="T350" s="44" t="str">
        <f>G!BC296</f>
        <v/>
      </c>
      <c r="U350" s="44" t="str">
        <f>G!BB296</f>
        <v>--</v>
      </c>
      <c r="V350" s="44"/>
      <c r="W350" s="35" t="str">
        <f>G!BE296</f>
        <v/>
      </c>
      <c r="X350" s="44" t="str">
        <f>G!BD296</f>
        <v>--</v>
      </c>
      <c r="Y350" s="35" t="str">
        <f>G!BF296</f>
        <v/>
      </c>
      <c r="Z350" s="35" t="str">
        <f>G!BG296</f>
        <v/>
      </c>
      <c r="AA350" s="44"/>
      <c r="AE350" s="72">
        <f t="shared" si="23"/>
        <v>1</v>
      </c>
    </row>
    <row r="351" spans="1:31" ht="9" hidden="1" customHeight="1" x14ac:dyDescent="0.15">
      <c r="A351" s="195" t="str">
        <f>F!A297</f>
        <v>Methyl(tert)butylether (MTBE)</v>
      </c>
      <c r="B351" s="195"/>
      <c r="C351" s="195"/>
      <c r="D351" s="44" t="str">
        <f>G!AQ297</f>
        <v/>
      </c>
      <c r="E351" s="44" t="str">
        <f>G!AP297</f>
        <v>--</v>
      </c>
      <c r="G351" s="35" t="str">
        <f>G!AS297</f>
        <v/>
      </c>
      <c r="H351" s="44" t="str">
        <f>G!AR297</f>
        <v>--</v>
      </c>
      <c r="I351" s="35" t="str">
        <f>G!AT297</f>
        <v/>
      </c>
      <c r="J351" s="35" t="str">
        <f>G!AU297</f>
        <v/>
      </c>
      <c r="L351" s="44" t="str">
        <f>G!AW297</f>
        <v/>
      </c>
      <c r="M351" s="44" t="str">
        <f>G!AV297</f>
        <v>--</v>
      </c>
      <c r="O351" s="35" t="str">
        <f>G!AY297</f>
        <v/>
      </c>
      <c r="P351" s="44" t="str">
        <f>G!AX297</f>
        <v>--</v>
      </c>
      <c r="Q351" s="35" t="str">
        <f>G!AZ297</f>
        <v/>
      </c>
      <c r="R351" s="35" t="str">
        <f>G!BA297</f>
        <v/>
      </c>
      <c r="T351" s="44" t="str">
        <f>G!BC297</f>
        <v/>
      </c>
      <c r="U351" s="44" t="str">
        <f>G!BB297</f>
        <v>--</v>
      </c>
      <c r="V351" s="44"/>
      <c r="W351" s="35" t="str">
        <f>G!BE297</f>
        <v/>
      </c>
      <c r="X351" s="44" t="str">
        <f>G!BD297</f>
        <v>--</v>
      </c>
      <c r="Y351" s="35" t="str">
        <f>G!BF297</f>
        <v/>
      </c>
      <c r="Z351" s="35" t="str">
        <f>G!BG297</f>
        <v/>
      </c>
      <c r="AA351" s="44"/>
      <c r="AE351" s="72">
        <f t="shared" si="23"/>
        <v>1</v>
      </c>
    </row>
    <row r="352" spans="1:31" ht="9" hidden="1" customHeight="1" x14ac:dyDescent="0.15">
      <c r="A352" s="195" t="str">
        <f>F!A298</f>
        <v>Monochlooranilinen (som)</v>
      </c>
      <c r="B352" s="195"/>
      <c r="C352" s="195"/>
      <c r="D352" s="44" t="str">
        <f>G!AQ298</f>
        <v/>
      </c>
      <c r="E352" s="44" t="str">
        <f>G!AP298</f>
        <v>--</v>
      </c>
      <c r="G352" s="35" t="str">
        <f>G!AS298</f>
        <v/>
      </c>
      <c r="H352" s="44" t="str">
        <f>G!AR298</f>
        <v>--</v>
      </c>
      <c r="I352" s="35" t="str">
        <f>G!AT298</f>
        <v/>
      </c>
      <c r="J352" s="35" t="str">
        <f>G!AU298</f>
        <v/>
      </c>
      <c r="L352" s="44" t="str">
        <f>G!AW298</f>
        <v/>
      </c>
      <c r="M352" s="44" t="str">
        <f>G!AV298</f>
        <v>--</v>
      </c>
      <c r="O352" s="35" t="str">
        <f>G!AY298</f>
        <v/>
      </c>
      <c r="P352" s="44" t="str">
        <f>G!AX298</f>
        <v>--</v>
      </c>
      <c r="Q352" s="35" t="str">
        <f>G!AZ298</f>
        <v/>
      </c>
      <c r="R352" s="35" t="str">
        <f>G!BA298</f>
        <v/>
      </c>
      <c r="T352" s="44" t="str">
        <f>G!BC298</f>
        <v/>
      </c>
      <c r="U352" s="44" t="str">
        <f>G!BB298</f>
        <v>--</v>
      </c>
      <c r="V352" s="44"/>
      <c r="W352" s="35" t="str">
        <f>G!BE298</f>
        <v/>
      </c>
      <c r="X352" s="44" t="str">
        <f>G!BD298</f>
        <v>--</v>
      </c>
      <c r="Y352" s="35" t="str">
        <f>G!BF298</f>
        <v/>
      </c>
      <c r="Z352" s="35" t="str">
        <f>G!BG298</f>
        <v/>
      </c>
      <c r="AA352" s="44"/>
      <c r="AE352" s="72">
        <f t="shared" si="23"/>
        <v>1</v>
      </c>
    </row>
    <row r="353" spans="1:31" ht="9" hidden="1" customHeight="1" x14ac:dyDescent="0.15">
      <c r="A353" s="195" t="str">
        <f>F!A299</f>
        <v>Pentachlooranlinine (som)</v>
      </c>
      <c r="B353" s="195"/>
      <c r="C353" s="195"/>
      <c r="D353" s="44" t="str">
        <f>G!AQ299</f>
        <v/>
      </c>
      <c r="E353" s="44" t="str">
        <f>G!AP299</f>
        <v>--</v>
      </c>
      <c r="G353" s="35" t="str">
        <f>G!AS299</f>
        <v/>
      </c>
      <c r="H353" s="44" t="str">
        <f>G!AR299</f>
        <v>--</v>
      </c>
      <c r="I353" s="35" t="str">
        <f>G!AT299</f>
        <v/>
      </c>
      <c r="J353" s="35" t="str">
        <f>G!AU299</f>
        <v/>
      </c>
      <c r="L353" s="44" t="str">
        <f>G!AW299</f>
        <v/>
      </c>
      <c r="M353" s="44" t="str">
        <f>G!AV299</f>
        <v>--</v>
      </c>
      <c r="O353" s="35" t="str">
        <f>G!AY299</f>
        <v/>
      </c>
      <c r="P353" s="44" t="str">
        <f>G!AX299</f>
        <v>--</v>
      </c>
      <c r="Q353" s="35" t="str">
        <f>G!AZ299</f>
        <v/>
      </c>
      <c r="R353" s="35" t="str">
        <f>G!BA299</f>
        <v/>
      </c>
      <c r="T353" s="44" t="str">
        <f>G!BC299</f>
        <v/>
      </c>
      <c r="U353" s="44" t="str">
        <f>G!BB299</f>
        <v>--</v>
      </c>
      <c r="V353" s="44"/>
      <c r="W353" s="35" t="str">
        <f>G!BE299</f>
        <v/>
      </c>
      <c r="X353" s="44" t="str">
        <f>G!BD299</f>
        <v>--</v>
      </c>
      <c r="Y353" s="35" t="str">
        <f>G!BF299</f>
        <v/>
      </c>
      <c r="Z353" s="35" t="str">
        <f>G!BG299</f>
        <v/>
      </c>
      <c r="AA353" s="44"/>
      <c r="AE353" s="72">
        <f t="shared" si="23"/>
        <v>1</v>
      </c>
    </row>
    <row r="354" spans="1:31" ht="9" hidden="1" customHeight="1" x14ac:dyDescent="0.15">
      <c r="A354" s="195" t="str">
        <f>F!A300</f>
        <v>Dioxine (som I-TEQ)</v>
      </c>
      <c r="B354" s="195"/>
      <c r="C354" s="195"/>
      <c r="D354" s="44" t="str">
        <f>G!AQ300</f>
        <v/>
      </c>
      <c r="E354" s="44" t="str">
        <f>G!AP300</f>
        <v>--</v>
      </c>
      <c r="G354" s="35" t="str">
        <f>G!AS300</f>
        <v/>
      </c>
      <c r="H354" s="44" t="str">
        <f>G!AR300</f>
        <v>--</v>
      </c>
      <c r="I354" s="35" t="str">
        <f>G!AT300</f>
        <v/>
      </c>
      <c r="J354" s="35" t="str">
        <f>G!AU300</f>
        <v/>
      </c>
      <c r="L354" s="44" t="str">
        <f>G!AW300</f>
        <v/>
      </c>
      <c r="M354" s="44" t="str">
        <f>G!AV300</f>
        <v>--</v>
      </c>
      <c r="O354" s="35" t="str">
        <f>G!AY300</f>
        <v/>
      </c>
      <c r="P354" s="44" t="str">
        <f>G!AX300</f>
        <v>--</v>
      </c>
      <c r="Q354" s="35" t="str">
        <f>G!AZ300</f>
        <v/>
      </c>
      <c r="R354" s="35" t="str">
        <f>G!BA300</f>
        <v/>
      </c>
      <c r="T354" s="44" t="str">
        <f>G!BC300</f>
        <v/>
      </c>
      <c r="U354" s="44" t="str">
        <f>G!BB300</f>
        <v>--</v>
      </c>
      <c r="V354" s="44"/>
      <c r="W354" s="35" t="str">
        <f>G!BE300</f>
        <v/>
      </c>
      <c r="X354" s="44" t="str">
        <f>G!BD300</f>
        <v>--</v>
      </c>
      <c r="Y354" s="35" t="str">
        <f>G!BF300</f>
        <v/>
      </c>
      <c r="Z354" s="35" t="str">
        <f>G!BG300</f>
        <v/>
      </c>
      <c r="AA354" s="44"/>
      <c r="AE354" s="72">
        <f t="shared" si="23"/>
        <v>1</v>
      </c>
    </row>
    <row r="355" spans="1:31" ht="9" hidden="1" customHeight="1" x14ac:dyDescent="0.15">
      <c r="A355" s="195" t="str">
        <f>F!A301</f>
        <v>Zwavelkoolstof</v>
      </c>
      <c r="B355" s="195"/>
      <c r="C355" s="195"/>
      <c r="D355" s="44" t="str">
        <f>G!AQ301</f>
        <v/>
      </c>
      <c r="E355" s="44" t="str">
        <f>G!AP301</f>
        <v>--</v>
      </c>
      <c r="G355" s="35" t="str">
        <f>G!AS301</f>
        <v/>
      </c>
      <c r="H355" s="44" t="str">
        <f>G!AR301</f>
        <v>--</v>
      </c>
      <c r="I355" s="35" t="str">
        <f>G!AT301</f>
        <v/>
      </c>
      <c r="J355" s="35" t="str">
        <f>G!AU301</f>
        <v/>
      </c>
      <c r="L355" s="44" t="str">
        <f>G!AW301</f>
        <v/>
      </c>
      <c r="M355" s="44" t="str">
        <f>G!AV301</f>
        <v>--</v>
      </c>
      <c r="O355" s="35" t="str">
        <f>G!AY301</f>
        <v/>
      </c>
      <c r="P355" s="44" t="str">
        <f>G!AX301</f>
        <v>--</v>
      </c>
      <c r="Q355" s="35" t="str">
        <f>G!AZ301</f>
        <v/>
      </c>
      <c r="R355" s="35" t="str">
        <f>G!BA301</f>
        <v/>
      </c>
      <c r="T355" s="44" t="str">
        <f>G!BC301</f>
        <v/>
      </c>
      <c r="U355" s="44" t="str">
        <f>G!BB301</f>
        <v>--</v>
      </c>
      <c r="V355" s="44"/>
      <c r="W355" s="35" t="str">
        <f>G!BE301</f>
        <v/>
      </c>
      <c r="X355" s="44" t="str">
        <f>G!BD301</f>
        <v>--</v>
      </c>
      <c r="Y355" s="35" t="str">
        <f>G!BF301</f>
        <v/>
      </c>
      <c r="Z355" s="35" t="str">
        <f>G!BG301</f>
        <v/>
      </c>
      <c r="AA355" s="44"/>
      <c r="AE355" s="72">
        <f t="shared" si="23"/>
        <v>1</v>
      </c>
    </row>
    <row r="356" spans="1:31" ht="9" hidden="1" customHeight="1" x14ac:dyDescent="0.15">
      <c r="A356" s="195" t="str">
        <f>F!A302</f>
        <v>Aceton</v>
      </c>
      <c r="B356" s="195"/>
      <c r="C356" s="195"/>
      <c r="D356" s="44" t="str">
        <f>G!AQ302</f>
        <v/>
      </c>
      <c r="E356" s="44" t="str">
        <f>G!AP302</f>
        <v>--</v>
      </c>
      <c r="G356" s="35" t="str">
        <f>G!AS302</f>
        <v/>
      </c>
      <c r="H356" s="44" t="str">
        <f>G!AR302</f>
        <v>--</v>
      </c>
      <c r="I356" s="35" t="str">
        <f>G!AT302</f>
        <v/>
      </c>
      <c r="J356" s="35" t="str">
        <f>G!AU302</f>
        <v/>
      </c>
      <c r="L356" s="44" t="str">
        <f>G!AW302</f>
        <v/>
      </c>
      <c r="M356" s="44" t="str">
        <f>G!AV302</f>
        <v>--</v>
      </c>
      <c r="O356" s="35" t="str">
        <f>G!AY302</f>
        <v/>
      </c>
      <c r="P356" s="44" t="str">
        <f>G!AX302</f>
        <v>--</v>
      </c>
      <c r="Q356" s="35" t="str">
        <f>G!AZ302</f>
        <v/>
      </c>
      <c r="R356" s="35" t="str">
        <f>G!BA302</f>
        <v/>
      </c>
      <c r="T356" s="44" t="str">
        <f>G!BC302</f>
        <v/>
      </c>
      <c r="U356" s="44" t="str">
        <f>G!BB302</f>
        <v>--</v>
      </c>
      <c r="V356" s="44"/>
      <c r="W356" s="35" t="str">
        <f>G!BE302</f>
        <v/>
      </c>
      <c r="X356" s="44" t="str">
        <f>G!BD302</f>
        <v>--</v>
      </c>
      <c r="Y356" s="35" t="str">
        <f>G!BF302</f>
        <v/>
      </c>
      <c r="Z356" s="35" t="str">
        <f>G!BG302</f>
        <v/>
      </c>
      <c r="AA356" s="44"/>
      <c r="AE356" s="72">
        <f t="shared" si="23"/>
        <v>1</v>
      </c>
    </row>
    <row r="357" spans="1:31" ht="9" hidden="1" customHeight="1" x14ac:dyDescent="0.15">
      <c r="A357" s="195" t="str">
        <f>F!A303</f>
        <v>Diethylether</v>
      </c>
      <c r="B357" s="195"/>
      <c r="C357" s="195"/>
      <c r="D357" s="44" t="str">
        <f>G!AQ303</f>
        <v/>
      </c>
      <c r="E357" s="44" t="str">
        <f>G!AP303</f>
        <v>--</v>
      </c>
      <c r="G357" s="35" t="str">
        <f>G!AS303</f>
        <v/>
      </c>
      <c r="H357" s="44" t="str">
        <f>G!AR303</f>
        <v>--</v>
      </c>
      <c r="I357" s="35" t="str">
        <f>G!AT303</f>
        <v/>
      </c>
      <c r="J357" s="35" t="str">
        <f>G!AU303</f>
        <v/>
      </c>
      <c r="L357" s="44" t="str">
        <f>G!AW303</f>
        <v/>
      </c>
      <c r="M357" s="44" t="str">
        <f>G!AV303</f>
        <v>--</v>
      </c>
      <c r="O357" s="35" t="str">
        <f>G!AY303</f>
        <v/>
      </c>
      <c r="P357" s="44" t="str">
        <f>G!AX303</f>
        <v>--</v>
      </c>
      <c r="Q357" s="35" t="str">
        <f>G!AZ303</f>
        <v/>
      </c>
      <c r="R357" s="35" t="str">
        <f>G!BA303</f>
        <v/>
      </c>
      <c r="T357" s="44" t="str">
        <f>G!BC303</f>
        <v/>
      </c>
      <c r="U357" s="44" t="str">
        <f>G!BB303</f>
        <v>--</v>
      </c>
      <c r="V357" s="44"/>
      <c r="W357" s="35" t="str">
        <f>G!BE303</f>
        <v/>
      </c>
      <c r="X357" s="44" t="str">
        <f>G!BD303</f>
        <v>--</v>
      </c>
      <c r="Y357" s="35" t="str">
        <f>G!BF303</f>
        <v/>
      </c>
      <c r="Z357" s="35" t="str">
        <f>G!BG303</f>
        <v/>
      </c>
      <c r="AA357" s="44"/>
      <c r="AE357" s="72">
        <f t="shared" si="23"/>
        <v>1</v>
      </c>
    </row>
    <row r="358" spans="1:31" ht="9" hidden="1" customHeight="1" x14ac:dyDescent="0.15">
      <c r="A358" s="195" t="str">
        <f>F!A304</f>
        <v>Methylisobutylketon (MIBK)</v>
      </c>
      <c r="B358" s="195"/>
      <c r="C358" s="195"/>
      <c r="D358" s="44" t="str">
        <f>G!AQ304</f>
        <v/>
      </c>
      <c r="E358" s="44" t="str">
        <f>G!AP304</f>
        <v>--</v>
      </c>
      <c r="G358" s="35" t="str">
        <f>G!AS304</f>
        <v/>
      </c>
      <c r="H358" s="44" t="str">
        <f>G!AR304</f>
        <v>--</v>
      </c>
      <c r="I358" s="35" t="str">
        <f>G!AT304</f>
        <v/>
      </c>
      <c r="J358" s="35" t="str">
        <f>G!AU304</f>
        <v/>
      </c>
      <c r="L358" s="44" t="str">
        <f>G!AW304</f>
        <v/>
      </c>
      <c r="M358" s="44" t="str">
        <f>G!AV304</f>
        <v>--</v>
      </c>
      <c r="O358" s="35" t="str">
        <f>G!AY304</f>
        <v/>
      </c>
      <c r="P358" s="44" t="str">
        <f>G!AX304</f>
        <v>--</v>
      </c>
      <c r="Q358" s="35" t="str">
        <f>G!AZ304</f>
        <v/>
      </c>
      <c r="R358" s="35" t="str">
        <f>G!BA304</f>
        <v/>
      </c>
      <c r="T358" s="44" t="str">
        <f>G!BC304</f>
        <v/>
      </c>
      <c r="U358" s="44" t="str">
        <f>G!BB304</f>
        <v>--</v>
      </c>
      <c r="V358" s="44"/>
      <c r="W358" s="35" t="str">
        <f>G!BE304</f>
        <v/>
      </c>
      <c r="X358" s="44" t="str">
        <f>G!BD304</f>
        <v>--</v>
      </c>
      <c r="Y358" s="35" t="str">
        <f>G!BF304</f>
        <v/>
      </c>
      <c r="Z358" s="35" t="str">
        <f>G!BG304</f>
        <v/>
      </c>
      <c r="AA358" s="44"/>
      <c r="AE358" s="72">
        <f t="shared" si="23"/>
        <v>1</v>
      </c>
    </row>
    <row r="359" spans="1:31" ht="9" hidden="1" customHeight="1" x14ac:dyDescent="0.15">
      <c r="A359" s="195" t="str">
        <f>F!A305</f>
        <v>Methylethylketon (MEK)</v>
      </c>
      <c r="B359" s="195"/>
      <c r="C359" s="195"/>
      <c r="D359" s="44" t="str">
        <f>G!AQ305</f>
        <v/>
      </c>
      <c r="E359" s="44" t="str">
        <f>G!AP305</f>
        <v>--</v>
      </c>
      <c r="G359" s="35" t="str">
        <f>G!AS305</f>
        <v/>
      </c>
      <c r="H359" s="44" t="str">
        <f>G!AR305</f>
        <v>--</v>
      </c>
      <c r="I359" s="35" t="str">
        <f>G!AT305</f>
        <v/>
      </c>
      <c r="J359" s="35" t="str">
        <f>G!AU305</f>
        <v/>
      </c>
      <c r="L359" s="44" t="str">
        <f>G!AW305</f>
        <v/>
      </c>
      <c r="M359" s="44" t="str">
        <f>G!AV305</f>
        <v>--</v>
      </c>
      <c r="O359" s="35" t="str">
        <f>G!AY305</f>
        <v/>
      </c>
      <c r="P359" s="44" t="str">
        <f>G!AX305</f>
        <v>--</v>
      </c>
      <c r="Q359" s="35" t="str">
        <f>G!AZ305</f>
        <v/>
      </c>
      <c r="R359" s="35" t="str">
        <f>G!BA305</f>
        <v/>
      </c>
      <c r="T359" s="44" t="str">
        <f>G!BC305</f>
        <v/>
      </c>
      <c r="U359" s="44" t="str">
        <f>G!BB305</f>
        <v>--</v>
      </c>
      <c r="V359" s="44"/>
      <c r="W359" s="35" t="str">
        <f>G!BE305</f>
        <v/>
      </c>
      <c r="X359" s="44" t="str">
        <f>G!BD305</f>
        <v>--</v>
      </c>
      <c r="Y359" s="35" t="str">
        <f>G!BF305</f>
        <v/>
      </c>
      <c r="Z359" s="35" t="str">
        <f>G!BG305</f>
        <v/>
      </c>
      <c r="AA359" s="44"/>
      <c r="AE359" s="72">
        <f t="shared" si="23"/>
        <v>1</v>
      </c>
    </row>
    <row r="360" spans="1:31" ht="9" hidden="1" customHeight="1" x14ac:dyDescent="0.15">
      <c r="A360" s="195" t="str">
        <f>F!A306</f>
        <v>Acetonitrile</v>
      </c>
      <c r="B360" s="195"/>
      <c r="C360" s="195"/>
      <c r="D360" s="44" t="str">
        <f>G!AQ306</f>
        <v/>
      </c>
      <c r="E360" s="44" t="str">
        <f>G!AP306</f>
        <v>--</v>
      </c>
      <c r="G360" s="35" t="str">
        <f>G!AS306</f>
        <v/>
      </c>
      <c r="H360" s="44" t="str">
        <f>G!AR306</f>
        <v>--</v>
      </c>
      <c r="I360" s="35" t="str">
        <f>G!AT306</f>
        <v/>
      </c>
      <c r="J360" s="35" t="str">
        <f>G!AU306</f>
        <v/>
      </c>
      <c r="L360" s="44" t="str">
        <f>G!AW306</f>
        <v/>
      </c>
      <c r="M360" s="44" t="str">
        <f>G!AV306</f>
        <v>--</v>
      </c>
      <c r="O360" s="35" t="str">
        <f>G!AY306</f>
        <v/>
      </c>
      <c r="P360" s="44" t="str">
        <f>G!AX306</f>
        <v>--</v>
      </c>
      <c r="Q360" s="35" t="str">
        <f>G!AZ306</f>
        <v/>
      </c>
      <c r="R360" s="35" t="str">
        <f>G!BA306</f>
        <v/>
      </c>
      <c r="T360" s="44" t="str">
        <f>G!BC306</f>
        <v/>
      </c>
      <c r="U360" s="44" t="str">
        <f>G!BB306</f>
        <v>--</v>
      </c>
      <c r="V360" s="44"/>
      <c r="W360" s="35" t="str">
        <f>G!BE306</f>
        <v/>
      </c>
      <c r="X360" s="44" t="str">
        <f>G!BD306</f>
        <v>--</v>
      </c>
      <c r="Y360" s="35" t="str">
        <f>G!BF306</f>
        <v/>
      </c>
      <c r="Z360" s="35" t="str">
        <f>G!BG306</f>
        <v/>
      </c>
      <c r="AA360" s="44"/>
      <c r="AE360" s="72">
        <f t="shared" si="23"/>
        <v>1</v>
      </c>
    </row>
    <row r="361" spans="1:31" ht="3.95" hidden="1" customHeight="1" x14ac:dyDescent="0.15">
      <c r="A361" s="41"/>
      <c r="B361" s="41"/>
      <c r="C361" s="41"/>
      <c r="D361" s="44"/>
      <c r="E361" s="44"/>
      <c r="H361" s="44"/>
      <c r="L361" s="44"/>
      <c r="M361" s="44"/>
      <c r="P361" s="44"/>
      <c r="T361" s="44"/>
      <c r="U361" s="44"/>
      <c r="V361" s="44"/>
      <c r="X361" s="44"/>
      <c r="Z361" s="44"/>
      <c r="AA361" s="44"/>
      <c r="AE361" s="94">
        <f>AE362</f>
        <v>1</v>
      </c>
    </row>
    <row r="362" spans="1:31" ht="9" hidden="1" customHeight="1" x14ac:dyDescent="0.15">
      <c r="A362" s="198" t="str">
        <f>IF(COUNTIF(F!D306:D311,131)&gt;0,"Aminoachtige verbindingen (µg/kgds)","Aminoachtige verbindingen (mg/kgds)")</f>
        <v>Aminoachtige verbindingen (mg/kgds)</v>
      </c>
      <c r="B362" s="198"/>
      <c r="C362" s="198"/>
      <c r="D362" s="198"/>
      <c r="E362" s="198"/>
      <c r="F362" s="198"/>
      <c r="G362" s="198"/>
      <c r="H362" s="198"/>
      <c r="I362" s="198"/>
      <c r="J362" s="198"/>
      <c r="K362" s="198"/>
      <c r="L362" s="198"/>
      <c r="M362" s="198"/>
      <c r="N362" s="198"/>
      <c r="O362" s="198"/>
      <c r="P362" s="198"/>
      <c r="Q362" s="198"/>
      <c r="R362" s="198"/>
      <c r="S362" s="198"/>
      <c r="T362" s="198"/>
      <c r="U362" s="198"/>
      <c r="V362" s="198"/>
      <c r="W362" s="198"/>
      <c r="X362" s="198"/>
      <c r="Y362" s="198"/>
      <c r="Z362" s="198"/>
      <c r="AA362" s="198"/>
      <c r="AE362" s="94">
        <f>IF(COUNTIF(AE363:AE367,1)=COUNT(AE363:AE367),1,0)</f>
        <v>1</v>
      </c>
    </row>
    <row r="363" spans="1:31" ht="9" hidden="1" customHeight="1" x14ac:dyDescent="0.15">
      <c r="A363" s="195" t="str">
        <f>F!A307</f>
        <v>3+4-Chlooraniline</v>
      </c>
      <c r="B363" s="195"/>
      <c r="C363" s="195"/>
      <c r="D363" s="44" t="str">
        <f>G!AQ307</f>
        <v/>
      </c>
      <c r="E363" s="44" t="str">
        <f>G!AP307</f>
        <v>--</v>
      </c>
      <c r="G363" s="35" t="str">
        <f>G!AS307</f>
        <v/>
      </c>
      <c r="H363" s="44" t="str">
        <f>G!AR307</f>
        <v>--</v>
      </c>
      <c r="I363" s="35" t="str">
        <f>G!AT307</f>
        <v/>
      </c>
      <c r="J363" s="35" t="str">
        <f>G!AU307</f>
        <v/>
      </c>
      <c r="L363" s="44" t="str">
        <f>G!AW307</f>
        <v/>
      </c>
      <c r="M363" s="44" t="str">
        <f>G!AV307</f>
        <v>--</v>
      </c>
      <c r="O363" s="35" t="str">
        <f>G!AY307</f>
        <v/>
      </c>
      <c r="P363" s="44" t="str">
        <f>G!AX307</f>
        <v>--</v>
      </c>
      <c r="Q363" s="35" t="str">
        <f>G!AZ307</f>
        <v/>
      </c>
      <c r="R363" s="35" t="str">
        <f>G!BA307</f>
        <v/>
      </c>
      <c r="T363" s="44" t="str">
        <f>G!BC307</f>
        <v/>
      </c>
      <c r="U363" s="44" t="str">
        <f>G!BB307</f>
        <v>--</v>
      </c>
      <c r="V363" s="44"/>
      <c r="W363" s="35" t="str">
        <f>G!BE307</f>
        <v/>
      </c>
      <c r="X363" s="44" t="str">
        <f>G!BD307</f>
        <v>--</v>
      </c>
      <c r="Y363" s="35" t="str">
        <f>G!BF307</f>
        <v/>
      </c>
      <c r="Z363" s="35" t="str">
        <f>G!BG307</f>
        <v/>
      </c>
      <c r="AA363" s="44"/>
      <c r="AE363" s="72">
        <f t="shared" si="23"/>
        <v>1</v>
      </c>
    </row>
    <row r="364" spans="1:31" ht="9" hidden="1" customHeight="1" x14ac:dyDescent="0.15">
      <c r="A364" s="195" t="str">
        <f>F!A308</f>
        <v>2-Nitroaniline</v>
      </c>
      <c r="B364" s="195"/>
      <c r="C364" s="195"/>
      <c r="D364" s="44" t="str">
        <f>G!AQ308</f>
        <v/>
      </c>
      <c r="E364" s="44" t="str">
        <f>G!AP308</f>
        <v>--</v>
      </c>
      <c r="G364" s="35" t="str">
        <f>G!AS308</f>
        <v/>
      </c>
      <c r="H364" s="44" t="str">
        <f>G!AR308</f>
        <v>--</v>
      </c>
      <c r="I364" s="35" t="str">
        <f>G!AT308</f>
        <v/>
      </c>
      <c r="J364" s="35" t="str">
        <f>G!AU308</f>
        <v/>
      </c>
      <c r="L364" s="44" t="str">
        <f>G!AW308</f>
        <v/>
      </c>
      <c r="M364" s="44" t="str">
        <f>G!AV308</f>
        <v>--</v>
      </c>
      <c r="O364" s="35" t="str">
        <f>G!AY308</f>
        <v/>
      </c>
      <c r="P364" s="44" t="str">
        <f>G!AX308</f>
        <v>--</v>
      </c>
      <c r="Q364" s="35" t="str">
        <f>G!AZ308</f>
        <v/>
      </c>
      <c r="R364" s="35" t="str">
        <f>G!BA308</f>
        <v/>
      </c>
      <c r="T364" s="44" t="str">
        <f>G!BC308</f>
        <v/>
      </c>
      <c r="U364" s="44" t="str">
        <f>G!BB308</f>
        <v>--</v>
      </c>
      <c r="V364" s="44"/>
      <c r="W364" s="35" t="str">
        <f>G!BE308</f>
        <v/>
      </c>
      <c r="X364" s="44" t="str">
        <f>G!BD308</f>
        <v>--</v>
      </c>
      <c r="Y364" s="35" t="str">
        <f>G!BF308</f>
        <v/>
      </c>
      <c r="Z364" s="35" t="str">
        <f>G!BG308</f>
        <v/>
      </c>
      <c r="AA364" s="44"/>
      <c r="AE364" s="72">
        <f t="shared" si="23"/>
        <v>1</v>
      </c>
    </row>
    <row r="365" spans="1:31" ht="9" hidden="1" customHeight="1" x14ac:dyDescent="0.15">
      <c r="A365" s="195" t="str">
        <f>F!A309</f>
        <v>3-Nitroaniline</v>
      </c>
      <c r="B365" s="195"/>
      <c r="C365" s="195"/>
      <c r="D365" s="44" t="str">
        <f>G!AQ309</f>
        <v/>
      </c>
      <c r="E365" s="44" t="str">
        <f>G!AP309</f>
        <v>--</v>
      </c>
      <c r="G365" s="35" t="str">
        <f>G!AS309</f>
        <v/>
      </c>
      <c r="H365" s="44" t="str">
        <f>G!AR309</f>
        <v>--</v>
      </c>
      <c r="I365" s="35" t="str">
        <f>G!AT309</f>
        <v/>
      </c>
      <c r="J365" s="35" t="str">
        <f>G!AU309</f>
        <v/>
      </c>
      <c r="L365" s="44" t="str">
        <f>G!AW309</f>
        <v/>
      </c>
      <c r="M365" s="44" t="str">
        <f>G!AV309</f>
        <v>--</v>
      </c>
      <c r="O365" s="35" t="str">
        <f>G!AY309</f>
        <v/>
      </c>
      <c r="P365" s="44" t="str">
        <f>G!AX309</f>
        <v>--</v>
      </c>
      <c r="Q365" s="35" t="str">
        <f>G!AZ309</f>
        <v/>
      </c>
      <c r="R365" s="35" t="str">
        <f>G!BA309</f>
        <v/>
      </c>
      <c r="T365" s="44" t="str">
        <f>G!BC309</f>
        <v/>
      </c>
      <c r="U365" s="44" t="str">
        <f>G!BB309</f>
        <v>--</v>
      </c>
      <c r="V365" s="44"/>
      <c r="W365" s="35" t="str">
        <f>G!BE309</f>
        <v/>
      </c>
      <c r="X365" s="44" t="str">
        <f>G!BD309</f>
        <v>--</v>
      </c>
      <c r="Y365" s="35" t="str">
        <f>G!BF309</f>
        <v/>
      </c>
      <c r="Z365" s="35" t="str">
        <f>G!BG309</f>
        <v/>
      </c>
      <c r="AA365" s="44"/>
      <c r="AE365" s="72">
        <f t="shared" si="23"/>
        <v>1</v>
      </c>
    </row>
    <row r="366" spans="1:31" ht="9" hidden="1" customHeight="1" x14ac:dyDescent="0.15">
      <c r="A366" s="195" t="str">
        <f>F!A310</f>
        <v>4-Nitroaniline</v>
      </c>
      <c r="B366" s="195"/>
      <c r="C366" s="195"/>
      <c r="D366" s="44" t="str">
        <f>G!AQ310</f>
        <v/>
      </c>
      <c r="E366" s="44" t="str">
        <f>G!AP310</f>
        <v>--</v>
      </c>
      <c r="G366" s="35" t="str">
        <f>G!AS310</f>
        <v/>
      </c>
      <c r="H366" s="44" t="str">
        <f>G!AR310</f>
        <v>--</v>
      </c>
      <c r="I366" s="35" t="str">
        <f>G!AT310</f>
        <v/>
      </c>
      <c r="J366" s="35" t="str">
        <f>G!AU310</f>
        <v/>
      </c>
      <c r="L366" s="44" t="str">
        <f>G!AW310</f>
        <v/>
      </c>
      <c r="M366" s="44" t="str">
        <f>G!AV310</f>
        <v>--</v>
      </c>
      <c r="O366" s="35" t="str">
        <f>G!AY310</f>
        <v/>
      </c>
      <c r="P366" s="44" t="str">
        <f>G!AX310</f>
        <v>--</v>
      </c>
      <c r="Q366" s="35" t="str">
        <f>G!AZ310</f>
        <v/>
      </c>
      <c r="R366" s="35" t="str">
        <f>G!BA310</f>
        <v/>
      </c>
      <c r="T366" s="44" t="str">
        <f>G!BC310</f>
        <v/>
      </c>
      <c r="U366" s="44" t="str">
        <f>G!BB310</f>
        <v>--</v>
      </c>
      <c r="V366" s="44"/>
      <c r="W366" s="35" t="str">
        <f>G!BE310</f>
        <v/>
      </c>
      <c r="X366" s="44" t="str">
        <f>G!BD310</f>
        <v>--</v>
      </c>
      <c r="Y366" s="35" t="str">
        <f>G!BF310</f>
        <v/>
      </c>
      <c r="Z366" s="35" t="str">
        <f>G!BG310</f>
        <v/>
      </c>
      <c r="AA366" s="44"/>
      <c r="AE366" s="72">
        <f t="shared" si="23"/>
        <v>1</v>
      </c>
    </row>
    <row r="367" spans="1:31" ht="9" hidden="1" customHeight="1" x14ac:dyDescent="0.15">
      <c r="A367" s="195" t="str">
        <f>F!A311</f>
        <v>n-Nitrosodi-n-propylamine</v>
      </c>
      <c r="B367" s="195"/>
      <c r="C367" s="195"/>
      <c r="D367" s="44" t="str">
        <f>G!AQ311</f>
        <v/>
      </c>
      <c r="E367" s="44" t="str">
        <f>G!AP311</f>
        <v>--</v>
      </c>
      <c r="G367" s="35" t="str">
        <f>G!AS311</f>
        <v/>
      </c>
      <c r="H367" s="44" t="str">
        <f>G!AR311</f>
        <v>--</v>
      </c>
      <c r="I367" s="35" t="str">
        <f>G!AT311</f>
        <v/>
      </c>
      <c r="J367" s="35" t="str">
        <f>G!AU311</f>
        <v/>
      </c>
      <c r="L367" s="44" t="str">
        <f>G!AW311</f>
        <v/>
      </c>
      <c r="M367" s="44" t="str">
        <f>G!AV311</f>
        <v>--</v>
      </c>
      <c r="O367" s="35" t="str">
        <f>G!AY311</f>
        <v/>
      </c>
      <c r="P367" s="44" t="str">
        <f>G!AX311</f>
        <v>--</v>
      </c>
      <c r="Q367" s="35" t="str">
        <f>G!AZ311</f>
        <v/>
      </c>
      <c r="R367" s="35" t="str">
        <f>G!BA311</f>
        <v/>
      </c>
      <c r="T367" s="44" t="str">
        <f>G!BC311</f>
        <v/>
      </c>
      <c r="U367" s="44" t="str">
        <f>G!BB311</f>
        <v>--</v>
      </c>
      <c r="V367" s="44"/>
      <c r="W367" s="35" t="str">
        <f>G!BE311</f>
        <v/>
      </c>
      <c r="X367" s="44" t="str">
        <f>G!BD311</f>
        <v>--</v>
      </c>
      <c r="Y367" s="35" t="str">
        <f>G!BF311</f>
        <v/>
      </c>
      <c r="Z367" s="35" t="str">
        <f>G!BG311</f>
        <v/>
      </c>
      <c r="AA367" s="44"/>
      <c r="AE367" s="72">
        <f t="shared" si="23"/>
        <v>1</v>
      </c>
    </row>
    <row r="368" spans="1:31" ht="3.95" hidden="1" customHeight="1" x14ac:dyDescent="0.15">
      <c r="A368" s="41"/>
      <c r="B368" s="41"/>
      <c r="C368" s="41"/>
      <c r="D368" s="44"/>
      <c r="E368" s="44"/>
      <c r="H368" s="44"/>
      <c r="L368" s="44"/>
      <c r="M368" s="44"/>
      <c r="P368" s="44"/>
      <c r="T368" s="44"/>
      <c r="U368" s="44"/>
      <c r="V368" s="44"/>
      <c r="X368" s="44"/>
      <c r="Z368" s="44"/>
      <c r="AA368" s="44"/>
      <c r="AE368" s="94">
        <f>AE369</f>
        <v>1</v>
      </c>
    </row>
    <row r="369" spans="1:31" ht="9" hidden="1" customHeight="1" x14ac:dyDescent="0.15">
      <c r="A369" s="198" t="str">
        <f>IF(COUNTIF(F!D312:D318,131)&gt;0,"Alcoholen (µg/kgds)","Alcoholen (mg/kgds)")</f>
        <v>Alcoholen (mg/kgds)</v>
      </c>
      <c r="B369" s="198"/>
      <c r="C369" s="198"/>
      <c r="D369" s="198"/>
      <c r="E369" s="198"/>
      <c r="F369" s="198"/>
      <c r="G369" s="198"/>
      <c r="H369" s="198"/>
      <c r="I369" s="198"/>
      <c r="J369" s="198"/>
      <c r="K369" s="198"/>
      <c r="L369" s="198"/>
      <c r="M369" s="198"/>
      <c r="N369" s="198"/>
      <c r="O369" s="198"/>
      <c r="P369" s="198"/>
      <c r="Q369" s="198"/>
      <c r="R369" s="198"/>
      <c r="S369" s="198"/>
      <c r="T369" s="198"/>
      <c r="U369" s="198"/>
      <c r="V369" s="198"/>
      <c r="W369" s="198"/>
      <c r="X369" s="198"/>
      <c r="Y369" s="198"/>
      <c r="Z369" s="198"/>
      <c r="AA369" s="198"/>
      <c r="AE369" s="94">
        <f>IF(COUNTIF(AE370:AE376,1)=COUNT(AE370:AE376),1,0)</f>
        <v>1</v>
      </c>
    </row>
    <row r="370" spans="1:31" ht="9" hidden="1" customHeight="1" x14ac:dyDescent="0.15">
      <c r="A370" s="195" t="str">
        <f>F!A312</f>
        <v>Methanol</v>
      </c>
      <c r="B370" s="195"/>
      <c r="C370" s="195"/>
      <c r="D370" s="44" t="str">
        <f>G!AQ312</f>
        <v/>
      </c>
      <c r="E370" s="44" t="str">
        <f>G!AP312</f>
        <v>--</v>
      </c>
      <c r="G370" s="35" t="str">
        <f>G!AS312</f>
        <v/>
      </c>
      <c r="H370" s="44" t="str">
        <f>G!AR312</f>
        <v>--</v>
      </c>
      <c r="I370" s="35" t="str">
        <f>G!AT312</f>
        <v/>
      </c>
      <c r="J370" s="35" t="str">
        <f>G!AU312</f>
        <v/>
      </c>
      <c r="L370" s="44" t="str">
        <f>G!AW312</f>
        <v/>
      </c>
      <c r="M370" s="44" t="str">
        <f>G!AV312</f>
        <v>--</v>
      </c>
      <c r="O370" s="35" t="str">
        <f>G!AY312</f>
        <v/>
      </c>
      <c r="P370" s="44" t="str">
        <f>G!AX312</f>
        <v>--</v>
      </c>
      <c r="Q370" s="35" t="str">
        <f>G!AZ312</f>
        <v/>
      </c>
      <c r="R370" s="35" t="str">
        <f>G!BA312</f>
        <v/>
      </c>
      <c r="T370" s="44" t="str">
        <f>G!BC312</f>
        <v/>
      </c>
      <c r="U370" s="44" t="str">
        <f>G!BB312</f>
        <v>--</v>
      </c>
      <c r="V370" s="44"/>
      <c r="W370" s="35" t="str">
        <f>G!BE312</f>
        <v/>
      </c>
      <c r="X370" s="44" t="str">
        <f>G!BD312</f>
        <v>--</v>
      </c>
      <c r="Y370" s="35" t="str">
        <f>G!BF312</f>
        <v/>
      </c>
      <c r="Z370" s="35" t="str">
        <f>G!BG312</f>
        <v/>
      </c>
      <c r="AA370" s="44"/>
      <c r="AE370" s="72">
        <f t="shared" si="23"/>
        <v>1</v>
      </c>
    </row>
    <row r="371" spans="1:31" ht="9" hidden="1" customHeight="1" x14ac:dyDescent="0.15">
      <c r="A371" s="195" t="str">
        <f>F!A313</f>
        <v>Ethanol</v>
      </c>
      <c r="B371" s="195"/>
      <c r="C371" s="195"/>
      <c r="D371" s="44" t="str">
        <f>G!AQ313</f>
        <v/>
      </c>
      <c r="E371" s="44" t="str">
        <f>G!AP313</f>
        <v>--</v>
      </c>
      <c r="G371" s="35" t="str">
        <f>G!AS313</f>
        <v/>
      </c>
      <c r="H371" s="44" t="str">
        <f>G!AR313</f>
        <v>--</v>
      </c>
      <c r="I371" s="35" t="str">
        <f>G!AT313</f>
        <v/>
      </c>
      <c r="J371" s="35" t="str">
        <f>G!AU313</f>
        <v/>
      </c>
      <c r="L371" s="44" t="str">
        <f>G!AW313</f>
        <v/>
      </c>
      <c r="M371" s="44" t="str">
        <f>G!AV313</f>
        <v>--</v>
      </c>
      <c r="O371" s="35" t="str">
        <f>G!AY313</f>
        <v/>
      </c>
      <c r="P371" s="44" t="str">
        <f>G!AX313</f>
        <v>--</v>
      </c>
      <c r="Q371" s="35" t="str">
        <f>G!AZ313</f>
        <v/>
      </c>
      <c r="R371" s="35" t="str">
        <f>G!BA313</f>
        <v/>
      </c>
      <c r="T371" s="44" t="str">
        <f>G!BC313</f>
        <v/>
      </c>
      <c r="U371" s="44" t="str">
        <f>G!BB313</f>
        <v>--</v>
      </c>
      <c r="V371" s="44"/>
      <c r="W371" s="35" t="str">
        <f>G!BE313</f>
        <v/>
      </c>
      <c r="X371" s="44" t="str">
        <f>G!BD313</f>
        <v>--</v>
      </c>
      <c r="Y371" s="35" t="str">
        <f>G!BF313</f>
        <v/>
      </c>
      <c r="Z371" s="35" t="str">
        <f>G!BG313</f>
        <v/>
      </c>
      <c r="AA371" s="44"/>
      <c r="AE371" s="72">
        <f t="shared" si="23"/>
        <v>1</v>
      </c>
    </row>
    <row r="372" spans="1:31" ht="9" hidden="1" customHeight="1" x14ac:dyDescent="0.15">
      <c r="A372" s="195" t="str">
        <f>F!A314</f>
        <v>1-Propanol</v>
      </c>
      <c r="B372" s="195"/>
      <c r="C372" s="195"/>
      <c r="D372" s="44" t="str">
        <f>G!AQ314</f>
        <v/>
      </c>
      <c r="E372" s="44" t="str">
        <f>G!AP314</f>
        <v>--</v>
      </c>
      <c r="G372" s="35" t="str">
        <f>G!AS314</f>
        <v/>
      </c>
      <c r="H372" s="44" t="str">
        <f>G!AR314</f>
        <v>--</v>
      </c>
      <c r="I372" s="35" t="str">
        <f>G!AT314</f>
        <v/>
      </c>
      <c r="J372" s="35" t="str">
        <f>G!AU314</f>
        <v/>
      </c>
      <c r="L372" s="44" t="str">
        <f>G!AW314</f>
        <v/>
      </c>
      <c r="M372" s="44" t="str">
        <f>G!AV314</f>
        <v>--</v>
      </c>
      <c r="O372" s="35" t="str">
        <f>G!AY314</f>
        <v/>
      </c>
      <c r="P372" s="44" t="str">
        <f>G!AX314</f>
        <v>--</v>
      </c>
      <c r="Q372" s="35" t="str">
        <f>G!AZ314</f>
        <v/>
      </c>
      <c r="R372" s="35" t="str">
        <f>G!BA314</f>
        <v/>
      </c>
      <c r="T372" s="44" t="str">
        <f>G!BC314</f>
        <v/>
      </c>
      <c r="U372" s="44" t="str">
        <f>G!BB314</f>
        <v>--</v>
      </c>
      <c r="V372" s="44"/>
      <c r="W372" s="35" t="str">
        <f>G!BE314</f>
        <v/>
      </c>
      <c r="X372" s="44" t="str">
        <f>G!BD314</f>
        <v>--</v>
      </c>
      <c r="Y372" s="35" t="str">
        <f>G!BF314</f>
        <v/>
      </c>
      <c r="Z372" s="35" t="str">
        <f>G!BG314</f>
        <v/>
      </c>
      <c r="AA372" s="44"/>
      <c r="AE372" s="72">
        <f t="shared" si="23"/>
        <v>1</v>
      </c>
    </row>
    <row r="373" spans="1:31" ht="9" hidden="1" customHeight="1" x14ac:dyDescent="0.15">
      <c r="A373" s="195" t="str">
        <f>F!A315</f>
        <v>2-Propanol (IPA)</v>
      </c>
      <c r="B373" s="195"/>
      <c r="C373" s="195"/>
      <c r="D373" s="44" t="str">
        <f>G!AQ315</f>
        <v/>
      </c>
      <c r="E373" s="44" t="str">
        <f>G!AP315</f>
        <v>--</v>
      </c>
      <c r="G373" s="35" t="str">
        <f>G!AS315</f>
        <v/>
      </c>
      <c r="H373" s="44" t="str">
        <f>G!AR315</f>
        <v>--</v>
      </c>
      <c r="I373" s="35" t="str">
        <f>G!AT315</f>
        <v/>
      </c>
      <c r="J373" s="35" t="str">
        <f>G!AU315</f>
        <v/>
      </c>
      <c r="L373" s="44" t="str">
        <f>G!AW315</f>
        <v/>
      </c>
      <c r="M373" s="44" t="str">
        <f>G!AV315</f>
        <v>--</v>
      </c>
      <c r="O373" s="35" t="str">
        <f>G!AY315</f>
        <v/>
      </c>
      <c r="P373" s="44" t="str">
        <f>G!AX315</f>
        <v>--</v>
      </c>
      <c r="Q373" s="35" t="str">
        <f>G!AZ315</f>
        <v/>
      </c>
      <c r="R373" s="35" t="str">
        <f>G!BA315</f>
        <v/>
      </c>
      <c r="T373" s="44" t="str">
        <f>G!BC315</f>
        <v/>
      </c>
      <c r="U373" s="44" t="str">
        <f>G!BB315</f>
        <v>--</v>
      </c>
      <c r="V373" s="44"/>
      <c r="W373" s="35" t="str">
        <f>G!BE315</f>
        <v/>
      </c>
      <c r="X373" s="44" t="str">
        <f>G!BD315</f>
        <v>--</v>
      </c>
      <c r="Y373" s="35" t="str">
        <f>G!BF315</f>
        <v/>
      </c>
      <c r="Z373" s="35" t="str">
        <f>G!BG315</f>
        <v/>
      </c>
      <c r="AA373" s="44"/>
      <c r="AE373" s="72">
        <f t="shared" si="23"/>
        <v>1</v>
      </c>
    </row>
    <row r="374" spans="1:31" ht="9" hidden="1" customHeight="1" x14ac:dyDescent="0.15">
      <c r="A374" s="195" t="str">
        <f>F!A316</f>
        <v>1-Butanol</v>
      </c>
      <c r="B374" s="195"/>
      <c r="C374" s="195"/>
      <c r="D374" s="44" t="str">
        <f>G!AQ316</f>
        <v/>
      </c>
      <c r="E374" s="44" t="str">
        <f>G!AP316</f>
        <v>--</v>
      </c>
      <c r="G374" s="35" t="str">
        <f>G!AS316</f>
        <v/>
      </c>
      <c r="H374" s="44" t="str">
        <f>G!AR316</f>
        <v>--</v>
      </c>
      <c r="I374" s="35" t="str">
        <f>G!AT316</f>
        <v/>
      </c>
      <c r="J374" s="35" t="str">
        <f>G!AU316</f>
        <v/>
      </c>
      <c r="L374" s="44" t="str">
        <f>G!AW316</f>
        <v/>
      </c>
      <c r="M374" s="44" t="str">
        <f>G!AV316</f>
        <v>--</v>
      </c>
      <c r="O374" s="35" t="str">
        <f>G!AY316</f>
        <v/>
      </c>
      <c r="P374" s="44" t="str">
        <f>G!AX316</f>
        <v>--</v>
      </c>
      <c r="Q374" s="35" t="str">
        <f>G!AZ316</f>
        <v/>
      </c>
      <c r="R374" s="35" t="str">
        <f>G!BA316</f>
        <v/>
      </c>
      <c r="T374" s="44" t="str">
        <f>G!BC316</f>
        <v/>
      </c>
      <c r="U374" s="44" t="str">
        <f>G!BB316</f>
        <v>--</v>
      </c>
      <c r="V374" s="44"/>
      <c r="W374" s="35" t="str">
        <f>G!BE316</f>
        <v/>
      </c>
      <c r="X374" s="44" t="str">
        <f>G!BD316</f>
        <v>--</v>
      </c>
      <c r="Y374" s="35" t="str">
        <f>G!BF316</f>
        <v/>
      </c>
      <c r="Z374" s="35" t="str">
        <f>G!BG316</f>
        <v/>
      </c>
      <c r="AA374" s="44"/>
      <c r="AE374" s="72">
        <f t="shared" si="23"/>
        <v>1</v>
      </c>
    </row>
    <row r="375" spans="1:31" ht="9" hidden="1" customHeight="1" x14ac:dyDescent="0.15">
      <c r="A375" s="195" t="str">
        <f>F!A317</f>
        <v>Iso-butanol</v>
      </c>
      <c r="B375" s="195"/>
      <c r="C375" s="195"/>
      <c r="D375" s="44" t="str">
        <f>G!AQ317</f>
        <v/>
      </c>
      <c r="E375" s="44" t="str">
        <f>G!AP317</f>
        <v>--</v>
      </c>
      <c r="G375" s="35" t="str">
        <f>G!AS317</f>
        <v/>
      </c>
      <c r="H375" s="44" t="str">
        <f>G!AR317</f>
        <v>--</v>
      </c>
      <c r="I375" s="35" t="str">
        <f>G!AT317</f>
        <v/>
      </c>
      <c r="J375" s="35" t="str">
        <f>G!AU317</f>
        <v/>
      </c>
      <c r="L375" s="44" t="str">
        <f>G!AW317</f>
        <v/>
      </c>
      <c r="M375" s="44" t="str">
        <f>G!AV317</f>
        <v>--</v>
      </c>
      <c r="O375" s="35" t="str">
        <f>G!AY317</f>
        <v/>
      </c>
      <c r="P375" s="44" t="str">
        <f>G!AX317</f>
        <v>--</v>
      </c>
      <c r="Q375" s="35" t="str">
        <f>G!AZ317</f>
        <v/>
      </c>
      <c r="R375" s="35" t="str">
        <f>G!BA317</f>
        <v/>
      </c>
      <c r="T375" s="44" t="str">
        <f>G!BC317</f>
        <v/>
      </c>
      <c r="U375" s="44" t="str">
        <f>G!BB317</f>
        <v>--</v>
      </c>
      <c r="V375" s="44"/>
      <c r="W375" s="35" t="str">
        <f>G!BE317</f>
        <v/>
      </c>
      <c r="X375" s="44" t="str">
        <f>G!BD317</f>
        <v>--</v>
      </c>
      <c r="Y375" s="35" t="str">
        <f>G!BF317</f>
        <v/>
      </c>
      <c r="Z375" s="35" t="str">
        <f>G!BG317</f>
        <v/>
      </c>
      <c r="AA375" s="44"/>
      <c r="AE375" s="72">
        <f t="shared" si="23"/>
        <v>1</v>
      </c>
    </row>
    <row r="376" spans="1:31" ht="9" hidden="1" customHeight="1" x14ac:dyDescent="0.15">
      <c r="A376" s="195" t="str">
        <f>F!A318</f>
        <v>Tert-butanol</v>
      </c>
      <c r="B376" s="195"/>
      <c r="C376" s="195"/>
      <c r="D376" s="44" t="str">
        <f>G!AQ318</f>
        <v/>
      </c>
      <c r="E376" s="44" t="str">
        <f>G!AP318</f>
        <v>--</v>
      </c>
      <c r="G376" s="35" t="str">
        <f>G!AS318</f>
        <v/>
      </c>
      <c r="H376" s="44" t="str">
        <f>G!AR318</f>
        <v>--</v>
      </c>
      <c r="I376" s="35" t="str">
        <f>G!AT318</f>
        <v/>
      </c>
      <c r="J376" s="35" t="str">
        <f>G!AU318</f>
        <v/>
      </c>
      <c r="L376" s="44" t="str">
        <f>G!AW318</f>
        <v/>
      </c>
      <c r="M376" s="44" t="str">
        <f>G!AV318</f>
        <v>--</v>
      </c>
      <c r="O376" s="35" t="str">
        <f>G!AY318</f>
        <v/>
      </c>
      <c r="P376" s="44" t="str">
        <f>G!AX318</f>
        <v>--</v>
      </c>
      <c r="Q376" s="35" t="str">
        <f>G!AZ318</f>
        <v/>
      </c>
      <c r="R376" s="35" t="str">
        <f>G!BA318</f>
        <v/>
      </c>
      <c r="T376" s="44" t="str">
        <f>G!BC318</f>
        <v/>
      </c>
      <c r="U376" s="44" t="str">
        <f>G!BB318</f>
        <v>--</v>
      </c>
      <c r="V376" s="44"/>
      <c r="W376" s="35" t="str">
        <f>G!BE318</f>
        <v/>
      </c>
      <c r="X376" s="44" t="str">
        <f>G!BD318</f>
        <v>--</v>
      </c>
      <c r="Y376" s="35" t="str">
        <f>G!BF318</f>
        <v/>
      </c>
      <c r="Z376" s="35" t="str">
        <f>G!BG318</f>
        <v/>
      </c>
      <c r="AA376" s="44"/>
      <c r="AE376" s="72">
        <f t="shared" si="23"/>
        <v>1</v>
      </c>
    </row>
    <row r="377" spans="1:31" ht="3.95" hidden="1" customHeight="1" x14ac:dyDescent="0.15">
      <c r="A377" s="41"/>
      <c r="B377" s="41"/>
      <c r="C377" s="41"/>
      <c r="D377" s="44"/>
      <c r="E377" s="44"/>
      <c r="H377" s="44"/>
      <c r="L377" s="44"/>
      <c r="M377" s="44"/>
      <c r="P377" s="44"/>
      <c r="T377" s="44"/>
      <c r="U377" s="44"/>
      <c r="V377" s="44"/>
      <c r="X377" s="44"/>
      <c r="Z377" s="44"/>
      <c r="AA377" s="44"/>
      <c r="AE377" s="94">
        <f>AE378</f>
        <v>1</v>
      </c>
    </row>
    <row r="378" spans="1:31" ht="9" hidden="1" customHeight="1" x14ac:dyDescent="0.15">
      <c r="A378" s="198" t="str">
        <f>IF(COUNTIF(F!D319:D321,131)&gt;0,"Acetaten (µg/kgds)","Acetaten (mg/kgds)")</f>
        <v>Acetaten (mg/kgds)</v>
      </c>
      <c r="B378" s="198"/>
      <c r="C378" s="198"/>
      <c r="D378" s="198"/>
      <c r="E378" s="198"/>
      <c r="F378" s="198"/>
      <c r="G378" s="198"/>
      <c r="H378" s="198"/>
      <c r="I378" s="198"/>
      <c r="J378" s="198"/>
      <c r="K378" s="198"/>
      <c r="L378" s="198"/>
      <c r="M378" s="198"/>
      <c r="N378" s="198"/>
      <c r="O378" s="198"/>
      <c r="P378" s="198"/>
      <c r="Q378" s="198"/>
      <c r="R378" s="198"/>
      <c r="S378" s="198"/>
      <c r="T378" s="198"/>
      <c r="U378" s="198"/>
      <c r="V378" s="198"/>
      <c r="W378" s="198"/>
      <c r="X378" s="198"/>
      <c r="Y378" s="198"/>
      <c r="Z378" s="198"/>
      <c r="AA378" s="198"/>
      <c r="AE378" s="94">
        <f>IF(COUNTIF(AE379:AE381,1)=COUNT(AE379:AE381),1,0)</f>
        <v>1</v>
      </c>
    </row>
    <row r="379" spans="1:31" ht="9" hidden="1" customHeight="1" x14ac:dyDescent="0.15">
      <c r="A379" s="195" t="str">
        <f>F!A319</f>
        <v>Methylacetaat</v>
      </c>
      <c r="B379" s="195"/>
      <c r="C379" s="195"/>
      <c r="D379" s="44" t="str">
        <f>G!AQ319</f>
        <v/>
      </c>
      <c r="E379" s="44" t="str">
        <f>G!AP319</f>
        <v>--</v>
      </c>
      <c r="G379" s="35" t="str">
        <f>G!AS319</f>
        <v/>
      </c>
      <c r="H379" s="44" t="str">
        <f>G!AR319</f>
        <v>--</v>
      </c>
      <c r="I379" s="35" t="str">
        <f>G!AT319</f>
        <v/>
      </c>
      <c r="J379" s="35" t="str">
        <f>G!AU319</f>
        <v/>
      </c>
      <c r="L379" s="44" t="str">
        <f>G!AW319</f>
        <v/>
      </c>
      <c r="M379" s="44" t="str">
        <f>G!AV319</f>
        <v>--</v>
      </c>
      <c r="O379" s="35" t="str">
        <f>G!AY319</f>
        <v/>
      </c>
      <c r="P379" s="44" t="str">
        <f>G!AX319</f>
        <v>--</v>
      </c>
      <c r="Q379" s="35" t="str">
        <f>G!AZ319</f>
        <v/>
      </c>
      <c r="R379" s="35" t="str">
        <f>G!BA319</f>
        <v/>
      </c>
      <c r="T379" s="44" t="str">
        <f>G!BC319</f>
        <v/>
      </c>
      <c r="U379" s="44" t="str">
        <f>G!BB319</f>
        <v>--</v>
      </c>
      <c r="V379" s="44"/>
      <c r="W379" s="35" t="str">
        <f>G!BE319</f>
        <v/>
      </c>
      <c r="X379" s="44" t="str">
        <f>G!BD319</f>
        <v>--</v>
      </c>
      <c r="Y379" s="35" t="str">
        <f>G!BF319</f>
        <v/>
      </c>
      <c r="Z379" s="35" t="str">
        <f>G!BG319</f>
        <v/>
      </c>
      <c r="AA379" s="44"/>
      <c r="AE379" s="72">
        <f t="shared" si="23"/>
        <v>1</v>
      </c>
    </row>
    <row r="380" spans="1:31" ht="9" hidden="1" customHeight="1" x14ac:dyDescent="0.15">
      <c r="A380" s="195" t="str">
        <f>F!A320</f>
        <v>Ethylacetaat</v>
      </c>
      <c r="B380" s="195"/>
      <c r="C380" s="195"/>
      <c r="D380" s="44" t="str">
        <f>G!AQ320</f>
        <v/>
      </c>
      <c r="E380" s="44" t="str">
        <f>G!AP320</f>
        <v>--</v>
      </c>
      <c r="G380" s="35" t="str">
        <f>G!AS320</f>
        <v/>
      </c>
      <c r="H380" s="44" t="str">
        <f>G!AR320</f>
        <v>--</v>
      </c>
      <c r="I380" s="35" t="str">
        <f>G!AT320</f>
        <v/>
      </c>
      <c r="J380" s="35" t="str">
        <f>G!AU320</f>
        <v/>
      </c>
      <c r="L380" s="44" t="str">
        <f>G!AW320</f>
        <v/>
      </c>
      <c r="M380" s="44" t="str">
        <f>G!AV320</f>
        <v>--</v>
      </c>
      <c r="O380" s="35" t="str">
        <f>G!AY320</f>
        <v/>
      </c>
      <c r="P380" s="44" t="str">
        <f>G!AX320</f>
        <v>--</v>
      </c>
      <c r="Q380" s="35" t="str">
        <f>G!AZ320</f>
        <v/>
      </c>
      <c r="R380" s="35" t="str">
        <f>G!BA320</f>
        <v/>
      </c>
      <c r="T380" s="44" t="str">
        <f>G!BC320</f>
        <v/>
      </c>
      <c r="U380" s="44" t="str">
        <f>G!BB320</f>
        <v>--</v>
      </c>
      <c r="V380" s="44"/>
      <c r="W380" s="35" t="str">
        <f>G!BE320</f>
        <v/>
      </c>
      <c r="X380" s="44" t="str">
        <f>G!BD320</f>
        <v>--</v>
      </c>
      <c r="Y380" s="35" t="str">
        <f>G!BF320</f>
        <v/>
      </c>
      <c r="Z380" s="35" t="str">
        <f>G!BG320</f>
        <v/>
      </c>
      <c r="AA380" s="44"/>
      <c r="AE380" s="72">
        <f t="shared" si="23"/>
        <v>1</v>
      </c>
    </row>
    <row r="381" spans="1:31" ht="9" hidden="1" customHeight="1" x14ac:dyDescent="0.15">
      <c r="A381" s="195" t="str">
        <f>F!A321</f>
        <v>Butylacetaat</v>
      </c>
      <c r="B381" s="195"/>
      <c r="C381" s="195"/>
      <c r="D381" s="44" t="str">
        <f>G!AQ321</f>
        <v/>
      </c>
      <c r="E381" s="44" t="str">
        <f>G!AP321</f>
        <v>--</v>
      </c>
      <c r="G381" s="35" t="str">
        <f>G!AS321</f>
        <v/>
      </c>
      <c r="H381" s="44" t="str">
        <f>G!AR321</f>
        <v>--</v>
      </c>
      <c r="I381" s="35" t="str">
        <f>G!AT321</f>
        <v/>
      </c>
      <c r="J381" s="35" t="str">
        <f>G!AU321</f>
        <v/>
      </c>
      <c r="L381" s="44" t="str">
        <f>G!AW321</f>
        <v/>
      </c>
      <c r="M381" s="44" t="str">
        <f>G!AV321</f>
        <v>--</v>
      </c>
      <c r="O381" s="35" t="str">
        <f>G!AY321</f>
        <v/>
      </c>
      <c r="P381" s="44" t="str">
        <f>G!AX321</f>
        <v>--</v>
      </c>
      <c r="Q381" s="35" t="str">
        <f>G!AZ321</f>
        <v/>
      </c>
      <c r="R381" s="35" t="str">
        <f>G!BA321</f>
        <v/>
      </c>
      <c r="T381" s="44" t="str">
        <f>G!BC321</f>
        <v/>
      </c>
      <c r="U381" s="44" t="str">
        <f>G!BB321</f>
        <v>--</v>
      </c>
      <c r="V381" s="44"/>
      <c r="W381" s="35" t="str">
        <f>G!BE321</f>
        <v/>
      </c>
      <c r="X381" s="44" t="str">
        <f>G!BD321</f>
        <v>--</v>
      </c>
      <c r="Y381" s="35" t="str">
        <f>G!BF321</f>
        <v/>
      </c>
      <c r="Z381" s="35" t="str">
        <f>G!BG321</f>
        <v/>
      </c>
      <c r="AA381" s="44"/>
      <c r="AE381" s="72">
        <f t="shared" si="23"/>
        <v>1</v>
      </c>
    </row>
    <row r="382" spans="1:31" ht="3.95" hidden="1" customHeight="1" x14ac:dyDescent="0.15">
      <c r="A382" s="41"/>
      <c r="B382" s="41"/>
      <c r="C382" s="41"/>
      <c r="D382" s="44"/>
      <c r="E382" s="44"/>
      <c r="H382" s="44"/>
      <c r="L382" s="44"/>
      <c r="M382" s="44"/>
      <c r="P382" s="44"/>
      <c r="T382" s="44"/>
      <c r="U382" s="44"/>
      <c r="V382" s="44"/>
      <c r="X382" s="44"/>
      <c r="Z382" s="44"/>
      <c r="AA382" s="44"/>
      <c r="AE382" s="94">
        <f>AE383</f>
        <v>1</v>
      </c>
    </row>
    <row r="383" spans="1:31" ht="9" hidden="1" customHeight="1" x14ac:dyDescent="0.15">
      <c r="A383" s="198" t="str">
        <f>IF(COUNTIF(F!D322:D326,131)&gt;0,"Anorganische verbindingen (µg/kgds)","Anorganische verbindingen (mg/kgds)")</f>
        <v>Anorganische verbindingen (mg/kgds)</v>
      </c>
      <c r="B383" s="198"/>
      <c r="C383" s="198"/>
      <c r="D383" s="198"/>
      <c r="E383" s="198"/>
      <c r="F383" s="198"/>
      <c r="G383" s="198"/>
      <c r="H383" s="198"/>
      <c r="I383" s="198"/>
      <c r="J383" s="198"/>
      <c r="K383" s="198"/>
      <c r="L383" s="198"/>
      <c r="M383" s="198"/>
      <c r="N383" s="198"/>
      <c r="O383" s="198"/>
      <c r="P383" s="198"/>
      <c r="Q383" s="198"/>
      <c r="R383" s="198"/>
      <c r="S383" s="198"/>
      <c r="T383" s="198"/>
      <c r="U383" s="198"/>
      <c r="V383" s="198"/>
      <c r="W383" s="198"/>
      <c r="X383" s="198"/>
      <c r="Y383" s="198"/>
      <c r="Z383" s="198"/>
      <c r="AA383" s="198"/>
      <c r="AE383" s="94">
        <f>IF(COUNTIF(AE384:AE388,1)=COUNT(AE384:AE388),1,0)</f>
        <v>1</v>
      </c>
    </row>
    <row r="384" spans="1:31" ht="9" hidden="1" customHeight="1" x14ac:dyDescent="0.15">
      <c r="A384" s="195" t="str">
        <f>F!A322</f>
        <v>Ammonium</v>
      </c>
      <c r="B384" s="195"/>
      <c r="C384" s="195"/>
      <c r="D384" s="44" t="str">
        <f>G!AQ322</f>
        <v/>
      </c>
      <c r="E384" s="44" t="str">
        <f>G!AP322</f>
        <v>--</v>
      </c>
      <c r="G384" s="35" t="str">
        <f>G!AS322</f>
        <v/>
      </c>
      <c r="H384" s="44" t="str">
        <f>G!AR322</f>
        <v>--</v>
      </c>
      <c r="I384" s="35" t="str">
        <f>G!AT322</f>
        <v/>
      </c>
      <c r="J384" s="35" t="str">
        <f>G!AU322</f>
        <v/>
      </c>
      <c r="L384" s="44" t="str">
        <f>G!AW322</f>
        <v/>
      </c>
      <c r="M384" s="44" t="str">
        <f>G!AV322</f>
        <v>--</v>
      </c>
      <c r="O384" s="35" t="str">
        <f>G!AY322</f>
        <v/>
      </c>
      <c r="P384" s="44" t="str">
        <f>G!AX322</f>
        <v>--</v>
      </c>
      <c r="Q384" s="35" t="str">
        <f>G!AZ322</f>
        <v/>
      </c>
      <c r="R384" s="35" t="str">
        <f>G!BA322</f>
        <v/>
      </c>
      <c r="T384" s="44" t="str">
        <f>G!BC322</f>
        <v/>
      </c>
      <c r="U384" s="44" t="str">
        <f>G!BB322</f>
        <v>--</v>
      </c>
      <c r="V384" s="44"/>
      <c r="W384" s="35" t="str">
        <f>G!BE322</f>
        <v/>
      </c>
      <c r="X384" s="44" t="str">
        <f>G!BD322</f>
        <v>--</v>
      </c>
      <c r="Y384" s="35" t="str">
        <f>G!BF322</f>
        <v/>
      </c>
      <c r="Z384" s="35" t="str">
        <f>G!BG322</f>
        <v/>
      </c>
      <c r="AA384" s="44"/>
      <c r="AE384" s="72">
        <f t="shared" si="23"/>
        <v>1</v>
      </c>
    </row>
    <row r="385" spans="1:31" ht="9" hidden="1" customHeight="1" x14ac:dyDescent="0.15">
      <c r="A385" s="195" t="str">
        <f>F!A323</f>
        <v>Chloride</v>
      </c>
      <c r="B385" s="195"/>
      <c r="C385" s="195"/>
      <c r="D385" s="44" t="str">
        <f>G!AQ323</f>
        <v/>
      </c>
      <c r="E385" s="44" t="str">
        <f>G!AP323</f>
        <v>--</v>
      </c>
      <c r="G385" s="35" t="str">
        <f>G!AS323</f>
        <v/>
      </c>
      <c r="H385" s="44" t="str">
        <f>G!AR323</f>
        <v>--</v>
      </c>
      <c r="I385" s="35" t="str">
        <f>G!AT323</f>
        <v/>
      </c>
      <c r="J385" s="35" t="str">
        <f>G!AU323</f>
        <v/>
      </c>
      <c r="L385" s="44" t="str">
        <f>G!AW323</f>
        <v/>
      </c>
      <c r="M385" s="44" t="str">
        <f>G!AV323</f>
        <v>--</v>
      </c>
      <c r="O385" s="35" t="str">
        <f>G!AY323</f>
        <v/>
      </c>
      <c r="P385" s="44" t="str">
        <f>G!AX323</f>
        <v>--</v>
      </c>
      <c r="Q385" s="35" t="str">
        <f>G!AZ323</f>
        <v/>
      </c>
      <c r="R385" s="35" t="str">
        <f>G!BA323</f>
        <v/>
      </c>
      <c r="T385" s="44" t="str">
        <f>G!BC323</f>
        <v/>
      </c>
      <c r="U385" s="44" t="str">
        <f>G!BB323</f>
        <v>--</v>
      </c>
      <c r="V385" s="44"/>
      <c r="W385" s="35" t="str">
        <f>G!BE323</f>
        <v/>
      </c>
      <c r="X385" s="44" t="str">
        <f>G!BD323</f>
        <v>--</v>
      </c>
      <c r="Y385" s="35" t="str">
        <f>G!BF323</f>
        <v/>
      </c>
      <c r="Z385" s="35" t="str">
        <f>G!BG323</f>
        <v/>
      </c>
      <c r="AA385" s="44"/>
      <c r="AE385" s="72">
        <f t="shared" si="23"/>
        <v>1</v>
      </c>
    </row>
    <row r="386" spans="1:31" ht="9" hidden="1" customHeight="1" x14ac:dyDescent="0.15">
      <c r="A386" s="195" t="str">
        <f>F!A324</f>
        <v>Cyanide (vrij)</v>
      </c>
      <c r="B386" s="195"/>
      <c r="C386" s="195"/>
      <c r="D386" s="44" t="str">
        <f>G!AQ324</f>
        <v/>
      </c>
      <c r="E386" s="44" t="str">
        <f>G!AP324</f>
        <v>--</v>
      </c>
      <c r="G386" s="35" t="str">
        <f>G!AS324</f>
        <v/>
      </c>
      <c r="H386" s="44" t="str">
        <f>G!AR324</f>
        <v>--</v>
      </c>
      <c r="I386" s="35" t="str">
        <f>G!AT324</f>
        <v/>
      </c>
      <c r="J386" s="35" t="str">
        <f>G!AU324</f>
        <v/>
      </c>
      <c r="L386" s="44" t="str">
        <f>G!AW324</f>
        <v/>
      </c>
      <c r="M386" s="44" t="str">
        <f>G!AV324</f>
        <v>--</v>
      </c>
      <c r="O386" s="35" t="str">
        <f>G!AY324</f>
        <v/>
      </c>
      <c r="P386" s="44" t="str">
        <f>G!AX324</f>
        <v>--</v>
      </c>
      <c r="Q386" s="35" t="str">
        <f>G!AZ324</f>
        <v/>
      </c>
      <c r="R386" s="35" t="str">
        <f>G!BA324</f>
        <v/>
      </c>
      <c r="T386" s="44" t="str">
        <f>G!BC324</f>
        <v/>
      </c>
      <c r="U386" s="44" t="str">
        <f>G!BB324</f>
        <v>--</v>
      </c>
      <c r="V386" s="44"/>
      <c r="W386" s="35" t="str">
        <f>G!BE324</f>
        <v/>
      </c>
      <c r="X386" s="44" t="str">
        <f>G!BD324</f>
        <v>--</v>
      </c>
      <c r="Y386" s="35" t="str">
        <f>G!BF324</f>
        <v/>
      </c>
      <c r="Z386" s="35" t="str">
        <f>G!BG324</f>
        <v/>
      </c>
      <c r="AA386" s="44"/>
      <c r="AE386" s="72">
        <f t="shared" si="23"/>
        <v>1</v>
      </c>
    </row>
    <row r="387" spans="1:31" ht="9" hidden="1" customHeight="1" x14ac:dyDescent="0.15">
      <c r="A387" s="195" t="str">
        <f>F!A325</f>
        <v>Cyanide (complex)</v>
      </c>
      <c r="B387" s="195"/>
      <c r="C387" s="195"/>
      <c r="D387" s="44" t="str">
        <f>G!AQ325</f>
        <v/>
      </c>
      <c r="E387" s="44" t="str">
        <f>G!AP325</f>
        <v>--</v>
      </c>
      <c r="G387" s="35" t="str">
        <f>G!AS325</f>
        <v/>
      </c>
      <c r="H387" s="44" t="str">
        <f>G!AR325</f>
        <v>--</v>
      </c>
      <c r="I387" s="35" t="str">
        <f>G!AT325</f>
        <v/>
      </c>
      <c r="J387" s="35" t="str">
        <f>G!AU325</f>
        <v/>
      </c>
      <c r="L387" s="44" t="str">
        <f>G!AW325</f>
        <v/>
      </c>
      <c r="M387" s="44" t="str">
        <f>G!AV325</f>
        <v>--</v>
      </c>
      <c r="O387" s="35" t="str">
        <f>G!AY325</f>
        <v/>
      </c>
      <c r="P387" s="44" t="str">
        <f>G!AX325</f>
        <v>--</v>
      </c>
      <c r="Q387" s="35" t="str">
        <f>G!AZ325</f>
        <v/>
      </c>
      <c r="R387" s="35" t="str">
        <f>G!BA325</f>
        <v/>
      </c>
      <c r="T387" s="44" t="str">
        <f>G!BC325</f>
        <v/>
      </c>
      <c r="U387" s="44" t="str">
        <f>G!BB325</f>
        <v>--</v>
      </c>
      <c r="V387" s="44"/>
      <c r="W387" s="35" t="str">
        <f>G!BE325</f>
        <v/>
      </c>
      <c r="X387" s="44" t="str">
        <f>G!BD325</f>
        <v>--</v>
      </c>
      <c r="Y387" s="35" t="str">
        <f>G!BF325</f>
        <v/>
      </c>
      <c r="Z387" s="35" t="str">
        <f>G!BG325</f>
        <v/>
      </c>
      <c r="AA387" s="44"/>
      <c r="AE387" s="72">
        <f t="shared" ref="AE387:AE434" si="24">IF(AND(E387="--",M387="--",U387="--"),1,0)</f>
        <v>1</v>
      </c>
    </row>
    <row r="388" spans="1:31" ht="9" hidden="1" customHeight="1" x14ac:dyDescent="0.15">
      <c r="A388" s="195" t="str">
        <f>F!A326</f>
        <v>Thiocyanaten</v>
      </c>
      <c r="B388" s="195"/>
      <c r="C388" s="195"/>
      <c r="D388" s="44" t="str">
        <f>G!AQ326</f>
        <v/>
      </c>
      <c r="E388" s="44" t="str">
        <f>G!AP326</f>
        <v>--</v>
      </c>
      <c r="G388" s="35" t="str">
        <f>G!AS326</f>
        <v/>
      </c>
      <c r="H388" s="44" t="str">
        <f>G!AR326</f>
        <v>--</v>
      </c>
      <c r="I388" s="35" t="str">
        <f>G!AT326</f>
        <v/>
      </c>
      <c r="J388" s="35" t="str">
        <f>G!AU326</f>
        <v/>
      </c>
      <c r="L388" s="44" t="str">
        <f>G!AW326</f>
        <v/>
      </c>
      <c r="M388" s="44" t="str">
        <f>G!AV326</f>
        <v>--</v>
      </c>
      <c r="O388" s="35" t="str">
        <f>G!AY326</f>
        <v/>
      </c>
      <c r="P388" s="44" t="str">
        <f>G!AX326</f>
        <v>--</v>
      </c>
      <c r="Q388" s="35" t="str">
        <f>G!AZ326</f>
        <v/>
      </c>
      <c r="R388" s="35" t="str">
        <f>G!BA326</f>
        <v/>
      </c>
      <c r="T388" s="44" t="str">
        <f>G!BC326</f>
        <v/>
      </c>
      <c r="U388" s="44" t="str">
        <f>G!BB326</f>
        <v>--</v>
      </c>
      <c r="V388" s="44"/>
      <c r="W388" s="35" t="str">
        <f>G!BE326</f>
        <v/>
      </c>
      <c r="X388" s="44" t="str">
        <f>G!BD326</f>
        <v>--</v>
      </c>
      <c r="Y388" s="35" t="str">
        <f>G!BF326</f>
        <v/>
      </c>
      <c r="Z388" s="35" t="str">
        <f>G!BG326</f>
        <v/>
      </c>
      <c r="AA388" s="44"/>
      <c r="AE388" s="72">
        <f t="shared" si="24"/>
        <v>1</v>
      </c>
    </row>
    <row r="389" spans="1:31" ht="3.95" customHeight="1" x14ac:dyDescent="0.15">
      <c r="A389" s="41"/>
      <c r="B389" s="41"/>
      <c r="C389" s="41"/>
      <c r="D389" s="44"/>
      <c r="E389" s="44"/>
      <c r="H389" s="44"/>
      <c r="L389" s="44"/>
      <c r="M389" s="44"/>
      <c r="P389" s="44"/>
      <c r="T389" s="44"/>
      <c r="U389" s="44"/>
      <c r="V389" s="44"/>
      <c r="X389" s="44"/>
      <c r="Z389" s="44"/>
      <c r="AA389" s="44"/>
      <c r="AE389" s="94">
        <f>AE390</f>
        <v>0</v>
      </c>
    </row>
    <row r="390" spans="1:31" ht="9" customHeight="1" x14ac:dyDescent="0.15">
      <c r="A390" s="198" t="str">
        <f>IF(COUNTIF(F!D327:D361,131)&gt;0,"PFAS (µg/kgds)","PFAS (mg/kgds)")</f>
        <v>PFAS (µg/kgds)</v>
      </c>
      <c r="B390" s="198"/>
      <c r="C390" s="198"/>
      <c r="D390" s="198"/>
      <c r="E390" s="198"/>
      <c r="F390" s="198"/>
      <c r="G390" s="198"/>
      <c r="H390" s="198"/>
      <c r="I390" s="198"/>
      <c r="J390" s="198"/>
      <c r="K390" s="198"/>
      <c r="L390" s="198"/>
      <c r="M390" s="198"/>
      <c r="N390" s="198"/>
      <c r="O390" s="198"/>
      <c r="P390" s="198"/>
      <c r="Q390" s="198"/>
      <c r="R390" s="198"/>
      <c r="S390" s="198"/>
      <c r="T390" s="198"/>
      <c r="U390" s="198"/>
      <c r="V390" s="198"/>
      <c r="W390" s="198"/>
      <c r="X390" s="198"/>
      <c r="Y390" s="198"/>
      <c r="Z390" s="198"/>
      <c r="AA390" s="198"/>
      <c r="AE390" s="94">
        <f>IF(COUNTIF(AE391:AE425,1)=COUNT(AE391:AE425),1,0)</f>
        <v>0</v>
      </c>
    </row>
    <row r="391" spans="1:31" ht="9" customHeight="1" x14ac:dyDescent="0.15">
      <c r="A391" s="195" t="str">
        <f>F!A327</f>
        <v>PFBA</v>
      </c>
      <c r="B391" s="195"/>
      <c r="C391" s="195"/>
      <c r="D391" s="44" t="str">
        <f>G!AQ327</f>
        <v>&lt;</v>
      </c>
      <c r="E391" s="44">
        <v>0.1</v>
      </c>
      <c r="G391" s="35" t="str">
        <f>G!AS327</f>
        <v>&lt;</v>
      </c>
      <c r="H391" s="44" t="str">
        <f>G!AR327</f>
        <v>rg</v>
      </c>
      <c r="I391" s="35" t="str">
        <f>G!AT327</f>
        <v>-</v>
      </c>
      <c r="J391" s="35" t="str">
        <f>G!AU327</f>
        <v/>
      </c>
      <c r="L391" s="44" t="str">
        <f>G!AW327</f>
        <v>&lt;</v>
      </c>
      <c r="M391" s="44">
        <v>0.1</v>
      </c>
      <c r="O391" s="35" t="str">
        <f>G!AY327</f>
        <v>&lt;</v>
      </c>
      <c r="P391" s="44" t="str">
        <f>G!AX327</f>
        <v>rg</v>
      </c>
      <c r="Q391" s="35" t="str">
        <f>G!AZ327</f>
        <v>-</v>
      </c>
      <c r="R391" s="35" t="str">
        <f>G!BA327</f>
        <v/>
      </c>
      <c r="T391" s="44" t="str">
        <f>G!BC327</f>
        <v>&lt;</v>
      </c>
      <c r="U391" s="44">
        <v>0.1</v>
      </c>
      <c r="V391" s="44"/>
      <c r="W391" s="35" t="str">
        <f>G!BE327</f>
        <v>&lt;</v>
      </c>
      <c r="X391" s="44" t="str">
        <f>G!BD327</f>
        <v>rg</v>
      </c>
      <c r="Y391" s="35" t="str">
        <f>G!BF327</f>
        <v>-</v>
      </c>
      <c r="Z391" s="35" t="str">
        <f>G!BG327</f>
        <v/>
      </c>
      <c r="AA391" s="44"/>
      <c r="AE391" s="72">
        <f t="shared" si="24"/>
        <v>0</v>
      </c>
    </row>
    <row r="392" spans="1:31" ht="9" customHeight="1" x14ac:dyDescent="0.15">
      <c r="A392" s="195" t="str">
        <f>F!A328</f>
        <v>PFPeA</v>
      </c>
      <c r="B392" s="195"/>
      <c r="C392" s="195"/>
      <c r="D392" s="44" t="str">
        <f>G!AQ328</f>
        <v>&lt;</v>
      </c>
      <c r="E392" s="44">
        <v>0.1</v>
      </c>
      <c r="G392" s="35" t="str">
        <f>G!AS328</f>
        <v>&lt;</v>
      </c>
      <c r="H392" s="44" t="str">
        <f>G!AR328</f>
        <v>rg</v>
      </c>
      <c r="I392" s="35" t="str">
        <f>G!AT328</f>
        <v>-</v>
      </c>
      <c r="J392" s="35" t="str">
        <f>G!AU328</f>
        <v/>
      </c>
      <c r="L392" s="44" t="str">
        <f>G!AW328</f>
        <v>&lt;</v>
      </c>
      <c r="M392" s="44">
        <v>0.1</v>
      </c>
      <c r="O392" s="35" t="str">
        <f>G!AY328</f>
        <v>&lt;</v>
      </c>
      <c r="P392" s="44" t="str">
        <f>G!AX328</f>
        <v>rg</v>
      </c>
      <c r="Q392" s="35" t="str">
        <f>G!AZ328</f>
        <v>-</v>
      </c>
      <c r="R392" s="35" t="str">
        <f>G!BA328</f>
        <v/>
      </c>
      <c r="T392" s="44" t="str">
        <f>G!BC328</f>
        <v>&lt;</v>
      </c>
      <c r="U392" s="44">
        <v>0.1</v>
      </c>
      <c r="V392" s="44"/>
      <c r="W392" s="35" t="str">
        <f>G!BE328</f>
        <v>&lt;</v>
      </c>
      <c r="X392" s="44" t="str">
        <f>G!BD328</f>
        <v>rg</v>
      </c>
      <c r="Y392" s="35" t="str">
        <f>G!BF328</f>
        <v>-</v>
      </c>
      <c r="Z392" s="35" t="str">
        <f>G!BG328</f>
        <v/>
      </c>
      <c r="AA392" s="44"/>
      <c r="AE392" s="72">
        <f t="shared" si="24"/>
        <v>0</v>
      </c>
    </row>
    <row r="393" spans="1:31" ht="9" customHeight="1" x14ac:dyDescent="0.15">
      <c r="A393" s="195" t="str">
        <f>F!A329</f>
        <v>PFHxA</v>
      </c>
      <c r="B393" s="195"/>
      <c r="C393" s="195"/>
      <c r="D393" s="44" t="str">
        <f>G!AQ329</f>
        <v>&lt;</v>
      </c>
      <c r="E393" s="44">
        <v>0.1</v>
      </c>
      <c r="G393" s="35" t="str">
        <f>G!AS329</f>
        <v>&lt;</v>
      </c>
      <c r="H393" s="44" t="str">
        <f>G!AR329</f>
        <v>rg</v>
      </c>
      <c r="I393" s="35" t="str">
        <f>G!AT329</f>
        <v>-</v>
      </c>
      <c r="J393" s="35" t="str">
        <f>G!AU329</f>
        <v/>
      </c>
      <c r="L393" s="44" t="str">
        <f>G!AW329</f>
        <v>&lt;</v>
      </c>
      <c r="M393" s="44">
        <v>0.1</v>
      </c>
      <c r="O393" s="35" t="str">
        <f>G!AY329</f>
        <v>&lt;</v>
      </c>
      <c r="P393" s="44" t="str">
        <f>G!AX329</f>
        <v>rg</v>
      </c>
      <c r="Q393" s="35" t="str">
        <f>G!AZ329</f>
        <v>-</v>
      </c>
      <c r="R393" s="35" t="str">
        <f>G!BA329</f>
        <v/>
      </c>
      <c r="T393" s="44" t="str">
        <f>G!BC329</f>
        <v>&lt;</v>
      </c>
      <c r="U393" s="44">
        <v>0.1</v>
      </c>
      <c r="V393" s="44"/>
      <c r="W393" s="35" t="str">
        <f>G!BE329</f>
        <v>&lt;</v>
      </c>
      <c r="X393" s="44" t="str">
        <f>G!BD329</f>
        <v>rg</v>
      </c>
      <c r="Y393" s="35" t="str">
        <f>G!BF329</f>
        <v>-</v>
      </c>
      <c r="Z393" s="35" t="str">
        <f>G!BG329</f>
        <v/>
      </c>
      <c r="AA393" s="44"/>
      <c r="AE393" s="72">
        <f t="shared" ref="AE393:AE418" si="25">IF(AND(E393="--",M393="--",U393="--"),1,0)</f>
        <v>0</v>
      </c>
    </row>
    <row r="394" spans="1:31" ht="9" customHeight="1" x14ac:dyDescent="0.15">
      <c r="A394" s="195" t="str">
        <f>F!A330</f>
        <v>PFHpA</v>
      </c>
      <c r="B394" s="195"/>
      <c r="C394" s="195"/>
      <c r="D394" s="44" t="str">
        <f>G!AQ330</f>
        <v>&lt;</v>
      </c>
      <c r="E394" s="44">
        <v>0.1</v>
      </c>
      <c r="G394" s="35" t="str">
        <f>G!AS330</f>
        <v>&lt;</v>
      </c>
      <c r="H394" s="44" t="str">
        <f>G!AR330</f>
        <v>rg</v>
      </c>
      <c r="I394" s="35" t="str">
        <f>G!AT330</f>
        <v>-</v>
      </c>
      <c r="J394" s="35" t="str">
        <f>G!AU330</f>
        <v/>
      </c>
      <c r="L394" s="44" t="str">
        <f>G!AW330</f>
        <v>&lt;</v>
      </c>
      <c r="M394" s="44">
        <v>0.1</v>
      </c>
      <c r="O394" s="35" t="str">
        <f>G!AY330</f>
        <v>&lt;</v>
      </c>
      <c r="P394" s="44" t="str">
        <f>G!AX330</f>
        <v>rg</v>
      </c>
      <c r="Q394" s="35" t="str">
        <f>G!AZ330</f>
        <v>-</v>
      </c>
      <c r="R394" s="35" t="str">
        <f>G!BA330</f>
        <v/>
      </c>
      <c r="T394" s="44" t="str">
        <f>G!BC330</f>
        <v>&lt;</v>
      </c>
      <c r="U394" s="44">
        <v>0.1</v>
      </c>
      <c r="V394" s="44"/>
      <c r="W394" s="35" t="str">
        <f>G!BE330</f>
        <v>&lt;</v>
      </c>
      <c r="X394" s="44" t="str">
        <f>G!BD330</f>
        <v>rg</v>
      </c>
      <c r="Y394" s="35" t="str">
        <f>G!BF330</f>
        <v>-</v>
      </c>
      <c r="Z394" s="35" t="str">
        <f>G!BG330</f>
        <v/>
      </c>
      <c r="AA394" s="44"/>
      <c r="AE394" s="72">
        <f t="shared" si="25"/>
        <v>0</v>
      </c>
    </row>
    <row r="395" spans="1:31" ht="9" customHeight="1" x14ac:dyDescent="0.15">
      <c r="A395" s="195" t="str">
        <f>F!A331</f>
        <v>PFOA lineair</v>
      </c>
      <c r="B395" s="195"/>
      <c r="C395" s="195"/>
      <c r="D395" s="44" t="str">
        <f>G!AQ331</f>
        <v>&lt;</v>
      </c>
      <c r="E395" s="44">
        <v>0.1</v>
      </c>
      <c r="G395" s="35" t="str">
        <f>G!AS331</f>
        <v>&lt;</v>
      </c>
      <c r="H395" s="44" t="str">
        <f>G!AR331</f>
        <v>rg</v>
      </c>
      <c r="I395" s="35" t="str">
        <f>G!AT331</f>
        <v/>
      </c>
      <c r="J395" s="35" t="str">
        <f>G!AU331</f>
        <v/>
      </c>
      <c r="L395" s="44" t="str">
        <f>G!AW331</f>
        <v>&lt;</v>
      </c>
      <c r="M395" s="44">
        <v>0.1</v>
      </c>
      <c r="O395" s="35" t="str">
        <f>G!AY331</f>
        <v>&lt;</v>
      </c>
      <c r="P395" s="44" t="str">
        <f>G!AX331</f>
        <v>rg</v>
      </c>
      <c r="Q395" s="35" t="str">
        <f>G!AZ331</f>
        <v/>
      </c>
      <c r="R395" s="35" t="str">
        <f>G!BA331</f>
        <v/>
      </c>
      <c r="T395" s="44" t="str">
        <f>G!BC331</f>
        <v>&lt;</v>
      </c>
      <c r="U395" s="44">
        <v>0.1</v>
      </c>
      <c r="V395" s="44"/>
      <c r="W395" s="35" t="str">
        <f>G!BE331</f>
        <v>&lt;</v>
      </c>
      <c r="X395" s="44" t="str">
        <f>G!BD331</f>
        <v>rg</v>
      </c>
      <c r="Y395" s="35" t="str">
        <f>G!BF331</f>
        <v/>
      </c>
      <c r="Z395" s="35" t="str">
        <f>G!BG331</f>
        <v/>
      </c>
      <c r="AA395" s="44"/>
      <c r="AE395" s="72">
        <f t="shared" si="25"/>
        <v>0</v>
      </c>
    </row>
    <row r="396" spans="1:31" ht="9" customHeight="1" x14ac:dyDescent="0.15">
      <c r="A396" s="195" t="str">
        <f>F!A332</f>
        <v>PFOA vertakt</v>
      </c>
      <c r="B396" s="195"/>
      <c r="C396" s="195"/>
      <c r="D396" s="44" t="str">
        <f>G!AQ332</f>
        <v>&lt;</v>
      </c>
      <c r="E396" s="44">
        <v>0.1</v>
      </c>
      <c r="G396" s="35" t="str">
        <f>G!AS332</f>
        <v>&lt;</v>
      </c>
      <c r="H396" s="44" t="str">
        <f>G!AR332</f>
        <v>rg</v>
      </c>
      <c r="I396" s="35" t="str">
        <f>G!AT332</f>
        <v/>
      </c>
      <c r="J396" s="35" t="str">
        <f>G!AU332</f>
        <v/>
      </c>
      <c r="L396" s="44" t="str">
        <f>G!AW332</f>
        <v>&lt;</v>
      </c>
      <c r="M396" s="44">
        <v>0.1</v>
      </c>
      <c r="O396" s="35" t="str">
        <f>G!AY332</f>
        <v>&lt;</v>
      </c>
      <c r="P396" s="44" t="str">
        <f>G!AX332</f>
        <v>rg</v>
      </c>
      <c r="Q396" s="35" t="str">
        <f>G!AZ332</f>
        <v/>
      </c>
      <c r="R396" s="35" t="str">
        <f>G!BA332</f>
        <v/>
      </c>
      <c r="T396" s="44" t="str">
        <f>G!BC332</f>
        <v>&lt;</v>
      </c>
      <c r="U396" s="44">
        <v>0.1</v>
      </c>
      <c r="V396" s="44"/>
      <c r="W396" s="35" t="str">
        <f>G!BE332</f>
        <v>&lt;</v>
      </c>
      <c r="X396" s="44" t="str">
        <f>G!BD332</f>
        <v>rg</v>
      </c>
      <c r="Y396" s="35" t="str">
        <f>G!BF332</f>
        <v/>
      </c>
      <c r="Z396" s="35" t="str">
        <f>G!BG332</f>
        <v/>
      </c>
      <c r="AA396" s="44"/>
      <c r="AE396" s="72">
        <f t="shared" si="25"/>
        <v>0</v>
      </c>
    </row>
    <row r="397" spans="1:31" ht="9" customHeight="1" x14ac:dyDescent="0.15">
      <c r="A397" s="195" t="str">
        <f>F!A333</f>
        <v>PFOA totaal</v>
      </c>
      <c r="B397" s="195"/>
      <c r="C397" s="195"/>
      <c r="D397" s="44" t="str">
        <f>G!AQ333</f>
        <v>&lt;</v>
      </c>
      <c r="E397" s="44">
        <v>0.1</v>
      </c>
      <c r="G397" s="35" t="str">
        <f>G!AS333</f>
        <v>&lt;</v>
      </c>
      <c r="H397" s="44" t="str">
        <f>G!AR333</f>
        <v>rg</v>
      </c>
      <c r="I397" s="35" t="str">
        <f>G!AT333</f>
        <v>-</v>
      </c>
      <c r="J397" s="35" t="str">
        <f>G!AU333</f>
        <v/>
      </c>
      <c r="L397" s="44" t="str">
        <f>G!AW333</f>
        <v>&lt;</v>
      </c>
      <c r="M397" s="44">
        <v>0.1</v>
      </c>
      <c r="O397" s="35" t="str">
        <f>G!AY333</f>
        <v>&lt;</v>
      </c>
      <c r="P397" s="44" t="str">
        <f>G!AX333</f>
        <v>rg</v>
      </c>
      <c r="Q397" s="35" t="str">
        <f>G!AZ333</f>
        <v>-</v>
      </c>
      <c r="R397" s="35" t="str">
        <f>G!BA333</f>
        <v/>
      </c>
      <c r="T397" s="44" t="str">
        <f>G!BC333</f>
        <v>&lt;</v>
      </c>
      <c r="U397" s="44">
        <v>0.1</v>
      </c>
      <c r="V397" s="44"/>
      <c r="W397" s="35" t="str">
        <f>G!BE333</f>
        <v>&lt;</v>
      </c>
      <c r="X397" s="44" t="str">
        <f>G!BD333</f>
        <v>rg</v>
      </c>
      <c r="Y397" s="35" t="str">
        <f>G!BF333</f>
        <v>-</v>
      </c>
      <c r="Z397" s="35" t="str">
        <f>G!BG333</f>
        <v/>
      </c>
      <c r="AA397" s="44"/>
      <c r="AE397" s="72">
        <f t="shared" si="25"/>
        <v>0</v>
      </c>
    </row>
    <row r="398" spans="1:31" ht="9" customHeight="1" x14ac:dyDescent="0.15">
      <c r="A398" s="195" t="str">
        <f>F!A334</f>
        <v>PFNA</v>
      </c>
      <c r="B398" s="195"/>
      <c r="C398" s="195"/>
      <c r="D398" s="44" t="str">
        <f>G!AQ334</f>
        <v>&lt;</v>
      </c>
      <c r="E398" s="44">
        <v>0.1</v>
      </c>
      <c r="G398" s="35" t="str">
        <f>G!AS334</f>
        <v>&lt;</v>
      </c>
      <c r="H398" s="44" t="str">
        <f>G!AR334</f>
        <v>rg</v>
      </c>
      <c r="I398" s="35" t="str">
        <f>G!AT334</f>
        <v>-</v>
      </c>
      <c r="J398" s="35" t="str">
        <f>G!AU334</f>
        <v/>
      </c>
      <c r="L398" s="44" t="str">
        <f>G!AW334</f>
        <v>&lt;</v>
      </c>
      <c r="M398" s="44">
        <v>0.1</v>
      </c>
      <c r="O398" s="35" t="str">
        <f>G!AY334</f>
        <v>&lt;</v>
      </c>
      <c r="P398" s="44" t="str">
        <f>G!AX334</f>
        <v>rg</v>
      </c>
      <c r="Q398" s="35" t="str">
        <f>G!AZ334</f>
        <v>-</v>
      </c>
      <c r="R398" s="35" t="str">
        <f>G!BA334</f>
        <v/>
      </c>
      <c r="T398" s="44" t="str">
        <f>G!BC334</f>
        <v>&lt;</v>
      </c>
      <c r="U398" s="44">
        <v>0.1</v>
      </c>
      <c r="V398" s="44"/>
      <c r="W398" s="35" t="str">
        <f>G!BE334</f>
        <v>&lt;</v>
      </c>
      <c r="X398" s="44" t="str">
        <f>G!BD334</f>
        <v>rg</v>
      </c>
      <c r="Y398" s="35" t="str">
        <f>G!BF334</f>
        <v>-</v>
      </c>
      <c r="Z398" s="35" t="str">
        <f>G!BG334</f>
        <v/>
      </c>
      <c r="AA398" s="44"/>
      <c r="AE398" s="72">
        <f t="shared" si="25"/>
        <v>0</v>
      </c>
    </row>
    <row r="399" spans="1:31" ht="9" customHeight="1" x14ac:dyDescent="0.15">
      <c r="A399" s="195" t="str">
        <f>F!A335</f>
        <v>PFDA</v>
      </c>
      <c r="B399" s="195"/>
      <c r="C399" s="195"/>
      <c r="D399" s="44" t="str">
        <f>G!AQ335</f>
        <v>&lt;</v>
      </c>
      <c r="E399" s="44">
        <v>0.1</v>
      </c>
      <c r="G399" s="35" t="str">
        <f>G!AS335</f>
        <v>&lt;</v>
      </c>
      <c r="H399" s="44" t="str">
        <f>G!AR335</f>
        <v>rg</v>
      </c>
      <c r="I399" s="35" t="str">
        <f>G!AT335</f>
        <v>-</v>
      </c>
      <c r="J399" s="35" t="str">
        <f>G!AU335</f>
        <v/>
      </c>
      <c r="L399" s="44" t="str">
        <f>G!AW335</f>
        <v>&lt;</v>
      </c>
      <c r="M399" s="44">
        <v>0.1</v>
      </c>
      <c r="O399" s="35" t="str">
        <f>G!AY335</f>
        <v>&lt;</v>
      </c>
      <c r="P399" s="44" t="str">
        <f>G!AX335</f>
        <v>rg</v>
      </c>
      <c r="Q399" s="35" t="str">
        <f>G!AZ335</f>
        <v>-</v>
      </c>
      <c r="R399" s="35" t="str">
        <f>G!BA335</f>
        <v/>
      </c>
      <c r="T399" s="44" t="str">
        <f>G!BC335</f>
        <v>&lt;</v>
      </c>
      <c r="U399" s="44">
        <v>0.1</v>
      </c>
      <c r="V399" s="44"/>
      <c r="W399" s="35" t="str">
        <f>G!BE335</f>
        <v>&lt;</v>
      </c>
      <c r="X399" s="44" t="str">
        <f>G!BD335</f>
        <v>rg</v>
      </c>
      <c r="Y399" s="35" t="str">
        <f>G!BF335</f>
        <v>-</v>
      </c>
      <c r="Z399" s="35" t="str">
        <f>G!BG335</f>
        <v/>
      </c>
      <c r="AA399" s="44"/>
      <c r="AE399" s="72">
        <f t="shared" si="25"/>
        <v>0</v>
      </c>
    </row>
    <row r="400" spans="1:31" ht="9" customHeight="1" x14ac:dyDescent="0.15">
      <c r="A400" s="195" t="str">
        <f>F!A336</f>
        <v>PFUnDA</v>
      </c>
      <c r="B400" s="195"/>
      <c r="C400" s="195"/>
      <c r="D400" s="44" t="str">
        <f>G!AQ336</f>
        <v>&lt;</v>
      </c>
      <c r="E400" s="44">
        <v>0.1</v>
      </c>
      <c r="G400" s="35" t="str">
        <f>G!AS336</f>
        <v>&lt;</v>
      </c>
      <c r="H400" s="44" t="str">
        <f>G!AR336</f>
        <v>rg</v>
      </c>
      <c r="I400" s="35" t="str">
        <f>G!AT336</f>
        <v>-</v>
      </c>
      <c r="J400" s="35" t="str">
        <f>G!AU336</f>
        <v/>
      </c>
      <c r="L400" s="44" t="str">
        <f>G!AW336</f>
        <v>&lt;</v>
      </c>
      <c r="M400" s="44">
        <v>0.1</v>
      </c>
      <c r="O400" s="35" t="str">
        <f>G!AY336</f>
        <v>&lt;</v>
      </c>
      <c r="P400" s="44" t="str">
        <f>G!AX336</f>
        <v>rg</v>
      </c>
      <c r="Q400" s="35" t="str">
        <f>G!AZ336</f>
        <v>-</v>
      </c>
      <c r="R400" s="35" t="str">
        <f>G!BA336</f>
        <v/>
      </c>
      <c r="T400" s="44" t="str">
        <f>G!BC336</f>
        <v>&lt;</v>
      </c>
      <c r="U400" s="44">
        <v>0.1</v>
      </c>
      <c r="V400" s="44"/>
      <c r="W400" s="35" t="str">
        <f>G!BE336</f>
        <v>&lt;</v>
      </c>
      <c r="X400" s="44" t="str">
        <f>G!BD336</f>
        <v>rg</v>
      </c>
      <c r="Y400" s="35" t="str">
        <f>G!BF336</f>
        <v>-</v>
      </c>
      <c r="Z400" s="35" t="str">
        <f>G!BG336</f>
        <v/>
      </c>
      <c r="AA400" s="44"/>
      <c r="AE400" s="72">
        <f t="shared" si="25"/>
        <v>0</v>
      </c>
    </row>
    <row r="401" spans="1:31" ht="9" customHeight="1" x14ac:dyDescent="0.15">
      <c r="A401" s="195" t="str">
        <f>F!A337</f>
        <v>PFDoDA</v>
      </c>
      <c r="B401" s="195"/>
      <c r="C401" s="195"/>
      <c r="D401" s="44" t="str">
        <f>G!AQ337</f>
        <v>&lt;</v>
      </c>
      <c r="E401" s="44">
        <v>0.1</v>
      </c>
      <c r="G401" s="35" t="str">
        <f>G!AS337</f>
        <v>&lt;</v>
      </c>
      <c r="H401" s="44" t="str">
        <f>G!AR337</f>
        <v>rg</v>
      </c>
      <c r="I401" s="35" t="str">
        <f>G!AT337</f>
        <v>-</v>
      </c>
      <c r="J401" s="35" t="str">
        <f>G!AU337</f>
        <v/>
      </c>
      <c r="L401" s="44" t="str">
        <f>G!AW337</f>
        <v>&lt;</v>
      </c>
      <c r="M401" s="44">
        <v>0.1</v>
      </c>
      <c r="O401" s="35" t="str">
        <f>G!AY337</f>
        <v>&lt;</v>
      </c>
      <c r="P401" s="44" t="str">
        <f>G!AX337</f>
        <v>rg</v>
      </c>
      <c r="Q401" s="35" t="str">
        <f>G!AZ337</f>
        <v>-</v>
      </c>
      <c r="R401" s="35" t="str">
        <f>G!BA337</f>
        <v/>
      </c>
      <c r="T401" s="44" t="str">
        <f>G!BC337</f>
        <v>&lt;</v>
      </c>
      <c r="U401" s="44">
        <v>0.1</v>
      </c>
      <c r="V401" s="44"/>
      <c r="W401" s="35" t="str">
        <f>G!BE337</f>
        <v>&lt;</v>
      </c>
      <c r="X401" s="44" t="str">
        <f>G!BD337</f>
        <v>rg</v>
      </c>
      <c r="Y401" s="35" t="str">
        <f>G!BF337</f>
        <v>-</v>
      </c>
      <c r="Z401" s="35" t="str">
        <f>G!BG337</f>
        <v/>
      </c>
      <c r="AA401" s="44"/>
      <c r="AE401" s="72">
        <f t="shared" si="25"/>
        <v>0</v>
      </c>
    </row>
    <row r="402" spans="1:31" ht="9" hidden="1" customHeight="1" x14ac:dyDescent="0.15">
      <c r="A402" s="195" t="str">
        <f>F!A338</f>
        <v>PFTrDA</v>
      </c>
      <c r="B402" s="195"/>
      <c r="C402" s="195"/>
      <c r="D402" s="44" t="str">
        <f>G!AQ338</f>
        <v/>
      </c>
      <c r="E402" s="44" t="str">
        <f>G!AP338</f>
        <v>--</v>
      </c>
      <c r="G402" s="35" t="str">
        <f>G!AS338</f>
        <v/>
      </c>
      <c r="H402" s="44" t="str">
        <f>G!AR338</f>
        <v>--</v>
      </c>
      <c r="I402" s="35" t="str">
        <f>G!AT338</f>
        <v/>
      </c>
      <c r="J402" s="35" t="str">
        <f>G!AU338</f>
        <v/>
      </c>
      <c r="L402" s="44" t="str">
        <f>G!AW338</f>
        <v/>
      </c>
      <c r="M402" s="44" t="str">
        <f>G!AV338</f>
        <v>--</v>
      </c>
      <c r="O402" s="35" t="str">
        <f>G!AY338</f>
        <v/>
      </c>
      <c r="P402" s="44" t="str">
        <f>G!AX338</f>
        <v>--</v>
      </c>
      <c r="Q402" s="35" t="str">
        <f>G!AZ338</f>
        <v/>
      </c>
      <c r="R402" s="35" t="str">
        <f>G!BA338</f>
        <v/>
      </c>
      <c r="T402" s="44" t="str">
        <f>G!BC338</f>
        <v/>
      </c>
      <c r="U402" s="44" t="str">
        <f>G!BB338</f>
        <v>--</v>
      </c>
      <c r="V402" s="44"/>
      <c r="W402" s="35" t="str">
        <f>G!BE338</f>
        <v/>
      </c>
      <c r="X402" s="44" t="str">
        <f>G!BD338</f>
        <v>--</v>
      </c>
      <c r="Y402" s="35" t="str">
        <f>G!BF338</f>
        <v/>
      </c>
      <c r="Z402" s="35" t="str">
        <f>G!BG338</f>
        <v/>
      </c>
      <c r="AA402" s="44"/>
      <c r="AE402" s="72">
        <f t="shared" si="25"/>
        <v>1</v>
      </c>
    </row>
    <row r="403" spans="1:31" ht="9" hidden="1" customHeight="1" x14ac:dyDescent="0.15">
      <c r="A403" s="195" t="str">
        <f>F!A339</f>
        <v>PFTeDA</v>
      </c>
      <c r="B403" s="195"/>
      <c r="C403" s="195"/>
      <c r="D403" s="44" t="str">
        <f>G!AQ339</f>
        <v/>
      </c>
      <c r="E403" s="44" t="str">
        <f>G!AP339</f>
        <v>--</v>
      </c>
      <c r="G403" s="35" t="str">
        <f>G!AS339</f>
        <v/>
      </c>
      <c r="H403" s="44" t="str">
        <f>G!AR339</f>
        <v>--</v>
      </c>
      <c r="I403" s="35" t="str">
        <f>G!AT339</f>
        <v/>
      </c>
      <c r="J403" s="35" t="str">
        <f>G!AU339</f>
        <v/>
      </c>
      <c r="L403" s="44" t="str">
        <f>G!AW339</f>
        <v/>
      </c>
      <c r="M403" s="44" t="str">
        <f>G!AV339</f>
        <v>--</v>
      </c>
      <c r="O403" s="35" t="str">
        <f>G!AY339</f>
        <v/>
      </c>
      <c r="P403" s="44" t="str">
        <f>G!AX339</f>
        <v>--</v>
      </c>
      <c r="Q403" s="35" t="str">
        <f>G!AZ339</f>
        <v/>
      </c>
      <c r="R403" s="35" t="str">
        <f>G!BA339</f>
        <v/>
      </c>
      <c r="T403" s="44" t="str">
        <f>G!BC339</f>
        <v/>
      </c>
      <c r="U403" s="44" t="str">
        <f>G!BB339</f>
        <v>--</v>
      </c>
      <c r="V403" s="44"/>
      <c r="W403" s="35" t="str">
        <f>G!BE339</f>
        <v/>
      </c>
      <c r="X403" s="44" t="str">
        <f>G!BD339</f>
        <v>--</v>
      </c>
      <c r="Y403" s="35" t="str">
        <f>G!BF339</f>
        <v/>
      </c>
      <c r="Z403" s="35" t="str">
        <f>G!BG339</f>
        <v/>
      </c>
      <c r="AA403" s="44"/>
      <c r="AE403" s="72">
        <f t="shared" si="25"/>
        <v>1</v>
      </c>
    </row>
    <row r="404" spans="1:31" ht="9" hidden="1" customHeight="1" x14ac:dyDescent="0.15">
      <c r="A404" s="195" t="str">
        <f>F!A340</f>
        <v>PFHxDA</v>
      </c>
      <c r="B404" s="195"/>
      <c r="C404" s="195"/>
      <c r="D404" s="44" t="str">
        <f>G!AQ340</f>
        <v/>
      </c>
      <c r="E404" s="44" t="str">
        <f>G!AP340</f>
        <v>--</v>
      </c>
      <c r="G404" s="35" t="str">
        <f>G!AS340</f>
        <v/>
      </c>
      <c r="H404" s="44" t="str">
        <f>G!AR340</f>
        <v>--</v>
      </c>
      <c r="I404" s="35" t="str">
        <f>G!AT340</f>
        <v/>
      </c>
      <c r="J404" s="35" t="str">
        <f>G!AU340</f>
        <v/>
      </c>
      <c r="L404" s="44" t="str">
        <f>G!AW340</f>
        <v/>
      </c>
      <c r="M404" s="44" t="str">
        <f>G!AV340</f>
        <v>--</v>
      </c>
      <c r="O404" s="35" t="str">
        <f>G!AY340</f>
        <v/>
      </c>
      <c r="P404" s="44" t="str">
        <f>G!AX340</f>
        <v>--</v>
      </c>
      <c r="Q404" s="35" t="str">
        <f>G!AZ340</f>
        <v/>
      </c>
      <c r="R404" s="35" t="str">
        <f>G!BA340</f>
        <v/>
      </c>
      <c r="T404" s="44" t="str">
        <f>G!BC340</f>
        <v/>
      </c>
      <c r="U404" s="44" t="str">
        <f>G!BB340</f>
        <v>--</v>
      </c>
      <c r="V404" s="44"/>
      <c r="W404" s="35" t="str">
        <f>G!BE340</f>
        <v/>
      </c>
      <c r="X404" s="44" t="str">
        <f>G!BD340</f>
        <v>--</v>
      </c>
      <c r="Y404" s="35" t="str">
        <f>G!BF340</f>
        <v/>
      </c>
      <c r="Z404" s="35" t="str">
        <f>G!BG340</f>
        <v/>
      </c>
      <c r="AA404" s="44"/>
      <c r="AE404" s="72">
        <f t="shared" si="25"/>
        <v>1</v>
      </c>
    </row>
    <row r="405" spans="1:31" ht="9" hidden="1" customHeight="1" x14ac:dyDescent="0.15">
      <c r="A405" s="195" t="str">
        <f>F!A341</f>
        <v>PFODA</v>
      </c>
      <c r="B405" s="195"/>
      <c r="C405" s="195"/>
      <c r="D405" s="44" t="str">
        <f>G!AQ341</f>
        <v/>
      </c>
      <c r="E405" s="44" t="str">
        <f>G!AP341</f>
        <v>--</v>
      </c>
      <c r="G405" s="35" t="str">
        <f>G!AS341</f>
        <v/>
      </c>
      <c r="H405" s="44" t="str">
        <f>G!AR341</f>
        <v>--</v>
      </c>
      <c r="I405" s="35" t="str">
        <f>G!AT341</f>
        <v/>
      </c>
      <c r="J405" s="35" t="str">
        <f>G!AU341</f>
        <v/>
      </c>
      <c r="L405" s="44" t="str">
        <f>G!AW341</f>
        <v/>
      </c>
      <c r="M405" s="44" t="str">
        <f>G!AV341</f>
        <v>--</v>
      </c>
      <c r="O405" s="35" t="str">
        <f>G!AY341</f>
        <v/>
      </c>
      <c r="P405" s="44" t="str">
        <f>G!AX341</f>
        <v>--</v>
      </c>
      <c r="Q405" s="35" t="str">
        <f>G!AZ341</f>
        <v/>
      </c>
      <c r="R405" s="35" t="str">
        <f>G!BA341</f>
        <v/>
      </c>
      <c r="T405" s="44" t="str">
        <f>G!BC341</f>
        <v/>
      </c>
      <c r="U405" s="44" t="str">
        <f>G!BB341</f>
        <v>--</v>
      </c>
      <c r="V405" s="44"/>
      <c r="W405" s="35" t="str">
        <f>G!BE341</f>
        <v/>
      </c>
      <c r="X405" s="44" t="str">
        <f>G!BD341</f>
        <v>--</v>
      </c>
      <c r="Y405" s="35" t="str">
        <f>G!BF341</f>
        <v/>
      </c>
      <c r="Z405" s="35" t="str">
        <f>G!BG341</f>
        <v/>
      </c>
      <c r="AA405" s="44"/>
      <c r="AE405" s="72">
        <f t="shared" si="25"/>
        <v>1</v>
      </c>
    </row>
    <row r="406" spans="1:31" ht="9" customHeight="1" x14ac:dyDescent="0.15">
      <c r="A406" s="195" t="str">
        <f>F!A342</f>
        <v>PFBS</v>
      </c>
      <c r="B406" s="195"/>
      <c r="C406" s="195"/>
      <c r="D406" s="44" t="str">
        <f>G!AQ342</f>
        <v>&lt;</v>
      </c>
      <c r="E406" s="44">
        <v>0.1</v>
      </c>
      <c r="G406" s="35" t="str">
        <f>G!AS342</f>
        <v>&lt;</v>
      </c>
      <c r="H406" s="44" t="str">
        <f>G!AR342</f>
        <v>rg</v>
      </c>
      <c r="I406" s="35" t="str">
        <f>G!AT342</f>
        <v>-</v>
      </c>
      <c r="J406" s="35" t="str">
        <f>G!AU342</f>
        <v/>
      </c>
      <c r="L406" s="44" t="str">
        <f>G!AW342</f>
        <v>&lt;</v>
      </c>
      <c r="M406" s="44">
        <v>0.1</v>
      </c>
      <c r="O406" s="35" t="str">
        <f>G!AY342</f>
        <v>&lt;</v>
      </c>
      <c r="P406" s="44" t="str">
        <f>G!AX342</f>
        <v>rg</v>
      </c>
      <c r="Q406" s="35" t="str">
        <f>G!AZ342</f>
        <v>-</v>
      </c>
      <c r="R406" s="35" t="str">
        <f>G!BA342</f>
        <v/>
      </c>
      <c r="T406" s="44" t="str">
        <f>G!BC342</f>
        <v>&lt;</v>
      </c>
      <c r="U406" s="44">
        <v>0.1</v>
      </c>
      <c r="V406" s="44"/>
      <c r="W406" s="35" t="str">
        <f>G!BE342</f>
        <v>&lt;</v>
      </c>
      <c r="X406" s="44" t="str">
        <f>G!BD342</f>
        <v>rg</v>
      </c>
      <c r="Y406" s="35" t="str">
        <f>G!BF342</f>
        <v>-</v>
      </c>
      <c r="Z406" s="35" t="str">
        <f>G!BG342</f>
        <v/>
      </c>
      <c r="AA406" s="44"/>
      <c r="AE406" s="72">
        <f t="shared" si="25"/>
        <v>0</v>
      </c>
    </row>
    <row r="407" spans="1:31" ht="9" customHeight="1" x14ac:dyDescent="0.15">
      <c r="A407" s="195" t="str">
        <f>F!A343</f>
        <v>PFPeS</v>
      </c>
      <c r="B407" s="195"/>
      <c r="C407" s="195"/>
      <c r="D407" s="44" t="str">
        <f>G!AQ343</f>
        <v>&lt;</v>
      </c>
      <c r="E407" s="44">
        <v>0.1</v>
      </c>
      <c r="G407" s="35" t="str">
        <f>G!AS343</f>
        <v>&lt;</v>
      </c>
      <c r="H407" s="44" t="str">
        <f>G!AR343</f>
        <v>rg</v>
      </c>
      <c r="I407" s="35" t="str">
        <f>G!AT343</f>
        <v>-</v>
      </c>
      <c r="J407" s="35" t="str">
        <f>G!AU343</f>
        <v/>
      </c>
      <c r="L407" s="44" t="str">
        <f>G!AW343</f>
        <v>&lt;</v>
      </c>
      <c r="M407" s="44">
        <v>0.1</v>
      </c>
      <c r="O407" s="35" t="str">
        <f>G!AY343</f>
        <v>&lt;</v>
      </c>
      <c r="P407" s="44" t="str">
        <f>G!AX343</f>
        <v>rg</v>
      </c>
      <c r="Q407" s="35" t="str">
        <f>G!AZ343</f>
        <v>-</v>
      </c>
      <c r="R407" s="35" t="str">
        <f>G!BA343</f>
        <v/>
      </c>
      <c r="T407" s="44" t="str">
        <f>G!BC343</f>
        <v>&lt;</v>
      </c>
      <c r="U407" s="44">
        <v>0.1</v>
      </c>
      <c r="V407" s="44"/>
      <c r="W407" s="35" t="str">
        <f>G!BE343</f>
        <v>&lt;</v>
      </c>
      <c r="X407" s="44" t="str">
        <f>G!BD343</f>
        <v>rg</v>
      </c>
      <c r="Y407" s="35" t="str">
        <f>G!BF343</f>
        <v>-</v>
      </c>
      <c r="Z407" s="35" t="str">
        <f>G!BG343</f>
        <v/>
      </c>
      <c r="AA407" s="44"/>
      <c r="AE407" s="72">
        <f t="shared" si="25"/>
        <v>0</v>
      </c>
    </row>
    <row r="408" spans="1:31" ht="9" customHeight="1" x14ac:dyDescent="0.15">
      <c r="A408" s="195" t="str">
        <f>F!A344</f>
        <v>PFHxS</v>
      </c>
      <c r="B408" s="195"/>
      <c r="C408" s="195"/>
      <c r="D408" s="44" t="str">
        <f>G!AQ344</f>
        <v>&lt;</v>
      </c>
      <c r="E408" s="44">
        <v>0.1</v>
      </c>
      <c r="G408" s="35" t="str">
        <f>G!AS344</f>
        <v>&lt;</v>
      </c>
      <c r="H408" s="44" t="str">
        <f>G!AR344</f>
        <v>rg</v>
      </c>
      <c r="I408" s="35" t="str">
        <f>G!AT344</f>
        <v>-</v>
      </c>
      <c r="J408" s="35" t="str">
        <f>G!AU344</f>
        <v/>
      </c>
      <c r="L408" s="44" t="str">
        <f>G!AW344</f>
        <v>&lt;</v>
      </c>
      <c r="M408" s="44">
        <v>0.1</v>
      </c>
      <c r="O408" s="35" t="str">
        <f>G!AY344</f>
        <v>&lt;</v>
      </c>
      <c r="P408" s="44" t="str">
        <f>G!AX344</f>
        <v>rg</v>
      </c>
      <c r="Q408" s="35" t="str">
        <f>G!AZ344</f>
        <v>-</v>
      </c>
      <c r="R408" s="35" t="str">
        <f>G!BA344</f>
        <v/>
      </c>
      <c r="T408" s="44" t="str">
        <f>G!BC344</f>
        <v>&lt;</v>
      </c>
      <c r="U408" s="44">
        <v>0.1</v>
      </c>
      <c r="V408" s="44"/>
      <c r="W408" s="35" t="str">
        <f>G!BE344</f>
        <v>&lt;</v>
      </c>
      <c r="X408" s="44" t="str">
        <f>G!BD344</f>
        <v>rg</v>
      </c>
      <c r="Y408" s="35" t="str">
        <f>G!BF344</f>
        <v>-</v>
      </c>
      <c r="Z408" s="35" t="str">
        <f>G!BG344</f>
        <v/>
      </c>
      <c r="AA408" s="44"/>
      <c r="AE408" s="72">
        <f t="shared" si="25"/>
        <v>0</v>
      </c>
    </row>
    <row r="409" spans="1:31" ht="9" customHeight="1" x14ac:dyDescent="0.15">
      <c r="A409" s="195" t="str">
        <f>F!A345</f>
        <v>PFHpS</v>
      </c>
      <c r="B409" s="195"/>
      <c r="C409" s="195"/>
      <c r="D409" s="44" t="str">
        <f>G!AQ345</f>
        <v>&lt;</v>
      </c>
      <c r="E409" s="44">
        <v>0.1</v>
      </c>
      <c r="G409" s="35" t="str">
        <f>G!AS345</f>
        <v>&lt;</v>
      </c>
      <c r="H409" s="44" t="str">
        <f>G!AR345</f>
        <v>rg</v>
      </c>
      <c r="I409" s="35" t="str">
        <f>G!AT345</f>
        <v>-</v>
      </c>
      <c r="J409" s="35" t="str">
        <f>G!AU345</f>
        <v/>
      </c>
      <c r="L409" s="44" t="str">
        <f>G!AW345</f>
        <v>&lt;</v>
      </c>
      <c r="M409" s="44">
        <v>0.1</v>
      </c>
      <c r="O409" s="35" t="str">
        <f>G!AY345</f>
        <v>&lt;</v>
      </c>
      <c r="P409" s="44" t="str">
        <f>G!AX345</f>
        <v>rg</v>
      </c>
      <c r="Q409" s="35" t="str">
        <f>G!AZ345</f>
        <v>-</v>
      </c>
      <c r="R409" s="35" t="str">
        <f>G!BA345</f>
        <v/>
      </c>
      <c r="T409" s="44" t="str">
        <f>G!BC345</f>
        <v>&lt;</v>
      </c>
      <c r="U409" s="44">
        <v>0.1</v>
      </c>
      <c r="V409" s="44"/>
      <c r="W409" s="35" t="str">
        <f>G!BE345</f>
        <v>&lt;</v>
      </c>
      <c r="X409" s="44" t="str">
        <f>G!BD345</f>
        <v>rg</v>
      </c>
      <c r="Y409" s="35" t="str">
        <f>G!BF345</f>
        <v>-</v>
      </c>
      <c r="Z409" s="35" t="str">
        <f>G!BG345</f>
        <v/>
      </c>
      <c r="AA409" s="44"/>
      <c r="AE409" s="72">
        <f t="shared" si="25"/>
        <v>0</v>
      </c>
    </row>
    <row r="410" spans="1:31" ht="9" customHeight="1" x14ac:dyDescent="0.15">
      <c r="A410" s="195" t="str">
        <f>F!A346</f>
        <v>PFOS lineair</v>
      </c>
      <c r="B410" s="195"/>
      <c r="C410" s="195"/>
      <c r="D410" s="44" t="str">
        <f>G!AQ346</f>
        <v>&lt;</v>
      </c>
      <c r="E410" s="44">
        <v>0.1</v>
      </c>
      <c r="G410" s="35" t="str">
        <f>G!AS346</f>
        <v>&lt;</v>
      </c>
      <c r="H410" s="44" t="str">
        <f>G!AR346</f>
        <v>rg</v>
      </c>
      <c r="I410" s="35" t="str">
        <f>G!AT346</f>
        <v/>
      </c>
      <c r="J410" s="35" t="str">
        <f>G!AU346</f>
        <v/>
      </c>
      <c r="L410" s="44" t="str">
        <f>G!AW346</f>
        <v>&lt;</v>
      </c>
      <c r="M410" s="44">
        <v>0.1</v>
      </c>
      <c r="O410" s="35" t="str">
        <f>G!AY346</f>
        <v>&lt;</v>
      </c>
      <c r="P410" s="44" t="str">
        <f>G!AX346</f>
        <v>rg</v>
      </c>
      <c r="Q410" s="35" t="str">
        <f>G!AZ346</f>
        <v/>
      </c>
      <c r="R410" s="35" t="str">
        <f>G!BA346</f>
        <v/>
      </c>
      <c r="T410" s="44" t="str">
        <f>G!BC346</f>
        <v>&lt;</v>
      </c>
      <c r="U410" s="44">
        <v>0.1</v>
      </c>
      <c r="V410" s="44"/>
      <c r="W410" s="35" t="str">
        <f>G!BE346</f>
        <v>&lt;</v>
      </c>
      <c r="X410" s="44" t="str">
        <f>G!BD346</f>
        <v>rg</v>
      </c>
      <c r="Y410" s="35" t="str">
        <f>G!BF346</f>
        <v/>
      </c>
      <c r="Z410" s="35" t="str">
        <f>G!BG346</f>
        <v/>
      </c>
      <c r="AA410" s="44"/>
      <c r="AE410" s="72">
        <f t="shared" si="25"/>
        <v>0</v>
      </c>
    </row>
    <row r="411" spans="1:31" ht="9" customHeight="1" x14ac:dyDescent="0.15">
      <c r="A411" s="195" t="str">
        <f>F!A347</f>
        <v>PFOS vertakt</v>
      </c>
      <c r="B411" s="195"/>
      <c r="C411" s="195"/>
      <c r="D411" s="44" t="str">
        <f>G!AQ347</f>
        <v>&lt;</v>
      </c>
      <c r="E411" s="44">
        <v>0.1</v>
      </c>
      <c r="G411" s="35" t="str">
        <f>G!AS347</f>
        <v>&lt;</v>
      </c>
      <c r="H411" s="44" t="str">
        <f>G!AR347</f>
        <v>rg</v>
      </c>
      <c r="I411" s="35" t="str">
        <f>G!AT347</f>
        <v/>
      </c>
      <c r="J411" s="35" t="str">
        <f>G!AU347</f>
        <v/>
      </c>
      <c r="L411" s="44" t="str">
        <f>G!AW347</f>
        <v>&lt;</v>
      </c>
      <c r="M411" s="44">
        <v>0.1</v>
      </c>
      <c r="O411" s="35" t="str">
        <f>G!AY347</f>
        <v>&lt;</v>
      </c>
      <c r="P411" s="44" t="str">
        <f>G!AX347</f>
        <v>rg</v>
      </c>
      <c r="Q411" s="35" t="str">
        <f>G!AZ347</f>
        <v/>
      </c>
      <c r="R411" s="35" t="str">
        <f>G!BA347</f>
        <v/>
      </c>
      <c r="T411" s="44" t="str">
        <f>G!BC347</f>
        <v>&lt;</v>
      </c>
      <c r="U411" s="44">
        <v>0.1</v>
      </c>
      <c r="V411" s="44"/>
      <c r="W411" s="35" t="str">
        <f>G!BE347</f>
        <v>&lt;</v>
      </c>
      <c r="X411" s="44" t="str">
        <f>G!BD347</f>
        <v>rg</v>
      </c>
      <c r="Y411" s="35" t="str">
        <f>G!BF347</f>
        <v/>
      </c>
      <c r="Z411" s="35" t="str">
        <f>G!BG347</f>
        <v/>
      </c>
      <c r="AA411" s="44"/>
      <c r="AE411" s="72">
        <f t="shared" si="25"/>
        <v>0</v>
      </c>
    </row>
    <row r="412" spans="1:31" ht="9" customHeight="1" x14ac:dyDescent="0.15">
      <c r="A412" s="195" t="str">
        <f>F!A348</f>
        <v>PFOS totaal</v>
      </c>
      <c r="B412" s="195"/>
      <c r="C412" s="195"/>
      <c r="D412" s="44" t="str">
        <f>G!AQ348</f>
        <v>&lt;</v>
      </c>
      <c r="E412" s="44">
        <v>0.1</v>
      </c>
      <c r="G412" s="35" t="str">
        <f>G!AS348</f>
        <v>&lt;</v>
      </c>
      <c r="H412" s="44" t="str">
        <f>G!AR348</f>
        <v>rg</v>
      </c>
      <c r="I412" s="35" t="str">
        <f>G!AT348</f>
        <v>-</v>
      </c>
      <c r="J412" s="35" t="str">
        <f>G!AU348</f>
        <v/>
      </c>
      <c r="L412" s="44" t="str">
        <f>G!AW348</f>
        <v>&lt;</v>
      </c>
      <c r="M412" s="44">
        <v>0.1</v>
      </c>
      <c r="O412" s="35" t="str">
        <f>G!AY348</f>
        <v>&lt;</v>
      </c>
      <c r="P412" s="44" t="str">
        <f>G!AX348</f>
        <v>rg</v>
      </c>
      <c r="Q412" s="35" t="str">
        <f>G!AZ348</f>
        <v>-</v>
      </c>
      <c r="R412" s="35" t="str">
        <f>G!BA348</f>
        <v/>
      </c>
      <c r="T412" s="44" t="str">
        <f>G!BC348</f>
        <v>&lt;</v>
      </c>
      <c r="U412" s="44">
        <v>0.1</v>
      </c>
      <c r="V412" s="44"/>
      <c r="W412" s="35" t="str">
        <f>G!BE348</f>
        <v>&lt;</v>
      </c>
      <c r="X412" s="44" t="str">
        <f>G!BD348</f>
        <v>rg</v>
      </c>
      <c r="Y412" s="35" t="str">
        <f>G!BF348</f>
        <v>-</v>
      </c>
      <c r="Z412" s="35" t="str">
        <f>G!BG348</f>
        <v/>
      </c>
      <c r="AA412" s="44"/>
      <c r="AE412" s="72">
        <f t="shared" si="25"/>
        <v>0</v>
      </c>
    </row>
    <row r="413" spans="1:31" ht="9" customHeight="1" x14ac:dyDescent="0.15">
      <c r="A413" s="195" t="str">
        <f>F!A349</f>
        <v>PFDS</v>
      </c>
      <c r="B413" s="195"/>
      <c r="C413" s="195"/>
      <c r="D413" s="44" t="str">
        <f>G!AQ349</f>
        <v>&lt;</v>
      </c>
      <c r="E413" s="44">
        <v>0.1</v>
      </c>
      <c r="G413" s="35" t="str">
        <f>G!AS349</f>
        <v>&lt;</v>
      </c>
      <c r="H413" s="44" t="str">
        <f>G!AR349</f>
        <v>rg</v>
      </c>
      <c r="I413" s="35" t="str">
        <f>G!AT349</f>
        <v>-</v>
      </c>
      <c r="J413" s="35" t="str">
        <f>G!AU349</f>
        <v/>
      </c>
      <c r="L413" s="44" t="str">
        <f>G!AW349</f>
        <v>&lt;</v>
      </c>
      <c r="M413" s="44">
        <v>0.1</v>
      </c>
      <c r="O413" s="35" t="str">
        <f>G!AY349</f>
        <v>&lt;</v>
      </c>
      <c r="P413" s="44" t="str">
        <f>G!AX349</f>
        <v>rg</v>
      </c>
      <c r="Q413" s="35" t="str">
        <f>G!AZ349</f>
        <v>-</v>
      </c>
      <c r="R413" s="35" t="str">
        <f>G!BA349</f>
        <v/>
      </c>
      <c r="T413" s="44" t="str">
        <f>G!BC349</f>
        <v>&lt;</v>
      </c>
      <c r="U413" s="44">
        <v>0.1</v>
      </c>
      <c r="V413" s="44"/>
      <c r="W413" s="35" t="str">
        <f>G!BE349</f>
        <v>&lt;</v>
      </c>
      <c r="X413" s="44" t="str">
        <f>G!BD349</f>
        <v>rg</v>
      </c>
      <c r="Y413" s="35" t="str">
        <f>G!BF349</f>
        <v>-</v>
      </c>
      <c r="Z413" s="35" t="str">
        <f>G!BG349</f>
        <v/>
      </c>
      <c r="AA413" s="44"/>
      <c r="AE413" s="72">
        <f t="shared" si="25"/>
        <v>0</v>
      </c>
    </row>
    <row r="414" spans="1:31" ht="9" customHeight="1" x14ac:dyDescent="0.15">
      <c r="A414" s="195" t="str">
        <f>F!A350</f>
        <v>4:2 FTS</v>
      </c>
      <c r="B414" s="195"/>
      <c r="C414" s="195"/>
      <c r="D414" s="44" t="str">
        <f>G!AQ350</f>
        <v>&lt;</v>
      </c>
      <c r="E414" s="44">
        <v>0.1</v>
      </c>
      <c r="G414" s="35" t="str">
        <f>G!AS350</f>
        <v>&lt;</v>
      </c>
      <c r="H414" s="44" t="str">
        <f>G!AR350</f>
        <v>rg</v>
      </c>
      <c r="I414" s="35" t="str">
        <f>G!AT350</f>
        <v>-</v>
      </c>
      <c r="J414" s="35" t="str">
        <f>G!AU350</f>
        <v/>
      </c>
      <c r="L414" s="44" t="str">
        <f>G!AW350</f>
        <v>&lt;</v>
      </c>
      <c r="M414" s="44">
        <v>0.1</v>
      </c>
      <c r="O414" s="35" t="str">
        <f>G!AY350</f>
        <v>&lt;</v>
      </c>
      <c r="P414" s="44" t="str">
        <f>G!AX350</f>
        <v>rg</v>
      </c>
      <c r="Q414" s="35" t="str">
        <f>G!AZ350</f>
        <v>-</v>
      </c>
      <c r="R414" s="35" t="str">
        <f>G!BA350</f>
        <v/>
      </c>
      <c r="T414" s="44" t="str">
        <f>G!BC350</f>
        <v>&lt;</v>
      </c>
      <c r="U414" s="44">
        <v>0.1</v>
      </c>
      <c r="V414" s="44"/>
      <c r="W414" s="35" t="str">
        <f>G!BE350</f>
        <v>&lt;</v>
      </c>
      <c r="X414" s="44" t="str">
        <f>G!BD350</f>
        <v>rg</v>
      </c>
      <c r="Y414" s="35" t="str">
        <f>G!BF350</f>
        <v>-</v>
      </c>
      <c r="Z414" s="35" t="str">
        <f>G!BG350</f>
        <v/>
      </c>
      <c r="AA414" s="44"/>
      <c r="AE414" s="72">
        <f t="shared" si="25"/>
        <v>0</v>
      </c>
    </row>
    <row r="415" spans="1:31" ht="9" customHeight="1" x14ac:dyDescent="0.15">
      <c r="A415" s="195" t="str">
        <f>F!A351</f>
        <v>6:2 FTS</v>
      </c>
      <c r="B415" s="195"/>
      <c r="C415" s="195"/>
      <c r="D415" s="44" t="str">
        <f>G!AQ351</f>
        <v>&lt;</v>
      </c>
      <c r="E415" s="44">
        <v>0.1</v>
      </c>
      <c r="G415" s="35" t="str">
        <f>G!AS351</f>
        <v>&lt;</v>
      </c>
      <c r="H415" s="44" t="str">
        <f>G!AR351</f>
        <v>rg</v>
      </c>
      <c r="I415" s="35" t="str">
        <f>G!AT351</f>
        <v>-</v>
      </c>
      <c r="J415" s="35" t="str">
        <f>G!AU351</f>
        <v/>
      </c>
      <c r="L415" s="44" t="str">
        <f>G!AW351</f>
        <v>&lt;</v>
      </c>
      <c r="M415" s="44">
        <v>0.1</v>
      </c>
      <c r="O415" s="35" t="str">
        <f>G!AY351</f>
        <v>&lt;</v>
      </c>
      <c r="P415" s="44" t="str">
        <f>G!AX351</f>
        <v>rg</v>
      </c>
      <c r="Q415" s="35" t="str">
        <f>G!AZ351</f>
        <v>-</v>
      </c>
      <c r="R415" s="35" t="str">
        <f>G!BA351</f>
        <v/>
      </c>
      <c r="T415" s="44" t="str">
        <f>G!BC351</f>
        <v>&lt;</v>
      </c>
      <c r="U415" s="44">
        <v>0.1</v>
      </c>
      <c r="V415" s="44"/>
      <c r="W415" s="35" t="str">
        <f>G!BE351</f>
        <v>&lt;</v>
      </c>
      <c r="X415" s="44" t="str">
        <f>G!BD351</f>
        <v>rg</v>
      </c>
      <c r="Y415" s="35" t="str">
        <f>G!BF351</f>
        <v>-</v>
      </c>
      <c r="Z415" s="35" t="str">
        <f>G!BG351</f>
        <v/>
      </c>
      <c r="AA415" s="44"/>
      <c r="AE415" s="72">
        <f t="shared" si="25"/>
        <v>0</v>
      </c>
    </row>
    <row r="416" spans="1:31" ht="9" customHeight="1" x14ac:dyDescent="0.15">
      <c r="A416" s="195" t="str">
        <f>F!A352</f>
        <v>8:2 FTS</v>
      </c>
      <c r="B416" s="195"/>
      <c r="C416" s="195"/>
      <c r="D416" s="44" t="str">
        <f>G!AQ352</f>
        <v>&lt;</v>
      </c>
      <c r="E416" s="44">
        <v>0.1</v>
      </c>
      <c r="G416" s="35" t="str">
        <f>G!AS352</f>
        <v>&lt;</v>
      </c>
      <c r="H416" s="44" t="str">
        <f>G!AR352</f>
        <v>rg</v>
      </c>
      <c r="I416" s="35" t="str">
        <f>G!AT352</f>
        <v>-</v>
      </c>
      <c r="J416" s="35" t="str">
        <f>G!AU352</f>
        <v/>
      </c>
      <c r="L416" s="44" t="str">
        <f>G!AW352</f>
        <v>&lt;</v>
      </c>
      <c r="M416" s="44">
        <v>0.1</v>
      </c>
      <c r="O416" s="35" t="str">
        <f>G!AY352</f>
        <v>&lt;</v>
      </c>
      <c r="P416" s="44" t="str">
        <f>G!AX352</f>
        <v>rg</v>
      </c>
      <c r="Q416" s="35" t="str">
        <f>G!AZ352</f>
        <v>-</v>
      </c>
      <c r="R416" s="35" t="str">
        <f>G!BA352</f>
        <v/>
      </c>
      <c r="T416" s="44" t="str">
        <f>G!BC352</f>
        <v>&lt;</v>
      </c>
      <c r="U416" s="44">
        <v>0.1</v>
      </c>
      <c r="V416" s="44"/>
      <c r="W416" s="35" t="str">
        <f>G!BE352</f>
        <v>&lt;</v>
      </c>
      <c r="X416" s="44" t="str">
        <f>G!BD352</f>
        <v>rg</v>
      </c>
      <c r="Y416" s="35" t="str">
        <f>G!BF352</f>
        <v>-</v>
      </c>
      <c r="Z416" s="35" t="str">
        <f>G!BG352</f>
        <v/>
      </c>
      <c r="AA416" s="44"/>
      <c r="AE416" s="72">
        <f t="shared" si="25"/>
        <v>0</v>
      </c>
    </row>
    <row r="417" spans="1:31" ht="9" hidden="1" customHeight="1" x14ac:dyDescent="0.15">
      <c r="A417" s="195" t="str">
        <f>F!A353</f>
        <v>10:2 FTS</v>
      </c>
      <c r="B417" s="195"/>
      <c r="C417" s="195"/>
      <c r="D417" s="44" t="str">
        <f>G!AQ353</f>
        <v/>
      </c>
      <c r="E417" s="44" t="str">
        <f>G!AP353</f>
        <v>--</v>
      </c>
      <c r="G417" s="35" t="str">
        <f>G!AS353</f>
        <v/>
      </c>
      <c r="H417" s="44" t="str">
        <f>G!AR353</f>
        <v>--</v>
      </c>
      <c r="I417" s="35" t="str">
        <f>G!AT353</f>
        <v/>
      </c>
      <c r="J417" s="35" t="str">
        <f>G!AU353</f>
        <v/>
      </c>
      <c r="L417" s="44" t="str">
        <f>G!AW353</f>
        <v/>
      </c>
      <c r="M417" s="44" t="str">
        <f>G!AV353</f>
        <v>--</v>
      </c>
      <c r="O417" s="35" t="str">
        <f>G!AY353</f>
        <v/>
      </c>
      <c r="P417" s="44" t="str">
        <f>G!AX353</f>
        <v>--</v>
      </c>
      <c r="Q417" s="35" t="str">
        <f>G!AZ353</f>
        <v/>
      </c>
      <c r="R417" s="35" t="str">
        <f>G!BA353</f>
        <v/>
      </c>
      <c r="T417" s="44" t="str">
        <f>G!BC353</f>
        <v/>
      </c>
      <c r="U417" s="44" t="str">
        <f>G!BB353</f>
        <v>--</v>
      </c>
      <c r="V417" s="44"/>
      <c r="W417" s="35" t="str">
        <f>G!BE353</f>
        <v/>
      </c>
      <c r="X417" s="44" t="str">
        <f>G!BD353</f>
        <v>--</v>
      </c>
      <c r="Y417" s="35" t="str">
        <f>G!BF353</f>
        <v/>
      </c>
      <c r="Z417" s="35" t="str">
        <f>G!BG353</f>
        <v/>
      </c>
      <c r="AA417" s="44"/>
      <c r="AE417" s="72">
        <f t="shared" si="25"/>
        <v>1</v>
      </c>
    </row>
    <row r="418" spans="1:31" ht="9" hidden="1" customHeight="1" x14ac:dyDescent="0.15">
      <c r="A418" s="195" t="str">
        <f>F!A354</f>
        <v>N-MeFOSAA</v>
      </c>
      <c r="B418" s="195"/>
      <c r="C418" s="195"/>
      <c r="D418" s="44" t="str">
        <f>G!AQ354</f>
        <v/>
      </c>
      <c r="E418" s="44" t="str">
        <f>G!AP354</f>
        <v>--</v>
      </c>
      <c r="G418" s="35" t="str">
        <f>G!AS354</f>
        <v/>
      </c>
      <c r="H418" s="44" t="str">
        <f>G!AR354</f>
        <v>--</v>
      </c>
      <c r="I418" s="35" t="str">
        <f>G!AT354</f>
        <v/>
      </c>
      <c r="J418" s="35" t="str">
        <f>G!AU354</f>
        <v/>
      </c>
      <c r="L418" s="44" t="str">
        <f>G!AW354</f>
        <v/>
      </c>
      <c r="M418" s="44" t="str">
        <f>G!AV354</f>
        <v>--</v>
      </c>
      <c r="O418" s="35" t="str">
        <f>G!AY354</f>
        <v/>
      </c>
      <c r="P418" s="44" t="str">
        <f>G!AX354</f>
        <v>--</v>
      </c>
      <c r="Q418" s="35" t="str">
        <f>G!AZ354</f>
        <v/>
      </c>
      <c r="R418" s="35" t="str">
        <f>G!BA354</f>
        <v/>
      </c>
      <c r="T418" s="44" t="str">
        <f>G!BC354</f>
        <v/>
      </c>
      <c r="U418" s="44" t="str">
        <f>G!BB354</f>
        <v>--</v>
      </c>
      <c r="V418" s="44"/>
      <c r="W418" s="35" t="str">
        <f>G!BE354</f>
        <v/>
      </c>
      <c r="X418" s="44" t="str">
        <f>G!BD354</f>
        <v>--</v>
      </c>
      <c r="Y418" s="35" t="str">
        <f>G!BF354</f>
        <v/>
      </c>
      <c r="Z418" s="35" t="str">
        <f>G!BG354</f>
        <v/>
      </c>
      <c r="AA418" s="44"/>
      <c r="AE418" s="72">
        <f t="shared" si="25"/>
        <v>1</v>
      </c>
    </row>
    <row r="419" spans="1:31" ht="9" hidden="1" customHeight="1" x14ac:dyDescent="0.15">
      <c r="A419" s="195" t="str">
        <f>F!A355</f>
        <v>N-EtFOSAA</v>
      </c>
      <c r="B419" s="195"/>
      <c r="C419" s="195"/>
      <c r="D419" s="44" t="str">
        <f>G!AQ355</f>
        <v/>
      </c>
      <c r="E419" s="44" t="str">
        <f>G!AP355</f>
        <v>--</v>
      </c>
      <c r="G419" s="35" t="str">
        <f>G!AS355</f>
        <v/>
      </c>
      <c r="H419" s="44" t="str">
        <f>G!AR355</f>
        <v>--</v>
      </c>
      <c r="I419" s="35" t="str">
        <f>G!AT355</f>
        <v/>
      </c>
      <c r="J419" s="35" t="str">
        <f>G!AU355</f>
        <v/>
      </c>
      <c r="L419" s="44" t="str">
        <f>G!AW355</f>
        <v/>
      </c>
      <c r="M419" s="44" t="str">
        <f>G!AV355</f>
        <v>--</v>
      </c>
      <c r="O419" s="35" t="str">
        <f>G!AY355</f>
        <v/>
      </c>
      <c r="P419" s="44" t="str">
        <f>G!AX355</f>
        <v>--</v>
      </c>
      <c r="Q419" s="35" t="str">
        <f>G!AZ355</f>
        <v/>
      </c>
      <c r="R419" s="35" t="str">
        <f>G!BA355</f>
        <v/>
      </c>
      <c r="T419" s="44" t="str">
        <f>G!BC355</f>
        <v/>
      </c>
      <c r="U419" s="44" t="str">
        <f>G!BB355</f>
        <v>--</v>
      </c>
      <c r="V419" s="44"/>
      <c r="W419" s="35" t="str">
        <f>G!BE355</f>
        <v/>
      </c>
      <c r="X419" s="44" t="str">
        <f>G!BD355</f>
        <v>--</v>
      </c>
      <c r="Y419" s="35" t="str">
        <f>G!BF355</f>
        <v/>
      </c>
      <c r="Z419" s="35" t="str">
        <f>G!BG355</f>
        <v/>
      </c>
      <c r="AA419" s="44"/>
      <c r="AE419" s="72">
        <f t="shared" si="24"/>
        <v>1</v>
      </c>
    </row>
    <row r="420" spans="1:31" ht="9" customHeight="1" x14ac:dyDescent="0.15">
      <c r="A420" s="195" t="str">
        <f>F!A356</f>
        <v>PFOSA</v>
      </c>
      <c r="B420" s="195"/>
      <c r="C420" s="195"/>
      <c r="D420" s="44" t="str">
        <f>G!AQ356</f>
        <v>&lt;</v>
      </c>
      <c r="E420" s="44">
        <v>0.1</v>
      </c>
      <c r="G420" s="35" t="str">
        <f>G!AS356</f>
        <v>&lt;</v>
      </c>
      <c r="H420" s="44" t="str">
        <f>G!AR356</f>
        <v>rg</v>
      </c>
      <c r="I420" s="35" t="str">
        <f>G!AT356</f>
        <v>-</v>
      </c>
      <c r="J420" s="35" t="str">
        <f>G!AU356</f>
        <v/>
      </c>
      <c r="L420" s="44" t="str">
        <f>G!AW356</f>
        <v>&lt;</v>
      </c>
      <c r="M420" s="44">
        <v>0.1</v>
      </c>
      <c r="O420" s="35" t="str">
        <f>G!AY356</f>
        <v>&lt;</v>
      </c>
      <c r="P420" s="44" t="str">
        <f>G!AX356</f>
        <v>rg</v>
      </c>
      <c r="Q420" s="35" t="str">
        <f>G!AZ356</f>
        <v>-</v>
      </c>
      <c r="R420" s="35" t="str">
        <f>G!BA356</f>
        <v/>
      </c>
      <c r="T420" s="44" t="str">
        <f>G!BC356</f>
        <v>&lt;</v>
      </c>
      <c r="U420" s="44">
        <v>0.1</v>
      </c>
      <c r="V420" s="44"/>
      <c r="W420" s="35" t="str">
        <f>G!BE356</f>
        <v>&lt;</v>
      </c>
      <c r="X420" s="44" t="str">
        <f>G!BD356</f>
        <v>rg</v>
      </c>
      <c r="Y420" s="35" t="str">
        <f>G!BF356</f>
        <v>-</v>
      </c>
      <c r="Z420" s="35" t="str">
        <f>G!BG356</f>
        <v/>
      </c>
      <c r="AA420" s="44"/>
      <c r="AE420" s="72">
        <f t="shared" si="24"/>
        <v>0</v>
      </c>
    </row>
    <row r="421" spans="1:31" ht="9" hidden="1" customHeight="1" x14ac:dyDescent="0.15">
      <c r="A421" s="195" t="str">
        <f>F!A357</f>
        <v>N-MeFOSA</v>
      </c>
      <c r="B421" s="195"/>
      <c r="C421" s="195"/>
      <c r="D421" s="44" t="str">
        <f>G!AQ357</f>
        <v/>
      </c>
      <c r="E421" s="44" t="str">
        <f>G!AP357</f>
        <v>--</v>
      </c>
      <c r="G421" s="35" t="str">
        <f>G!AS357</f>
        <v/>
      </c>
      <c r="H421" s="44" t="str">
        <f>G!AR357</f>
        <v>--</v>
      </c>
      <c r="I421" s="35" t="str">
        <f>G!AT357</f>
        <v/>
      </c>
      <c r="J421" s="35" t="str">
        <f>G!AU357</f>
        <v/>
      </c>
      <c r="L421" s="44" t="str">
        <f>G!AW357</f>
        <v/>
      </c>
      <c r="M421" s="44" t="str">
        <f>G!AV357</f>
        <v>--</v>
      </c>
      <c r="O421" s="35" t="str">
        <f>G!AY357</f>
        <v/>
      </c>
      <c r="P421" s="44" t="str">
        <f>G!AX357</f>
        <v>--</v>
      </c>
      <c r="Q421" s="35" t="str">
        <f>G!AZ357</f>
        <v/>
      </c>
      <c r="R421" s="35" t="str">
        <f>G!BA357</f>
        <v/>
      </c>
      <c r="T421" s="44" t="str">
        <f>G!BC357</f>
        <v/>
      </c>
      <c r="U421" s="44" t="str">
        <f>G!BB357</f>
        <v>--</v>
      </c>
      <c r="V421" s="44"/>
      <c r="W421" s="35" t="str">
        <f>G!BE357</f>
        <v/>
      </c>
      <c r="X421" s="44" t="str">
        <f>G!BD357</f>
        <v>--</v>
      </c>
      <c r="Y421" s="35" t="str">
        <f>G!BF357</f>
        <v/>
      </c>
      <c r="Z421" s="35" t="str">
        <f>G!BG357</f>
        <v/>
      </c>
      <c r="AA421" s="44"/>
      <c r="AE421" s="72">
        <f t="shared" si="24"/>
        <v>1</v>
      </c>
    </row>
    <row r="422" spans="1:31" ht="9" hidden="1" customHeight="1" x14ac:dyDescent="0.15">
      <c r="A422" s="195" t="str">
        <f>F!A358</f>
        <v>8:2 diPAP</v>
      </c>
      <c r="B422" s="195"/>
      <c r="C422" s="195"/>
      <c r="D422" s="44" t="str">
        <f>G!AQ358</f>
        <v/>
      </c>
      <c r="E422" s="44" t="str">
        <f>G!AP358</f>
        <v>--</v>
      </c>
      <c r="G422" s="35" t="str">
        <f>G!AS358</f>
        <v/>
      </c>
      <c r="H422" s="44" t="str">
        <f>G!AR358</f>
        <v>--</v>
      </c>
      <c r="I422" s="35" t="str">
        <f>G!AT358</f>
        <v/>
      </c>
      <c r="J422" s="35" t="str">
        <f>G!AU358</f>
        <v/>
      </c>
      <c r="L422" s="44" t="str">
        <f>G!AW358</f>
        <v/>
      </c>
      <c r="M422" s="44" t="str">
        <f>G!AV358</f>
        <v>--</v>
      </c>
      <c r="O422" s="35" t="str">
        <f>G!AY358</f>
        <v/>
      </c>
      <c r="P422" s="44" t="str">
        <f>G!AX358</f>
        <v>--</v>
      </c>
      <c r="Q422" s="35" t="str">
        <f>G!AZ358</f>
        <v/>
      </c>
      <c r="R422" s="35" t="str">
        <f>G!BA358</f>
        <v/>
      </c>
      <c r="T422" s="44" t="str">
        <f>G!BC358</f>
        <v/>
      </c>
      <c r="U422" s="44" t="str">
        <f>G!BB358</f>
        <v>--</v>
      </c>
      <c r="V422" s="44"/>
      <c r="W422" s="35" t="str">
        <f>G!BE358</f>
        <v/>
      </c>
      <c r="X422" s="44" t="str">
        <f>G!BD358</f>
        <v>--</v>
      </c>
      <c r="Y422" s="35" t="str">
        <f>G!BF358</f>
        <v/>
      </c>
      <c r="Z422" s="35" t="str">
        <f>G!BG358</f>
        <v/>
      </c>
      <c r="AA422" s="44"/>
      <c r="AE422" s="72">
        <f t="shared" si="24"/>
        <v>1</v>
      </c>
    </row>
    <row r="423" spans="1:31" ht="9" hidden="1" customHeight="1" x14ac:dyDescent="0.15">
      <c r="A423" s="195" t="str">
        <f>F!A359</f>
        <v>HFPO-DA / FRD-903 (GenX)</v>
      </c>
      <c r="B423" s="195"/>
      <c r="C423" s="195"/>
      <c r="D423" s="44" t="str">
        <f>G!AQ359</f>
        <v/>
      </c>
      <c r="E423" s="44" t="str">
        <f>G!AP359</f>
        <v>--</v>
      </c>
      <c r="G423" s="35" t="str">
        <f>G!AS359</f>
        <v/>
      </c>
      <c r="H423" s="44" t="str">
        <f>G!AR359</f>
        <v>--</v>
      </c>
      <c r="I423" s="35" t="str">
        <f>G!AT359</f>
        <v/>
      </c>
      <c r="J423" s="35" t="str">
        <f>G!AU359</f>
        <v/>
      </c>
      <c r="L423" s="44" t="str">
        <f>G!AW359</f>
        <v/>
      </c>
      <c r="M423" s="44" t="str">
        <f>G!AV359</f>
        <v>--</v>
      </c>
      <c r="O423" s="35" t="str">
        <f>G!AY359</f>
        <v/>
      </c>
      <c r="P423" s="44" t="str">
        <f>G!AX359</f>
        <v>--</v>
      </c>
      <c r="Q423" s="35" t="str">
        <f>G!AZ359</f>
        <v/>
      </c>
      <c r="R423" s="35" t="str">
        <f>G!BA359</f>
        <v/>
      </c>
      <c r="T423" s="44" t="str">
        <f>G!BC359</f>
        <v/>
      </c>
      <c r="U423" s="44" t="str">
        <f>G!BB359</f>
        <v>--</v>
      </c>
      <c r="V423" s="44"/>
      <c r="W423" s="35" t="str">
        <f>G!BE359</f>
        <v/>
      </c>
      <c r="X423" s="44" t="str">
        <f>G!BD359</f>
        <v>--</v>
      </c>
      <c r="Y423" s="35" t="str">
        <f>G!BF359</f>
        <v/>
      </c>
      <c r="Z423" s="35" t="str">
        <f>G!BG359</f>
        <v/>
      </c>
      <c r="AA423" s="44"/>
      <c r="AE423" s="72">
        <f t="shared" si="24"/>
        <v>1</v>
      </c>
    </row>
    <row r="424" spans="1:31" ht="9" customHeight="1" x14ac:dyDescent="0.15">
      <c r="A424" s="195" t="str">
        <f>F!A360</f>
        <v>Som PFAS</v>
      </c>
      <c r="B424" s="195"/>
      <c r="C424" s="195"/>
      <c r="D424" s="44" t="str">
        <f>G!AQ360</f>
        <v>&lt;</v>
      </c>
      <c r="E424" s="44" t="str">
        <f>IF(H424="rg","rg",G!AP360)</f>
        <v>rg</v>
      </c>
      <c r="G424" s="35" t="str">
        <f>G!AS360</f>
        <v>&lt;</v>
      </c>
      <c r="H424" s="44" t="str">
        <f>G!AR360</f>
        <v>rg</v>
      </c>
      <c r="I424" s="35" t="str">
        <f>G!AT360</f>
        <v/>
      </c>
      <c r="J424" s="35" t="str">
        <f>G!AU360</f>
        <v/>
      </c>
      <c r="L424" s="44" t="str">
        <f>G!AW360</f>
        <v>&lt;</v>
      </c>
      <c r="M424" s="44" t="str">
        <f>IF(P424="rg","rg",G!AV360)</f>
        <v>rg</v>
      </c>
      <c r="O424" s="35" t="str">
        <f>G!AY360</f>
        <v>&lt;</v>
      </c>
      <c r="P424" s="44" t="str">
        <f>G!AX360</f>
        <v>rg</v>
      </c>
      <c r="Q424" s="35" t="str">
        <f>G!AZ360</f>
        <v/>
      </c>
      <c r="R424" s="35" t="str">
        <f>G!BA360</f>
        <v/>
      </c>
      <c r="T424" s="44" t="str">
        <f>G!BC360</f>
        <v>&lt;</v>
      </c>
      <c r="U424" s="44" t="str">
        <f>IF(X424="rg","rg",G!BB360)</f>
        <v>rg</v>
      </c>
      <c r="V424" s="44"/>
      <c r="W424" s="35" t="str">
        <f>G!BE360</f>
        <v>&lt;</v>
      </c>
      <c r="X424" s="44" t="str">
        <f>G!BD360</f>
        <v>rg</v>
      </c>
      <c r="Y424" s="35" t="str">
        <f>G!BF360</f>
        <v/>
      </c>
      <c r="Z424" s="35" t="str">
        <f>G!BG360</f>
        <v/>
      </c>
      <c r="AA424" s="44"/>
      <c r="AE424" s="72">
        <f t="shared" si="24"/>
        <v>0</v>
      </c>
    </row>
    <row r="425" spans="1:31" ht="9" hidden="1" customHeight="1" x14ac:dyDescent="0.15">
      <c r="A425" s="195" t="str">
        <f>F!A361</f>
        <v>Som PFAS excl. PFOS/PFOA</v>
      </c>
      <c r="B425" s="195"/>
      <c r="C425" s="195"/>
      <c r="D425" s="44" t="str">
        <f>G!AQ361</f>
        <v/>
      </c>
      <c r="E425" s="44" t="str">
        <f>G!AP361</f>
        <v>--</v>
      </c>
      <c r="G425" s="35" t="str">
        <f>G!AS361</f>
        <v/>
      </c>
      <c r="H425" s="44" t="str">
        <f>G!AR361</f>
        <v>--</v>
      </c>
      <c r="I425" s="35" t="str">
        <f>G!AT361</f>
        <v/>
      </c>
      <c r="J425" s="35" t="str">
        <f>G!AU361</f>
        <v/>
      </c>
      <c r="L425" s="44" t="str">
        <f>G!AW361</f>
        <v/>
      </c>
      <c r="M425" s="44" t="str">
        <f>G!AV361</f>
        <v>--</v>
      </c>
      <c r="O425" s="35" t="str">
        <f>G!AY361</f>
        <v/>
      </c>
      <c r="P425" s="44" t="str">
        <f>G!AX361</f>
        <v>--</v>
      </c>
      <c r="Q425" s="35" t="str">
        <f>G!AZ361</f>
        <v/>
      </c>
      <c r="R425" s="35" t="str">
        <f>G!BA361</f>
        <v/>
      </c>
      <c r="T425" s="44" t="str">
        <f>G!BC361</f>
        <v/>
      </c>
      <c r="U425" s="44" t="str">
        <f>G!BB361</f>
        <v>--</v>
      </c>
      <c r="V425" s="44"/>
      <c r="W425" s="35" t="str">
        <f>G!BE361</f>
        <v/>
      </c>
      <c r="X425" s="44" t="str">
        <f>G!BD361</f>
        <v>--</v>
      </c>
      <c r="Y425" s="35" t="str">
        <f>G!BF361</f>
        <v/>
      </c>
      <c r="Z425" s="35" t="str">
        <f>G!BG361</f>
        <v/>
      </c>
      <c r="AA425" s="44"/>
      <c r="AE425" s="72">
        <f t="shared" si="24"/>
        <v>1</v>
      </c>
    </row>
    <row r="426" spans="1:31" ht="3.95" hidden="1" customHeight="1" x14ac:dyDescent="0.15">
      <c r="A426" s="41"/>
      <c r="B426" s="41"/>
      <c r="C426" s="41"/>
      <c r="D426" s="44"/>
      <c r="E426" s="44"/>
      <c r="H426" s="44"/>
      <c r="L426" s="44"/>
      <c r="M426" s="44"/>
      <c r="P426" s="44"/>
      <c r="T426" s="44"/>
      <c r="U426" s="44"/>
      <c r="V426" s="44"/>
      <c r="X426" s="44"/>
      <c r="Z426" s="44"/>
      <c r="AA426" s="44"/>
      <c r="AE426" s="94">
        <f>AE427</f>
        <v>1</v>
      </c>
    </row>
    <row r="427" spans="1:31" ht="9" hidden="1" customHeight="1" x14ac:dyDescent="0.15">
      <c r="A427" s="198" t="str">
        <f>IF(COUNTIF(F!D362:D368,131)&gt;0,"Overige stoffen (µg/kgds)","Overige stoffen (mg/kgds)")</f>
        <v>Overige stoffen (mg/kgds)</v>
      </c>
      <c r="B427" s="198"/>
      <c r="C427" s="198"/>
      <c r="D427" s="198"/>
      <c r="E427" s="198"/>
      <c r="F427" s="198"/>
      <c r="G427" s="198"/>
      <c r="H427" s="198"/>
      <c r="I427" s="198"/>
      <c r="J427" s="198"/>
      <c r="K427" s="198"/>
      <c r="L427" s="198"/>
      <c r="M427" s="198"/>
      <c r="N427" s="198"/>
      <c r="O427" s="198"/>
      <c r="P427" s="198"/>
      <c r="Q427" s="198"/>
      <c r="R427" s="198"/>
      <c r="S427" s="198"/>
      <c r="T427" s="198"/>
      <c r="U427" s="198"/>
      <c r="V427" s="198"/>
      <c r="W427" s="198"/>
      <c r="X427" s="198"/>
      <c r="Y427" s="198"/>
      <c r="Z427" s="198"/>
      <c r="AA427" s="198"/>
      <c r="AE427" s="94">
        <f>IF(COUNTIF(AE428:AE434,1)=COUNT(AE428:AE434),1,0)</f>
        <v>1</v>
      </c>
    </row>
    <row r="428" spans="1:31" ht="9" hidden="1" customHeight="1" x14ac:dyDescent="0.15">
      <c r="A428" s="195" t="str">
        <f>F!A362</f>
        <v>Asbest</v>
      </c>
      <c r="B428" s="195"/>
      <c r="C428" s="195"/>
      <c r="D428" s="44" t="str">
        <f>G!AQ362</f>
        <v/>
      </c>
      <c r="E428" s="44" t="str">
        <f>G!AP362</f>
        <v>--</v>
      </c>
      <c r="G428" s="35" t="str">
        <f>G!AS362</f>
        <v/>
      </c>
      <c r="H428" s="44" t="str">
        <f>G!AR362</f>
        <v>--</v>
      </c>
      <c r="I428" s="35" t="str">
        <f>G!AT362</f>
        <v/>
      </c>
      <c r="J428" s="35" t="str">
        <f>G!AU362</f>
        <v/>
      </c>
      <c r="L428" s="44" t="str">
        <f>G!AW362</f>
        <v/>
      </c>
      <c r="M428" s="44" t="str">
        <f>G!AV362</f>
        <v>--</v>
      </c>
      <c r="O428" s="35" t="str">
        <f>G!AY362</f>
        <v/>
      </c>
      <c r="P428" s="44" t="str">
        <f>G!AX362</f>
        <v>--</v>
      </c>
      <c r="Q428" s="35" t="str">
        <f>G!AZ362</f>
        <v/>
      </c>
      <c r="R428" s="35" t="str">
        <f>G!BA362</f>
        <v/>
      </c>
      <c r="T428" s="44" t="str">
        <f>G!BC362</f>
        <v/>
      </c>
      <c r="U428" s="44" t="str">
        <f>G!BB362</f>
        <v>--</v>
      </c>
      <c r="V428" s="44"/>
      <c r="W428" s="35" t="str">
        <f>G!BE362</f>
        <v/>
      </c>
      <c r="X428" s="44" t="str">
        <f>G!BD362</f>
        <v>--</v>
      </c>
      <c r="Y428" s="35" t="str">
        <f>G!BF362</f>
        <v/>
      </c>
      <c r="Z428" s="35" t="str">
        <f>G!BG362</f>
        <v/>
      </c>
      <c r="AA428" s="44"/>
      <c r="AE428" s="72">
        <f t="shared" si="24"/>
        <v>1</v>
      </c>
    </row>
    <row r="429" spans="1:31" ht="9" hidden="1" customHeight="1" x14ac:dyDescent="0.15">
      <c r="A429" s="195" t="str">
        <f>F!A363</f>
        <v>Cycolhexanon</v>
      </c>
      <c r="B429" s="195"/>
      <c r="C429" s="195"/>
      <c r="D429" s="44" t="str">
        <f>G!AQ363</f>
        <v/>
      </c>
      <c r="E429" s="44" t="str">
        <f>G!AP363</f>
        <v>--</v>
      </c>
      <c r="G429" s="35" t="str">
        <f>G!AS363</f>
        <v/>
      </c>
      <c r="H429" s="44" t="str">
        <f>G!AR363</f>
        <v>--</v>
      </c>
      <c r="I429" s="35" t="str">
        <f>G!AT363</f>
        <v/>
      </c>
      <c r="J429" s="35" t="str">
        <f>G!AU363</f>
        <v/>
      </c>
      <c r="L429" s="44" t="str">
        <f>G!AW363</f>
        <v/>
      </c>
      <c r="M429" s="44" t="str">
        <f>G!AV363</f>
        <v>--</v>
      </c>
      <c r="O429" s="35" t="str">
        <f>G!AY363</f>
        <v/>
      </c>
      <c r="P429" s="44" t="str">
        <f>G!AX363</f>
        <v>--</v>
      </c>
      <c r="Q429" s="35" t="str">
        <f>G!AZ363</f>
        <v/>
      </c>
      <c r="R429" s="35" t="str">
        <f>G!BA363</f>
        <v/>
      </c>
      <c r="T429" s="44" t="str">
        <f>G!BC363</f>
        <v/>
      </c>
      <c r="U429" s="44" t="str">
        <f>G!BB363</f>
        <v>--</v>
      </c>
      <c r="V429" s="44"/>
      <c r="W429" s="35" t="str">
        <f>G!BE363</f>
        <v/>
      </c>
      <c r="X429" s="44" t="str">
        <f>G!BD363</f>
        <v>--</v>
      </c>
      <c r="Y429" s="35" t="str">
        <f>G!BF363</f>
        <v/>
      </c>
      <c r="Z429" s="35" t="str">
        <f>G!BG363</f>
        <v/>
      </c>
      <c r="AA429" s="44"/>
      <c r="AE429" s="72">
        <f t="shared" si="24"/>
        <v>1</v>
      </c>
    </row>
    <row r="430" spans="1:31" ht="9" hidden="1" customHeight="1" x14ac:dyDescent="0.15">
      <c r="A430" s="195" t="str">
        <f>F!A364</f>
        <v>Pyridine</v>
      </c>
      <c r="B430" s="195"/>
      <c r="C430" s="195"/>
      <c r="D430" s="44" t="str">
        <f>G!AQ364</f>
        <v/>
      </c>
      <c r="E430" s="44" t="str">
        <f>G!AP364</f>
        <v>--</v>
      </c>
      <c r="G430" s="35" t="str">
        <f>G!AS364</f>
        <v/>
      </c>
      <c r="H430" s="44" t="str">
        <f>G!AR364</f>
        <v>--</v>
      </c>
      <c r="I430" s="35" t="str">
        <f>G!AT364</f>
        <v/>
      </c>
      <c r="J430" s="35" t="str">
        <f>G!AU364</f>
        <v/>
      </c>
      <c r="L430" s="44" t="str">
        <f>G!AW364</f>
        <v/>
      </c>
      <c r="M430" s="44" t="str">
        <f>G!AV364</f>
        <v>--</v>
      </c>
      <c r="O430" s="35" t="str">
        <f>G!AY364</f>
        <v/>
      </c>
      <c r="P430" s="44" t="str">
        <f>G!AX364</f>
        <v>--</v>
      </c>
      <c r="Q430" s="35" t="str">
        <f>G!AZ364</f>
        <v/>
      </c>
      <c r="R430" s="35" t="str">
        <f>G!BA364</f>
        <v/>
      </c>
      <c r="T430" s="44" t="str">
        <f>G!BC364</f>
        <v/>
      </c>
      <c r="U430" s="44" t="str">
        <f>G!BB364</f>
        <v>--</v>
      </c>
      <c r="V430" s="44"/>
      <c r="W430" s="35" t="str">
        <f>G!BE364</f>
        <v/>
      </c>
      <c r="X430" s="44" t="str">
        <f>G!BD364</f>
        <v>--</v>
      </c>
      <c r="Y430" s="35" t="str">
        <f>G!BF364</f>
        <v/>
      </c>
      <c r="Z430" s="35" t="str">
        <f>G!BG364</f>
        <v/>
      </c>
      <c r="AA430" s="44"/>
      <c r="AE430" s="72">
        <f t="shared" si="24"/>
        <v>1</v>
      </c>
    </row>
    <row r="431" spans="1:31" ht="9" hidden="1" customHeight="1" x14ac:dyDescent="0.15">
      <c r="A431" s="195" t="str">
        <f>F!A365</f>
        <v>Tetrahydrofuran</v>
      </c>
      <c r="B431" s="195"/>
      <c r="C431" s="195"/>
      <c r="D431" s="44" t="str">
        <f>G!AQ365</f>
        <v/>
      </c>
      <c r="E431" s="44" t="str">
        <f>G!AP365</f>
        <v>--</v>
      </c>
      <c r="G431" s="35" t="str">
        <f>G!AS365</f>
        <v/>
      </c>
      <c r="H431" s="44" t="str">
        <f>G!AR365</f>
        <v>--</v>
      </c>
      <c r="I431" s="35" t="str">
        <f>G!AT365</f>
        <v/>
      </c>
      <c r="J431" s="35" t="str">
        <f>G!AU365</f>
        <v/>
      </c>
      <c r="L431" s="44" t="str">
        <f>G!AW365</f>
        <v/>
      </c>
      <c r="M431" s="44" t="str">
        <f>G!AV365</f>
        <v>--</v>
      </c>
      <c r="O431" s="35" t="str">
        <f>G!AY365</f>
        <v/>
      </c>
      <c r="P431" s="44" t="str">
        <f>G!AX365</f>
        <v>--</v>
      </c>
      <c r="Q431" s="35" t="str">
        <f>G!AZ365</f>
        <v/>
      </c>
      <c r="R431" s="35" t="str">
        <f>G!BA365</f>
        <v/>
      </c>
      <c r="T431" s="44" t="str">
        <f>G!BC365</f>
        <v/>
      </c>
      <c r="U431" s="44" t="str">
        <f>G!BB365</f>
        <v>--</v>
      </c>
      <c r="V431" s="44"/>
      <c r="W431" s="35" t="str">
        <f>G!BE365</f>
        <v/>
      </c>
      <c r="X431" s="44" t="str">
        <f>G!BD365</f>
        <v>--</v>
      </c>
      <c r="Y431" s="35" t="str">
        <f>G!BF365</f>
        <v/>
      </c>
      <c r="Z431" s="35" t="str">
        <f>G!BG365</f>
        <v/>
      </c>
      <c r="AA431" s="44"/>
      <c r="AE431" s="72">
        <f t="shared" si="24"/>
        <v>1</v>
      </c>
    </row>
    <row r="432" spans="1:31" ht="9" hidden="1" customHeight="1" x14ac:dyDescent="0.15">
      <c r="A432" s="195" t="str">
        <f>F!A366</f>
        <v>Tetrahydrothiofeen</v>
      </c>
      <c r="B432" s="195"/>
      <c r="C432" s="195"/>
      <c r="D432" s="44" t="str">
        <f>G!AQ366</f>
        <v/>
      </c>
      <c r="E432" s="44" t="str">
        <f>G!AP366</f>
        <v>--</v>
      </c>
      <c r="G432" s="35" t="str">
        <f>G!AS366</f>
        <v/>
      </c>
      <c r="H432" s="44" t="str">
        <f>G!AR366</f>
        <v>--</v>
      </c>
      <c r="I432" s="35" t="str">
        <f>G!AT366</f>
        <v/>
      </c>
      <c r="J432" s="35" t="str">
        <f>G!AU366</f>
        <v/>
      </c>
      <c r="L432" s="44" t="str">
        <f>G!AW366</f>
        <v/>
      </c>
      <c r="M432" s="44" t="str">
        <f>G!AV366</f>
        <v>--</v>
      </c>
      <c r="O432" s="35" t="str">
        <f>G!AY366</f>
        <v/>
      </c>
      <c r="P432" s="44" t="str">
        <f>G!AX366</f>
        <v>--</v>
      </c>
      <c r="Q432" s="35" t="str">
        <f>G!AZ366</f>
        <v/>
      </c>
      <c r="R432" s="35" t="str">
        <f>G!BA366</f>
        <v/>
      </c>
      <c r="T432" s="44" t="str">
        <f>G!BC366</f>
        <v/>
      </c>
      <c r="U432" s="44" t="str">
        <f>G!BB366</f>
        <v>--</v>
      </c>
      <c r="V432" s="44"/>
      <c r="W432" s="35" t="str">
        <f>G!BE366</f>
        <v/>
      </c>
      <c r="X432" s="44" t="str">
        <f>G!BD366</f>
        <v>--</v>
      </c>
      <c r="Y432" s="35" t="str">
        <f>G!BF366</f>
        <v/>
      </c>
      <c r="Z432" s="35" t="str">
        <f>G!BG366</f>
        <v/>
      </c>
      <c r="AA432" s="44"/>
      <c r="AE432" s="72">
        <f t="shared" si="24"/>
        <v>1</v>
      </c>
    </row>
    <row r="433" spans="1:31" ht="9" hidden="1" customHeight="1" x14ac:dyDescent="0.15">
      <c r="A433" s="195" t="str">
        <f>F!A367</f>
        <v>Acrylonitril</v>
      </c>
      <c r="B433" s="195"/>
      <c r="C433" s="195"/>
      <c r="D433" s="44" t="str">
        <f>G!AQ367</f>
        <v/>
      </c>
      <c r="E433" s="44" t="str">
        <f>G!AP367</f>
        <v>--</v>
      </c>
      <c r="G433" s="35" t="str">
        <f>G!AS367</f>
        <v/>
      </c>
      <c r="H433" s="44" t="str">
        <f>G!AR367</f>
        <v>--</v>
      </c>
      <c r="I433" s="35" t="str">
        <f>G!AT367</f>
        <v/>
      </c>
      <c r="J433" s="35" t="str">
        <f>G!AU367</f>
        <v/>
      </c>
      <c r="L433" s="44" t="str">
        <f>G!AW367</f>
        <v/>
      </c>
      <c r="M433" s="44" t="str">
        <f>G!AV367</f>
        <v>--</v>
      </c>
      <c r="O433" s="35" t="str">
        <f>G!AY367</f>
        <v/>
      </c>
      <c r="P433" s="44" t="str">
        <f>G!AX367</f>
        <v>--</v>
      </c>
      <c r="Q433" s="35" t="str">
        <f>G!AZ367</f>
        <v/>
      </c>
      <c r="R433" s="35" t="str">
        <f>G!BA367</f>
        <v/>
      </c>
      <c r="T433" s="44" t="str">
        <f>G!BC367</f>
        <v/>
      </c>
      <c r="U433" s="44" t="str">
        <f>G!BB367</f>
        <v>--</v>
      </c>
      <c r="V433" s="44"/>
      <c r="W433" s="35" t="str">
        <f>G!BE367</f>
        <v/>
      </c>
      <c r="X433" s="44" t="str">
        <f>G!BD367</f>
        <v>--</v>
      </c>
      <c r="Y433" s="35" t="str">
        <f>G!BF367</f>
        <v/>
      </c>
      <c r="Z433" s="35" t="str">
        <f>G!BG367</f>
        <v/>
      </c>
      <c r="AA433" s="44"/>
      <c r="AE433" s="72">
        <f t="shared" si="24"/>
        <v>1</v>
      </c>
    </row>
    <row r="434" spans="1:31" ht="9" hidden="1" customHeight="1" x14ac:dyDescent="0.15">
      <c r="A434" s="195" t="str">
        <f>F!A368</f>
        <v>Formaldehyde</v>
      </c>
      <c r="B434" s="195"/>
      <c r="C434" s="195"/>
      <c r="D434" s="44" t="str">
        <f>G!AQ368</f>
        <v/>
      </c>
      <c r="E434" s="44" t="str">
        <f>G!AP368</f>
        <v>--</v>
      </c>
      <c r="G434" s="35" t="str">
        <f>G!AS368</f>
        <v/>
      </c>
      <c r="H434" s="44" t="str">
        <f>G!AR368</f>
        <v>--</v>
      </c>
      <c r="I434" s="35" t="str">
        <f>G!AT368</f>
        <v/>
      </c>
      <c r="J434" s="35" t="str">
        <f>G!AU368</f>
        <v/>
      </c>
      <c r="L434" s="44" t="str">
        <f>G!AW368</f>
        <v/>
      </c>
      <c r="M434" s="44" t="str">
        <f>G!AV368</f>
        <v>--</v>
      </c>
      <c r="O434" s="35" t="str">
        <f>G!AY368</f>
        <v/>
      </c>
      <c r="P434" s="44" t="str">
        <f>G!AX368</f>
        <v>--</v>
      </c>
      <c r="Q434" s="35" t="str">
        <f>G!AZ368</f>
        <v/>
      </c>
      <c r="R434" s="35" t="str">
        <f>G!BA368</f>
        <v/>
      </c>
      <c r="T434" s="44" t="str">
        <f>G!BC368</f>
        <v/>
      </c>
      <c r="U434" s="44" t="str">
        <f>G!BB368</f>
        <v>--</v>
      </c>
      <c r="V434" s="44"/>
      <c r="W434" s="35" t="str">
        <f>G!BE368</f>
        <v/>
      </c>
      <c r="X434" s="44" t="str">
        <f>G!BD368</f>
        <v>--</v>
      </c>
      <c r="Y434" s="35" t="str">
        <f>G!BF368</f>
        <v/>
      </c>
      <c r="Z434" s="35" t="str">
        <f>G!BG368</f>
        <v/>
      </c>
      <c r="AA434" s="44"/>
      <c r="AE434" s="72">
        <f t="shared" si="24"/>
        <v>1</v>
      </c>
    </row>
    <row r="435" spans="1:31" ht="3.95" customHeight="1" x14ac:dyDescent="0.15">
      <c r="A435" s="199"/>
      <c r="B435" s="199"/>
      <c r="C435" s="199"/>
      <c r="D435" s="38"/>
      <c r="E435" s="38"/>
      <c r="F435" s="39"/>
      <c r="G435" s="39"/>
      <c r="H435" s="39"/>
      <c r="I435" s="39"/>
      <c r="J435" s="39"/>
      <c r="K435" s="39"/>
      <c r="L435" s="38"/>
      <c r="M435" s="38"/>
      <c r="N435" s="39"/>
      <c r="O435" s="39"/>
      <c r="P435" s="39"/>
      <c r="Q435" s="39"/>
      <c r="R435" s="39"/>
      <c r="S435" s="39"/>
      <c r="T435" s="38"/>
      <c r="U435" s="38"/>
      <c r="V435" s="38"/>
      <c r="W435" s="39"/>
      <c r="X435" s="39"/>
      <c r="Y435" s="39"/>
      <c r="Z435" s="38"/>
      <c r="AA435" s="38"/>
      <c r="AE435" s="94">
        <f>IF(OR(AE437=0,AE439=0,AE441=0,AE443=0),0,1)</f>
        <v>0</v>
      </c>
    </row>
    <row r="436" spans="1:31" ht="3.95" customHeight="1" x14ac:dyDescent="0.15">
      <c r="A436" s="45"/>
      <c r="B436" s="45"/>
      <c r="C436" s="45"/>
      <c r="D436" s="45"/>
      <c r="E436" s="45"/>
      <c r="F436" s="46"/>
      <c r="G436" s="46"/>
      <c r="H436" s="46"/>
      <c r="I436" s="46"/>
      <c r="J436" s="46"/>
      <c r="K436" s="46"/>
      <c r="L436" s="45"/>
      <c r="M436" s="45"/>
      <c r="N436" s="46"/>
      <c r="O436" s="46"/>
      <c r="P436" s="46"/>
      <c r="Q436" s="46"/>
      <c r="R436" s="46"/>
      <c r="S436" s="46"/>
      <c r="T436" s="45"/>
      <c r="U436" s="45"/>
      <c r="V436" s="45"/>
      <c r="W436" s="46"/>
      <c r="X436" s="46"/>
      <c r="Y436" s="46"/>
      <c r="Z436" s="45"/>
      <c r="AA436" s="45"/>
      <c r="AE436" s="94">
        <f>IF(OR(AE437=0,AE439=0,AE441=0,AE443=0),0,1)</f>
        <v>0</v>
      </c>
    </row>
    <row r="437" spans="1:31" ht="9" customHeight="1" x14ac:dyDescent="0.15">
      <c r="A437" s="195" t="s">
        <v>2132</v>
      </c>
      <c r="B437" s="195"/>
      <c r="C437" s="195"/>
      <c r="E437" s="194" t="str">
        <f>G!AP370</f>
        <v>landbouw / natuur</v>
      </c>
      <c r="F437" s="194"/>
      <c r="G437" s="194"/>
      <c r="H437" s="194"/>
      <c r="I437" s="194"/>
      <c r="J437" s="34"/>
      <c r="L437" s="194" t="str">
        <f>G!AV370</f>
        <v>landbouw / natuur</v>
      </c>
      <c r="M437" s="194"/>
      <c r="N437" s="194"/>
      <c r="O437" s="194"/>
      <c r="P437" s="194"/>
      <c r="Q437" s="194"/>
      <c r="R437" s="34"/>
      <c r="T437" s="194" t="str">
        <f>G!BB370</f>
        <v>landbouw / natuur</v>
      </c>
      <c r="U437" s="194"/>
      <c r="V437" s="194"/>
      <c r="W437" s="194"/>
      <c r="X437" s="194"/>
      <c r="Y437" s="194"/>
      <c r="AA437" s="35"/>
      <c r="AE437" s="72">
        <f>IF(AND(OR(E437="",E437=0,E437="--"),OR(L437="",L437=0,L437="--"),OR(T437="",T437=0,T437="--")),1,0)</f>
        <v>0</v>
      </c>
    </row>
    <row r="438" spans="1:31" ht="3.95" customHeight="1" x14ac:dyDescent="0.15">
      <c r="A438" s="41"/>
      <c r="B438" s="41"/>
      <c r="C438" s="41"/>
      <c r="D438" s="44"/>
      <c r="E438" s="44"/>
      <c r="L438" s="44"/>
      <c r="M438" s="44"/>
      <c r="T438" s="44"/>
      <c r="U438" s="44"/>
      <c r="V438" s="44"/>
      <c r="Z438" s="44"/>
      <c r="AA438" s="44"/>
      <c r="AE438" s="72">
        <f>IF(COUNTIF(AE435:AE437,1)=COUNT(AE435:AE437),1,0)</f>
        <v>0</v>
      </c>
    </row>
    <row r="439" spans="1:31" ht="9" customHeight="1" x14ac:dyDescent="0.15">
      <c r="A439" s="195" t="s">
        <v>2133</v>
      </c>
      <c r="B439" s="195"/>
      <c r="C439" s="195"/>
      <c r="E439" s="194" t="str">
        <f>G!AP371</f>
        <v>landbouw / natuur</v>
      </c>
      <c r="F439" s="194"/>
      <c r="G439" s="194"/>
      <c r="H439" s="194"/>
      <c r="I439" s="194"/>
      <c r="J439" s="34"/>
      <c r="L439" s="194" t="str">
        <f>G!AV371</f>
        <v>landbouw / natuur</v>
      </c>
      <c r="M439" s="194"/>
      <c r="N439" s="194"/>
      <c r="O439" s="194"/>
      <c r="P439" s="194"/>
      <c r="Q439" s="194"/>
      <c r="R439" s="34"/>
      <c r="T439" s="194" t="str">
        <f>G!BB371</f>
        <v>landbouw / natuur</v>
      </c>
      <c r="U439" s="194"/>
      <c r="V439" s="194"/>
      <c r="W439" s="194"/>
      <c r="X439" s="194"/>
      <c r="Y439" s="194"/>
      <c r="AA439" s="35"/>
      <c r="AE439" s="72">
        <f>IF(AND(OR(E439="",E439=0,E439="--"),OR(L439="",L439=0,L439="--"),OR(T439="",T439=0,T439="--")),1,0)</f>
        <v>0</v>
      </c>
    </row>
    <row r="440" spans="1:31" ht="3.95" customHeight="1" x14ac:dyDescent="0.15">
      <c r="A440" s="41"/>
      <c r="B440" s="41"/>
      <c r="C440" s="41"/>
      <c r="D440" s="44"/>
      <c r="E440" s="44"/>
      <c r="L440" s="44"/>
      <c r="M440" s="44"/>
      <c r="T440" s="44"/>
      <c r="U440" s="44"/>
      <c r="V440" s="44"/>
      <c r="Z440" s="44"/>
      <c r="AA440" s="44"/>
      <c r="AE440" s="72">
        <f>IF(COUNTIF(AE439,1)=COUNT(AE439),1,0)</f>
        <v>0</v>
      </c>
    </row>
    <row r="441" spans="1:31" ht="9" customHeight="1" x14ac:dyDescent="0.15">
      <c r="A441" s="195" t="s">
        <v>2143</v>
      </c>
      <c r="B441" s="195"/>
      <c r="C441" s="195"/>
      <c r="E441" s="194" t="str">
        <f>G!AP372</f>
        <v>landbouw / natuur</v>
      </c>
      <c r="F441" s="194"/>
      <c r="G441" s="194"/>
      <c r="H441" s="194"/>
      <c r="I441" s="194"/>
      <c r="J441" s="34"/>
      <c r="L441" s="194" t="str">
        <f>G!AV372</f>
        <v>landbouw / natuur</v>
      </c>
      <c r="M441" s="194"/>
      <c r="N441" s="194"/>
      <c r="O441" s="194"/>
      <c r="P441" s="194"/>
      <c r="Q441" s="194"/>
      <c r="R441" s="34"/>
      <c r="T441" s="194" t="str">
        <f>G!BB372</f>
        <v>landbouw / natuur</v>
      </c>
      <c r="U441" s="194"/>
      <c r="V441" s="194"/>
      <c r="W441" s="194"/>
      <c r="X441" s="194"/>
      <c r="Y441" s="194"/>
      <c r="AA441" s="35"/>
      <c r="AE441" s="72">
        <f>IF(AND(OR(E441="",E441=0,E441="--"),OR(L441="",L441=0,L441="--"),OR(T441="",T441=0,T441="--")),1,0)</f>
        <v>0</v>
      </c>
    </row>
    <row r="442" spans="1:31" ht="3.95" customHeight="1" x14ac:dyDescent="0.15">
      <c r="A442" s="41"/>
      <c r="B442" s="41"/>
      <c r="C442" s="41"/>
      <c r="D442" s="44"/>
      <c r="E442" s="44"/>
      <c r="L442" s="44"/>
      <c r="M442" s="44"/>
      <c r="T442" s="44"/>
      <c r="U442" s="44"/>
      <c r="V442" s="44"/>
      <c r="Z442" s="44"/>
      <c r="AA442" s="44"/>
      <c r="AE442" s="72">
        <f>IF(COUNTIF(AE441,1)=COUNT(AE441),1,0)</f>
        <v>0</v>
      </c>
    </row>
    <row r="443" spans="1:31" ht="9" customHeight="1" x14ac:dyDescent="0.15">
      <c r="A443" s="195" t="s">
        <v>221</v>
      </c>
      <c r="B443" s="195"/>
      <c r="C443" s="195"/>
      <c r="E443" s="194" t="str">
        <f>G!AP373</f>
        <v>ja</v>
      </c>
      <c r="F443" s="194"/>
      <c r="G443" s="194"/>
      <c r="H443" s="194"/>
      <c r="I443" s="194"/>
      <c r="J443" s="34"/>
      <c r="L443" s="194" t="str">
        <f>G!AV373</f>
        <v>ja</v>
      </c>
      <c r="M443" s="194"/>
      <c r="N443" s="194"/>
      <c r="O443" s="194"/>
      <c r="P443" s="194"/>
      <c r="Q443" s="194"/>
      <c r="R443" s="34"/>
      <c r="T443" s="194" t="str">
        <f>G!BB373</f>
        <v>ja</v>
      </c>
      <c r="U443" s="194"/>
      <c r="V443" s="194"/>
      <c r="W443" s="194"/>
      <c r="X443" s="194"/>
      <c r="Y443" s="194"/>
      <c r="AA443" s="35"/>
      <c r="AE443" s="72">
        <f>IF(AND(OR(E443="",E443=0,E443="--"),OR(L443="",L443=0,L443="--"),OR(T443="",T443=0,T443="--")),1,0)</f>
        <v>0</v>
      </c>
    </row>
    <row r="444" spans="1:31" ht="3.95" customHeight="1" x14ac:dyDescent="0.15">
      <c r="A444" s="38"/>
      <c r="B444" s="38"/>
      <c r="C444" s="38"/>
      <c r="D444" s="38"/>
      <c r="E444" s="38"/>
      <c r="F444" s="39"/>
      <c r="G444" s="39"/>
      <c r="H444" s="39"/>
      <c r="I444" s="39"/>
      <c r="J444" s="39"/>
      <c r="K444" s="39"/>
      <c r="L444" s="38"/>
      <c r="M444" s="38"/>
      <c r="N444" s="39"/>
      <c r="O444" s="39"/>
      <c r="P444" s="39"/>
      <c r="Q444" s="39"/>
      <c r="R444" s="39"/>
      <c r="S444" s="39"/>
      <c r="T444" s="38"/>
      <c r="U444" s="38"/>
      <c r="V444" s="38"/>
      <c r="W444" s="39"/>
      <c r="X444" s="39"/>
      <c r="Y444" s="47"/>
      <c r="Z444" s="47"/>
      <c r="AA444" s="47"/>
      <c r="AE444" s="94">
        <v>0</v>
      </c>
    </row>
    <row r="445" spans="1:31" ht="3.95" customHeight="1" x14ac:dyDescent="0.15">
      <c r="A445" s="46"/>
      <c r="B445" s="45"/>
      <c r="C445" s="201"/>
      <c r="D445" s="201"/>
      <c r="E445" s="201"/>
      <c r="F445" s="201"/>
      <c r="G445" s="201"/>
      <c r="H445" s="201"/>
      <c r="I445" s="201"/>
      <c r="J445" s="201"/>
      <c r="K445" s="201"/>
      <c r="L445" s="201"/>
      <c r="M445" s="201"/>
      <c r="N445" s="201"/>
      <c r="O445" s="201"/>
      <c r="P445" s="201"/>
      <c r="Q445" s="201"/>
      <c r="R445" s="201"/>
      <c r="S445" s="201"/>
      <c r="T445" s="201"/>
      <c r="U445" s="201"/>
      <c r="V445" s="201"/>
      <c r="W445" s="201"/>
      <c r="X445" s="201"/>
      <c r="Y445" s="201"/>
      <c r="Z445" s="201"/>
      <c r="AA445" s="48"/>
      <c r="AE445" s="94">
        <v>0</v>
      </c>
    </row>
    <row r="446" spans="1:31" ht="6.95" customHeight="1" x14ac:dyDescent="0.15">
      <c r="A446" s="46"/>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E446" s="94">
        <v>0</v>
      </c>
    </row>
    <row r="447" spans="1:31" ht="8.1" customHeight="1" x14ac:dyDescent="0.15">
      <c r="A447" s="45" t="str">
        <f>H!N4</f>
        <v>-</v>
      </c>
      <c r="B447" s="45"/>
      <c r="C447" s="45" t="str">
        <f>H!O4</f>
        <v>Kleiner dan of gelijk aan kwaliteitseis landbouw / natuur (= niet verontreinigd).</v>
      </c>
      <c r="D447" s="45"/>
      <c r="E447" s="45"/>
      <c r="F447" s="46"/>
      <c r="G447" s="46"/>
      <c r="H447" s="46"/>
      <c r="I447" s="46"/>
      <c r="J447" s="46"/>
      <c r="K447" s="46"/>
      <c r="L447" s="45"/>
      <c r="M447" s="45"/>
      <c r="N447" s="46"/>
      <c r="O447" s="46"/>
      <c r="P447" s="46"/>
      <c r="Q447" s="46"/>
      <c r="R447" s="46"/>
      <c r="S447" s="46"/>
      <c r="T447" s="45"/>
      <c r="U447" s="45"/>
      <c r="V447" s="45"/>
      <c r="W447" s="46"/>
      <c r="X447" s="46"/>
      <c r="Y447" s="46"/>
      <c r="Z447" s="45"/>
      <c r="AA447" s="45"/>
      <c r="AE447" s="72">
        <f>IF(A447="",1,0)</f>
        <v>0</v>
      </c>
    </row>
    <row r="448" spans="1:31" ht="8.1" customHeight="1" x14ac:dyDescent="0.15">
      <c r="A448" s="45" t="str">
        <f>H!N5</f>
        <v>●</v>
      </c>
      <c r="B448" s="45"/>
      <c r="C448" s="45" t="str">
        <f>H!O5</f>
        <v>Groter dan kwaliteitseis landbouw / natuur en kleiner dan of gelijk aan kwaliteitseis wonen (= licht verontreinigd).</v>
      </c>
      <c r="D448" s="45"/>
      <c r="E448" s="45"/>
      <c r="F448" s="46"/>
      <c r="G448" s="46"/>
      <c r="H448" s="46"/>
      <c r="I448" s="46"/>
      <c r="J448" s="46"/>
      <c r="K448" s="46"/>
      <c r="L448" s="45"/>
      <c r="M448" s="45"/>
      <c r="N448" s="46"/>
      <c r="O448" s="46"/>
      <c r="P448" s="46"/>
      <c r="Q448" s="46"/>
      <c r="R448" s="46"/>
      <c r="S448" s="46"/>
      <c r="T448" s="45"/>
      <c r="U448" s="45"/>
      <c r="V448" s="45"/>
      <c r="W448" s="46"/>
      <c r="X448" s="46"/>
      <c r="Y448" s="46"/>
      <c r="Z448" s="45"/>
      <c r="AA448" s="45"/>
      <c r="AE448" s="72">
        <f t="shared" ref="AE448:AE502" si="26">IF(A448="",1,0)</f>
        <v>0</v>
      </c>
    </row>
    <row r="449" spans="1:31" ht="8.1" customHeight="1" x14ac:dyDescent="0.15">
      <c r="A449" s="45" t="str">
        <f>H!N6</f>
        <v>●●</v>
      </c>
      <c r="B449" s="45"/>
      <c r="C449" s="45" t="str">
        <f>H!O6</f>
        <v>Groter dan kwaliteitseis wonen en kleiner dan of gelijk aan kwaliteitseis industrie (= licht verontreinigd).</v>
      </c>
      <c r="D449" s="45"/>
      <c r="E449" s="45"/>
      <c r="F449" s="46"/>
      <c r="G449" s="46"/>
      <c r="H449" s="46"/>
      <c r="I449" s="46"/>
      <c r="J449" s="46"/>
      <c r="K449" s="46"/>
      <c r="L449" s="45"/>
      <c r="M449" s="45"/>
      <c r="N449" s="46"/>
      <c r="O449" s="46"/>
      <c r="P449" s="46"/>
      <c r="Q449" s="46"/>
      <c r="R449" s="46"/>
      <c r="S449" s="46"/>
      <c r="T449" s="45"/>
      <c r="U449" s="45"/>
      <c r="V449" s="45"/>
      <c r="W449" s="46"/>
      <c r="X449" s="46"/>
      <c r="Y449" s="46"/>
      <c r="Z449" s="45"/>
      <c r="AA449" s="45"/>
      <c r="AE449" s="72">
        <f t="shared" si="26"/>
        <v>0</v>
      </c>
    </row>
    <row r="450" spans="1:31" ht="8.1" customHeight="1" x14ac:dyDescent="0.15">
      <c r="A450" s="45" t="str">
        <f>H!N7</f>
        <v>●●●</v>
      </c>
      <c r="B450" s="45"/>
      <c r="C450" s="45" t="str">
        <f>H!O7</f>
        <v>Groter dan kwaliteitseis industrie en kleiner dan of gelijk aan kwaliteitseis matig verontreinigd (= matig verontreinigd).</v>
      </c>
      <c r="D450" s="45"/>
      <c r="E450" s="45"/>
      <c r="F450" s="46"/>
      <c r="G450" s="46"/>
      <c r="H450" s="46"/>
      <c r="I450" s="46"/>
      <c r="J450" s="46"/>
      <c r="K450" s="46"/>
      <c r="L450" s="45"/>
      <c r="M450" s="45"/>
      <c r="N450" s="46"/>
      <c r="O450" s="46"/>
      <c r="P450" s="46"/>
      <c r="Q450" s="46"/>
      <c r="R450" s="46"/>
      <c r="S450" s="46"/>
      <c r="T450" s="45"/>
      <c r="U450" s="45"/>
      <c r="V450" s="45"/>
      <c r="W450" s="46"/>
      <c r="X450" s="46"/>
      <c r="Y450" s="46"/>
      <c r="Z450" s="45"/>
      <c r="AA450" s="45"/>
      <c r="AE450" s="72">
        <f t="shared" si="26"/>
        <v>0</v>
      </c>
    </row>
    <row r="451" spans="1:31" ht="8.1" customHeight="1" x14ac:dyDescent="0.15">
      <c r="A451" s="45" t="str">
        <f>H!N8</f>
        <v>●●●●</v>
      </c>
      <c r="B451" s="45"/>
      <c r="C451" s="45" t="str">
        <f>H!O8</f>
        <v>Groter dan kwaliteitseis matig verontreinigd (= sterk verontreinigd).</v>
      </c>
      <c r="D451" s="45"/>
      <c r="E451" s="45"/>
      <c r="F451" s="46"/>
      <c r="G451" s="46"/>
      <c r="H451" s="46"/>
      <c r="I451" s="46"/>
      <c r="J451" s="46"/>
      <c r="K451" s="46"/>
      <c r="L451" s="45"/>
      <c r="M451" s="45"/>
      <c r="N451" s="46"/>
      <c r="O451" s="46"/>
      <c r="P451" s="46"/>
      <c r="Q451" s="46"/>
      <c r="R451" s="46"/>
      <c r="S451" s="46"/>
      <c r="T451" s="45"/>
      <c r="U451" s="45"/>
      <c r="V451" s="45"/>
      <c r="W451" s="46"/>
      <c r="X451" s="46"/>
      <c r="Y451" s="46"/>
      <c r="Z451" s="45"/>
      <c r="AA451" s="45"/>
      <c r="AE451" s="72">
        <f t="shared" si="26"/>
        <v>0</v>
      </c>
    </row>
    <row r="452" spans="1:31" ht="3.95" customHeight="1" x14ac:dyDescent="0.15">
      <c r="A452" s="45"/>
      <c r="B452" s="45"/>
      <c r="C452" s="45"/>
      <c r="D452" s="45"/>
      <c r="E452" s="45"/>
      <c r="F452" s="46"/>
      <c r="G452" s="46"/>
      <c r="H452" s="46"/>
      <c r="I452" s="46"/>
      <c r="J452" s="46"/>
      <c r="K452" s="46"/>
      <c r="L452" s="45"/>
      <c r="M452" s="45"/>
      <c r="N452" s="46"/>
      <c r="O452" s="46"/>
      <c r="P452" s="46"/>
      <c r="Q452" s="46"/>
      <c r="R452" s="46"/>
      <c r="S452" s="46"/>
      <c r="T452" s="45"/>
      <c r="U452" s="45"/>
      <c r="V452" s="45"/>
      <c r="W452" s="46"/>
      <c r="X452" s="46"/>
      <c r="Y452" s="46"/>
      <c r="Z452" s="45"/>
      <c r="AA452" s="45"/>
      <c r="AE452" s="94">
        <v>0</v>
      </c>
    </row>
    <row r="453" spans="1:31" ht="8.1" customHeight="1" x14ac:dyDescent="0.15">
      <c r="A453" s="45" t="str">
        <f>H!N10</f>
        <v>(1)</v>
      </c>
      <c r="B453" s="45"/>
      <c r="C453" s="45" t="str">
        <f>H!O10</f>
        <v>Omgerekend naar standaardbodem (organische stof = 10 gew.%ds en lutum = 25 gew.%ds).</v>
      </c>
      <c r="D453" s="45"/>
      <c r="E453" s="45"/>
      <c r="F453" s="46"/>
      <c r="G453" s="46"/>
      <c r="H453" s="46"/>
      <c r="I453" s="46"/>
      <c r="J453" s="46"/>
      <c r="K453" s="46"/>
      <c r="L453" s="45"/>
      <c r="M453" s="45"/>
      <c r="N453" s="46"/>
      <c r="O453" s="46"/>
      <c r="P453" s="46"/>
      <c r="Q453" s="46"/>
      <c r="R453" s="46"/>
      <c r="S453" s="46"/>
      <c r="T453" s="45"/>
      <c r="U453" s="45"/>
      <c r="V453" s="45"/>
      <c r="W453" s="46"/>
      <c r="X453" s="46"/>
      <c r="Y453" s="46"/>
      <c r="Z453" s="45"/>
      <c r="AA453" s="45"/>
      <c r="AE453" s="72">
        <f t="shared" si="26"/>
        <v>0</v>
      </c>
    </row>
    <row r="454" spans="1:31" ht="8.1" customHeight="1" x14ac:dyDescent="0.15">
      <c r="A454" s="45" t="str">
        <f>H!N11</f>
        <v>(2)</v>
      </c>
      <c r="B454" s="45"/>
      <c r="C454" s="45" t="str">
        <f>H!O11</f>
        <v>Indeling in kwaliteitsklassen ten behoeve van hergebruik van de grond.</v>
      </c>
      <c r="D454" s="45"/>
      <c r="E454" s="45"/>
      <c r="F454" s="46"/>
      <c r="G454" s="46"/>
      <c r="H454" s="46"/>
      <c r="I454" s="46"/>
      <c r="J454" s="46"/>
      <c r="K454" s="46"/>
      <c r="L454" s="45"/>
      <c r="M454" s="45"/>
      <c r="N454" s="46"/>
      <c r="O454" s="46"/>
      <c r="P454" s="46"/>
      <c r="Q454" s="46"/>
      <c r="R454" s="46"/>
      <c r="S454" s="46"/>
      <c r="T454" s="45"/>
      <c r="U454" s="45"/>
      <c r="V454" s="45"/>
      <c r="W454" s="46"/>
      <c r="X454" s="46"/>
      <c r="Y454" s="46"/>
      <c r="Z454" s="45"/>
      <c r="AA454" s="45"/>
      <c r="AE454" s="72">
        <f t="shared" si="26"/>
        <v>0</v>
      </c>
    </row>
    <row r="455" spans="1:31" ht="8.1" hidden="1" customHeight="1" x14ac:dyDescent="0.15">
      <c r="A455" s="45" t="str">
        <f>H!N12</f>
        <v/>
      </c>
      <c r="B455" s="45"/>
      <c r="C455" s="45" t="str">
        <f>H!O12</f>
        <v/>
      </c>
      <c r="D455" s="45"/>
      <c r="E455" s="45"/>
      <c r="F455" s="46"/>
      <c r="G455" s="46"/>
      <c r="H455" s="46"/>
      <c r="I455" s="46"/>
      <c r="J455" s="46"/>
      <c r="K455" s="46"/>
      <c r="L455" s="45"/>
      <c r="M455" s="45"/>
      <c r="N455" s="46"/>
      <c r="O455" s="46"/>
      <c r="P455" s="46"/>
      <c r="Q455" s="46"/>
      <c r="R455" s="46"/>
      <c r="S455" s="46"/>
      <c r="T455" s="45"/>
      <c r="U455" s="45"/>
      <c r="V455" s="45"/>
      <c r="W455" s="46"/>
      <c r="X455" s="46"/>
      <c r="Y455" s="46"/>
      <c r="Z455" s="45"/>
      <c r="AA455" s="45"/>
      <c r="AE455" s="72">
        <f>IF(A455="",1,0)</f>
        <v>1</v>
      </c>
    </row>
    <row r="456" spans="1:31" ht="8.1" hidden="1" customHeight="1" x14ac:dyDescent="0.15">
      <c r="A456" s="45" t="str">
        <f>H!N13</f>
        <v/>
      </c>
      <c r="B456" s="45"/>
      <c r="C456" s="45" t="str">
        <f>H!O13</f>
        <v/>
      </c>
      <c r="D456" s="45"/>
      <c r="E456" s="45"/>
      <c r="F456" s="46"/>
      <c r="G456" s="46"/>
      <c r="H456" s="46"/>
      <c r="I456" s="46"/>
      <c r="J456" s="46"/>
      <c r="K456" s="46"/>
      <c r="L456" s="45"/>
      <c r="M456" s="45"/>
      <c r="N456" s="46"/>
      <c r="O456" s="46"/>
      <c r="P456" s="46"/>
      <c r="Q456" s="46"/>
      <c r="R456" s="46"/>
      <c r="S456" s="46"/>
      <c r="T456" s="45"/>
      <c r="U456" s="45"/>
      <c r="V456" s="45"/>
      <c r="W456" s="46"/>
      <c r="X456" s="46"/>
      <c r="Y456" s="46"/>
      <c r="Z456" s="45"/>
      <c r="AA456" s="45"/>
      <c r="AE456" s="72">
        <f t="shared" si="26"/>
        <v>1</v>
      </c>
    </row>
    <row r="457" spans="1:31" ht="8.1" hidden="1" customHeight="1" x14ac:dyDescent="0.15">
      <c r="A457" s="45" t="str">
        <f>H!N14</f>
        <v/>
      </c>
      <c r="B457" s="45"/>
      <c r="C457" s="45" t="str">
        <f>H!O14</f>
        <v/>
      </c>
      <c r="D457" s="45"/>
      <c r="E457" s="45"/>
      <c r="F457" s="46"/>
      <c r="G457" s="46"/>
      <c r="H457" s="46"/>
      <c r="I457" s="46"/>
      <c r="J457" s="46"/>
      <c r="K457" s="46"/>
      <c r="L457" s="45"/>
      <c r="M457" s="45"/>
      <c r="N457" s="46"/>
      <c r="O457" s="46"/>
      <c r="P457" s="46"/>
      <c r="Q457" s="46"/>
      <c r="R457" s="46"/>
      <c r="S457" s="46"/>
      <c r="T457" s="45"/>
      <c r="U457" s="45"/>
      <c r="V457" s="45"/>
      <c r="W457" s="46"/>
      <c r="X457" s="46"/>
      <c r="Y457" s="46"/>
      <c r="Z457" s="45"/>
      <c r="AA457" s="45"/>
      <c r="AE457" s="72">
        <f t="shared" si="26"/>
        <v>1</v>
      </c>
    </row>
    <row r="458" spans="1:31" ht="8.1" hidden="1" customHeight="1" x14ac:dyDescent="0.15">
      <c r="A458" s="45" t="str">
        <f>H!N15</f>
        <v/>
      </c>
      <c r="B458" s="45"/>
      <c r="C458" s="45" t="str">
        <f>H!O15</f>
        <v/>
      </c>
      <c r="D458" s="45"/>
      <c r="E458" s="45"/>
      <c r="F458" s="46"/>
      <c r="G458" s="46"/>
      <c r="H458" s="46"/>
      <c r="I458" s="46"/>
      <c r="J458" s="46"/>
      <c r="K458" s="46"/>
      <c r="L458" s="45"/>
      <c r="M458" s="45"/>
      <c r="N458" s="46"/>
      <c r="O458" s="46"/>
      <c r="P458" s="46"/>
      <c r="Q458" s="46"/>
      <c r="R458" s="46"/>
      <c r="S458" s="46"/>
      <c r="T458" s="45"/>
      <c r="U458" s="45"/>
      <c r="V458" s="45"/>
      <c r="W458" s="46"/>
      <c r="X458" s="46"/>
      <c r="Y458" s="46"/>
      <c r="Z458" s="45"/>
      <c r="AA458" s="45"/>
      <c r="AE458" s="72">
        <f t="shared" si="26"/>
        <v>1</v>
      </c>
    </row>
    <row r="459" spans="1:31" ht="8.1" hidden="1" customHeight="1" x14ac:dyDescent="0.15">
      <c r="A459" s="45" t="str">
        <f>H!N16</f>
        <v/>
      </c>
      <c r="B459" s="45"/>
      <c r="C459" s="45" t="str">
        <f>H!O16</f>
        <v/>
      </c>
      <c r="D459" s="45"/>
      <c r="E459" s="45"/>
      <c r="F459" s="46"/>
      <c r="G459" s="46"/>
      <c r="H459" s="46"/>
      <c r="I459" s="46"/>
      <c r="J459" s="46"/>
      <c r="K459" s="46"/>
      <c r="L459" s="45"/>
      <c r="M459" s="45"/>
      <c r="N459" s="46"/>
      <c r="O459" s="46"/>
      <c r="P459" s="46"/>
      <c r="Q459" s="46"/>
      <c r="R459" s="46"/>
      <c r="S459" s="46"/>
      <c r="T459" s="45"/>
      <c r="U459" s="45"/>
      <c r="V459" s="45"/>
      <c r="W459" s="46"/>
      <c r="X459" s="46"/>
      <c r="Y459" s="46"/>
      <c r="Z459" s="45"/>
      <c r="AA459" s="45"/>
      <c r="AE459" s="72">
        <f t="shared" si="26"/>
        <v>1</v>
      </c>
    </row>
    <row r="460" spans="1:31" ht="8.1" hidden="1" customHeight="1" x14ac:dyDescent="0.15">
      <c r="A460" s="45" t="str">
        <f>H!N17</f>
        <v/>
      </c>
      <c r="B460" s="45"/>
      <c r="C460" s="45" t="str">
        <f>H!O17</f>
        <v/>
      </c>
      <c r="D460" s="45"/>
      <c r="E460" s="45"/>
      <c r="F460" s="46"/>
      <c r="G460" s="46"/>
      <c r="H460" s="46"/>
      <c r="I460" s="46"/>
      <c r="J460" s="46"/>
      <c r="K460" s="46"/>
      <c r="L460" s="45"/>
      <c r="M460" s="45"/>
      <c r="N460" s="46"/>
      <c r="O460" s="46"/>
      <c r="P460" s="46"/>
      <c r="Q460" s="46"/>
      <c r="R460" s="46"/>
      <c r="S460" s="46"/>
      <c r="T460" s="45"/>
      <c r="U460" s="45"/>
      <c r="V460" s="45"/>
      <c r="W460" s="46"/>
      <c r="X460" s="46"/>
      <c r="Y460" s="46"/>
      <c r="Z460" s="45"/>
      <c r="AA460" s="45"/>
      <c r="AE460" s="72">
        <f t="shared" si="26"/>
        <v>1</v>
      </c>
    </row>
    <row r="461" spans="1:31" ht="8.1" hidden="1" customHeight="1" x14ac:dyDescent="0.15">
      <c r="A461" s="45" t="str">
        <f>H!N18</f>
        <v/>
      </c>
      <c r="B461" s="45"/>
      <c r="C461" s="45" t="str">
        <f>H!O18</f>
        <v/>
      </c>
      <c r="D461" s="45"/>
      <c r="E461" s="45"/>
      <c r="F461" s="46"/>
      <c r="G461" s="46"/>
      <c r="H461" s="46"/>
      <c r="I461" s="46"/>
      <c r="J461" s="46"/>
      <c r="K461" s="46"/>
      <c r="L461" s="45"/>
      <c r="M461" s="45"/>
      <c r="N461" s="46"/>
      <c r="O461" s="46"/>
      <c r="P461" s="46"/>
      <c r="Q461" s="46"/>
      <c r="R461" s="46"/>
      <c r="S461" s="46"/>
      <c r="T461" s="45"/>
      <c r="U461" s="45"/>
      <c r="V461" s="45"/>
      <c r="W461" s="46"/>
      <c r="X461" s="46"/>
      <c r="Y461" s="46"/>
      <c r="Z461" s="45"/>
      <c r="AA461" s="45"/>
      <c r="AE461" s="72">
        <f t="shared" si="26"/>
        <v>1</v>
      </c>
    </row>
    <row r="462" spans="1:31" ht="8.1" hidden="1" customHeight="1" x14ac:dyDescent="0.15">
      <c r="A462" s="45" t="str">
        <f>H!N19</f>
        <v/>
      </c>
      <c r="B462" s="45"/>
      <c r="C462" s="45" t="str">
        <f>H!O19</f>
        <v/>
      </c>
      <c r="D462" s="45"/>
      <c r="E462" s="45"/>
      <c r="F462" s="46"/>
      <c r="G462" s="46"/>
      <c r="H462" s="46"/>
      <c r="I462" s="46"/>
      <c r="J462" s="46"/>
      <c r="K462" s="46"/>
      <c r="L462" s="45"/>
      <c r="M462" s="45"/>
      <c r="N462" s="46"/>
      <c r="O462" s="46"/>
      <c r="P462" s="46"/>
      <c r="Q462" s="46"/>
      <c r="R462" s="46"/>
      <c r="S462" s="46"/>
      <c r="T462" s="45"/>
      <c r="U462" s="45"/>
      <c r="V462" s="45"/>
      <c r="W462" s="46"/>
      <c r="X462" s="46"/>
      <c r="Y462" s="46"/>
      <c r="Z462" s="45"/>
      <c r="AA462" s="45"/>
      <c r="AE462" s="72">
        <f t="shared" si="26"/>
        <v>1</v>
      </c>
    </row>
    <row r="463" spans="1:31" ht="8.1" hidden="1" customHeight="1" x14ac:dyDescent="0.15">
      <c r="A463" s="45" t="str">
        <f>H!N20</f>
        <v/>
      </c>
      <c r="B463" s="45"/>
      <c r="C463" s="45" t="str">
        <f>H!O20</f>
        <v/>
      </c>
      <c r="D463" s="45"/>
      <c r="E463" s="45"/>
      <c r="F463" s="46"/>
      <c r="G463" s="46"/>
      <c r="H463" s="46"/>
      <c r="I463" s="46"/>
      <c r="J463" s="46"/>
      <c r="K463" s="46"/>
      <c r="L463" s="45"/>
      <c r="M463" s="45"/>
      <c r="N463" s="46"/>
      <c r="O463" s="46"/>
      <c r="P463" s="46"/>
      <c r="Q463" s="46"/>
      <c r="R463" s="46"/>
      <c r="S463" s="46"/>
      <c r="T463" s="45"/>
      <c r="U463" s="45"/>
      <c r="V463" s="45"/>
      <c r="W463" s="46"/>
      <c r="X463" s="46"/>
      <c r="Y463" s="46"/>
      <c r="Z463" s="45"/>
      <c r="AA463" s="45"/>
      <c r="AE463" s="72">
        <f t="shared" si="26"/>
        <v>1</v>
      </c>
    </row>
    <row r="464" spans="1:31" ht="8.1" hidden="1" customHeight="1" x14ac:dyDescent="0.15">
      <c r="A464" s="45" t="str">
        <f>H!N21</f>
        <v/>
      </c>
      <c r="B464" s="45"/>
      <c r="C464" s="45" t="str">
        <f>H!O21</f>
        <v/>
      </c>
      <c r="D464" s="45"/>
      <c r="E464" s="45"/>
      <c r="F464" s="46"/>
      <c r="G464" s="46"/>
      <c r="H464" s="46"/>
      <c r="I464" s="46"/>
      <c r="J464" s="46"/>
      <c r="K464" s="46"/>
      <c r="L464" s="45"/>
      <c r="M464" s="45"/>
      <c r="N464" s="46"/>
      <c r="O464" s="46"/>
      <c r="P464" s="46"/>
      <c r="Q464" s="46"/>
      <c r="R464" s="46"/>
      <c r="S464" s="46"/>
      <c r="T464" s="45"/>
      <c r="U464" s="45"/>
      <c r="V464" s="45"/>
      <c r="W464" s="46"/>
      <c r="X464" s="46"/>
      <c r="Y464" s="46"/>
      <c r="Z464" s="45"/>
      <c r="AA464" s="45"/>
      <c r="AE464" s="72">
        <f t="shared" si="26"/>
        <v>1</v>
      </c>
    </row>
    <row r="465" spans="1:31" ht="8.1" hidden="1" customHeight="1" x14ac:dyDescent="0.15">
      <c r="A465" s="45" t="str">
        <f>H!N22</f>
        <v/>
      </c>
      <c r="B465" s="45"/>
      <c r="C465" s="45" t="str">
        <f>H!O22</f>
        <v/>
      </c>
      <c r="D465" s="45"/>
      <c r="E465" s="45"/>
      <c r="F465" s="46"/>
      <c r="G465" s="46"/>
      <c r="H465" s="46"/>
      <c r="I465" s="46"/>
      <c r="J465" s="46"/>
      <c r="K465" s="46"/>
      <c r="L465" s="45"/>
      <c r="M465" s="45"/>
      <c r="N465" s="46"/>
      <c r="O465" s="46"/>
      <c r="P465" s="46"/>
      <c r="Q465" s="46"/>
      <c r="R465" s="46"/>
      <c r="S465" s="46"/>
      <c r="T465" s="45"/>
      <c r="U465" s="45"/>
      <c r="V465" s="45"/>
      <c r="W465" s="46"/>
      <c r="X465" s="46"/>
      <c r="Y465" s="46"/>
      <c r="Z465" s="45"/>
      <c r="AA465" s="45"/>
      <c r="AE465" s="72">
        <f t="shared" si="26"/>
        <v>1</v>
      </c>
    </row>
    <row r="466" spans="1:31" ht="8.1" hidden="1" customHeight="1" x14ac:dyDescent="0.15">
      <c r="A466" s="45" t="str">
        <f>H!N23</f>
        <v/>
      </c>
      <c r="B466" s="45"/>
      <c r="C466" s="45" t="str">
        <f>H!O23</f>
        <v/>
      </c>
      <c r="D466" s="45"/>
      <c r="E466" s="45"/>
      <c r="F466" s="46"/>
      <c r="G466" s="46"/>
      <c r="H466" s="46"/>
      <c r="I466" s="46"/>
      <c r="J466" s="46"/>
      <c r="K466" s="46"/>
      <c r="L466" s="45"/>
      <c r="M466" s="45"/>
      <c r="N466" s="46"/>
      <c r="O466" s="46"/>
      <c r="P466" s="46"/>
      <c r="Q466" s="46"/>
      <c r="R466" s="46"/>
      <c r="S466" s="46"/>
      <c r="T466" s="45"/>
      <c r="U466" s="45"/>
      <c r="V466" s="45"/>
      <c r="W466" s="46"/>
      <c r="X466" s="46"/>
      <c r="Y466" s="46"/>
      <c r="Z466" s="45"/>
      <c r="AA466" s="45"/>
      <c r="AE466" s="72">
        <f t="shared" si="26"/>
        <v>1</v>
      </c>
    </row>
    <row r="467" spans="1:31" ht="8.1" hidden="1" customHeight="1" x14ac:dyDescent="0.15">
      <c r="A467" s="45" t="str">
        <f>H!N24</f>
        <v/>
      </c>
      <c r="B467" s="45"/>
      <c r="C467" s="45" t="str">
        <f>H!O24</f>
        <v/>
      </c>
      <c r="D467" s="45"/>
      <c r="E467" s="45"/>
      <c r="F467" s="46"/>
      <c r="G467" s="46"/>
      <c r="H467" s="46"/>
      <c r="I467" s="46"/>
      <c r="J467" s="46"/>
      <c r="K467" s="46"/>
      <c r="L467" s="45"/>
      <c r="M467" s="45"/>
      <c r="N467" s="46"/>
      <c r="O467" s="46"/>
      <c r="P467" s="46"/>
      <c r="Q467" s="46"/>
      <c r="R467" s="46"/>
      <c r="S467" s="46"/>
      <c r="T467" s="45"/>
      <c r="U467" s="45"/>
      <c r="V467" s="45"/>
      <c r="W467" s="46"/>
      <c r="X467" s="46"/>
      <c r="Y467" s="46"/>
      <c r="Z467" s="45"/>
      <c r="AA467" s="45"/>
      <c r="AE467" s="72">
        <f t="shared" si="26"/>
        <v>1</v>
      </c>
    </row>
    <row r="468" spans="1:31" ht="8.1" hidden="1" customHeight="1" x14ac:dyDescent="0.15">
      <c r="A468" s="45" t="str">
        <f>H!N25</f>
        <v/>
      </c>
      <c r="B468" s="45"/>
      <c r="C468" s="45" t="str">
        <f>H!O25</f>
        <v/>
      </c>
      <c r="D468" s="45"/>
      <c r="E468" s="45"/>
      <c r="F468" s="46"/>
      <c r="G468" s="46"/>
      <c r="H468" s="46"/>
      <c r="I468" s="46"/>
      <c r="J468" s="46"/>
      <c r="K468" s="46"/>
      <c r="L468" s="45"/>
      <c r="M468" s="45"/>
      <c r="N468" s="46"/>
      <c r="O468" s="46"/>
      <c r="P468" s="46"/>
      <c r="Q468" s="46"/>
      <c r="R468" s="46"/>
      <c r="S468" s="46"/>
      <c r="T468" s="45"/>
      <c r="U468" s="45"/>
      <c r="V468" s="45"/>
      <c r="W468" s="46"/>
      <c r="X468" s="46"/>
      <c r="Y468" s="46"/>
      <c r="Z468" s="45"/>
      <c r="AA468" s="45"/>
      <c r="AE468" s="72">
        <f t="shared" si="26"/>
        <v>1</v>
      </c>
    </row>
    <row r="469" spans="1:31" ht="8.1" hidden="1" customHeight="1" x14ac:dyDescent="0.15">
      <c r="A469" s="45" t="str">
        <f>H!N26</f>
        <v/>
      </c>
      <c r="B469" s="45"/>
      <c r="C469" s="45" t="str">
        <f>H!O26</f>
        <v/>
      </c>
      <c r="D469" s="45"/>
      <c r="E469" s="45"/>
      <c r="F469" s="46"/>
      <c r="G469" s="46"/>
      <c r="H469" s="46"/>
      <c r="I469" s="46"/>
      <c r="J469" s="46"/>
      <c r="K469" s="46"/>
      <c r="L469" s="45"/>
      <c r="M469" s="45"/>
      <c r="N469" s="46"/>
      <c r="O469" s="46"/>
      <c r="P469" s="46"/>
      <c r="Q469" s="46"/>
      <c r="R469" s="46"/>
      <c r="S469" s="46"/>
      <c r="T469" s="45"/>
      <c r="U469" s="45"/>
      <c r="V469" s="45"/>
      <c r="W469" s="46"/>
      <c r="X469" s="46"/>
      <c r="Y469" s="46"/>
      <c r="Z469" s="45"/>
      <c r="AA469" s="45"/>
      <c r="AE469" s="72">
        <f t="shared" si="26"/>
        <v>1</v>
      </c>
    </row>
    <row r="470" spans="1:31" ht="8.1" hidden="1" customHeight="1" x14ac:dyDescent="0.15">
      <c r="A470" s="45" t="str">
        <f>H!N27</f>
        <v/>
      </c>
      <c r="B470" s="45"/>
      <c r="C470" s="45" t="str">
        <f>H!O27</f>
        <v/>
      </c>
      <c r="D470" s="45"/>
      <c r="E470" s="45"/>
      <c r="F470" s="46"/>
      <c r="G470" s="46"/>
      <c r="H470" s="46"/>
      <c r="I470" s="46"/>
      <c r="J470" s="46"/>
      <c r="K470" s="46"/>
      <c r="L470" s="45"/>
      <c r="M470" s="45"/>
      <c r="N470" s="46"/>
      <c r="O470" s="46"/>
      <c r="P470" s="46"/>
      <c r="Q470" s="46"/>
      <c r="R470" s="46"/>
      <c r="S470" s="46"/>
      <c r="T470" s="45"/>
      <c r="U470" s="45"/>
      <c r="V470" s="45"/>
      <c r="W470" s="46"/>
      <c r="X470" s="46"/>
      <c r="Y470" s="46"/>
      <c r="Z470" s="45"/>
      <c r="AA470" s="45"/>
      <c r="AE470" s="72">
        <f t="shared" si="26"/>
        <v>1</v>
      </c>
    </row>
    <row r="471" spans="1:31" ht="8.1" hidden="1" customHeight="1" x14ac:dyDescent="0.15">
      <c r="A471" s="45" t="str">
        <f>H!N28</f>
        <v/>
      </c>
      <c r="B471" s="45"/>
      <c r="C471" s="45" t="str">
        <f>H!O28</f>
        <v/>
      </c>
      <c r="D471" s="45"/>
      <c r="E471" s="45"/>
      <c r="F471" s="46"/>
      <c r="G471" s="46"/>
      <c r="H471" s="46"/>
      <c r="I471" s="46"/>
      <c r="J471" s="46"/>
      <c r="K471" s="46"/>
      <c r="L471" s="45"/>
      <c r="M471" s="45"/>
      <c r="N471" s="46"/>
      <c r="O471" s="46"/>
      <c r="P471" s="46"/>
      <c r="Q471" s="46"/>
      <c r="R471" s="46"/>
      <c r="S471" s="46"/>
      <c r="T471" s="45"/>
      <c r="U471" s="45"/>
      <c r="V471" s="45"/>
      <c r="W471" s="46"/>
      <c r="X471" s="46"/>
      <c r="Y471" s="46"/>
      <c r="Z471" s="45"/>
      <c r="AA471" s="45"/>
      <c r="AE471" s="72">
        <f t="shared" si="26"/>
        <v>1</v>
      </c>
    </row>
    <row r="472" spans="1:31" ht="8.1" hidden="1" customHeight="1" x14ac:dyDescent="0.15">
      <c r="A472" s="45" t="str">
        <f>H!N29</f>
        <v/>
      </c>
      <c r="B472" s="45"/>
      <c r="C472" s="45" t="str">
        <f>H!O29</f>
        <v/>
      </c>
      <c r="D472" s="45"/>
      <c r="E472" s="45"/>
      <c r="F472" s="46"/>
      <c r="G472" s="46"/>
      <c r="H472" s="46"/>
      <c r="I472" s="46"/>
      <c r="J472" s="46"/>
      <c r="K472" s="46"/>
      <c r="L472" s="45"/>
      <c r="M472" s="45"/>
      <c r="N472" s="46"/>
      <c r="O472" s="46"/>
      <c r="P472" s="46"/>
      <c r="Q472" s="46"/>
      <c r="R472" s="46"/>
      <c r="S472" s="46"/>
      <c r="T472" s="45"/>
      <c r="U472" s="45"/>
      <c r="V472" s="45"/>
      <c r="W472" s="46"/>
      <c r="X472" s="46"/>
      <c r="Y472" s="46"/>
      <c r="Z472" s="45"/>
      <c r="AA472" s="45"/>
      <c r="AE472" s="72">
        <f t="shared" si="26"/>
        <v>1</v>
      </c>
    </row>
    <row r="473" spans="1:31" ht="8.1" hidden="1" customHeight="1" x14ac:dyDescent="0.15">
      <c r="A473" s="45" t="str">
        <f>H!N30</f>
        <v/>
      </c>
      <c r="B473" s="45"/>
      <c r="C473" s="45" t="str">
        <f>H!O30</f>
        <v/>
      </c>
      <c r="D473" s="45"/>
      <c r="E473" s="45"/>
      <c r="F473" s="46"/>
      <c r="G473" s="46"/>
      <c r="H473" s="46"/>
      <c r="I473" s="46"/>
      <c r="J473" s="46"/>
      <c r="K473" s="46"/>
      <c r="L473" s="45"/>
      <c r="M473" s="45"/>
      <c r="N473" s="46"/>
      <c r="O473" s="46"/>
      <c r="P473" s="46"/>
      <c r="Q473" s="46"/>
      <c r="R473" s="46"/>
      <c r="S473" s="46"/>
      <c r="T473" s="45"/>
      <c r="U473" s="45"/>
      <c r="V473" s="45"/>
      <c r="W473" s="46"/>
      <c r="X473" s="46"/>
      <c r="Y473" s="46"/>
      <c r="Z473" s="45"/>
      <c r="AA473" s="45"/>
      <c r="AE473" s="72">
        <f t="shared" si="26"/>
        <v>1</v>
      </c>
    </row>
    <row r="474" spans="1:31" ht="8.1" hidden="1" customHeight="1" x14ac:dyDescent="0.15">
      <c r="A474" s="45" t="str">
        <f>H!N31</f>
        <v/>
      </c>
      <c r="B474" s="45"/>
      <c r="C474" s="45" t="str">
        <f>H!O31</f>
        <v/>
      </c>
      <c r="D474" s="45"/>
      <c r="E474" s="45"/>
      <c r="F474" s="46"/>
      <c r="G474" s="46"/>
      <c r="H474" s="46"/>
      <c r="I474" s="46"/>
      <c r="J474" s="46"/>
      <c r="K474" s="46"/>
      <c r="L474" s="45"/>
      <c r="M474" s="45"/>
      <c r="N474" s="46"/>
      <c r="O474" s="46"/>
      <c r="P474" s="46"/>
      <c r="Q474" s="46"/>
      <c r="R474" s="46"/>
      <c r="S474" s="46"/>
      <c r="T474" s="45"/>
      <c r="U474" s="45"/>
      <c r="V474" s="45"/>
      <c r="W474" s="46"/>
      <c r="X474" s="46"/>
      <c r="Y474" s="46"/>
      <c r="Z474" s="45"/>
      <c r="AA474" s="45"/>
      <c r="AE474" s="72">
        <f t="shared" si="26"/>
        <v>1</v>
      </c>
    </row>
    <row r="475" spans="1:31" ht="8.1" hidden="1" customHeight="1" x14ac:dyDescent="0.15">
      <c r="A475" s="45" t="str">
        <f>H!N32</f>
        <v/>
      </c>
      <c r="B475" s="45"/>
      <c r="C475" s="45" t="str">
        <f>H!O32</f>
        <v/>
      </c>
      <c r="D475" s="45"/>
      <c r="E475" s="45"/>
      <c r="F475" s="46"/>
      <c r="G475" s="46"/>
      <c r="H475" s="46"/>
      <c r="I475" s="46"/>
      <c r="J475" s="46"/>
      <c r="K475" s="46"/>
      <c r="L475" s="45"/>
      <c r="M475" s="45"/>
      <c r="N475" s="46"/>
      <c r="O475" s="46"/>
      <c r="P475" s="46"/>
      <c r="Q475" s="46"/>
      <c r="R475" s="46"/>
      <c r="S475" s="46"/>
      <c r="T475" s="45"/>
      <c r="U475" s="45"/>
      <c r="V475" s="45"/>
      <c r="W475" s="46"/>
      <c r="X475" s="46"/>
      <c r="Y475" s="46"/>
      <c r="Z475" s="45"/>
      <c r="AA475" s="45"/>
      <c r="AE475" s="72">
        <f t="shared" si="26"/>
        <v>1</v>
      </c>
    </row>
    <row r="476" spans="1:31" ht="8.1" hidden="1" customHeight="1" x14ac:dyDescent="0.15">
      <c r="A476" s="45" t="str">
        <f>H!N33</f>
        <v/>
      </c>
      <c r="B476" s="45"/>
      <c r="C476" s="45" t="str">
        <f>H!O33</f>
        <v/>
      </c>
      <c r="D476" s="45"/>
      <c r="E476" s="45"/>
      <c r="F476" s="46"/>
      <c r="G476" s="46"/>
      <c r="H476" s="46"/>
      <c r="I476" s="46"/>
      <c r="J476" s="46"/>
      <c r="K476" s="46"/>
      <c r="L476" s="45"/>
      <c r="M476" s="45"/>
      <c r="N476" s="46"/>
      <c r="O476" s="46"/>
      <c r="P476" s="46"/>
      <c r="Q476" s="46"/>
      <c r="R476" s="46"/>
      <c r="S476" s="46"/>
      <c r="T476" s="45"/>
      <c r="U476" s="45"/>
      <c r="V476" s="45"/>
      <c r="W476" s="46"/>
      <c r="X476" s="46"/>
      <c r="Y476" s="46"/>
      <c r="Z476" s="45"/>
      <c r="AA476" s="45"/>
      <c r="AE476" s="72">
        <f t="shared" si="26"/>
        <v>1</v>
      </c>
    </row>
    <row r="477" spans="1:31" ht="8.1" hidden="1" customHeight="1" x14ac:dyDescent="0.15">
      <c r="A477" s="45" t="str">
        <f>H!N34</f>
        <v/>
      </c>
      <c r="B477" s="45"/>
      <c r="C477" s="45" t="str">
        <f>H!O34</f>
        <v/>
      </c>
      <c r="D477" s="45"/>
      <c r="E477" s="45"/>
      <c r="F477" s="46"/>
      <c r="G477" s="46"/>
      <c r="H477" s="46"/>
      <c r="I477" s="46"/>
      <c r="J477" s="46"/>
      <c r="K477" s="46"/>
      <c r="L477" s="45"/>
      <c r="M477" s="45"/>
      <c r="N477" s="46"/>
      <c r="O477" s="46"/>
      <c r="P477" s="46"/>
      <c r="Q477" s="46"/>
      <c r="R477" s="46"/>
      <c r="S477" s="46"/>
      <c r="T477" s="45"/>
      <c r="U477" s="45"/>
      <c r="V477" s="45"/>
      <c r="W477" s="46"/>
      <c r="X477" s="46"/>
      <c r="Y477" s="46"/>
      <c r="Z477" s="45"/>
      <c r="AA477" s="45"/>
      <c r="AE477" s="72">
        <f t="shared" si="26"/>
        <v>1</v>
      </c>
    </row>
    <row r="478" spans="1:31" ht="8.1" hidden="1" customHeight="1" x14ac:dyDescent="0.15">
      <c r="A478" s="45" t="str">
        <f>H!N35</f>
        <v/>
      </c>
      <c r="B478" s="45"/>
      <c r="C478" s="45" t="str">
        <f>H!O35</f>
        <v/>
      </c>
      <c r="D478" s="45"/>
      <c r="E478" s="45"/>
      <c r="F478" s="46"/>
      <c r="G478" s="46"/>
      <c r="H478" s="46"/>
      <c r="I478" s="46"/>
      <c r="J478" s="46"/>
      <c r="K478" s="46"/>
      <c r="L478" s="45"/>
      <c r="M478" s="45"/>
      <c r="N478" s="46"/>
      <c r="O478" s="46"/>
      <c r="P478" s="46"/>
      <c r="Q478" s="46"/>
      <c r="R478" s="46"/>
      <c r="S478" s="46"/>
      <c r="T478" s="45"/>
      <c r="U478" s="45"/>
      <c r="V478" s="45"/>
      <c r="W478" s="46"/>
      <c r="X478" s="46"/>
      <c r="Y478" s="46"/>
      <c r="Z478" s="45"/>
      <c r="AA478" s="45"/>
      <c r="AE478" s="72">
        <f t="shared" si="26"/>
        <v>1</v>
      </c>
    </row>
    <row r="479" spans="1:31" ht="8.1" hidden="1" customHeight="1" x14ac:dyDescent="0.15">
      <c r="A479" s="45" t="str">
        <f>H!N36</f>
        <v/>
      </c>
      <c r="B479" s="45"/>
      <c r="C479" s="45" t="str">
        <f>H!O36</f>
        <v/>
      </c>
      <c r="D479" s="45"/>
      <c r="E479" s="45"/>
      <c r="F479" s="46"/>
      <c r="G479" s="46"/>
      <c r="H479" s="46"/>
      <c r="I479" s="46"/>
      <c r="J479" s="46"/>
      <c r="K479" s="46"/>
      <c r="L479" s="45"/>
      <c r="M479" s="45"/>
      <c r="N479" s="46"/>
      <c r="O479" s="46"/>
      <c r="P479" s="46"/>
      <c r="Q479" s="46"/>
      <c r="R479" s="46"/>
      <c r="S479" s="46"/>
      <c r="T479" s="45"/>
      <c r="U479" s="45"/>
      <c r="V479" s="45"/>
      <c r="W479" s="46"/>
      <c r="X479" s="46"/>
      <c r="Y479" s="46"/>
      <c r="Z479" s="45"/>
      <c r="AA479" s="45"/>
      <c r="AE479" s="72">
        <f t="shared" si="26"/>
        <v>1</v>
      </c>
    </row>
    <row r="480" spans="1:31" ht="8.1" hidden="1" customHeight="1" x14ac:dyDescent="0.15">
      <c r="A480" s="45" t="str">
        <f>H!N37</f>
        <v/>
      </c>
      <c r="B480" s="45"/>
      <c r="C480" s="45" t="str">
        <f>H!O37</f>
        <v/>
      </c>
      <c r="D480" s="45"/>
      <c r="E480" s="45"/>
      <c r="F480" s="46"/>
      <c r="G480" s="46"/>
      <c r="H480" s="46"/>
      <c r="I480" s="46"/>
      <c r="J480" s="46"/>
      <c r="K480" s="46"/>
      <c r="L480" s="45"/>
      <c r="M480" s="45"/>
      <c r="N480" s="46"/>
      <c r="O480" s="46"/>
      <c r="P480" s="46"/>
      <c r="Q480" s="46"/>
      <c r="R480" s="46"/>
      <c r="S480" s="46"/>
      <c r="T480" s="45"/>
      <c r="U480" s="45"/>
      <c r="V480" s="45"/>
      <c r="W480" s="46"/>
      <c r="X480" s="46"/>
      <c r="Y480" s="46"/>
      <c r="Z480" s="45"/>
      <c r="AA480" s="45"/>
      <c r="AE480" s="72">
        <f t="shared" si="26"/>
        <v>1</v>
      </c>
    </row>
    <row r="481" spans="1:31" ht="8.1" hidden="1" customHeight="1" x14ac:dyDescent="0.15">
      <c r="A481" s="45" t="str">
        <f>H!N38</f>
        <v/>
      </c>
      <c r="C481" s="45" t="str">
        <f>H!O38</f>
        <v/>
      </c>
      <c r="AE481" s="72">
        <f t="shared" si="26"/>
        <v>1</v>
      </c>
    </row>
    <row r="482" spans="1:31" ht="8.1" hidden="1" customHeight="1" x14ac:dyDescent="0.15">
      <c r="A482" s="45" t="str">
        <f>H!N39</f>
        <v/>
      </c>
      <c r="C482" s="45" t="str">
        <f>H!O39</f>
        <v/>
      </c>
      <c r="AE482" s="72">
        <f t="shared" si="26"/>
        <v>1</v>
      </c>
    </row>
    <row r="483" spans="1:31" ht="8.1" hidden="1" customHeight="1" x14ac:dyDescent="0.15">
      <c r="A483" s="45" t="str">
        <f>H!N40</f>
        <v/>
      </c>
      <c r="C483" s="45" t="str">
        <f>H!O40</f>
        <v/>
      </c>
      <c r="AE483" s="72">
        <f t="shared" si="26"/>
        <v>1</v>
      </c>
    </row>
    <row r="484" spans="1:31" ht="8.1" hidden="1" customHeight="1" x14ac:dyDescent="0.15">
      <c r="A484" s="45" t="str">
        <f>H!N41</f>
        <v/>
      </c>
      <c r="C484" s="45" t="str">
        <f>H!O41</f>
        <v/>
      </c>
      <c r="AE484" s="72">
        <f t="shared" si="26"/>
        <v>1</v>
      </c>
    </row>
    <row r="485" spans="1:31" ht="8.1" hidden="1" customHeight="1" x14ac:dyDescent="0.15">
      <c r="A485" s="45" t="str">
        <f>H!N42</f>
        <v/>
      </c>
      <c r="C485" s="45" t="str">
        <f>H!O42</f>
        <v/>
      </c>
      <c r="AE485" s="72">
        <f t="shared" si="26"/>
        <v>1</v>
      </c>
    </row>
    <row r="486" spans="1:31" ht="8.1" hidden="1" customHeight="1" x14ac:dyDescent="0.15">
      <c r="A486" s="45" t="str">
        <f>H!N43</f>
        <v/>
      </c>
      <c r="C486" s="45" t="str">
        <f>H!O43</f>
        <v/>
      </c>
      <c r="AE486" s="72">
        <f t="shared" si="26"/>
        <v>1</v>
      </c>
    </row>
    <row r="487" spans="1:31" ht="8.1" hidden="1" customHeight="1" x14ac:dyDescent="0.15">
      <c r="A487" s="45" t="str">
        <f>H!N44</f>
        <v/>
      </c>
      <c r="C487" s="45" t="str">
        <f>H!O44</f>
        <v/>
      </c>
      <c r="AE487" s="72">
        <f t="shared" si="26"/>
        <v>1</v>
      </c>
    </row>
    <row r="488" spans="1:31" ht="8.1" hidden="1" customHeight="1" x14ac:dyDescent="0.15">
      <c r="A488" s="45" t="str">
        <f>H!N45</f>
        <v/>
      </c>
      <c r="C488" s="45" t="str">
        <f>H!O45</f>
        <v/>
      </c>
      <c r="AE488" s="72">
        <f t="shared" si="26"/>
        <v>1</v>
      </c>
    </row>
    <row r="489" spans="1:31" ht="8.1" hidden="1" customHeight="1" x14ac:dyDescent="0.15">
      <c r="A489" s="45" t="str">
        <f>H!N46</f>
        <v/>
      </c>
      <c r="C489" s="45" t="str">
        <f>H!O46</f>
        <v/>
      </c>
      <c r="AE489" s="72">
        <f t="shared" si="26"/>
        <v>1</v>
      </c>
    </row>
    <row r="490" spans="1:31" ht="8.1" hidden="1" customHeight="1" x14ac:dyDescent="0.15">
      <c r="A490" s="45" t="str">
        <f>H!N47</f>
        <v/>
      </c>
      <c r="C490" s="45" t="str">
        <f>H!O47</f>
        <v/>
      </c>
      <c r="AE490" s="72">
        <f t="shared" si="26"/>
        <v>1</v>
      </c>
    </row>
    <row r="491" spans="1:31" ht="8.1" hidden="1" customHeight="1" x14ac:dyDescent="0.15">
      <c r="A491" s="45" t="str">
        <f>H!N48</f>
        <v/>
      </c>
      <c r="C491" s="45" t="str">
        <f>H!O48</f>
        <v/>
      </c>
      <c r="AE491" s="72">
        <f t="shared" si="26"/>
        <v>1</v>
      </c>
    </row>
    <row r="492" spans="1:31" ht="8.1" hidden="1" customHeight="1" x14ac:dyDescent="0.15">
      <c r="A492" s="45" t="str">
        <f>H!N49</f>
        <v/>
      </c>
      <c r="C492" s="45" t="str">
        <f>H!O49</f>
        <v/>
      </c>
      <c r="AE492" s="72">
        <f t="shared" si="26"/>
        <v>1</v>
      </c>
    </row>
    <row r="493" spans="1:31" ht="8.1" hidden="1" customHeight="1" x14ac:dyDescent="0.15">
      <c r="A493" s="45" t="str">
        <f>H!N50</f>
        <v/>
      </c>
      <c r="C493" s="45" t="str">
        <f>H!O50</f>
        <v/>
      </c>
      <c r="AE493" s="72">
        <f t="shared" si="26"/>
        <v>1</v>
      </c>
    </row>
    <row r="494" spans="1:31" ht="8.1" hidden="1" customHeight="1" x14ac:dyDescent="0.15">
      <c r="A494" s="45" t="str">
        <f>H!N51</f>
        <v/>
      </c>
      <c r="C494" s="45" t="str">
        <f>H!O51</f>
        <v/>
      </c>
      <c r="AE494" s="72">
        <f t="shared" si="26"/>
        <v>1</v>
      </c>
    </row>
    <row r="495" spans="1:31" ht="8.1" hidden="1" customHeight="1" x14ac:dyDescent="0.15">
      <c r="A495" s="45" t="str">
        <f>H!N52</f>
        <v/>
      </c>
      <c r="C495" s="45" t="str">
        <f>H!O52</f>
        <v/>
      </c>
      <c r="AE495" s="72">
        <f t="shared" si="26"/>
        <v>1</v>
      </c>
    </row>
    <row r="496" spans="1:31" ht="8.1" hidden="1" customHeight="1" x14ac:dyDescent="0.15">
      <c r="A496" s="45" t="str">
        <f>H!N53</f>
        <v/>
      </c>
      <c r="C496" s="45" t="str">
        <f>H!O53</f>
        <v/>
      </c>
      <c r="AE496" s="72">
        <f t="shared" si="26"/>
        <v>1</v>
      </c>
    </row>
    <row r="497" spans="1:31" ht="8.1" hidden="1" customHeight="1" x14ac:dyDescent="0.15">
      <c r="A497" s="45" t="str">
        <f>H!N54</f>
        <v/>
      </c>
      <c r="C497" s="45" t="str">
        <f>H!O54</f>
        <v/>
      </c>
      <c r="AE497" s="72">
        <f t="shared" si="26"/>
        <v>1</v>
      </c>
    </row>
    <row r="498" spans="1:31" ht="8.1" hidden="1" customHeight="1" x14ac:dyDescent="0.15">
      <c r="A498" s="45" t="str">
        <f>H!N55</f>
        <v/>
      </c>
      <c r="C498" s="45" t="str">
        <f>H!O55</f>
        <v/>
      </c>
      <c r="AE498" s="72">
        <f t="shared" si="26"/>
        <v>1</v>
      </c>
    </row>
    <row r="499" spans="1:31" ht="8.1" hidden="1" customHeight="1" x14ac:dyDescent="0.15">
      <c r="A499" s="45" t="str">
        <f>H!N56</f>
        <v/>
      </c>
      <c r="C499" s="45" t="str">
        <f>H!O56</f>
        <v/>
      </c>
      <c r="AE499" s="72">
        <f t="shared" si="26"/>
        <v>1</v>
      </c>
    </row>
    <row r="500" spans="1:31" ht="8.1" hidden="1" customHeight="1" x14ac:dyDescent="0.15">
      <c r="A500" s="45" t="str">
        <f>H!N57</f>
        <v/>
      </c>
      <c r="C500" s="45" t="str">
        <f>H!O57</f>
        <v/>
      </c>
      <c r="AE500" s="72">
        <f t="shared" si="26"/>
        <v>1</v>
      </c>
    </row>
    <row r="501" spans="1:31" ht="8.1" hidden="1" customHeight="1" x14ac:dyDescent="0.15">
      <c r="A501" s="45" t="str">
        <f>H!N58</f>
        <v/>
      </c>
      <c r="C501" s="45" t="str">
        <f>H!O58</f>
        <v/>
      </c>
      <c r="AE501" s="72">
        <f t="shared" si="26"/>
        <v>1</v>
      </c>
    </row>
    <row r="502" spans="1:31" ht="8.1" hidden="1" customHeight="1" x14ac:dyDescent="0.15">
      <c r="A502" s="45" t="str">
        <f>H!N59</f>
        <v/>
      </c>
      <c r="C502" s="45" t="str">
        <f>H!O59</f>
        <v/>
      </c>
      <c r="AE502" s="72">
        <f t="shared" si="26"/>
        <v>1</v>
      </c>
    </row>
    <row r="503" spans="1:31" ht="8.1" customHeight="1" x14ac:dyDescent="0.15">
      <c r="A503" s="45"/>
      <c r="C503" s="45"/>
    </row>
    <row r="504" spans="1:31" ht="8.1" customHeight="1" x14ac:dyDescent="0.15">
      <c r="A504" s="45"/>
      <c r="C504" s="45"/>
    </row>
    <row r="505" spans="1:31" ht="8.1" customHeight="1" x14ac:dyDescent="0.15">
      <c r="A505" s="45"/>
      <c r="C505" s="45"/>
    </row>
    <row r="506" spans="1:31" ht="8.1" customHeight="1" x14ac:dyDescent="0.15">
      <c r="A506" s="45"/>
      <c r="C506" s="45"/>
    </row>
    <row r="507" spans="1:31" ht="8.1" customHeight="1" x14ac:dyDescent="0.15">
      <c r="A507" s="45"/>
      <c r="C507" s="45"/>
    </row>
    <row r="508" spans="1:31" ht="8.1" customHeight="1" x14ac:dyDescent="0.15">
      <c r="A508" s="45"/>
      <c r="C508" s="45"/>
    </row>
    <row r="509" spans="1:31" ht="8.1" customHeight="1" x14ac:dyDescent="0.15">
      <c r="A509" s="45"/>
      <c r="C509" s="45"/>
    </row>
    <row r="510" spans="1:31" ht="8.1" customHeight="1" x14ac:dyDescent="0.15">
      <c r="A510" s="45"/>
      <c r="C510" s="45"/>
    </row>
    <row r="511" spans="1:31" ht="8.1" customHeight="1" x14ac:dyDescent="0.15">
      <c r="C511" s="45"/>
    </row>
    <row r="512" spans="1:31" ht="8.1" customHeight="1" x14ac:dyDescent="0.15">
      <c r="C512" s="45"/>
    </row>
    <row r="513" spans="3:3" ht="8.1" customHeight="1" x14ac:dyDescent="0.15">
      <c r="C513" s="45"/>
    </row>
    <row r="514" spans="3:3" ht="8.1" customHeight="1" x14ac:dyDescent="0.15">
      <c r="C514" s="45"/>
    </row>
    <row r="515" spans="3:3" ht="8.1" customHeight="1" x14ac:dyDescent="0.15">
      <c r="C515" s="45"/>
    </row>
    <row r="516" spans="3:3" ht="8.1" customHeight="1" x14ac:dyDescent="0.15">
      <c r="C516" s="45"/>
    </row>
    <row r="517" spans="3:3" ht="8.1" customHeight="1" x14ac:dyDescent="0.15">
      <c r="C517" s="45"/>
    </row>
    <row r="518" spans="3:3" ht="8.1" customHeight="1" x14ac:dyDescent="0.15">
      <c r="C518" s="45"/>
    </row>
    <row r="519" spans="3:3" ht="8.1" customHeight="1" x14ac:dyDescent="0.15">
      <c r="C519" s="45"/>
    </row>
    <row r="520" spans="3:3" ht="8.1" customHeight="1" x14ac:dyDescent="0.15">
      <c r="C520" s="45"/>
    </row>
    <row r="521" spans="3:3" ht="8.1" customHeight="1" x14ac:dyDescent="0.15">
      <c r="C521" s="45"/>
    </row>
    <row r="522" spans="3:3" ht="8.1" customHeight="1" x14ac:dyDescent="0.15">
      <c r="C522" s="45"/>
    </row>
    <row r="523" spans="3:3" ht="8.1" customHeight="1" x14ac:dyDescent="0.15">
      <c r="C523" s="45"/>
    </row>
    <row r="524" spans="3:3" ht="8.1" customHeight="1" x14ac:dyDescent="0.15">
      <c r="C524" s="45"/>
    </row>
    <row r="525" spans="3:3" ht="8.1" customHeight="1" x14ac:dyDescent="0.15">
      <c r="C525" s="45"/>
    </row>
    <row r="526" spans="3:3" ht="8.1" customHeight="1" x14ac:dyDescent="0.15">
      <c r="C526" s="45"/>
    </row>
    <row r="527" spans="3:3" ht="8.1" customHeight="1" x14ac:dyDescent="0.15">
      <c r="C527" s="45"/>
    </row>
    <row r="528" spans="3:3" ht="8.1" customHeight="1" x14ac:dyDescent="0.15">
      <c r="C528" s="45"/>
    </row>
    <row r="529" spans="3:3" ht="8.1" customHeight="1" x14ac:dyDescent="0.15">
      <c r="C529" s="45"/>
    </row>
    <row r="530" spans="3:3" ht="8.1" customHeight="1" x14ac:dyDescent="0.15">
      <c r="C530" s="45"/>
    </row>
    <row r="531" spans="3:3" ht="8.1" customHeight="1" x14ac:dyDescent="0.15">
      <c r="C531" s="45"/>
    </row>
    <row r="532" spans="3:3" ht="8.1" customHeight="1" x14ac:dyDescent="0.15">
      <c r="C532" s="45"/>
    </row>
    <row r="533" spans="3:3" ht="8.1" customHeight="1" x14ac:dyDescent="0.15">
      <c r="C533" s="45"/>
    </row>
    <row r="534" spans="3:3" ht="8.1" customHeight="1" x14ac:dyDescent="0.15">
      <c r="C534" s="45"/>
    </row>
    <row r="535" spans="3:3" ht="8.1" customHeight="1" x14ac:dyDescent="0.15">
      <c r="C535" s="45"/>
    </row>
    <row r="536" spans="3:3" ht="8.1" customHeight="1" x14ac:dyDescent="0.15">
      <c r="C536" s="45"/>
    </row>
    <row r="537" spans="3:3" ht="8.1" customHeight="1" x14ac:dyDescent="0.15">
      <c r="C537" s="45"/>
    </row>
    <row r="538" spans="3:3" ht="8.1" customHeight="1" x14ac:dyDescent="0.15">
      <c r="C538" s="45"/>
    </row>
    <row r="539" spans="3:3" ht="8.1" customHeight="1" x14ac:dyDescent="0.15">
      <c r="C539" s="45"/>
    </row>
    <row r="540" spans="3:3" ht="8.1" customHeight="1" x14ac:dyDescent="0.15">
      <c r="C540" s="45"/>
    </row>
    <row r="541" spans="3:3" ht="8.1" customHeight="1" x14ac:dyDescent="0.15">
      <c r="C541" s="45"/>
    </row>
    <row r="542" spans="3:3" ht="8.1" customHeight="1" x14ac:dyDescent="0.15">
      <c r="C542" s="45"/>
    </row>
    <row r="543" spans="3:3" ht="8.1" customHeight="1" x14ac:dyDescent="0.15">
      <c r="C543" s="45"/>
    </row>
    <row r="544" spans="3:3" ht="8.1" customHeight="1" x14ac:dyDescent="0.15">
      <c r="C544" s="45"/>
    </row>
    <row r="545" spans="3:3" ht="8.1" customHeight="1" x14ac:dyDescent="0.15">
      <c r="C545" s="45"/>
    </row>
    <row r="546" spans="3:3" ht="8.1" customHeight="1" x14ac:dyDescent="0.15">
      <c r="C546" s="45"/>
    </row>
    <row r="547" spans="3:3" ht="8.1" customHeight="1" x14ac:dyDescent="0.15">
      <c r="C547" s="45"/>
    </row>
    <row r="548" spans="3:3" ht="8.1" customHeight="1" x14ac:dyDescent="0.15">
      <c r="C548" s="45"/>
    </row>
    <row r="549" spans="3:3" ht="8.1" customHeight="1" x14ac:dyDescent="0.15">
      <c r="C549" s="45"/>
    </row>
    <row r="550" spans="3:3" ht="8.1" customHeight="1" x14ac:dyDescent="0.15">
      <c r="C550" s="45"/>
    </row>
    <row r="551" spans="3:3" ht="8.1" customHeight="1" x14ac:dyDescent="0.15">
      <c r="C551" s="45"/>
    </row>
    <row r="552" spans="3:3" ht="8.1" customHeight="1" x14ac:dyDescent="0.15">
      <c r="C552" s="45"/>
    </row>
    <row r="553" spans="3:3" ht="8.1" customHeight="1" x14ac:dyDescent="0.15">
      <c r="C553" s="45"/>
    </row>
    <row r="554" spans="3:3" ht="8.1" customHeight="1" x14ac:dyDescent="0.15">
      <c r="C554" s="45"/>
    </row>
    <row r="555" spans="3:3" ht="8.1" customHeight="1" x14ac:dyDescent="0.15">
      <c r="C555" s="45"/>
    </row>
    <row r="556" spans="3:3" ht="8.1" customHeight="1" x14ac:dyDescent="0.15">
      <c r="C556" s="45"/>
    </row>
    <row r="557" spans="3:3" ht="8.1" customHeight="1" x14ac:dyDescent="0.15">
      <c r="C557" s="45"/>
    </row>
    <row r="558" spans="3:3" ht="8.1" customHeight="1" x14ac:dyDescent="0.15">
      <c r="C558" s="45"/>
    </row>
    <row r="559" spans="3:3" ht="8.1" customHeight="1" x14ac:dyDescent="0.15">
      <c r="C559" s="45"/>
    </row>
    <row r="560" spans="3:3" ht="8.1" customHeight="1" x14ac:dyDescent="0.15">
      <c r="C560" s="45"/>
    </row>
    <row r="561" spans="3:3" ht="8.1" customHeight="1" x14ac:dyDescent="0.15">
      <c r="C561" s="45"/>
    </row>
    <row r="562" spans="3:3" ht="8.1" customHeight="1" x14ac:dyDescent="0.15">
      <c r="C562" s="45"/>
    </row>
    <row r="563" spans="3:3" ht="8.1" customHeight="1" x14ac:dyDescent="0.15">
      <c r="C563" s="45"/>
    </row>
    <row r="564" spans="3:3" ht="8.1" customHeight="1" x14ac:dyDescent="0.15">
      <c r="C564" s="45"/>
    </row>
    <row r="565" spans="3:3" ht="8.1" customHeight="1" x14ac:dyDescent="0.15">
      <c r="C565" s="45"/>
    </row>
    <row r="566" spans="3:3" ht="8.1" customHeight="1" x14ac:dyDescent="0.15">
      <c r="C566" s="45"/>
    </row>
    <row r="567" spans="3:3" ht="8.1" customHeight="1" x14ac:dyDescent="0.15">
      <c r="C567" s="45"/>
    </row>
    <row r="568" spans="3:3" ht="8.1" customHeight="1" x14ac:dyDescent="0.15">
      <c r="C568" s="45"/>
    </row>
    <row r="569" spans="3:3" ht="8.1" customHeight="1" x14ac:dyDescent="0.15">
      <c r="C569" s="45"/>
    </row>
    <row r="570" spans="3:3" ht="8.1" customHeight="1" x14ac:dyDescent="0.15">
      <c r="C570" s="45"/>
    </row>
    <row r="571" spans="3:3" ht="8.1" customHeight="1" x14ac:dyDescent="0.15">
      <c r="C571" s="45"/>
    </row>
    <row r="572" spans="3:3" ht="8.1" customHeight="1" x14ac:dyDescent="0.15">
      <c r="C572" s="45"/>
    </row>
    <row r="573" spans="3:3" ht="8.1" customHeight="1" x14ac:dyDescent="0.15">
      <c r="C573" s="45"/>
    </row>
    <row r="574" spans="3:3" ht="8.1" customHeight="1" x14ac:dyDescent="0.15">
      <c r="C574" s="45"/>
    </row>
    <row r="575" spans="3:3" ht="8.1" customHeight="1" x14ac:dyDescent="0.15">
      <c r="C575" s="45"/>
    </row>
    <row r="576" spans="3:3" ht="8.1" customHeight="1" x14ac:dyDescent="0.15">
      <c r="C576" s="45"/>
    </row>
    <row r="577" spans="3:3" ht="8.1" customHeight="1" x14ac:dyDescent="0.15">
      <c r="C577" s="45"/>
    </row>
    <row r="578" spans="3:3" ht="8.1" customHeight="1" x14ac:dyDescent="0.15">
      <c r="C578" s="45"/>
    </row>
    <row r="579" spans="3:3" ht="8.1" customHeight="1" x14ac:dyDescent="0.15">
      <c r="C579" s="45"/>
    </row>
    <row r="580" spans="3:3" ht="8.1" customHeight="1" x14ac:dyDescent="0.15">
      <c r="C580" s="45"/>
    </row>
    <row r="581" spans="3:3" ht="8.1" customHeight="1" x14ac:dyDescent="0.15">
      <c r="C581" s="45"/>
    </row>
    <row r="582" spans="3:3" ht="8.1" customHeight="1" x14ac:dyDescent="0.15">
      <c r="C582" s="45"/>
    </row>
    <row r="583" spans="3:3" ht="8.1" customHeight="1" x14ac:dyDescent="0.15">
      <c r="C583" s="45"/>
    </row>
    <row r="584" spans="3:3" ht="8.1" customHeight="1" x14ac:dyDescent="0.15">
      <c r="C584" s="45"/>
    </row>
    <row r="585" spans="3:3" ht="8.1" customHeight="1" x14ac:dyDescent="0.15">
      <c r="C585" s="45"/>
    </row>
    <row r="586" spans="3:3" ht="8.1" customHeight="1" x14ac:dyDescent="0.15">
      <c r="C586" s="45"/>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xmlns:xlrd2="http://schemas.microsoft.com/office/spreadsheetml/2017/richdata2" ref="T14:Z23">
    <sortCondition ref="T14"/>
  </sortState>
  <mergeCells count="484">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58:C258"/>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38:C138"/>
    <mergeCell ref="A139:C139"/>
    <mergeCell ref="A141:C141"/>
    <mergeCell ref="A142:C142"/>
    <mergeCell ref="A143:C143"/>
    <mergeCell ref="A144:C144"/>
    <mergeCell ref="A140:C140"/>
    <mergeCell ref="A145:C145"/>
    <mergeCell ref="A146:C146"/>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74:C74"/>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339:C339"/>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X16:Z16"/>
    <mergeCell ref="X17:Z17"/>
    <mergeCell ref="X18:Z18"/>
    <mergeCell ref="X19:Z19"/>
    <mergeCell ref="P16:R16"/>
    <mergeCell ref="P17:R17"/>
    <mergeCell ref="P18:R18"/>
    <mergeCell ref="L16:O16"/>
    <mergeCell ref="P19:R19"/>
    <mergeCell ref="T16:W16"/>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A109:C109"/>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334:C334"/>
    <mergeCell ref="A263:C263"/>
    <mergeCell ref="A264:C264"/>
    <mergeCell ref="A265:C265"/>
    <mergeCell ref="A266:C266"/>
    <mergeCell ref="A267:C267"/>
    <mergeCell ref="A268:C268"/>
    <mergeCell ref="A269:C269"/>
    <mergeCell ref="A338:C338"/>
    <mergeCell ref="A259:C259"/>
    <mergeCell ref="A260:C260"/>
    <mergeCell ref="A261:C261"/>
    <mergeCell ref="A336:C336"/>
    <mergeCell ref="A337:C337"/>
    <mergeCell ref="A274:C274"/>
    <mergeCell ref="A275:C275"/>
    <mergeCell ref="A276:C276"/>
    <mergeCell ref="A277:C277"/>
    <mergeCell ref="A278:C278"/>
    <mergeCell ref="A294:C294"/>
    <mergeCell ref="A300:C300"/>
    <mergeCell ref="A301:C301"/>
    <mergeCell ref="A302:C302"/>
    <mergeCell ref="A305:C305"/>
    <mergeCell ref="A306:C306"/>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24:C324"/>
    <mergeCell ref="A272:C272"/>
    <mergeCell ref="A273:C273"/>
    <mergeCell ref="A279:C279"/>
    <mergeCell ref="A282:C282"/>
    <mergeCell ref="A283:C283"/>
    <mergeCell ref="A322:C322"/>
    <mergeCell ref="A323:C323"/>
    <mergeCell ref="A314:AA314"/>
    <mergeCell ref="A319:AA319"/>
    <mergeCell ref="A284:C284"/>
    <mergeCell ref="A443:C443"/>
    <mergeCell ref="A342:C342"/>
    <mergeCell ref="A343:C343"/>
    <mergeCell ref="A344:C344"/>
    <mergeCell ref="A345:C345"/>
    <mergeCell ref="A346:C346"/>
    <mergeCell ref="A347:C347"/>
    <mergeCell ref="A348:C348"/>
    <mergeCell ref="A349:C349"/>
    <mergeCell ref="A350:C350"/>
    <mergeCell ref="A435:C435"/>
    <mergeCell ref="A437:C437"/>
    <mergeCell ref="A351:C351"/>
    <mergeCell ref="A352:C352"/>
    <mergeCell ref="A353:C353"/>
    <mergeCell ref="A439:C439"/>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A428:C428"/>
    <mergeCell ref="A429:C429"/>
    <mergeCell ref="A430:C430"/>
    <mergeCell ref="A354:C354"/>
    <mergeCell ref="A355:C355"/>
    <mergeCell ref="A431:C431"/>
    <mergeCell ref="A423:C423"/>
    <mergeCell ref="A424:C424"/>
    <mergeCell ref="A425:C425"/>
    <mergeCell ref="A416:C416"/>
    <mergeCell ref="A417:C417"/>
    <mergeCell ref="A418:C418"/>
    <mergeCell ref="A395:C395"/>
    <mergeCell ref="A396:C396"/>
    <mergeCell ref="A397:C397"/>
    <mergeCell ref="A398:C398"/>
    <mergeCell ref="A399:C399"/>
    <mergeCell ref="A400:C400"/>
    <mergeCell ref="A401:C401"/>
    <mergeCell ref="A402:C402"/>
    <mergeCell ref="A403:C403"/>
    <mergeCell ref="A390:AA390"/>
    <mergeCell ref="A356:C356"/>
    <mergeCell ref="A357:C357"/>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04:C404"/>
    <mergeCell ref="A405:C405"/>
    <mergeCell ref="A406:C406"/>
    <mergeCell ref="A407:C407"/>
    <mergeCell ref="A408:C408"/>
    <mergeCell ref="A409:C409"/>
    <mergeCell ref="A441:C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E437:I437"/>
    <mergeCell ref="E439:I439"/>
    <mergeCell ref="E441:I441"/>
    <mergeCell ref="E443:I443"/>
    <mergeCell ref="L437:Q437"/>
    <mergeCell ref="L439:Q439"/>
    <mergeCell ref="L441:Q441"/>
    <mergeCell ref="L443:Q443"/>
    <mergeCell ref="T437:Y437"/>
    <mergeCell ref="T439:Y439"/>
    <mergeCell ref="T441:Y441"/>
    <mergeCell ref="T443:Y443"/>
  </mergeCells>
  <phoneticPr fontId="2" type="noConversion"/>
  <conditionalFormatting sqref="D8:J19">
    <cfRule type="cellIs" dxfId="1031" priority="830" stopIfTrue="1" operator="equal">
      <formula>"zz"</formula>
    </cfRule>
    <cfRule type="cellIs" dxfId="1030" priority="831" stopIfTrue="1" operator="equal">
      <formula>0</formula>
    </cfRule>
    <cfRule type="expression" dxfId="1029" priority="832" stopIfTrue="1">
      <formula>$D$11=0</formula>
    </cfRule>
    <cfRule type="expression" dxfId="1028" priority="833" stopIfTrue="1">
      <formula>$D$11="(leeg)"</formula>
    </cfRule>
  </conditionalFormatting>
  <conditionalFormatting sqref="L8:R19">
    <cfRule type="cellIs" dxfId="1027" priority="826" stopIfTrue="1" operator="equal">
      <formula>"zz"</formula>
    </cfRule>
    <cfRule type="cellIs" dxfId="1026" priority="827" stopIfTrue="1" operator="equal">
      <formula>0</formula>
    </cfRule>
    <cfRule type="expression" dxfId="1025" priority="828" stopIfTrue="1">
      <formula>$L$11=0</formula>
    </cfRule>
    <cfRule type="expression" dxfId="1024" priority="829" stopIfTrue="1">
      <formula>$L$11="(leeg)"</formula>
    </cfRule>
  </conditionalFormatting>
  <conditionalFormatting sqref="T8:Z19">
    <cfRule type="cellIs" dxfId="1023" priority="822" stopIfTrue="1" operator="equal">
      <formula>"zz"</formula>
    </cfRule>
    <cfRule type="cellIs" dxfId="1022" priority="823" stopIfTrue="1" operator="equal">
      <formula>0</formula>
    </cfRule>
    <cfRule type="expression" dxfId="1021" priority="824" stopIfTrue="1">
      <formula>$T$11=0</formula>
    </cfRule>
    <cfRule type="expression" dxfId="1020" priority="825" stopIfTrue="1">
      <formula>$T$11="(leeg)"</formula>
    </cfRule>
  </conditionalFormatting>
  <conditionalFormatting sqref="E437 E441 E439 E443 D22:J30 D32:J52 D55:J71 D74:J81 D84:J92 D95:J135 D138:J153 D156:J180 D183:J222 D225:J248 D251:J269 D272:J279 D282:J291 D294:J302 D305:J312 D315:J317 D320:J324 D327:J328 D331:J360 D363:J367 D370:J376 D379:J381 D384:J388 D391:J425 D428:J434 J437 J439 J443">
    <cfRule type="expression" dxfId="1019" priority="820">
      <formula>$D$11=""</formula>
    </cfRule>
    <cfRule type="expression" dxfId="1018" priority="821">
      <formula>$D$11=0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cfRule type="expression" dxfId="1017" priority="819">
      <formula>$L$11=0</formula>
    </cfRule>
  </conditionalFormatting>
  <conditionalFormatting sqref="T441 T443 Z443">
    <cfRule type="expression" dxfId="1016" priority="781">
      <formula>$T$11="(leeg)"</formula>
    </cfRule>
    <cfRule type="expression" dxfId="1015" priority="782">
      <formula>$T$11=0</formula>
    </cfRule>
  </conditionalFormatting>
  <conditionalFormatting sqref="T437 T441 T439 T443 T22:AA30 T32:AA52 T55:AA71 T74:AA81 T84:AA92 T95:AA135 T138:AA153 T156:AA180 T183:AA222 T225:AA248 T251:AA269 T272:AA279 T282:AA291 T294:AA302 T305:AA312 T315:AA317 T320:AA324 T327:AA328 T331:AA360 T363:AA367 T370:AA376 T379:AA381 T384:AA388 T391:AA425 T428:AA434 Z437 Z439 Z443">
    <cfRule type="expression" dxfId="1014" priority="816">
      <formula>$T$11=""</formula>
    </cfRule>
    <cfRule type="expression" dxfId="1013" priority="817">
      <formula>$T$11=0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R437 R439 R443">
    <cfRule type="expression" dxfId="1012" priority="818">
      <formula>$L$11=""</formula>
    </cfRule>
  </conditionalFormatting>
  <conditionalFormatting sqref="L22:R30 L32:R52 L55:R71 L74:R81 L84:R92 L95:R135 L138:R153 L156:R180 L183:R222 L225:R248 L251:R269 L272:R279 L282:R291 L294:R302 L305:R312 L315:R317 L320:R324 L327:R328 L331:R360 L363:R367 L370:R376 L379:R381 L384:R388 L391:R425 L428:R434">
    <cfRule type="expression" dxfId="1011" priority="783">
      <formula>$L$11=""</formula>
    </cfRule>
    <cfRule type="expression" dxfId="1010" priority="784">
      <formula>$L$11=0</formula>
    </cfRule>
  </conditionalFormatting>
  <conditionalFormatting sqref="L440:R440">
    <cfRule type="expression" dxfId="1009" priority="740">
      <formula>$L$11=""</formula>
    </cfRule>
  </conditionalFormatting>
  <conditionalFormatting sqref="L53:R53">
    <cfRule type="expression" dxfId="1008" priority="179">
      <formula>$L$11=""</formula>
    </cfRule>
    <cfRule type="expression" dxfId="1007" priority="180">
      <formula>$L$11=0</formula>
    </cfRule>
  </conditionalFormatting>
  <conditionalFormatting sqref="D53:J53">
    <cfRule type="expression" dxfId="1006" priority="185">
      <formula>$D$11=""</formula>
    </cfRule>
    <cfRule type="expression" dxfId="1005" priority="186">
      <formula>$D$11=0</formula>
    </cfRule>
  </conditionalFormatting>
  <conditionalFormatting sqref="L53:R53">
    <cfRule type="expression" dxfId="1004" priority="184">
      <formula>$L$11=0</formula>
    </cfRule>
  </conditionalFormatting>
  <conditionalFormatting sqref="T53:AA53">
    <cfRule type="expression" dxfId="1003" priority="181">
      <formula>$T$11=""</formula>
    </cfRule>
    <cfRule type="expression" dxfId="1002" priority="182">
      <formula>$T$11=0</formula>
    </cfRule>
  </conditionalFormatting>
  <conditionalFormatting sqref="L53:R53">
    <cfRule type="expression" dxfId="1001" priority="183">
      <formula>$L$11=""</formula>
    </cfRule>
  </conditionalFormatting>
  <conditionalFormatting sqref="L72:R72">
    <cfRule type="expression" dxfId="1000" priority="171">
      <formula>$L$11=""</formula>
    </cfRule>
    <cfRule type="expression" dxfId="999" priority="172">
      <formula>$L$11=0</formula>
    </cfRule>
  </conditionalFormatting>
  <conditionalFormatting sqref="D72:J72">
    <cfRule type="expression" dxfId="998" priority="177">
      <formula>$D$11=""</formula>
    </cfRule>
    <cfRule type="expression" dxfId="997" priority="178">
      <formula>$D$11=0</formula>
    </cfRule>
  </conditionalFormatting>
  <conditionalFormatting sqref="L72:R72">
    <cfRule type="expression" dxfId="996" priority="176">
      <formula>$L$11=0</formula>
    </cfRule>
  </conditionalFormatting>
  <conditionalFormatting sqref="T72:AA72">
    <cfRule type="expression" dxfId="995" priority="173">
      <formula>$T$11=""</formula>
    </cfRule>
    <cfRule type="expression" dxfId="994" priority="174">
      <formula>$T$11=0</formula>
    </cfRule>
  </conditionalFormatting>
  <conditionalFormatting sqref="L72:R72">
    <cfRule type="expression" dxfId="993" priority="175">
      <formula>$L$11=""</formula>
    </cfRule>
  </conditionalFormatting>
  <conditionalFormatting sqref="L82:R82">
    <cfRule type="expression" dxfId="992" priority="163">
      <formula>$L$11=""</formula>
    </cfRule>
    <cfRule type="expression" dxfId="991" priority="164">
      <formula>$L$11=0</formula>
    </cfRule>
  </conditionalFormatting>
  <conditionalFormatting sqref="D82:J82">
    <cfRule type="expression" dxfId="990" priority="169">
      <formula>$D$11=""</formula>
    </cfRule>
    <cfRule type="expression" dxfId="989" priority="170">
      <formula>$D$11=0</formula>
    </cfRule>
  </conditionalFormatting>
  <conditionalFormatting sqref="L82:R82">
    <cfRule type="expression" dxfId="988" priority="168">
      <formula>$L$11=0</formula>
    </cfRule>
  </conditionalFormatting>
  <conditionalFormatting sqref="T82:AA82">
    <cfRule type="expression" dxfId="987" priority="165">
      <formula>$T$11=""</formula>
    </cfRule>
    <cfRule type="expression" dxfId="986" priority="166">
      <formula>$T$11=0</formula>
    </cfRule>
  </conditionalFormatting>
  <conditionalFormatting sqref="L82:R82">
    <cfRule type="expression" dxfId="985" priority="167">
      <formula>$L$11=""</formula>
    </cfRule>
  </conditionalFormatting>
  <conditionalFormatting sqref="L93:R93">
    <cfRule type="expression" dxfId="984" priority="155">
      <formula>$L$11=""</formula>
    </cfRule>
    <cfRule type="expression" dxfId="983" priority="156">
      <formula>$L$11=0</formula>
    </cfRule>
  </conditionalFormatting>
  <conditionalFormatting sqref="D93:J93">
    <cfRule type="expression" dxfId="982" priority="161">
      <formula>$D$11=""</formula>
    </cfRule>
    <cfRule type="expression" dxfId="981" priority="162">
      <formula>$D$11=0</formula>
    </cfRule>
  </conditionalFormatting>
  <conditionalFormatting sqref="L93:R93">
    <cfRule type="expression" dxfId="980" priority="160">
      <formula>$L$11=0</formula>
    </cfRule>
  </conditionalFormatting>
  <conditionalFormatting sqref="T93:AA93">
    <cfRule type="expression" dxfId="979" priority="157">
      <formula>$T$11=""</formula>
    </cfRule>
    <cfRule type="expression" dxfId="978" priority="158">
      <formula>$T$11=0</formula>
    </cfRule>
  </conditionalFormatting>
  <conditionalFormatting sqref="L93:R93">
    <cfRule type="expression" dxfId="977" priority="159">
      <formula>$L$11=""</formula>
    </cfRule>
  </conditionalFormatting>
  <conditionalFormatting sqref="L136:R136">
    <cfRule type="expression" dxfId="976" priority="147">
      <formula>$L$11=""</formula>
    </cfRule>
    <cfRule type="expression" dxfId="975" priority="148">
      <formula>$L$11=0</formula>
    </cfRule>
  </conditionalFormatting>
  <conditionalFormatting sqref="D136:J136">
    <cfRule type="expression" dxfId="974" priority="153">
      <formula>$D$11=""</formula>
    </cfRule>
    <cfRule type="expression" dxfId="973" priority="154">
      <formula>$D$11=0</formula>
    </cfRule>
  </conditionalFormatting>
  <conditionalFormatting sqref="L136:R136">
    <cfRule type="expression" dxfId="972" priority="152">
      <formula>$L$11=0</formula>
    </cfRule>
  </conditionalFormatting>
  <conditionalFormatting sqref="T136:AA136">
    <cfRule type="expression" dxfId="971" priority="149">
      <formula>$T$11=""</formula>
    </cfRule>
    <cfRule type="expression" dxfId="970" priority="150">
      <formula>$T$11=0</formula>
    </cfRule>
  </conditionalFormatting>
  <conditionalFormatting sqref="L136:R136">
    <cfRule type="expression" dxfId="969" priority="151">
      <formula>$L$11=""</formula>
    </cfRule>
  </conditionalFormatting>
  <conditionalFormatting sqref="D154:J154">
    <cfRule type="expression" dxfId="968" priority="145">
      <formula>$D$11=""</formula>
    </cfRule>
    <cfRule type="expression" dxfId="967" priority="146">
      <formula>$D$11=0</formula>
    </cfRule>
  </conditionalFormatting>
  <conditionalFormatting sqref="L154:R154">
    <cfRule type="expression" dxfId="966" priority="144">
      <formula>$L$11=0</formula>
    </cfRule>
  </conditionalFormatting>
  <conditionalFormatting sqref="T154:AA154">
    <cfRule type="expression" dxfId="965" priority="141">
      <formula>$T$11=""</formula>
    </cfRule>
    <cfRule type="expression" dxfId="964" priority="142">
      <formula>$T$11=0</formula>
    </cfRule>
  </conditionalFormatting>
  <conditionalFormatting sqref="L154:R154">
    <cfRule type="expression" dxfId="963" priority="143">
      <formula>$L$11=""</formula>
    </cfRule>
  </conditionalFormatting>
  <conditionalFormatting sqref="L154:R154">
    <cfRule type="expression" dxfId="962" priority="139">
      <formula>$L$11=""</formula>
    </cfRule>
    <cfRule type="expression" dxfId="961" priority="140">
      <formula>$L$11=0</formula>
    </cfRule>
  </conditionalFormatting>
  <conditionalFormatting sqref="D181:J181">
    <cfRule type="expression" dxfId="960" priority="137">
      <formula>$D$11=""</formula>
    </cfRule>
    <cfRule type="expression" dxfId="959" priority="138">
      <formula>$D$11=0</formula>
    </cfRule>
  </conditionalFormatting>
  <conditionalFormatting sqref="L181:R181">
    <cfRule type="expression" dxfId="958" priority="136">
      <formula>$L$11=0</formula>
    </cfRule>
  </conditionalFormatting>
  <conditionalFormatting sqref="T181:AA181">
    <cfRule type="expression" dxfId="957" priority="133">
      <formula>$T$11=""</formula>
    </cfRule>
    <cfRule type="expression" dxfId="956" priority="134">
      <formula>$T$11=0</formula>
    </cfRule>
  </conditionalFormatting>
  <conditionalFormatting sqref="L181:R181">
    <cfRule type="expression" dxfId="955" priority="135">
      <formula>$L$11=""</formula>
    </cfRule>
  </conditionalFormatting>
  <conditionalFormatting sqref="L181:R181">
    <cfRule type="expression" dxfId="954" priority="131">
      <formula>$L$11=""</formula>
    </cfRule>
    <cfRule type="expression" dxfId="953" priority="132">
      <formula>$L$11=0</formula>
    </cfRule>
  </conditionalFormatting>
  <conditionalFormatting sqref="D223:J223">
    <cfRule type="expression" dxfId="952" priority="129">
      <formula>$D$11=""</formula>
    </cfRule>
    <cfRule type="expression" dxfId="951" priority="130">
      <formula>$D$11=0</formula>
    </cfRule>
  </conditionalFormatting>
  <conditionalFormatting sqref="L223:R223">
    <cfRule type="expression" dxfId="950" priority="128">
      <formula>$L$11=0</formula>
    </cfRule>
  </conditionalFormatting>
  <conditionalFormatting sqref="T223:AA223">
    <cfRule type="expression" dxfId="949" priority="125">
      <formula>$T$11=""</formula>
    </cfRule>
    <cfRule type="expression" dxfId="948" priority="126">
      <formula>$T$11=0</formula>
    </cfRule>
  </conditionalFormatting>
  <conditionalFormatting sqref="L223:R223">
    <cfRule type="expression" dxfId="947" priority="127">
      <formula>$L$11=""</formula>
    </cfRule>
  </conditionalFormatting>
  <conditionalFormatting sqref="L223:R223">
    <cfRule type="expression" dxfId="946" priority="123">
      <formula>$L$11=""</formula>
    </cfRule>
    <cfRule type="expression" dxfId="945" priority="124">
      <formula>$L$11=0</formula>
    </cfRule>
  </conditionalFormatting>
  <conditionalFormatting sqref="D249:J249">
    <cfRule type="expression" dxfId="944" priority="121">
      <formula>$D$11=""</formula>
    </cfRule>
    <cfRule type="expression" dxfId="943" priority="122">
      <formula>$D$11=0</formula>
    </cfRule>
  </conditionalFormatting>
  <conditionalFormatting sqref="L249:R249">
    <cfRule type="expression" dxfId="942" priority="120">
      <formula>$L$11=0</formula>
    </cfRule>
  </conditionalFormatting>
  <conditionalFormatting sqref="T249:AA249">
    <cfRule type="expression" dxfId="941" priority="117">
      <formula>$T$11=""</formula>
    </cfRule>
    <cfRule type="expression" dxfId="940" priority="118">
      <formula>$T$11=0</formula>
    </cfRule>
  </conditionalFormatting>
  <conditionalFormatting sqref="L249:R249">
    <cfRule type="expression" dxfId="939" priority="119">
      <formula>$L$11=""</formula>
    </cfRule>
  </conditionalFormatting>
  <conditionalFormatting sqref="L249:R249">
    <cfRule type="expression" dxfId="938" priority="115">
      <formula>$L$11=""</formula>
    </cfRule>
    <cfRule type="expression" dxfId="937" priority="116">
      <formula>$L$11=0</formula>
    </cfRule>
  </conditionalFormatting>
  <conditionalFormatting sqref="D270:J270">
    <cfRule type="expression" dxfId="936" priority="113">
      <formula>$D$11=""</formula>
    </cfRule>
    <cfRule type="expression" dxfId="935" priority="114">
      <formula>$D$11=0</formula>
    </cfRule>
  </conditionalFormatting>
  <conditionalFormatting sqref="L270:R270">
    <cfRule type="expression" dxfId="934" priority="112">
      <formula>$L$11=0</formula>
    </cfRule>
  </conditionalFormatting>
  <conditionalFormatting sqref="T270:AA270">
    <cfRule type="expression" dxfId="933" priority="109">
      <formula>$T$11=""</formula>
    </cfRule>
    <cfRule type="expression" dxfId="932" priority="110">
      <formula>$T$11=0</formula>
    </cfRule>
  </conditionalFormatting>
  <conditionalFormatting sqref="L270:R270">
    <cfRule type="expression" dxfId="931" priority="111">
      <formula>$L$11=""</formula>
    </cfRule>
  </conditionalFormatting>
  <conditionalFormatting sqref="L270:R270">
    <cfRule type="expression" dxfId="930" priority="107">
      <formula>$L$11=""</formula>
    </cfRule>
    <cfRule type="expression" dxfId="929" priority="108">
      <formula>$L$11=0</formula>
    </cfRule>
  </conditionalFormatting>
  <conditionalFormatting sqref="D280:J280">
    <cfRule type="expression" dxfId="928" priority="105">
      <formula>$D$11=""</formula>
    </cfRule>
    <cfRule type="expression" dxfId="927" priority="106">
      <formula>$D$11=0</formula>
    </cfRule>
  </conditionalFormatting>
  <conditionalFormatting sqref="L280:R280">
    <cfRule type="expression" dxfId="926" priority="104">
      <formula>$L$11=0</formula>
    </cfRule>
  </conditionalFormatting>
  <conditionalFormatting sqref="T280:AA280">
    <cfRule type="expression" dxfId="925" priority="101">
      <formula>$T$11=""</formula>
    </cfRule>
    <cfRule type="expression" dxfId="924" priority="102">
      <formula>$T$11=0</formula>
    </cfRule>
  </conditionalFormatting>
  <conditionalFormatting sqref="L280:R280">
    <cfRule type="expression" dxfId="923" priority="103">
      <formula>$L$11=""</formula>
    </cfRule>
  </conditionalFormatting>
  <conditionalFormatting sqref="L280:R280">
    <cfRule type="expression" dxfId="922" priority="99">
      <formula>$L$11=""</formula>
    </cfRule>
    <cfRule type="expression" dxfId="921" priority="100">
      <formula>$L$11=0</formula>
    </cfRule>
  </conditionalFormatting>
  <conditionalFormatting sqref="D292:J292">
    <cfRule type="expression" dxfId="920" priority="97">
      <formula>$D$11=""</formula>
    </cfRule>
    <cfRule type="expression" dxfId="919" priority="98">
      <formula>$D$11=0</formula>
    </cfRule>
  </conditionalFormatting>
  <conditionalFormatting sqref="L292:R292">
    <cfRule type="expression" dxfId="918" priority="96">
      <formula>$L$11=0</formula>
    </cfRule>
  </conditionalFormatting>
  <conditionalFormatting sqref="T292:AA292">
    <cfRule type="expression" dxfId="917" priority="93">
      <formula>$T$11=""</formula>
    </cfRule>
    <cfRule type="expression" dxfId="916" priority="94">
      <formula>$T$11=0</formula>
    </cfRule>
  </conditionalFormatting>
  <conditionalFormatting sqref="L292:R292">
    <cfRule type="expression" dxfId="915" priority="95">
      <formula>$L$11=""</formula>
    </cfRule>
  </conditionalFormatting>
  <conditionalFormatting sqref="L292:R292">
    <cfRule type="expression" dxfId="914" priority="91">
      <formula>$L$11=""</formula>
    </cfRule>
    <cfRule type="expression" dxfId="913" priority="92">
      <formula>$L$11=0</formula>
    </cfRule>
  </conditionalFormatting>
  <conditionalFormatting sqref="D303:J303">
    <cfRule type="expression" dxfId="912" priority="89">
      <formula>$D$11=""</formula>
    </cfRule>
    <cfRule type="expression" dxfId="911" priority="90">
      <formula>$D$11=0</formula>
    </cfRule>
  </conditionalFormatting>
  <conditionalFormatting sqref="L303:R303">
    <cfRule type="expression" dxfId="910" priority="88">
      <formula>$L$11=0</formula>
    </cfRule>
  </conditionalFormatting>
  <conditionalFormatting sqref="T303:AA303">
    <cfRule type="expression" dxfId="909" priority="85">
      <formula>$T$11=""</formula>
    </cfRule>
    <cfRule type="expression" dxfId="908" priority="86">
      <formula>$T$11=0</formula>
    </cfRule>
  </conditionalFormatting>
  <conditionalFormatting sqref="L303:R303">
    <cfRule type="expression" dxfId="907" priority="87">
      <formula>$L$11=""</formula>
    </cfRule>
  </conditionalFormatting>
  <conditionalFormatting sqref="L303:R303">
    <cfRule type="expression" dxfId="906" priority="83">
      <formula>$L$11=""</formula>
    </cfRule>
    <cfRule type="expression" dxfId="905" priority="84">
      <formula>$L$11=0</formula>
    </cfRule>
  </conditionalFormatting>
  <conditionalFormatting sqref="D313:J313">
    <cfRule type="expression" dxfId="904" priority="81">
      <formula>$D$11=""</formula>
    </cfRule>
    <cfRule type="expression" dxfId="903" priority="82">
      <formula>$D$11=0</formula>
    </cfRule>
  </conditionalFormatting>
  <conditionalFormatting sqref="L313:R313">
    <cfRule type="expression" dxfId="902" priority="80">
      <formula>$L$11=0</formula>
    </cfRule>
  </conditionalFormatting>
  <conditionalFormatting sqref="T313:AA313">
    <cfRule type="expression" dxfId="901" priority="77">
      <formula>$T$11=""</formula>
    </cfRule>
    <cfRule type="expression" dxfId="900" priority="78">
      <formula>$T$11=0</formula>
    </cfRule>
  </conditionalFormatting>
  <conditionalFormatting sqref="L313:R313">
    <cfRule type="expression" dxfId="899" priority="79">
      <formula>$L$11=""</formula>
    </cfRule>
  </conditionalFormatting>
  <conditionalFormatting sqref="L313:R313">
    <cfRule type="expression" dxfId="898" priority="75">
      <formula>$L$11=""</formula>
    </cfRule>
    <cfRule type="expression" dxfId="897" priority="76">
      <formula>$L$11=0</formula>
    </cfRule>
  </conditionalFormatting>
  <conditionalFormatting sqref="D318:J318">
    <cfRule type="expression" dxfId="896" priority="73">
      <formula>$D$11=""</formula>
    </cfRule>
    <cfRule type="expression" dxfId="895" priority="74">
      <formula>$D$11=0</formula>
    </cfRule>
  </conditionalFormatting>
  <conditionalFormatting sqref="L318:R318">
    <cfRule type="expression" dxfId="894" priority="72">
      <formula>$L$11=0</formula>
    </cfRule>
  </conditionalFormatting>
  <conditionalFormatting sqref="T318:AA318">
    <cfRule type="expression" dxfId="893" priority="69">
      <formula>$T$11=""</formula>
    </cfRule>
    <cfRule type="expression" dxfId="892" priority="70">
      <formula>$T$11=0</formula>
    </cfRule>
  </conditionalFormatting>
  <conditionalFormatting sqref="L318:R318">
    <cfRule type="expression" dxfId="891" priority="71">
      <formula>$L$11=""</formula>
    </cfRule>
  </conditionalFormatting>
  <conditionalFormatting sqref="L318:R318">
    <cfRule type="expression" dxfId="890" priority="67">
      <formula>$L$11=""</formula>
    </cfRule>
    <cfRule type="expression" dxfId="889" priority="68">
      <formula>$L$11=0</formula>
    </cfRule>
  </conditionalFormatting>
  <conditionalFormatting sqref="D325:J325">
    <cfRule type="expression" dxfId="888" priority="65">
      <formula>$D$11=""</formula>
    </cfRule>
    <cfRule type="expression" dxfId="887" priority="66">
      <formula>$D$11=0</formula>
    </cfRule>
  </conditionalFormatting>
  <conditionalFormatting sqref="L325:R325">
    <cfRule type="expression" dxfId="886" priority="64">
      <formula>$L$11=0</formula>
    </cfRule>
  </conditionalFormatting>
  <conditionalFormatting sqref="T325:AA325">
    <cfRule type="expression" dxfId="885" priority="61">
      <formula>$T$11=""</formula>
    </cfRule>
    <cfRule type="expression" dxfId="884" priority="62">
      <formula>$T$11=0</formula>
    </cfRule>
  </conditionalFormatting>
  <conditionalFormatting sqref="L325:R325">
    <cfRule type="expression" dxfId="883" priority="63">
      <formula>$L$11=""</formula>
    </cfRule>
  </conditionalFormatting>
  <conditionalFormatting sqref="L325:R325">
    <cfRule type="expression" dxfId="882" priority="59">
      <formula>$L$11=""</formula>
    </cfRule>
    <cfRule type="expression" dxfId="881" priority="60">
      <formula>$L$11=0</formula>
    </cfRule>
  </conditionalFormatting>
  <conditionalFormatting sqref="D329:J329">
    <cfRule type="expression" dxfId="880" priority="57">
      <formula>$D$11=""</formula>
    </cfRule>
    <cfRule type="expression" dxfId="879" priority="58">
      <formula>$D$11=0</formula>
    </cfRule>
  </conditionalFormatting>
  <conditionalFormatting sqref="L329:R329">
    <cfRule type="expression" dxfId="878" priority="56">
      <formula>$L$11=0</formula>
    </cfRule>
  </conditionalFormatting>
  <conditionalFormatting sqref="T329:AA329">
    <cfRule type="expression" dxfId="877" priority="53">
      <formula>$T$11=""</formula>
    </cfRule>
    <cfRule type="expression" dxfId="876" priority="54">
      <formula>$T$11=0</formula>
    </cfRule>
  </conditionalFormatting>
  <conditionalFormatting sqref="L329:R329">
    <cfRule type="expression" dxfId="875" priority="55">
      <formula>$L$11=""</formula>
    </cfRule>
  </conditionalFormatting>
  <conditionalFormatting sqref="L329:R329">
    <cfRule type="expression" dxfId="874" priority="51">
      <formula>$L$11=""</formula>
    </cfRule>
    <cfRule type="expression" dxfId="873" priority="52">
      <formula>$L$11=0</formula>
    </cfRule>
  </conditionalFormatting>
  <conditionalFormatting sqref="D361:J361">
    <cfRule type="expression" dxfId="872" priority="49">
      <formula>$D$11=""</formula>
    </cfRule>
    <cfRule type="expression" dxfId="871" priority="50">
      <formula>$D$11=0</formula>
    </cfRule>
  </conditionalFormatting>
  <conditionalFormatting sqref="L361:R361">
    <cfRule type="expression" dxfId="870" priority="48">
      <formula>$L$11=0</formula>
    </cfRule>
  </conditionalFormatting>
  <conditionalFormatting sqref="T361:AA361">
    <cfRule type="expression" dxfId="869" priority="45">
      <formula>$T$11=""</formula>
    </cfRule>
    <cfRule type="expression" dxfId="868" priority="46">
      <formula>$T$11=0</formula>
    </cfRule>
  </conditionalFormatting>
  <conditionalFormatting sqref="L361:R361">
    <cfRule type="expression" dxfId="867" priority="47">
      <formula>$L$11=""</formula>
    </cfRule>
  </conditionalFormatting>
  <conditionalFormatting sqref="L361:R361">
    <cfRule type="expression" dxfId="866" priority="43">
      <formula>$L$11=""</formula>
    </cfRule>
    <cfRule type="expression" dxfId="865" priority="44">
      <formula>$L$11=0</formula>
    </cfRule>
  </conditionalFormatting>
  <conditionalFormatting sqref="D368:J368">
    <cfRule type="expression" dxfId="864" priority="41">
      <formula>$D$11=""</formula>
    </cfRule>
    <cfRule type="expression" dxfId="863" priority="42">
      <formula>$D$11=0</formula>
    </cfRule>
  </conditionalFormatting>
  <conditionalFormatting sqref="L368:R368">
    <cfRule type="expression" dxfId="862" priority="40">
      <formula>$L$11=0</formula>
    </cfRule>
  </conditionalFormatting>
  <conditionalFormatting sqref="T368:AA368">
    <cfRule type="expression" dxfId="861" priority="37">
      <formula>$T$11=""</formula>
    </cfRule>
    <cfRule type="expression" dxfId="860" priority="38">
      <formula>$T$11=0</formula>
    </cfRule>
  </conditionalFormatting>
  <conditionalFormatting sqref="L368:R368">
    <cfRule type="expression" dxfId="859" priority="39">
      <formula>$L$11=""</formula>
    </cfRule>
  </conditionalFormatting>
  <conditionalFormatting sqref="L368:R368">
    <cfRule type="expression" dxfId="858" priority="35">
      <formula>$L$11=""</formula>
    </cfRule>
    <cfRule type="expression" dxfId="857" priority="36">
      <formula>$L$11=0</formula>
    </cfRule>
  </conditionalFormatting>
  <conditionalFormatting sqref="D377:J377">
    <cfRule type="expression" dxfId="856" priority="33">
      <formula>$D$11=""</formula>
    </cfRule>
    <cfRule type="expression" dxfId="855" priority="34">
      <formula>$D$11=0</formula>
    </cfRule>
  </conditionalFormatting>
  <conditionalFormatting sqref="L377:R377">
    <cfRule type="expression" dxfId="854" priority="32">
      <formula>$L$11=0</formula>
    </cfRule>
  </conditionalFormatting>
  <conditionalFormatting sqref="T377:AA377">
    <cfRule type="expression" dxfId="853" priority="29">
      <formula>$T$11=""</formula>
    </cfRule>
    <cfRule type="expression" dxfId="852" priority="30">
      <formula>$T$11=0</formula>
    </cfRule>
  </conditionalFormatting>
  <conditionalFormatting sqref="L377:R377">
    <cfRule type="expression" dxfId="851" priority="31">
      <formula>$L$11=""</formula>
    </cfRule>
  </conditionalFormatting>
  <conditionalFormatting sqref="L377:R377">
    <cfRule type="expression" dxfId="850" priority="27">
      <formula>$L$11=""</formula>
    </cfRule>
    <cfRule type="expression" dxfId="849" priority="28">
      <formula>$L$11=0</formula>
    </cfRule>
  </conditionalFormatting>
  <conditionalFormatting sqref="D382:J382">
    <cfRule type="expression" dxfId="848" priority="25">
      <formula>$D$11=""</formula>
    </cfRule>
    <cfRule type="expression" dxfId="847" priority="26">
      <formula>$D$11=0</formula>
    </cfRule>
  </conditionalFormatting>
  <conditionalFormatting sqref="L382:R382">
    <cfRule type="expression" dxfId="846" priority="24">
      <formula>$L$11=0</formula>
    </cfRule>
  </conditionalFormatting>
  <conditionalFormatting sqref="T382:AA382">
    <cfRule type="expression" dxfId="845" priority="21">
      <formula>$T$11=""</formula>
    </cfRule>
    <cfRule type="expression" dxfId="844" priority="22">
      <formula>$T$11=0</formula>
    </cfRule>
  </conditionalFormatting>
  <conditionalFormatting sqref="L382:R382">
    <cfRule type="expression" dxfId="843" priority="23">
      <formula>$L$11=""</formula>
    </cfRule>
  </conditionalFormatting>
  <conditionalFormatting sqref="L382:R382">
    <cfRule type="expression" dxfId="842" priority="19">
      <formula>$L$11=""</formula>
    </cfRule>
    <cfRule type="expression" dxfId="841" priority="20">
      <formula>$L$11=0</formula>
    </cfRule>
  </conditionalFormatting>
  <conditionalFormatting sqref="D389:J389">
    <cfRule type="expression" dxfId="840" priority="17">
      <formula>$D$11=""</formula>
    </cfRule>
    <cfRule type="expression" dxfId="839" priority="18">
      <formula>$D$11=0</formula>
    </cfRule>
  </conditionalFormatting>
  <conditionalFormatting sqref="L389:R389">
    <cfRule type="expression" dxfId="838" priority="16">
      <formula>$L$11=0</formula>
    </cfRule>
  </conditionalFormatting>
  <conditionalFormatting sqref="T389:AA389">
    <cfRule type="expression" dxfId="837" priority="13">
      <formula>$T$11=""</formula>
    </cfRule>
    <cfRule type="expression" dxfId="836" priority="14">
      <formula>$T$11=0</formula>
    </cfRule>
  </conditionalFormatting>
  <conditionalFormatting sqref="L389:R389">
    <cfRule type="expression" dxfId="835" priority="15">
      <formula>$L$11=""</formula>
    </cfRule>
  </conditionalFormatting>
  <conditionalFormatting sqref="L389:R389">
    <cfRule type="expression" dxfId="834" priority="11">
      <formula>$L$11=""</formula>
    </cfRule>
    <cfRule type="expression" dxfId="833" priority="12">
      <formula>$L$11=0</formula>
    </cfRule>
  </conditionalFormatting>
  <conditionalFormatting sqref="D426:J426">
    <cfRule type="expression" dxfId="832" priority="9">
      <formula>$D$11=""</formula>
    </cfRule>
    <cfRule type="expression" dxfId="831" priority="10">
      <formula>$D$11=0</formula>
    </cfRule>
  </conditionalFormatting>
  <conditionalFormatting sqref="L426:R426">
    <cfRule type="expression" dxfId="830" priority="8">
      <formula>$L$11=0</formula>
    </cfRule>
  </conditionalFormatting>
  <conditionalFormatting sqref="T426:AA426">
    <cfRule type="expression" dxfId="829" priority="5">
      <formula>$T$11=""</formula>
    </cfRule>
    <cfRule type="expression" dxfId="828" priority="6">
      <formula>$T$11=0</formula>
    </cfRule>
  </conditionalFormatting>
  <conditionalFormatting sqref="L426:R426">
    <cfRule type="expression" dxfId="827" priority="7">
      <formula>$L$11=""</formula>
    </cfRule>
  </conditionalFormatting>
  <conditionalFormatting sqref="L426:R426">
    <cfRule type="expression" dxfId="826" priority="3">
      <formula>$L$11=""</formula>
    </cfRule>
    <cfRule type="expression" dxfId="825" priority="4">
      <formula>$L$11=0</formula>
    </cfRule>
  </conditionalFormatting>
  <conditionalFormatting sqref="L438:R438">
    <cfRule type="expression" dxfId="824" priority="2">
      <formula>$L$11=""</formula>
    </cfRule>
  </conditionalFormatting>
  <conditionalFormatting sqref="L442:R442">
    <cfRule type="expression" dxfId="823" priority="1">
      <formula>$L$11=""</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R84 21-05-2025</oddFooter>
  </headerFooter>
  <rowBreaks count="1" manualBreakCount="1">
    <brk id="413" max="16383" man="1"/>
  </rowBreaks>
  <cellWatches>
    <cellWatch r="F165"/>
  </cellWatches>
  <drawing r:id="rId2"/>
  <legacyDrawing r:id="rId3"/>
  <oleObjects>
    <mc:AlternateContent xmlns:mc="http://schemas.openxmlformats.org/markup-compatibility/2006">
      <mc:Choice Requires="x14">
        <oleObject progId="Visio.Drawing.11" shapeId="1039"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9"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12</xdr:row>
                    <xdr:rowOff>57150</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14</xdr:row>
                    <xdr:rowOff>19050</xdr:rowOff>
                  </from>
                  <to>
                    <xdr:col>29</xdr:col>
                    <xdr:colOff>276225</xdr:colOff>
                    <xdr:row>17</xdr:row>
                    <xdr:rowOff>28575</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19</xdr:row>
                    <xdr:rowOff>28575</xdr:rowOff>
                  </from>
                  <to>
                    <xdr:col>29</xdr:col>
                    <xdr:colOff>276225</xdr:colOff>
                    <xdr:row>24</xdr:row>
                    <xdr:rowOff>9525</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25</xdr:row>
                    <xdr:rowOff>19050</xdr:rowOff>
                  </from>
                  <to>
                    <xdr:col>29</xdr:col>
                    <xdr:colOff>276225</xdr:colOff>
                    <xdr:row>33</xdr:row>
                    <xdr:rowOff>57150</xdr:rowOff>
                  </to>
                </anchor>
              </controlPr>
            </control>
          </mc:Choice>
        </mc:AlternateContent>
        <mc:AlternateContent xmlns:mc="http://schemas.openxmlformats.org/markup-compatibility/2006">
          <mc:Choice Requires="x14">
            <control shapeId="1038" r:id="rId11" name="Button 14">
              <controlPr defaultSize="0" print="0" autoFill="0" autoPict="0" macro="[0]!Export_toetsing_QGIS">
                <anchor>
                  <from>
                    <xdr:col>27</xdr:col>
                    <xdr:colOff>314325</xdr:colOff>
                    <xdr:row>35</xdr:row>
                    <xdr:rowOff>76200</xdr:rowOff>
                  </from>
                  <to>
                    <xdr:col>29</xdr:col>
                    <xdr:colOff>276225</xdr:colOff>
                    <xdr:row>46</xdr:row>
                    <xdr:rowOff>47625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34" customWidth="1"/>
    <col min="2" max="2" width="1.42578125" style="34" customWidth="1"/>
    <col min="3" max="3" width="11.85546875" style="34" customWidth="1"/>
    <col min="4" max="4" width="1.140625" style="34" customWidth="1"/>
    <col min="5" max="5" width="4.140625" style="34" customWidth="1"/>
    <col min="6" max="6" width="3" style="35" customWidth="1"/>
    <col min="7" max="7" width="1.140625" style="35" customWidth="1"/>
    <col min="8" max="8" width="4.140625" style="35" customWidth="1"/>
    <col min="9" max="9" width="3.5703125" style="35" customWidth="1"/>
    <col min="10" max="10" width="2.42578125" style="35" customWidth="1"/>
    <col min="11" max="12" width="4.7109375" style="61" customWidth="1"/>
    <col min="13" max="13" width="1.140625" style="34" customWidth="1"/>
    <col min="14" max="14" width="4.140625" style="34" customWidth="1"/>
    <col min="15" max="15" width="3" style="35" customWidth="1"/>
    <col min="16" max="16" width="1.140625" style="35" customWidth="1"/>
    <col min="17" max="17" width="4.140625" style="35" customWidth="1"/>
    <col min="18" max="18" width="3.5703125" style="35" customWidth="1"/>
    <col min="19" max="19" width="2.42578125" style="35" customWidth="1"/>
    <col min="20" max="21" width="4.7109375" style="61" customWidth="1"/>
    <col min="22" max="22" width="1.140625" style="34" customWidth="1"/>
    <col min="23" max="23" width="4.140625" style="34" customWidth="1"/>
    <col min="24" max="24" width="3" style="34" customWidth="1"/>
    <col min="25" max="25" width="1.140625" style="35" customWidth="1"/>
    <col min="26" max="26" width="4.140625" style="35" customWidth="1"/>
    <col min="27" max="27" width="3.5703125" style="35" customWidth="1"/>
    <col min="28" max="28" width="2.42578125" style="34" customWidth="1"/>
    <col min="29" max="30" width="4.7109375" style="61" customWidth="1"/>
    <col min="31" max="32" width="10.7109375" style="34"/>
    <col min="33" max="33" width="10.7109375" style="72"/>
    <col min="34" max="34" width="8.85546875" style="72" hidden="1" customWidth="1"/>
    <col min="35" max="35" width="10.7109375" style="72"/>
    <col min="36" max="16384" width="10.7109375" style="34"/>
  </cols>
  <sheetData>
    <row r="1" spans="1:37" ht="12" customHeight="1" x14ac:dyDescent="0.2">
      <c r="A1" s="204" t="s">
        <v>2390</v>
      </c>
      <c r="B1" s="204"/>
      <c r="C1" s="204"/>
      <c r="D1" s="204"/>
      <c r="E1" s="204"/>
      <c r="F1" s="204"/>
      <c r="G1" s="204"/>
      <c r="H1" s="204"/>
      <c r="I1" s="204"/>
      <c r="J1" s="204"/>
      <c r="K1" s="204"/>
      <c r="L1" s="204"/>
      <c r="M1" s="204"/>
      <c r="N1" s="204"/>
      <c r="O1" s="204"/>
      <c r="P1" s="204"/>
      <c r="Q1" s="204"/>
      <c r="R1" s="204"/>
      <c r="S1" s="204"/>
      <c r="T1" s="204"/>
      <c r="U1" s="204"/>
      <c r="V1" s="204"/>
      <c r="W1" s="204"/>
      <c r="X1" s="204"/>
      <c r="Y1" s="204"/>
      <c r="Z1" s="204"/>
      <c r="AA1" s="204"/>
      <c r="AB1" s="204"/>
      <c r="AC1" s="204"/>
      <c r="AD1" s="160"/>
    </row>
    <row r="2" spans="1:37" ht="5.0999999999999996" customHeight="1" x14ac:dyDescent="0.15">
      <c r="A2" s="195"/>
      <c r="B2" s="195"/>
      <c r="C2" s="195"/>
      <c r="D2" s="36"/>
      <c r="E2" s="36"/>
      <c r="F2" s="37"/>
      <c r="G2" s="36"/>
      <c r="H2" s="36"/>
      <c r="I2" s="36"/>
      <c r="J2" s="37"/>
      <c r="M2" s="36"/>
      <c r="N2" s="36"/>
      <c r="O2" s="37"/>
      <c r="P2" s="36"/>
      <c r="Q2" s="36"/>
      <c r="R2" s="36"/>
      <c r="S2" s="37"/>
      <c r="V2" s="36"/>
      <c r="W2" s="36"/>
      <c r="X2" s="37"/>
      <c r="Y2" s="36"/>
      <c r="Z2" s="36"/>
      <c r="AA2" s="36"/>
      <c r="AB2" s="37"/>
    </row>
    <row r="3" spans="1:37" ht="12" customHeight="1" x14ac:dyDescent="0.2">
      <c r="A3" s="196" t="str">
        <f ca="1">Invoer!A14</f>
        <v>T.25.13603 GOH 09-27, HWA onder baan</v>
      </c>
      <c r="B3" s="196"/>
      <c r="C3" s="196"/>
      <c r="D3" s="196"/>
      <c r="E3" s="196"/>
      <c r="F3" s="196"/>
      <c r="G3" s="196"/>
      <c r="H3" s="196"/>
      <c r="I3" s="196"/>
      <c r="J3" s="196"/>
      <c r="K3" s="196"/>
      <c r="L3" s="196"/>
      <c r="M3" s="196"/>
      <c r="N3" s="196"/>
      <c r="O3" s="196"/>
      <c r="P3" s="97"/>
      <c r="Q3" s="197" t="str">
        <f>H!B3</f>
        <v>Toetsing: gemeente Haarlemmermeer</v>
      </c>
      <c r="R3" s="197"/>
      <c r="S3" s="197"/>
      <c r="T3" s="197"/>
      <c r="U3" s="197"/>
      <c r="V3" s="197"/>
      <c r="W3" s="197"/>
      <c r="X3" s="197"/>
      <c r="Y3" s="197"/>
      <c r="Z3" s="197"/>
      <c r="AA3" s="197"/>
      <c r="AB3" s="197"/>
      <c r="AC3" s="197"/>
      <c r="AD3" s="197"/>
    </row>
    <row r="4" spans="1:37" ht="4.5" customHeight="1" x14ac:dyDescent="0.15">
      <c r="A4" s="205"/>
      <c r="B4" s="205"/>
      <c r="C4" s="205"/>
      <c r="D4" s="38"/>
      <c r="E4" s="38"/>
      <c r="F4" s="39"/>
      <c r="G4" s="39"/>
      <c r="H4" s="39"/>
      <c r="I4" s="39"/>
      <c r="J4" s="39"/>
      <c r="K4" s="158"/>
      <c r="L4" s="158"/>
      <c r="M4" s="38"/>
      <c r="N4" s="38"/>
      <c r="O4" s="39"/>
      <c r="P4" s="39"/>
      <c r="Q4" s="39"/>
      <c r="R4" s="39"/>
      <c r="S4" s="39"/>
      <c r="T4" s="158"/>
      <c r="U4" s="158"/>
      <c r="V4" s="38"/>
      <c r="W4" s="38"/>
      <c r="X4" s="38"/>
      <c r="Y4" s="39"/>
      <c r="Z4" s="39"/>
      <c r="AA4" s="39"/>
      <c r="AB4" s="38"/>
      <c r="AC4" s="158"/>
      <c r="AD4" s="158"/>
    </row>
    <row r="5" spans="1:37" ht="5.0999999999999996" customHeight="1" x14ac:dyDescent="0.15">
      <c r="A5" s="195"/>
      <c r="B5" s="195"/>
      <c r="C5" s="195"/>
    </row>
    <row r="6" spans="1:37" ht="9" hidden="1" customHeight="1" x14ac:dyDescent="0.15">
      <c r="A6" s="200" t="s">
        <v>33</v>
      </c>
      <c r="B6" s="200"/>
      <c r="C6" s="200"/>
      <c r="D6" s="200">
        <f>HLOOKUP(SMALL(Invoer!$C$17:$G$17,1),Invoer!$C$17:$G$28,4,FALSE)</f>
        <v>0</v>
      </c>
      <c r="E6" s="200"/>
      <c r="F6" s="200"/>
      <c r="G6" s="200"/>
      <c r="H6" s="200"/>
      <c r="I6" s="200"/>
      <c r="J6" s="200"/>
      <c r="K6" s="43"/>
      <c r="L6" s="43"/>
      <c r="M6" s="200">
        <f>HLOOKUP(SMALL(Invoer!$C$17:$G$17,2),Invoer!$C$17:$G$28,4,FALSE)</f>
        <v>0</v>
      </c>
      <c r="N6" s="200"/>
      <c r="O6" s="200"/>
      <c r="P6" s="200"/>
      <c r="Q6" s="200"/>
      <c r="R6" s="200"/>
      <c r="S6" s="200"/>
      <c r="T6" s="43"/>
      <c r="U6" s="43"/>
      <c r="V6" s="200">
        <f>HLOOKUP(SMALL(Invoer!$C$17:$G$17,3),Invoer!$C$17:$G$28,4,FALSE)</f>
        <v>0</v>
      </c>
      <c r="W6" s="200"/>
      <c r="X6" s="200"/>
      <c r="Y6" s="200"/>
      <c r="Z6" s="200"/>
      <c r="AA6" s="200"/>
      <c r="AB6" s="200"/>
      <c r="AC6" s="43"/>
      <c r="AD6" s="43"/>
      <c r="AH6" s="72">
        <f>IF(AND(OR(D6="",D6=0),OR(M6="",M6=0),OR(V6="",V6=0)),1,0)</f>
        <v>1</v>
      </c>
    </row>
    <row r="7" spans="1:37" ht="9" hidden="1" customHeight="1" x14ac:dyDescent="0.15">
      <c r="A7" s="200"/>
      <c r="B7" s="200"/>
      <c r="C7" s="200"/>
      <c r="D7" s="200">
        <f>HLOOKUP(SMALL(Invoer!$C$17:$G$17,1),Invoer!$C$17:$G$28,5,FALSE)</f>
        <v>0</v>
      </c>
      <c r="E7" s="200"/>
      <c r="F7" s="200"/>
      <c r="G7" s="200"/>
      <c r="H7" s="200"/>
      <c r="I7" s="200"/>
      <c r="J7" s="200"/>
      <c r="K7" s="43"/>
      <c r="L7" s="43"/>
      <c r="M7" s="200">
        <f>HLOOKUP(SMALL(Invoer!$C$17:$G$17,2),Invoer!$C$17:$G$28,5,FALSE)</f>
        <v>0</v>
      </c>
      <c r="N7" s="200"/>
      <c r="O7" s="200"/>
      <c r="P7" s="200"/>
      <c r="Q7" s="200"/>
      <c r="R7" s="200"/>
      <c r="S7" s="200"/>
      <c r="T7" s="43"/>
      <c r="U7" s="43"/>
      <c r="V7" s="200">
        <f>HLOOKUP(SMALL(Invoer!$C$17:$G$17,3),Invoer!$C$17:$G$28,5,FALSE)</f>
        <v>0</v>
      </c>
      <c r="W7" s="200"/>
      <c r="X7" s="200"/>
      <c r="Y7" s="200"/>
      <c r="Z7" s="200"/>
      <c r="AA7" s="200"/>
      <c r="AB7" s="200"/>
      <c r="AC7" s="43"/>
      <c r="AD7" s="43"/>
      <c r="AH7" s="72">
        <f>IF(AND(OR(D7="",D7=0),OR(M7="",M7=0),OR(V7="",V7=0)),1,0)</f>
        <v>1</v>
      </c>
    </row>
    <row r="8" spans="1:37" ht="3.95" hidden="1" customHeight="1" x14ac:dyDescent="0.15">
      <c r="A8" s="200"/>
      <c r="B8" s="200"/>
      <c r="C8" s="200"/>
      <c r="E8" s="36"/>
      <c r="F8" s="37"/>
      <c r="G8" s="37"/>
      <c r="H8" s="37"/>
      <c r="I8" s="37"/>
      <c r="J8" s="37"/>
      <c r="K8" s="43"/>
      <c r="L8" s="43"/>
      <c r="M8" s="36"/>
      <c r="N8" s="36"/>
      <c r="O8" s="37"/>
      <c r="P8" s="37"/>
      <c r="Q8" s="37"/>
      <c r="R8" s="37"/>
      <c r="S8" s="37"/>
      <c r="T8" s="43"/>
      <c r="U8" s="43"/>
      <c r="V8" s="36"/>
      <c r="W8" s="36"/>
      <c r="X8" s="36"/>
      <c r="Y8" s="37"/>
      <c r="Z8" s="37"/>
      <c r="AA8" s="37"/>
      <c r="AB8" s="36"/>
      <c r="AC8" s="43"/>
      <c r="AD8" s="43"/>
      <c r="AH8" s="72">
        <f>IF(COUNTIF(AH6:AH7,1)=COUNT(AH6:AH7),1,0)</f>
        <v>1</v>
      </c>
    </row>
    <row r="9" spans="1:37" ht="9" customHeight="1" x14ac:dyDescent="0.15">
      <c r="A9" s="200" t="s">
        <v>34</v>
      </c>
      <c r="B9" s="200"/>
      <c r="C9" s="200"/>
      <c r="D9" s="203" t="str">
        <f>IFERROR(G!AP6,"")</f>
        <v>MM04</v>
      </c>
      <c r="E9" s="203"/>
      <c r="F9" s="203"/>
      <c r="G9" s="203"/>
      <c r="H9" s="203"/>
      <c r="I9" s="203"/>
      <c r="J9" s="203"/>
      <c r="K9" s="43"/>
      <c r="L9" s="43"/>
      <c r="M9" s="203" t="str">
        <f>IFERROR(G!AV6,"")</f>
        <v>MM05</v>
      </c>
      <c r="N9" s="203"/>
      <c r="O9" s="203"/>
      <c r="P9" s="203"/>
      <c r="Q9" s="203"/>
      <c r="R9" s="203"/>
      <c r="S9" s="203"/>
      <c r="T9" s="43"/>
      <c r="U9" s="43"/>
      <c r="V9" s="203" t="str">
        <f>IFERROR(G!BB6,"")</f>
        <v>MM06</v>
      </c>
      <c r="W9" s="203"/>
      <c r="X9" s="203"/>
      <c r="Y9" s="203"/>
      <c r="Z9" s="203"/>
      <c r="AA9" s="203"/>
      <c r="AB9" s="203"/>
      <c r="AC9" s="43"/>
      <c r="AD9" s="43"/>
    </row>
    <row r="10" spans="1:37" ht="9" customHeight="1" x14ac:dyDescent="0.15">
      <c r="A10" s="200" t="s">
        <v>35</v>
      </c>
      <c r="B10" s="200"/>
      <c r="C10" s="200"/>
      <c r="D10" s="200" t="str">
        <f>HLOOKUP(SMALL(Invoer!$C$17:$G$17,1),Invoer!$C$17:$G$28,7,FALSE)</f>
        <v>grond onder verharding,</v>
      </c>
      <c r="E10" s="200"/>
      <c r="F10" s="200"/>
      <c r="G10" s="200"/>
      <c r="H10" s="200"/>
      <c r="I10" s="200"/>
      <c r="J10" s="200"/>
      <c r="K10" s="43"/>
      <c r="L10" s="43"/>
      <c r="M10" s="200" t="str">
        <f>HLOOKUP(SMALL(Invoer!$C$17:$G$17,2),Invoer!$C$17:$G$28,7,FALSE)</f>
        <v>ondergrond, siltig zand</v>
      </c>
      <c r="N10" s="200"/>
      <c r="O10" s="200"/>
      <c r="P10" s="200"/>
      <c r="Q10" s="200"/>
      <c r="R10" s="200"/>
      <c r="S10" s="200"/>
      <c r="T10" s="43"/>
      <c r="U10" s="43"/>
      <c r="V10" s="200" t="str">
        <f>HLOOKUP(SMALL(Invoer!$C$17:$G$17,3),Invoer!$C$17:$G$28,7,FALSE)</f>
        <v>ondergrond, siltig zand</v>
      </c>
      <c r="W10" s="200"/>
      <c r="X10" s="200"/>
      <c r="Y10" s="200"/>
      <c r="Z10" s="200"/>
      <c r="AA10" s="200"/>
      <c r="AB10" s="200"/>
      <c r="AC10" s="43"/>
      <c r="AD10" s="43"/>
      <c r="AH10" s="72">
        <f>IF(AND(OR(D10="",D10=0),OR(M10="",M10=0),OR(V10="",V10=0)),1,0)</f>
        <v>0</v>
      </c>
    </row>
    <row r="11" spans="1:37" ht="9" customHeight="1" x14ac:dyDescent="0.15">
      <c r="A11" s="200"/>
      <c r="B11" s="200"/>
      <c r="C11" s="200"/>
      <c r="D11" s="200" t="str">
        <f>HLOOKUP(SMALL(Invoer!$C$17:$G$17,1),Invoer!$C$17:$G$28,8,FALSE)</f>
        <v>siltig zand</v>
      </c>
      <c r="E11" s="200"/>
      <c r="F11" s="200"/>
      <c r="G11" s="200"/>
      <c r="H11" s="200"/>
      <c r="I11" s="200"/>
      <c r="J11" s="200"/>
      <c r="K11" s="43"/>
      <c r="L11" s="43"/>
      <c r="M11" s="200">
        <f>HLOOKUP(SMALL(Invoer!$C$17:$G$17,2),Invoer!$C$17:$G$28,8,FALSE)</f>
        <v>0</v>
      </c>
      <c r="N11" s="200"/>
      <c r="O11" s="200"/>
      <c r="P11" s="200"/>
      <c r="Q11" s="200"/>
      <c r="R11" s="200"/>
      <c r="S11" s="200"/>
      <c r="T11" s="43"/>
      <c r="U11" s="43"/>
      <c r="V11" s="200">
        <f>HLOOKUP(SMALL(Invoer!$C$17:$G$17,3),Invoer!$C$17:$G$28,8,FALSE)</f>
        <v>0</v>
      </c>
      <c r="W11" s="200"/>
      <c r="X11" s="200"/>
      <c r="Y11" s="200"/>
      <c r="Z11" s="200"/>
      <c r="AA11" s="200"/>
      <c r="AB11" s="200"/>
      <c r="AC11" s="43"/>
      <c r="AD11" s="43"/>
      <c r="AH11" s="72">
        <f>IF(AND(OR(D11="",D11=0),OR(M11="",M11=0),OR(V11="",V11=0)),1,0)</f>
        <v>0</v>
      </c>
    </row>
    <row r="12" spans="1:37" ht="3.95" customHeight="1" x14ac:dyDescent="0.15">
      <c r="A12" s="200"/>
      <c r="B12" s="200"/>
      <c r="C12" s="200"/>
      <c r="E12" s="36"/>
      <c r="F12" s="37"/>
      <c r="G12" s="37"/>
      <c r="H12" s="37"/>
      <c r="I12" s="37"/>
      <c r="J12" s="37"/>
      <c r="K12" s="43"/>
      <c r="L12" s="43"/>
      <c r="M12" s="36"/>
      <c r="N12" s="36"/>
      <c r="O12" s="37"/>
      <c r="P12" s="37"/>
      <c r="Q12" s="37"/>
      <c r="R12" s="37"/>
      <c r="S12" s="37"/>
      <c r="T12" s="43"/>
      <c r="U12" s="43"/>
      <c r="V12" s="36"/>
      <c r="W12" s="36"/>
      <c r="X12" s="36"/>
      <c r="Y12" s="37"/>
      <c r="Z12" s="37"/>
      <c r="AA12" s="37"/>
      <c r="AB12" s="36"/>
      <c r="AC12" s="43"/>
      <c r="AD12" s="43"/>
      <c r="AH12" s="72">
        <f ca="1">IF(COUNTIF(AH13:AH17,1)=COUNT(AH13:AH17),1,0)</f>
        <v>0</v>
      </c>
    </row>
    <row r="13" spans="1:37" ht="9" customHeight="1" x14ac:dyDescent="0.15">
      <c r="A13" s="200" t="s">
        <v>37</v>
      </c>
      <c r="B13" s="200"/>
      <c r="C13" s="200"/>
      <c r="D13" s="201" t="str">
        <f ca="1">IFERROR(D!BC14,"")</f>
        <v>04 (1,00-1,50)</v>
      </c>
      <c r="E13" s="201"/>
      <c r="F13" s="201"/>
      <c r="G13" s="201"/>
      <c r="H13" s="201" t="str">
        <f ca="1">IFERROR(D!BC19,"")</f>
        <v>zz</v>
      </c>
      <c r="I13" s="201"/>
      <c r="J13" s="201"/>
      <c r="K13" s="43"/>
      <c r="L13" s="43"/>
      <c r="M13" s="201" t="str">
        <f ca="1">IFERROR(D!BF14,"")</f>
        <v>04 (1,50-2,00)</v>
      </c>
      <c r="N13" s="201"/>
      <c r="O13" s="201"/>
      <c r="P13" s="201"/>
      <c r="Q13" s="201" t="str">
        <f ca="1">IFERROR(D!BF19,"")</f>
        <v>zz</v>
      </c>
      <c r="R13" s="201"/>
      <c r="S13" s="201"/>
      <c r="T13" s="43"/>
      <c r="U13" s="43"/>
      <c r="V13" s="201" t="str">
        <f ca="1">IFERROR(D!BI14,"")</f>
        <v>04 (2,00-2,50)</v>
      </c>
      <c r="W13" s="201"/>
      <c r="X13" s="201"/>
      <c r="Y13" s="201"/>
      <c r="Z13" s="201" t="str">
        <f ca="1">IFERROR(D!BI19,"")</f>
        <v>zz</v>
      </c>
      <c r="AA13" s="201"/>
      <c r="AB13" s="201"/>
      <c r="AC13" s="43"/>
      <c r="AD13" s="43"/>
      <c r="AH13" s="72">
        <f ca="1">IF(AND(OR(D13="",D13="zz"),OR(H13="",H13="zz"),OR(M13="",M13="zz"),OR(Q13="",Q13="zz"),OR(V13="",V13="zz"),OR(Z13="",Z13="zz")),1,0)</f>
        <v>0</v>
      </c>
    </row>
    <row r="14" spans="1:37" ht="9" customHeight="1" x14ac:dyDescent="0.15">
      <c r="A14" s="200" t="s">
        <v>38</v>
      </c>
      <c r="B14" s="200"/>
      <c r="C14" s="200"/>
      <c r="D14" s="201" t="str">
        <f ca="1">IFERROR(D!BC15,"")</f>
        <v>05 (1,00-1,50)</v>
      </c>
      <c r="E14" s="201"/>
      <c r="F14" s="201"/>
      <c r="G14" s="201"/>
      <c r="H14" s="201" t="str">
        <f ca="1">IFERROR(D!BC20,"")</f>
        <v>zz</v>
      </c>
      <c r="I14" s="201"/>
      <c r="J14" s="201"/>
      <c r="K14" s="43"/>
      <c r="L14" s="43"/>
      <c r="M14" s="201" t="str">
        <f ca="1">IFERROR(D!BF15,"")</f>
        <v>05 (1,50-2,00)</v>
      </c>
      <c r="N14" s="201"/>
      <c r="O14" s="201"/>
      <c r="P14" s="201"/>
      <c r="Q14" s="201" t="str">
        <f ca="1">IFERROR(D!BF20,"")</f>
        <v>zz</v>
      </c>
      <c r="R14" s="201"/>
      <c r="S14" s="201"/>
      <c r="T14" s="43"/>
      <c r="U14" s="43"/>
      <c r="V14" s="201" t="str">
        <f ca="1">IFERROR(D!BI15,"")</f>
        <v>04 (2,50-3,00)</v>
      </c>
      <c r="W14" s="201"/>
      <c r="X14" s="201"/>
      <c r="Y14" s="201"/>
      <c r="Z14" s="201" t="str">
        <f ca="1">IFERROR(D!BI20,"")</f>
        <v>zz</v>
      </c>
      <c r="AA14" s="201"/>
      <c r="AB14" s="201"/>
      <c r="AC14" s="43"/>
      <c r="AD14" s="43"/>
      <c r="AH14" s="72">
        <f t="shared" ref="AH14:AH17" ca="1" si="0">IF(AND(OR(D14="",D14="zz"),OR(H14="",H14="zz"),OR(M14="",M14="zz"),OR(Q14="",Q14="zz"),OR(V14="",V14="zz"),OR(Z14="",Z14="zz")),1,0)</f>
        <v>0</v>
      </c>
    </row>
    <row r="15" spans="1:37" s="72" customFormat="1" ht="9" customHeight="1" x14ac:dyDescent="0.15">
      <c r="A15" s="200"/>
      <c r="B15" s="200"/>
      <c r="C15" s="200"/>
      <c r="D15" s="201" t="str">
        <f ca="1">IFERROR(D!BC16,"")</f>
        <v>zz</v>
      </c>
      <c r="E15" s="201"/>
      <c r="F15" s="201"/>
      <c r="G15" s="201"/>
      <c r="H15" s="201" t="str">
        <f ca="1">IFERROR(D!BC21,"")</f>
        <v>zz</v>
      </c>
      <c r="I15" s="201"/>
      <c r="J15" s="201"/>
      <c r="K15" s="43"/>
      <c r="L15" s="43"/>
      <c r="M15" s="201" t="str">
        <f ca="1">IFERROR(D!BF16,"")</f>
        <v>zz</v>
      </c>
      <c r="N15" s="201"/>
      <c r="O15" s="201"/>
      <c r="P15" s="201"/>
      <c r="Q15" s="201" t="str">
        <f ca="1">IFERROR(D!BF21,"")</f>
        <v>zz</v>
      </c>
      <c r="R15" s="201"/>
      <c r="S15" s="201"/>
      <c r="T15" s="43"/>
      <c r="U15" s="43"/>
      <c r="V15" s="201" t="str">
        <f ca="1">IFERROR(D!BI16,"")</f>
        <v>05 (2,00-2,50)</v>
      </c>
      <c r="W15" s="201"/>
      <c r="X15" s="201"/>
      <c r="Y15" s="201"/>
      <c r="Z15" s="201" t="str">
        <f ca="1">IFERROR(D!BI21,"")</f>
        <v>zz</v>
      </c>
      <c r="AA15" s="201"/>
      <c r="AB15" s="201"/>
      <c r="AC15" s="43"/>
      <c r="AD15" s="43"/>
      <c r="AE15" s="34"/>
      <c r="AF15" s="34"/>
      <c r="AH15" s="72">
        <f t="shared" ca="1" si="0"/>
        <v>0</v>
      </c>
      <c r="AJ15" s="34"/>
      <c r="AK15" s="34"/>
    </row>
    <row r="16" spans="1:37" s="72" customFormat="1" ht="9" customHeight="1" x14ac:dyDescent="0.15">
      <c r="A16" s="200"/>
      <c r="B16" s="200"/>
      <c r="C16" s="200"/>
      <c r="D16" s="201" t="str">
        <f ca="1">IFERROR(D!BC17,"")</f>
        <v>zz</v>
      </c>
      <c r="E16" s="201"/>
      <c r="F16" s="201"/>
      <c r="G16" s="201"/>
      <c r="H16" s="201" t="str">
        <f ca="1">IFERROR(D!BC22,"")</f>
        <v>zz</v>
      </c>
      <c r="I16" s="201"/>
      <c r="J16" s="201"/>
      <c r="K16" s="43"/>
      <c r="L16" s="43"/>
      <c r="M16" s="201" t="str">
        <f ca="1">IFERROR(D!BF17,"")</f>
        <v>zz</v>
      </c>
      <c r="N16" s="201"/>
      <c r="O16" s="201"/>
      <c r="P16" s="201"/>
      <c r="Q16" s="201" t="str">
        <f ca="1">IFERROR(D!BF22,"")</f>
        <v>zz</v>
      </c>
      <c r="R16" s="201"/>
      <c r="S16" s="201"/>
      <c r="T16" s="43"/>
      <c r="U16" s="43"/>
      <c r="V16" s="201" t="str">
        <f ca="1">IFERROR(D!BI17,"")</f>
        <v>05 (2,50-3,00)</v>
      </c>
      <c r="W16" s="201"/>
      <c r="X16" s="201"/>
      <c r="Y16" s="201"/>
      <c r="Z16" s="201" t="str">
        <f ca="1">IFERROR(D!BI22,"")</f>
        <v>zz</v>
      </c>
      <c r="AA16" s="201"/>
      <c r="AB16" s="201"/>
      <c r="AC16" s="43"/>
      <c r="AD16" s="43"/>
      <c r="AE16" s="34"/>
      <c r="AF16" s="34"/>
      <c r="AH16" s="72">
        <f t="shared" ca="1" si="0"/>
        <v>0</v>
      </c>
      <c r="AJ16" s="34"/>
      <c r="AK16" s="34"/>
    </row>
    <row r="17" spans="1:37" s="72" customFormat="1" ht="9" hidden="1" customHeight="1" x14ac:dyDescent="0.15">
      <c r="A17" s="200"/>
      <c r="B17" s="200"/>
      <c r="C17" s="200"/>
      <c r="D17" s="201" t="str">
        <f ca="1">IFERROR(D!BC18,"")</f>
        <v>zz</v>
      </c>
      <c r="E17" s="201"/>
      <c r="F17" s="201"/>
      <c r="G17" s="201"/>
      <c r="H17" s="201" t="str">
        <f ca="1">IFERROR(D!BC23,"")</f>
        <v>zz</v>
      </c>
      <c r="I17" s="201"/>
      <c r="J17" s="201"/>
      <c r="K17" s="43"/>
      <c r="L17" s="43"/>
      <c r="M17" s="201" t="str">
        <f ca="1">IFERROR(D!BF18,"")</f>
        <v>zz</v>
      </c>
      <c r="N17" s="201"/>
      <c r="O17" s="201"/>
      <c r="P17" s="201"/>
      <c r="Q17" s="201" t="str">
        <f ca="1">IFERROR(D!BF23,"")</f>
        <v>zz</v>
      </c>
      <c r="R17" s="201"/>
      <c r="S17" s="201"/>
      <c r="T17" s="43"/>
      <c r="U17" s="43"/>
      <c r="V17" s="201" t="str">
        <f ca="1">IFERROR(D!BI18,"")</f>
        <v>zz</v>
      </c>
      <c r="W17" s="201"/>
      <c r="X17" s="201"/>
      <c r="Y17" s="201"/>
      <c r="Z17" s="201" t="str">
        <f ca="1">IFERROR(D!BI23,"")</f>
        <v>zz</v>
      </c>
      <c r="AA17" s="201"/>
      <c r="AB17" s="201"/>
      <c r="AC17" s="43"/>
      <c r="AD17" s="43"/>
      <c r="AE17" s="34"/>
      <c r="AF17" s="34"/>
      <c r="AH17" s="72">
        <f t="shared" ca="1" si="0"/>
        <v>1</v>
      </c>
      <c r="AJ17" s="34"/>
      <c r="AK17" s="34"/>
    </row>
    <row r="18" spans="1:37" s="72" customFormat="1" ht="3.95" customHeight="1" x14ac:dyDescent="0.15">
      <c r="A18" s="205"/>
      <c r="B18" s="205"/>
      <c r="C18" s="205"/>
      <c r="D18" s="38"/>
      <c r="E18" s="38"/>
      <c r="F18" s="39"/>
      <c r="G18" s="39"/>
      <c r="H18" s="39"/>
      <c r="I18" s="39"/>
      <c r="J18" s="39"/>
      <c r="K18" s="165"/>
      <c r="L18" s="165"/>
      <c r="M18" s="38"/>
      <c r="N18" s="38"/>
      <c r="O18" s="39"/>
      <c r="P18" s="39"/>
      <c r="Q18" s="39"/>
      <c r="R18" s="39"/>
      <c r="S18" s="39"/>
      <c r="T18" s="165"/>
      <c r="U18" s="165"/>
      <c r="V18" s="38"/>
      <c r="W18" s="38"/>
      <c r="X18" s="38"/>
      <c r="Y18" s="39"/>
      <c r="Z18" s="39"/>
      <c r="AA18" s="39"/>
      <c r="AB18" s="38"/>
      <c r="AC18" s="165"/>
      <c r="AD18" s="165"/>
      <c r="AE18" s="34"/>
      <c r="AF18" s="34"/>
      <c r="AJ18" s="34"/>
      <c r="AK18" s="34"/>
    </row>
    <row r="19" spans="1:37" s="72" customFormat="1" ht="3.95" customHeight="1" x14ac:dyDescent="0.15">
      <c r="A19" s="195"/>
      <c r="B19" s="195"/>
      <c r="C19" s="195"/>
      <c r="D19" s="34"/>
      <c r="E19" s="34"/>
      <c r="F19" s="35"/>
      <c r="G19" s="35"/>
      <c r="H19" s="35"/>
      <c r="I19" s="35"/>
      <c r="J19" s="35"/>
      <c r="K19" s="166"/>
      <c r="L19" s="166"/>
      <c r="M19" s="34"/>
      <c r="N19" s="34"/>
      <c r="O19" s="35"/>
      <c r="P19" s="35"/>
      <c r="Q19" s="35"/>
      <c r="R19" s="35"/>
      <c r="S19" s="35"/>
      <c r="T19" s="166"/>
      <c r="U19" s="166"/>
      <c r="V19" s="167"/>
      <c r="W19" s="167"/>
      <c r="X19" s="167"/>
      <c r="Y19" s="168"/>
      <c r="Z19" s="168"/>
      <c r="AA19" s="168"/>
      <c r="AB19" s="167"/>
      <c r="AC19" s="166"/>
      <c r="AD19" s="166"/>
      <c r="AE19" s="34"/>
      <c r="AF19" s="34"/>
      <c r="AJ19" s="34"/>
      <c r="AK19" s="34"/>
    </row>
    <row r="20" spans="1:37" s="72" customFormat="1" ht="9" customHeight="1" x14ac:dyDescent="0.15">
      <c r="A20" s="41"/>
      <c r="B20" s="41"/>
      <c r="C20" s="41"/>
      <c r="D20" s="194" t="s">
        <v>154</v>
      </c>
      <c r="E20" s="194"/>
      <c r="F20" s="194"/>
      <c r="G20" s="202" t="s">
        <v>178</v>
      </c>
      <c r="H20" s="202"/>
      <c r="I20" s="202"/>
      <c r="J20" s="202"/>
      <c r="K20" s="43" t="s">
        <v>213</v>
      </c>
      <c r="L20" s="43"/>
      <c r="M20" s="202" t="s">
        <v>154</v>
      </c>
      <c r="N20" s="202"/>
      <c r="O20" s="202"/>
      <c r="P20" s="202" t="s">
        <v>178</v>
      </c>
      <c r="Q20" s="202"/>
      <c r="R20" s="202"/>
      <c r="S20" s="202"/>
      <c r="T20" s="43" t="s">
        <v>213</v>
      </c>
      <c r="U20" s="43"/>
      <c r="V20" s="202" t="s">
        <v>154</v>
      </c>
      <c r="W20" s="202"/>
      <c r="X20" s="202"/>
      <c r="Y20" s="202" t="s">
        <v>178</v>
      </c>
      <c r="Z20" s="202"/>
      <c r="AA20" s="202"/>
      <c r="AB20" s="202"/>
      <c r="AC20" s="43" t="s">
        <v>213</v>
      </c>
      <c r="AD20" s="43"/>
      <c r="AE20" s="34"/>
      <c r="AF20" s="34"/>
      <c r="AJ20" s="34"/>
      <c r="AK20" s="34"/>
    </row>
    <row r="21" spans="1:37" s="72" customFormat="1" ht="9" customHeight="1" x14ac:dyDescent="0.15">
      <c r="A21" s="41"/>
      <c r="B21" s="41"/>
      <c r="C21" s="41"/>
      <c r="D21" s="194" t="s">
        <v>181</v>
      </c>
      <c r="E21" s="194"/>
      <c r="F21" s="194"/>
      <c r="G21" s="202" t="s">
        <v>181</v>
      </c>
      <c r="H21" s="202"/>
      <c r="I21" s="202"/>
      <c r="J21" s="202"/>
      <c r="K21" s="43" t="s">
        <v>214</v>
      </c>
      <c r="L21" s="43"/>
      <c r="M21" s="202" t="s">
        <v>181</v>
      </c>
      <c r="N21" s="202"/>
      <c r="O21" s="202"/>
      <c r="P21" s="202" t="s">
        <v>181</v>
      </c>
      <c r="Q21" s="202"/>
      <c r="R21" s="202"/>
      <c r="S21" s="202"/>
      <c r="T21" s="43" t="s">
        <v>214</v>
      </c>
      <c r="U21" s="43"/>
      <c r="V21" s="202" t="s">
        <v>181</v>
      </c>
      <c r="W21" s="202"/>
      <c r="X21" s="202"/>
      <c r="Y21" s="202" t="s">
        <v>181</v>
      </c>
      <c r="Z21" s="202"/>
      <c r="AA21" s="202"/>
      <c r="AB21" s="202"/>
      <c r="AC21" s="43" t="s">
        <v>214</v>
      </c>
      <c r="AD21" s="43"/>
      <c r="AE21" s="34"/>
      <c r="AF21" s="34"/>
      <c r="AJ21" s="34"/>
      <c r="AK21" s="34"/>
    </row>
    <row r="22" spans="1:37" s="72" customFormat="1" ht="3.95" customHeight="1" x14ac:dyDescent="0.15">
      <c r="A22" s="195"/>
      <c r="B22" s="195"/>
      <c r="C22" s="195"/>
      <c r="D22" s="44"/>
      <c r="E22" s="44"/>
      <c r="F22" s="35"/>
      <c r="G22" s="35"/>
      <c r="H22" s="35"/>
      <c r="I22" s="35"/>
      <c r="J22" s="35"/>
      <c r="K22" s="43"/>
      <c r="L22" s="43"/>
      <c r="M22" s="44"/>
      <c r="N22" s="44"/>
      <c r="O22" s="35"/>
      <c r="P22" s="35"/>
      <c r="Q22" s="35"/>
      <c r="R22" s="35"/>
      <c r="S22" s="35"/>
      <c r="T22" s="43"/>
      <c r="U22" s="43"/>
      <c r="V22" s="44"/>
      <c r="W22" s="44"/>
      <c r="X22" s="44"/>
      <c r="Y22" s="35"/>
      <c r="Z22" s="35"/>
      <c r="AA22" s="35"/>
      <c r="AB22" s="44"/>
      <c r="AC22" s="43"/>
      <c r="AD22" s="43"/>
      <c r="AE22" s="34"/>
      <c r="AF22" s="34"/>
      <c r="AJ22" s="34"/>
      <c r="AK22" s="34"/>
    </row>
    <row r="23" spans="1:37" s="72" customFormat="1" ht="9" customHeight="1" x14ac:dyDescent="0.15">
      <c r="A23" s="195" t="str">
        <f>F!A7</f>
        <v>Droge stof (gew.%)</v>
      </c>
      <c r="B23" s="195"/>
      <c r="C23" s="195"/>
      <c r="D23" s="44" t="str">
        <f>G!AQ7</f>
        <v/>
      </c>
      <c r="E23" s="43">
        <f>G!AP7</f>
        <v>78.5</v>
      </c>
      <c r="F23" s="42"/>
      <c r="G23" s="42" t="str">
        <f>G!AS7</f>
        <v/>
      </c>
      <c r="H23" s="43">
        <f>G!AR7</f>
        <v>78.5</v>
      </c>
      <c r="I23" s="42" t="str">
        <f>G!AT7</f>
        <v/>
      </c>
      <c r="J23" s="42" t="str">
        <f>G!AU7</f>
        <v/>
      </c>
      <c r="K23" s="43"/>
      <c r="L23" s="43"/>
      <c r="M23" s="43" t="str">
        <f>G!AW7</f>
        <v/>
      </c>
      <c r="N23" s="43">
        <f>G!AV7</f>
        <v>79.5</v>
      </c>
      <c r="O23" s="42"/>
      <c r="P23" s="42" t="str">
        <f>G!AY7</f>
        <v/>
      </c>
      <c r="Q23" s="43">
        <f>G!AX7</f>
        <v>79.5</v>
      </c>
      <c r="R23" s="42" t="str">
        <f>G!AZ7</f>
        <v/>
      </c>
      <c r="S23" s="42" t="str">
        <f>G!BA7</f>
        <v/>
      </c>
      <c r="T23" s="43"/>
      <c r="U23" s="43"/>
      <c r="V23" s="43" t="str">
        <f>G!BC7</f>
        <v/>
      </c>
      <c r="W23" s="43">
        <f>G!BB7</f>
        <v>76.900000000000006</v>
      </c>
      <c r="X23" s="43"/>
      <c r="Y23" s="42" t="str">
        <f>G!BE7</f>
        <v/>
      </c>
      <c r="Z23" s="43">
        <f>G!BD7</f>
        <v>76.900000000000006</v>
      </c>
      <c r="AA23" s="42" t="str">
        <f>G!BF7</f>
        <v/>
      </c>
      <c r="AB23" s="42" t="str">
        <f>G!BG7</f>
        <v/>
      </c>
      <c r="AC23" s="43"/>
      <c r="AD23" s="43"/>
      <c r="AE23" s="34"/>
      <c r="AF23" s="34"/>
      <c r="AH23" s="72">
        <f>IF(AND(E23="--",N23="--",W23="--"),1,0)</f>
        <v>0</v>
      </c>
      <c r="AJ23" s="34"/>
      <c r="AK23" s="34"/>
    </row>
    <row r="24" spans="1:37" s="72" customFormat="1" ht="9" customHeight="1" x14ac:dyDescent="0.15">
      <c r="A24" s="195" t="str">
        <f>F!A8</f>
        <v>Organische stof (gew.%ds)</v>
      </c>
      <c r="B24" s="195"/>
      <c r="C24" s="195"/>
      <c r="D24" s="44" t="str">
        <f>G!AQ8</f>
        <v/>
      </c>
      <c r="E24" s="43">
        <f>G!AP8</f>
        <v>0.2</v>
      </c>
      <c r="F24" s="42"/>
      <c r="G24" s="42" t="str">
        <f>G!AS8</f>
        <v/>
      </c>
      <c r="H24" s="96">
        <f>G!AR8</f>
        <v>10</v>
      </c>
      <c r="I24" s="42" t="str">
        <f>G!AT8</f>
        <v/>
      </c>
      <c r="J24" s="42" t="str">
        <f>G!AU8</f>
        <v/>
      </c>
      <c r="K24" s="43"/>
      <c r="L24" s="43"/>
      <c r="M24" s="43" t="str">
        <f>G!AW8</f>
        <v/>
      </c>
      <c r="N24" s="43">
        <f>G!AV8</f>
        <v>1.2</v>
      </c>
      <c r="O24" s="42"/>
      <c r="P24" s="42" t="str">
        <f>G!AY8</f>
        <v/>
      </c>
      <c r="Q24" s="96">
        <f>G!AX8</f>
        <v>10</v>
      </c>
      <c r="R24" s="42" t="str">
        <f>G!AZ8</f>
        <v/>
      </c>
      <c r="S24" s="42" t="str">
        <f>G!BA8</f>
        <v/>
      </c>
      <c r="T24" s="43"/>
      <c r="U24" s="43"/>
      <c r="V24" s="43" t="str">
        <f>G!BC8</f>
        <v/>
      </c>
      <c r="W24" s="43">
        <f>G!BB8</f>
        <v>1.4</v>
      </c>
      <c r="X24" s="43"/>
      <c r="Y24" s="42" t="str">
        <f>G!BE8</f>
        <v/>
      </c>
      <c r="Z24" s="96">
        <f>G!BD8</f>
        <v>10</v>
      </c>
      <c r="AA24" s="42" t="str">
        <f>G!BF8</f>
        <v/>
      </c>
      <c r="AB24" s="42" t="str">
        <f>G!BG8</f>
        <v/>
      </c>
      <c r="AC24" s="43"/>
      <c r="AD24" s="43"/>
      <c r="AE24" s="34"/>
      <c r="AF24" s="34"/>
      <c r="AH24" s="72">
        <f t="shared" ref="AH24:AH87" si="1">IF(AND(E24="--",N24="--",W24="--"),1,0)</f>
        <v>0</v>
      </c>
      <c r="AJ24" s="34"/>
      <c r="AK24" s="34"/>
    </row>
    <row r="25" spans="1:37" s="72" customFormat="1" ht="9" customHeight="1" x14ac:dyDescent="0.15">
      <c r="A25" s="195" t="str">
        <f>F!A9</f>
        <v>Lutum (gew.%ds)</v>
      </c>
      <c r="B25" s="195"/>
      <c r="C25" s="195"/>
      <c r="D25" s="44" t="str">
        <f>G!AQ9</f>
        <v>&lt;</v>
      </c>
      <c r="E25" s="43">
        <f>G!AP9</f>
        <v>2</v>
      </c>
      <c r="F25" s="42"/>
      <c r="G25" s="42" t="str">
        <f>G!AS9</f>
        <v/>
      </c>
      <c r="H25" s="96">
        <f>G!AR9</f>
        <v>25</v>
      </c>
      <c r="I25" s="42" t="str">
        <f>G!AT9</f>
        <v/>
      </c>
      <c r="J25" s="42" t="str">
        <f>G!AU9</f>
        <v/>
      </c>
      <c r="K25" s="43"/>
      <c r="L25" s="43"/>
      <c r="M25" s="43" t="str">
        <f>G!AW9</f>
        <v/>
      </c>
      <c r="N25" s="43">
        <f>G!AV9</f>
        <v>11</v>
      </c>
      <c r="O25" s="42"/>
      <c r="P25" s="42" t="str">
        <f>G!AY9</f>
        <v/>
      </c>
      <c r="Q25" s="96">
        <f>G!AX9</f>
        <v>25</v>
      </c>
      <c r="R25" s="42" t="str">
        <f>G!AZ9</f>
        <v/>
      </c>
      <c r="S25" s="42" t="str">
        <f>G!BA9</f>
        <v/>
      </c>
      <c r="T25" s="43"/>
      <c r="U25" s="43"/>
      <c r="V25" s="43" t="str">
        <f>G!BC9</f>
        <v/>
      </c>
      <c r="W25" s="43">
        <f>G!BB9</f>
        <v>5.8</v>
      </c>
      <c r="X25" s="43"/>
      <c r="Y25" s="42" t="str">
        <f>G!BE9</f>
        <v/>
      </c>
      <c r="Z25" s="96">
        <f>G!BD9</f>
        <v>25</v>
      </c>
      <c r="AA25" s="42" t="str">
        <f>G!BF9</f>
        <v/>
      </c>
      <c r="AB25" s="42" t="str">
        <f>G!BG9</f>
        <v/>
      </c>
      <c r="AC25" s="43"/>
      <c r="AD25" s="43"/>
      <c r="AE25" s="34"/>
      <c r="AF25" s="34"/>
      <c r="AH25" s="72">
        <f t="shared" si="1"/>
        <v>0</v>
      </c>
      <c r="AJ25" s="34"/>
      <c r="AK25" s="34"/>
    </row>
    <row r="26" spans="1:37" s="72" customFormat="1" ht="9" hidden="1" customHeight="1" x14ac:dyDescent="0.15">
      <c r="A26" s="195" t="str">
        <f>F!A10</f>
        <v>pH(CaCl2)</v>
      </c>
      <c r="B26" s="195"/>
      <c r="C26" s="195"/>
      <c r="D26" s="44" t="str">
        <f>G!AQ10</f>
        <v/>
      </c>
      <c r="E26" s="43" t="str">
        <f>G!AP10</f>
        <v>--</v>
      </c>
      <c r="F26" s="42"/>
      <c r="G26" s="42" t="str">
        <f>G!AS10</f>
        <v/>
      </c>
      <c r="H26" s="43" t="str">
        <f>G!AR10</f>
        <v>--</v>
      </c>
      <c r="I26" s="42" t="str">
        <f>G!AT10</f>
        <v/>
      </c>
      <c r="J26" s="42" t="str">
        <f>G!AU10</f>
        <v/>
      </c>
      <c r="K26" s="43"/>
      <c r="L26" s="43"/>
      <c r="M26" s="43" t="str">
        <f>G!AW10</f>
        <v/>
      </c>
      <c r="N26" s="43" t="str">
        <f>G!AV10</f>
        <v>--</v>
      </c>
      <c r="O26" s="42"/>
      <c r="P26" s="42" t="str">
        <f>G!AY10</f>
        <v/>
      </c>
      <c r="Q26" s="43" t="str">
        <f>G!AX10</f>
        <v>--</v>
      </c>
      <c r="R26" s="42" t="str">
        <f>G!AZ10</f>
        <v/>
      </c>
      <c r="S26" s="42" t="str">
        <f>G!BA10</f>
        <v/>
      </c>
      <c r="T26" s="43"/>
      <c r="U26" s="43"/>
      <c r="V26" s="43" t="str">
        <f>G!BC10</f>
        <v/>
      </c>
      <c r="W26" s="43" t="str">
        <f>G!BB10</f>
        <v>--</v>
      </c>
      <c r="X26" s="43"/>
      <c r="Y26" s="42" t="str">
        <f>G!BE10</f>
        <v/>
      </c>
      <c r="Z26" s="43" t="str">
        <f>G!BD10</f>
        <v>--</v>
      </c>
      <c r="AA26" s="42" t="str">
        <f>G!BF10</f>
        <v/>
      </c>
      <c r="AB26" s="42" t="str">
        <f>G!BG10</f>
        <v/>
      </c>
      <c r="AC26" s="43"/>
      <c r="AD26" s="43"/>
      <c r="AE26" s="34"/>
      <c r="AF26" s="34"/>
      <c r="AH26" s="72">
        <f t="shared" si="1"/>
        <v>1</v>
      </c>
      <c r="AJ26" s="34"/>
      <c r="AK26" s="34"/>
    </row>
    <row r="27" spans="1:37" s="72" customFormat="1" ht="9" hidden="1" customHeight="1" x14ac:dyDescent="0.15">
      <c r="A27" s="195" t="str">
        <f>F!A11</f>
        <v>Temperatuur t.b.v. pH (°C)</v>
      </c>
      <c r="B27" s="195"/>
      <c r="C27" s="195"/>
      <c r="D27" s="44" t="str">
        <f>G!AQ11</f>
        <v/>
      </c>
      <c r="E27" s="43" t="str">
        <f>G!AP11</f>
        <v>--</v>
      </c>
      <c r="F27" s="42"/>
      <c r="G27" s="42" t="str">
        <f>G!AS11</f>
        <v/>
      </c>
      <c r="H27" s="43" t="str">
        <f>G!AR11</f>
        <v>--</v>
      </c>
      <c r="I27" s="42" t="str">
        <f>G!AT11</f>
        <v/>
      </c>
      <c r="J27" s="42" t="str">
        <f>G!AU11</f>
        <v/>
      </c>
      <c r="K27" s="43"/>
      <c r="L27" s="43"/>
      <c r="M27" s="43" t="str">
        <f>G!AW11</f>
        <v/>
      </c>
      <c r="N27" s="43" t="str">
        <f>G!AV11</f>
        <v>--</v>
      </c>
      <c r="O27" s="42"/>
      <c r="P27" s="42" t="str">
        <f>G!AY11</f>
        <v/>
      </c>
      <c r="Q27" s="43" t="str">
        <f>G!AX11</f>
        <v>--</v>
      </c>
      <c r="R27" s="42" t="str">
        <f>G!AZ11</f>
        <v/>
      </c>
      <c r="S27" s="42" t="str">
        <f>G!BA11</f>
        <v/>
      </c>
      <c r="T27" s="43"/>
      <c r="U27" s="43"/>
      <c r="V27" s="43" t="str">
        <f>G!BC11</f>
        <v/>
      </c>
      <c r="W27" s="43" t="str">
        <f>G!BB11</f>
        <v>--</v>
      </c>
      <c r="X27" s="43"/>
      <c r="Y27" s="42" t="str">
        <f>G!BE11</f>
        <v/>
      </c>
      <c r="Z27" s="43" t="str">
        <f>G!BD11</f>
        <v>--</v>
      </c>
      <c r="AA27" s="42" t="str">
        <f>G!BF11</f>
        <v/>
      </c>
      <c r="AB27" s="42" t="str">
        <f>G!BG11</f>
        <v/>
      </c>
      <c r="AC27" s="43"/>
      <c r="AD27" s="43"/>
      <c r="AE27" s="34"/>
      <c r="AF27" s="34"/>
      <c r="AH27" s="72">
        <f t="shared" si="1"/>
        <v>1</v>
      </c>
      <c r="AJ27" s="34"/>
      <c r="AK27" s="34"/>
    </row>
    <row r="28" spans="1:37" s="72" customFormat="1" ht="3.95" customHeight="1" x14ac:dyDescent="0.15">
      <c r="A28" s="41"/>
      <c r="B28" s="41"/>
      <c r="C28" s="41"/>
      <c r="D28" s="44"/>
      <c r="E28" s="43"/>
      <c r="F28" s="42"/>
      <c r="G28" s="42"/>
      <c r="H28" s="43"/>
      <c r="I28" s="42"/>
      <c r="J28" s="42"/>
      <c r="K28" s="43"/>
      <c r="L28" s="43"/>
      <c r="M28" s="43"/>
      <c r="N28" s="43"/>
      <c r="O28" s="42"/>
      <c r="P28" s="42"/>
      <c r="Q28" s="43"/>
      <c r="R28" s="42"/>
      <c r="S28" s="42"/>
      <c r="T28" s="43"/>
      <c r="U28" s="43"/>
      <c r="V28" s="43"/>
      <c r="W28" s="43"/>
      <c r="X28" s="43"/>
      <c r="Y28" s="42"/>
      <c r="Z28" s="43"/>
      <c r="AA28" s="42"/>
      <c r="AB28" s="43"/>
      <c r="AC28" s="43"/>
      <c r="AD28" s="43"/>
      <c r="AE28" s="34"/>
      <c r="AF28" s="34"/>
      <c r="AH28" s="94">
        <f>AH29</f>
        <v>0</v>
      </c>
      <c r="AJ28" s="34"/>
      <c r="AK28" s="34"/>
    </row>
    <row r="29" spans="1:37" s="72" customFormat="1" ht="9" customHeight="1" x14ac:dyDescent="0.15">
      <c r="A29" s="198" t="str">
        <f>IF(COUNTIF(F!D12:D32,131)&gt;0,"Metalen (µg/kgds)","Metalen (mg/kgds)")</f>
        <v>Metalen (mg/kgds)</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57"/>
      <c r="AC29" s="43"/>
      <c r="AD29" s="43"/>
      <c r="AE29" s="34"/>
      <c r="AF29" s="34"/>
      <c r="AH29" s="94">
        <f>IF(COUNTIF(AH30:AH50,1)=COUNT(AH30:AH50),1,0)</f>
        <v>0</v>
      </c>
      <c r="AJ29" s="34"/>
      <c r="AK29" s="34"/>
    </row>
    <row r="30" spans="1:37" s="72" customFormat="1" ht="9" hidden="1" customHeight="1" x14ac:dyDescent="0.15">
      <c r="A30" s="195" t="str">
        <f>F!A12</f>
        <v>Antimoon</v>
      </c>
      <c r="B30" s="195"/>
      <c r="C30" s="195"/>
      <c r="D30" s="44" t="str">
        <f>G!AQ12</f>
        <v/>
      </c>
      <c r="E30" s="43" t="str">
        <f>G!AP12</f>
        <v>--</v>
      </c>
      <c r="F30" s="42"/>
      <c r="G30" s="42" t="str">
        <f>G!AS12</f>
        <v/>
      </c>
      <c r="H30" s="43" t="str">
        <f>G!AR12</f>
        <v>--</v>
      </c>
      <c r="I30" s="42" t="str">
        <f>G!AT12</f>
        <v/>
      </c>
      <c r="J30" s="42" t="str">
        <f>G!AU12</f>
        <v/>
      </c>
      <c r="K30" s="43" t="str">
        <f>IFERROR(IF(OR(H30="--",H30="rg",VLOOKUP(F!$B12,E!$B$1:'E'!$AK$300,12,FALSE)=1000000000,I30="-",I30=""),"",(HLOOKUP(SMALL(G!$Q$4:'G'!$Y$4,1),G!$Q$4:'G'!$Y$501,ROW(G!Q12)-3,FALSE))/VLOOKUP(F!$B12,E!$B$1:'E'!$AK$300,12,FALSE)*100),"")</f>
        <v/>
      </c>
      <c r="L30" s="43"/>
      <c r="M30" s="43" t="str">
        <f>G!AW12</f>
        <v/>
      </c>
      <c r="N30" s="43" t="str">
        <f>G!AV12</f>
        <v>--</v>
      </c>
      <c r="O30" s="42"/>
      <c r="P30" s="42" t="str">
        <f>G!AY12</f>
        <v/>
      </c>
      <c r="Q30" s="43" t="str">
        <f>G!AX12</f>
        <v>--</v>
      </c>
      <c r="R30" s="42" t="str">
        <f>G!AZ12</f>
        <v/>
      </c>
      <c r="S30" s="42" t="str">
        <f>G!BA12</f>
        <v/>
      </c>
      <c r="T30" s="43" t="str">
        <f>IFERROR(IF(OR(Q30="--",Q30="rg",VLOOKUP(F!$B12,E!$B$1:'E'!$AK$300,12,FALSE)=1000000000,R30="-",R30=""),"",(HLOOKUP(SMALL(G!$Q$4:'G'!$Y$4,4),G!$Q$4:'G'!$Y$501,ROW(G!Z12)-3,FALSE))/VLOOKUP(F!$B12,E!$B$1:'E'!$AK$300,12,FALSE)*100),"")</f>
        <v/>
      </c>
      <c r="U30" s="43"/>
      <c r="V30" s="43" t="str">
        <f>G!BC12</f>
        <v/>
      </c>
      <c r="W30" s="43" t="str">
        <f>G!BB12</f>
        <v>--</v>
      </c>
      <c r="X30" s="43"/>
      <c r="Y30" s="42" t="str">
        <f>G!BE12</f>
        <v/>
      </c>
      <c r="Z30" s="43" t="str">
        <f>G!BD12</f>
        <v>--</v>
      </c>
      <c r="AA30" s="42" t="str">
        <f>G!BF12</f>
        <v/>
      </c>
      <c r="AB30" s="42" t="str">
        <f>G!BG12</f>
        <v/>
      </c>
      <c r="AC30" s="43" t="str">
        <f>IFERROR(IF(OR(Z30="--",Z30="rg",VLOOKUP(F!$B12,E!$B$1:'E'!$AK$300,12,FALSE)=1000000000,AA30="-",AA30=""),"",(HLOOKUP(SMALL(G!$Q$4:'G'!$Y$4,7),G!$Q$4:'G'!$Y$501,ROW(G!AI12)-3,FALSE))/VLOOKUP(F!$B12,E!$B$1:'E'!$AK$300,12,FALSE)*100),"")</f>
        <v/>
      </c>
      <c r="AD30" s="43"/>
      <c r="AE30" s="34"/>
      <c r="AF30" s="34"/>
      <c r="AH30" s="72">
        <f t="shared" si="1"/>
        <v>1</v>
      </c>
      <c r="AJ30" s="34"/>
      <c r="AK30" s="34"/>
    </row>
    <row r="31" spans="1:37" s="72" customFormat="1" ht="9" customHeight="1" x14ac:dyDescent="0.15">
      <c r="A31" s="195" t="str">
        <f>F!A13</f>
        <v>Arseen</v>
      </c>
      <c r="B31" s="195"/>
      <c r="C31" s="195"/>
      <c r="D31" s="44" t="str">
        <f>G!AQ13</f>
        <v>&lt;</v>
      </c>
      <c r="E31" s="43" t="str">
        <f>G!AP13</f>
        <v>4,0</v>
      </c>
      <c r="F31" s="42"/>
      <c r="G31" s="42" t="str">
        <f>G!AS13</f>
        <v>&lt;</v>
      </c>
      <c r="H31" s="43" t="str">
        <f>G!AR13</f>
        <v>rg</v>
      </c>
      <c r="I31" s="42" t="str">
        <f>G!AT13</f>
        <v>-</v>
      </c>
      <c r="J31" s="42" t="str">
        <f>G!AU13</f>
        <v/>
      </c>
      <c r="K31" s="43" t="str">
        <f>IFERROR(IF(OR(H31="--",H31="rg",VLOOKUP(F!$B13,E!$B$1:'E'!$AK$300,12,FALSE)=1000000000,I31="-",I31=""),"",(HLOOKUP(SMALL(G!$Q$4:'G'!$Y$4,1),G!$Q$4:'G'!$Y$501,ROW(G!Q13)-3,FALSE))/VLOOKUP(F!$B13,E!$B$1:'E'!$AK$300,12,FALSE)*100),"")</f>
        <v/>
      </c>
      <c r="L31" s="43"/>
      <c r="M31" s="43" t="str">
        <f>G!AW13</f>
        <v/>
      </c>
      <c r="N31" s="43" t="str">
        <f>G!AV13</f>
        <v>4,4</v>
      </c>
      <c r="O31" s="42"/>
      <c r="P31" s="42" t="str">
        <f>G!AY13</f>
        <v/>
      </c>
      <c r="Q31" s="43" t="str">
        <f>G!AX13</f>
        <v>6,32</v>
      </c>
      <c r="R31" s="42" t="str">
        <f>G!AZ13</f>
        <v>-</v>
      </c>
      <c r="S31" s="42" t="str">
        <f>G!BA13</f>
        <v/>
      </c>
      <c r="T31" s="43" t="str">
        <f>IFERROR(IF(OR(Q31="--",Q31="rg",VLOOKUP(F!$B13,E!$B$1:'E'!$AK$300,12,FALSE)=1000000000,R31="-",R31=""),"",(HLOOKUP(SMALL(G!$Q$4:'G'!$Y$4,4),G!$Q$4:'G'!$Y$501,ROW(G!Z13)-3,FALSE))/VLOOKUP(F!$B13,E!$B$1:'E'!$AK$300,12,FALSE)*100),"")</f>
        <v/>
      </c>
      <c r="U31" s="43"/>
      <c r="V31" s="43" t="str">
        <f>G!BC13</f>
        <v/>
      </c>
      <c r="W31" s="43" t="str">
        <f>G!BB13</f>
        <v>5,0</v>
      </c>
      <c r="X31" s="43"/>
      <c r="Y31" s="42" t="str">
        <f>G!BE13</f>
        <v/>
      </c>
      <c r="Z31" s="43" t="str">
        <f>G!BD13</f>
        <v>8,00</v>
      </c>
      <c r="AA31" s="42" t="str">
        <f>G!BF13</f>
        <v>-</v>
      </c>
      <c r="AB31" s="42" t="str">
        <f>G!BG13</f>
        <v/>
      </c>
      <c r="AC31" s="43" t="str">
        <f>IFERROR(IF(OR(Z31="--",Z31="rg",VLOOKUP(F!$B13,E!$B$1:'E'!$AK$300,12,FALSE)=1000000000,AA31="-",AA31=""),"",(HLOOKUP(SMALL(G!$Q$4:'G'!$Y$4,7),G!$Q$4:'G'!$Y$501,ROW(G!AI13)-3,FALSE))/VLOOKUP(F!$B13,E!$B$1:'E'!$AK$300,12,FALSE)*100),"")</f>
        <v/>
      </c>
      <c r="AD31" s="43"/>
      <c r="AE31" s="34"/>
      <c r="AF31" s="34"/>
      <c r="AH31" s="72">
        <f t="shared" si="1"/>
        <v>0</v>
      </c>
      <c r="AJ31" s="34"/>
      <c r="AK31" s="34"/>
    </row>
    <row r="32" spans="1:37" s="72" customFormat="1" ht="9" customHeight="1" x14ac:dyDescent="0.15">
      <c r="A32" s="195" t="str">
        <f>F!A14</f>
        <v>Barium</v>
      </c>
      <c r="B32" s="195"/>
      <c r="C32" s="195"/>
      <c r="D32" s="44" t="str">
        <f>G!AQ14</f>
        <v>&lt;</v>
      </c>
      <c r="E32" s="43" t="str">
        <f>G!AP14</f>
        <v>20</v>
      </c>
      <c r="F32" s="42"/>
      <c r="G32" s="42" t="str">
        <f>G!AS14</f>
        <v>&lt;</v>
      </c>
      <c r="H32" s="43" t="str">
        <f>G!AR14</f>
        <v>rg</v>
      </c>
      <c r="I32" s="42" t="str">
        <f>G!AT14</f>
        <v/>
      </c>
      <c r="J32" s="42" t="str">
        <f>G!AU14</f>
        <v/>
      </c>
      <c r="K32" s="43" t="str">
        <f>IFERROR(IF(OR(H32="--",H32="rg",VLOOKUP(F!$B14,E!$B$1:'E'!$AK$300,12,FALSE)=1000000000,I32="-",I32=""),"",(HLOOKUP(SMALL(G!$Q$4:'G'!$Y$4,1),G!$Q$4:'G'!$Y$501,ROW(G!Q14)-3,FALSE))/VLOOKUP(F!$B14,E!$B$1:'E'!$AK$300,12,FALSE)*100),"")</f>
        <v/>
      </c>
      <c r="L32" s="43"/>
      <c r="M32" s="43" t="str">
        <f>G!AW14</f>
        <v>&lt;</v>
      </c>
      <c r="N32" s="43" t="str">
        <f>G!AV14</f>
        <v>20</v>
      </c>
      <c r="O32" s="42"/>
      <c r="P32" s="42" t="str">
        <f>G!AY14</f>
        <v>&lt;</v>
      </c>
      <c r="Q32" s="43" t="str">
        <f>G!AX14</f>
        <v>rg</v>
      </c>
      <c r="R32" s="42" t="str">
        <f>G!AZ14</f>
        <v/>
      </c>
      <c r="S32" s="42" t="str">
        <f>G!BA14</f>
        <v/>
      </c>
      <c r="T32" s="43" t="str">
        <f>IFERROR(IF(OR(Q32="--",Q32="rg",VLOOKUP(F!$B14,E!$B$1:'E'!$AK$300,12,FALSE)=1000000000,R32="-",R32=""),"",(HLOOKUP(SMALL(G!$Q$4:'G'!$Y$4,4),G!$Q$4:'G'!$Y$501,ROW(G!Z14)-3,FALSE))/VLOOKUP(F!$B14,E!$B$1:'E'!$AK$300,12,FALSE)*100),"")</f>
        <v/>
      </c>
      <c r="U32" s="43"/>
      <c r="V32" s="43" t="str">
        <f>G!BC14</f>
        <v>&lt;</v>
      </c>
      <c r="W32" s="43" t="str">
        <f>G!BB14</f>
        <v>20</v>
      </c>
      <c r="X32" s="43"/>
      <c r="Y32" s="42" t="str">
        <f>G!BE14</f>
        <v>&lt;</v>
      </c>
      <c r="Z32" s="43" t="str">
        <f>G!BD14</f>
        <v>rg</v>
      </c>
      <c r="AA32" s="42" t="str">
        <f>G!BF14</f>
        <v/>
      </c>
      <c r="AB32" s="42" t="str">
        <f>G!BG14</f>
        <v/>
      </c>
      <c r="AC32" s="43" t="str">
        <f>IFERROR(IF(OR(Z32="--",Z32="rg",VLOOKUP(F!$B14,E!$B$1:'E'!$AK$300,12,FALSE)=1000000000,AA32="-",AA32=""),"",(HLOOKUP(SMALL(G!$Q$4:'G'!$Y$4,7),G!$Q$4:'G'!$Y$501,ROW(G!AI14)-3,FALSE))/VLOOKUP(F!$B14,E!$B$1:'E'!$AK$300,12,FALSE)*100),"")</f>
        <v/>
      </c>
      <c r="AD32" s="43"/>
      <c r="AE32" s="34"/>
      <c r="AF32" s="34"/>
      <c r="AH32" s="72">
        <f t="shared" si="1"/>
        <v>0</v>
      </c>
      <c r="AJ32" s="34"/>
      <c r="AK32" s="34"/>
    </row>
    <row r="33" spans="1:37" s="72" customFormat="1" ht="9" hidden="1" customHeight="1" x14ac:dyDescent="0.15">
      <c r="A33" s="195" t="str">
        <f>F!A15</f>
        <v>Berylium</v>
      </c>
      <c r="B33" s="195"/>
      <c r="C33" s="195"/>
      <c r="D33" s="44" t="str">
        <f>G!AQ15</f>
        <v/>
      </c>
      <c r="E33" s="43" t="str">
        <f>G!AP15</f>
        <v>--</v>
      </c>
      <c r="F33" s="42"/>
      <c r="G33" s="42" t="str">
        <f>G!AS15</f>
        <v/>
      </c>
      <c r="H33" s="43" t="str">
        <f>G!AR15</f>
        <v>--</v>
      </c>
      <c r="I33" s="42" t="str">
        <f>G!AT15</f>
        <v/>
      </c>
      <c r="J33" s="42" t="str">
        <f>G!AU15</f>
        <v/>
      </c>
      <c r="K33" s="43" t="str">
        <f>IFERROR(IF(OR(H33="--",H33="rg",VLOOKUP(F!$B15,E!$B$1:'E'!$AK$300,12,FALSE)=1000000000,I33="-",I33=""),"",(HLOOKUP(SMALL(G!$Q$4:'G'!$Y$4,1),G!$Q$4:'G'!$Y$501,ROW(G!Q15)-3,FALSE))/VLOOKUP(F!$B15,E!$B$1:'E'!$AK$300,12,FALSE)*100),"")</f>
        <v/>
      </c>
      <c r="L33" s="43"/>
      <c r="M33" s="43" t="str">
        <f>G!AW15</f>
        <v/>
      </c>
      <c r="N33" s="43" t="str">
        <f>G!AV15</f>
        <v>--</v>
      </c>
      <c r="O33" s="42"/>
      <c r="P33" s="42" t="str">
        <f>G!AY15</f>
        <v/>
      </c>
      <c r="Q33" s="43" t="str">
        <f>G!AX15</f>
        <v>--</v>
      </c>
      <c r="R33" s="42" t="str">
        <f>G!AZ15</f>
        <v/>
      </c>
      <c r="S33" s="42" t="str">
        <f>G!BA15</f>
        <v/>
      </c>
      <c r="T33" s="43" t="str">
        <f>IFERROR(IF(OR(Q33="--",Q33="rg",VLOOKUP(F!$B15,E!$B$1:'E'!$AK$300,12,FALSE)=1000000000,R33="-",R33=""),"",(HLOOKUP(SMALL(G!$Q$4:'G'!$Y$4,4),G!$Q$4:'G'!$Y$501,ROW(G!Z15)-3,FALSE))/VLOOKUP(F!$B15,E!$B$1:'E'!$AK$300,12,FALSE)*100),"")</f>
        <v/>
      </c>
      <c r="U33" s="43"/>
      <c r="V33" s="43" t="str">
        <f>G!BC15</f>
        <v/>
      </c>
      <c r="W33" s="43" t="str">
        <f>G!BB15</f>
        <v>--</v>
      </c>
      <c r="X33" s="43"/>
      <c r="Y33" s="42" t="str">
        <f>G!BE15</f>
        <v/>
      </c>
      <c r="Z33" s="43" t="str">
        <f>G!BD15</f>
        <v>--</v>
      </c>
      <c r="AA33" s="42" t="str">
        <f>G!BF15</f>
        <v/>
      </c>
      <c r="AB33" s="42" t="str">
        <f>G!BG15</f>
        <v/>
      </c>
      <c r="AC33" s="43" t="str">
        <f>IFERROR(IF(OR(Z33="--",Z33="rg",VLOOKUP(F!$B15,E!$B$1:'E'!$AK$300,12,FALSE)=1000000000,AA33="-",AA33=""),"",(HLOOKUP(SMALL(G!$Q$4:'G'!$Y$4,7),G!$Q$4:'G'!$Y$501,ROW(G!AI15)-3,FALSE))/VLOOKUP(F!$B15,E!$B$1:'E'!$AK$300,12,FALSE)*100),"")</f>
        <v/>
      </c>
      <c r="AD33" s="43"/>
      <c r="AE33" s="34"/>
      <c r="AF33" s="34"/>
      <c r="AH33" s="72">
        <f t="shared" si="1"/>
        <v>1</v>
      </c>
      <c r="AJ33" s="34"/>
      <c r="AK33" s="34"/>
    </row>
    <row r="34" spans="1:37" s="72" customFormat="1" ht="9" customHeight="1" x14ac:dyDescent="0.15">
      <c r="A34" s="195" t="str">
        <f>F!A16</f>
        <v>Cadmium</v>
      </c>
      <c r="B34" s="195"/>
      <c r="C34" s="195"/>
      <c r="D34" s="44" t="str">
        <f>G!AQ16</f>
        <v>&lt;</v>
      </c>
      <c r="E34" s="43" t="str">
        <f>G!AP16</f>
        <v>0,20</v>
      </c>
      <c r="F34" s="42"/>
      <c r="G34" s="42" t="str">
        <f>G!AS16</f>
        <v>&lt;</v>
      </c>
      <c r="H34" s="43" t="str">
        <f>G!AR16</f>
        <v>rg</v>
      </c>
      <c r="I34" s="42" t="str">
        <f>G!AT16</f>
        <v>-</v>
      </c>
      <c r="J34" s="42" t="str">
        <f>G!AU16</f>
        <v/>
      </c>
      <c r="K34" s="43" t="str">
        <f>IFERROR(IF(OR(H34="--",H34="rg",VLOOKUP(F!$B16,E!$B$1:'E'!$AK$300,12,FALSE)=1000000000,I34="-",I34=""),"",(HLOOKUP(SMALL(G!$Q$4:'G'!$Y$4,1),G!$Q$4:'G'!$Y$501,ROW(G!Q16)-3,FALSE))/VLOOKUP(F!$B16,E!$B$1:'E'!$AK$300,12,FALSE)*100),"")</f>
        <v/>
      </c>
      <c r="L34" s="43"/>
      <c r="M34" s="43" t="str">
        <f>G!AW16</f>
        <v>&lt;</v>
      </c>
      <c r="N34" s="43" t="str">
        <f>G!AV16</f>
        <v>0,20</v>
      </c>
      <c r="O34" s="42"/>
      <c r="P34" s="42" t="str">
        <f>G!AY16</f>
        <v>&lt;</v>
      </c>
      <c r="Q34" s="43" t="str">
        <f>G!AX16</f>
        <v>rg</v>
      </c>
      <c r="R34" s="42" t="str">
        <f>G!AZ16</f>
        <v>-</v>
      </c>
      <c r="S34" s="42" t="str">
        <f>G!BA16</f>
        <v/>
      </c>
      <c r="T34" s="43" t="str">
        <f>IFERROR(IF(OR(Q34="--",Q34="rg",VLOOKUP(F!$B16,E!$B$1:'E'!$AK$300,12,FALSE)=1000000000,R34="-",R34=""),"",(HLOOKUP(SMALL(G!$Q$4:'G'!$Y$4,4),G!$Q$4:'G'!$Y$501,ROW(G!Z16)-3,FALSE))/VLOOKUP(F!$B16,E!$B$1:'E'!$AK$300,12,FALSE)*100),"")</f>
        <v/>
      </c>
      <c r="U34" s="43"/>
      <c r="V34" s="43" t="str">
        <f>G!BC16</f>
        <v>&lt;</v>
      </c>
      <c r="W34" s="43" t="str">
        <f>G!BB16</f>
        <v>0,20</v>
      </c>
      <c r="X34" s="43"/>
      <c r="Y34" s="42" t="str">
        <f>G!BE16</f>
        <v>&lt;</v>
      </c>
      <c r="Z34" s="43" t="str">
        <f>G!BD16</f>
        <v>rg</v>
      </c>
      <c r="AA34" s="42" t="str">
        <f>G!BF16</f>
        <v>-</v>
      </c>
      <c r="AB34" s="42" t="str">
        <f>G!BG16</f>
        <v/>
      </c>
      <c r="AC34" s="43" t="str">
        <f>IFERROR(IF(OR(Z34="--",Z34="rg",VLOOKUP(F!$B16,E!$B$1:'E'!$AK$300,12,FALSE)=1000000000,AA34="-",AA34=""),"",(HLOOKUP(SMALL(G!$Q$4:'G'!$Y$4,7),G!$Q$4:'G'!$Y$501,ROW(G!AI16)-3,FALSE))/VLOOKUP(F!$B16,E!$B$1:'E'!$AK$300,12,FALSE)*100),"")</f>
        <v/>
      </c>
      <c r="AD34" s="43"/>
      <c r="AE34" s="34"/>
      <c r="AF34" s="34"/>
      <c r="AH34" s="72">
        <f t="shared" si="1"/>
        <v>0</v>
      </c>
      <c r="AJ34" s="34"/>
      <c r="AK34" s="34"/>
    </row>
    <row r="35" spans="1:37" s="72" customFormat="1" ht="9" hidden="1" customHeight="1" x14ac:dyDescent="0.15">
      <c r="A35" s="195" t="str">
        <f>F!A17</f>
        <v>Chroom</v>
      </c>
      <c r="B35" s="195"/>
      <c r="C35" s="195"/>
      <c r="D35" s="44" t="str">
        <f>G!AQ17</f>
        <v/>
      </c>
      <c r="E35" s="43" t="str">
        <f>G!AP17</f>
        <v>--</v>
      </c>
      <c r="F35" s="42"/>
      <c r="G35" s="42" t="str">
        <f>G!AS17</f>
        <v/>
      </c>
      <c r="H35" s="43" t="str">
        <f>G!AR17</f>
        <v>--</v>
      </c>
      <c r="I35" s="42" t="str">
        <f>G!AT17</f>
        <v/>
      </c>
      <c r="J35" s="42" t="str">
        <f>G!AU17</f>
        <v/>
      </c>
      <c r="K35" s="43" t="str">
        <f>IFERROR(IF(OR(H35="--",H35="rg",VLOOKUP(F!$B17,E!$B$1:'E'!$AK$300,12,FALSE)=1000000000,I35="-",I35=""),"",(HLOOKUP(SMALL(G!$Q$4:'G'!$Y$4,1),G!$Q$4:'G'!$Y$501,ROW(G!Q17)-3,FALSE))/VLOOKUP(F!$B17,E!$B$1:'E'!$AK$300,12,FALSE)*100),"")</f>
        <v/>
      </c>
      <c r="L35" s="43"/>
      <c r="M35" s="43" t="str">
        <f>G!AW17</f>
        <v/>
      </c>
      <c r="N35" s="43" t="str">
        <f>G!AV17</f>
        <v>--</v>
      </c>
      <c r="O35" s="42"/>
      <c r="P35" s="42" t="str">
        <f>G!AY17</f>
        <v/>
      </c>
      <c r="Q35" s="43" t="str">
        <f>G!AX17</f>
        <v>--</v>
      </c>
      <c r="R35" s="42" t="str">
        <f>G!AZ17</f>
        <v/>
      </c>
      <c r="S35" s="42" t="str">
        <f>G!BA17</f>
        <v/>
      </c>
      <c r="T35" s="43" t="str">
        <f>IFERROR(IF(OR(Q35="--",Q35="rg",VLOOKUP(F!$B17,E!$B$1:'E'!$AK$300,12,FALSE)=1000000000,R35="-",R35=""),"",(HLOOKUP(SMALL(G!$Q$4:'G'!$Y$4,4),G!$Q$4:'G'!$Y$501,ROW(G!Z17)-3,FALSE))/VLOOKUP(F!$B17,E!$B$1:'E'!$AK$300,12,FALSE)*100),"")</f>
        <v/>
      </c>
      <c r="U35" s="43"/>
      <c r="V35" s="43" t="str">
        <f>G!BC17</f>
        <v/>
      </c>
      <c r="W35" s="43" t="str">
        <f>G!BB17</f>
        <v>--</v>
      </c>
      <c r="X35" s="43"/>
      <c r="Y35" s="42" t="str">
        <f>G!BE17</f>
        <v/>
      </c>
      <c r="Z35" s="43" t="str">
        <f>G!BD17</f>
        <v>--</v>
      </c>
      <c r="AA35" s="42" t="str">
        <f>G!BF17</f>
        <v/>
      </c>
      <c r="AB35" s="42" t="str">
        <f>G!BG17</f>
        <v/>
      </c>
      <c r="AC35" s="43" t="str">
        <f>IFERROR(IF(OR(Z35="--",Z35="rg",VLOOKUP(F!$B17,E!$B$1:'E'!$AK$300,12,FALSE)=1000000000,AA35="-",AA35=""),"",(HLOOKUP(SMALL(G!$Q$4:'G'!$Y$4,7),G!$Q$4:'G'!$Y$501,ROW(G!AI17)-3,FALSE))/VLOOKUP(F!$B17,E!$B$1:'E'!$AK$300,12,FALSE)*100),"")</f>
        <v/>
      </c>
      <c r="AD35" s="43"/>
      <c r="AE35" s="34"/>
      <c r="AF35" s="34"/>
      <c r="AH35" s="72">
        <f t="shared" si="1"/>
        <v>1</v>
      </c>
      <c r="AJ35" s="34"/>
      <c r="AK35" s="34"/>
    </row>
    <row r="36" spans="1:37" s="72" customFormat="1" ht="9" hidden="1" customHeight="1" x14ac:dyDescent="0.15">
      <c r="A36" s="195" t="str">
        <f>F!A18</f>
        <v>Chroom III</v>
      </c>
      <c r="B36" s="195"/>
      <c r="C36" s="195"/>
      <c r="D36" s="44" t="str">
        <f>G!AQ18</f>
        <v/>
      </c>
      <c r="E36" s="43" t="str">
        <f>G!AP18</f>
        <v>--</v>
      </c>
      <c r="F36" s="42"/>
      <c r="G36" s="42" t="str">
        <f>G!AS18</f>
        <v/>
      </c>
      <c r="H36" s="43" t="str">
        <f>G!AR18</f>
        <v>--</v>
      </c>
      <c r="I36" s="42" t="str">
        <f>G!AT18</f>
        <v/>
      </c>
      <c r="J36" s="42" t="str">
        <f>G!AU18</f>
        <v/>
      </c>
      <c r="K36" s="43" t="str">
        <f>IFERROR(IF(OR(H36="--",H36="rg",VLOOKUP(F!$B18,E!$B$1:'E'!$AK$300,12,FALSE)=1000000000,I36="-",I36=""),"",(HLOOKUP(SMALL(G!$Q$4:'G'!$Y$4,1),G!$Q$4:'G'!$Y$501,ROW(G!Q18)-3,FALSE))/VLOOKUP(F!$B18,E!$B$1:'E'!$AK$300,12,FALSE)*100),"")</f>
        <v/>
      </c>
      <c r="L36" s="43"/>
      <c r="M36" s="43" t="str">
        <f>G!AW18</f>
        <v/>
      </c>
      <c r="N36" s="43" t="str">
        <f>G!AV18</f>
        <v>--</v>
      </c>
      <c r="O36" s="42"/>
      <c r="P36" s="42" t="str">
        <f>G!AY18</f>
        <v/>
      </c>
      <c r="Q36" s="43" t="str">
        <f>G!AX18</f>
        <v>--</v>
      </c>
      <c r="R36" s="42" t="str">
        <f>G!AZ18</f>
        <v/>
      </c>
      <c r="S36" s="42" t="str">
        <f>G!BA18</f>
        <v/>
      </c>
      <c r="T36" s="43" t="str">
        <f>IFERROR(IF(OR(Q36="--",Q36="rg",VLOOKUP(F!$B18,E!$B$1:'E'!$AK$300,12,FALSE)=1000000000,R36="-",R36=""),"",(HLOOKUP(SMALL(G!$Q$4:'G'!$Y$4,4),G!$Q$4:'G'!$Y$501,ROW(G!Z18)-3,FALSE))/VLOOKUP(F!$B18,E!$B$1:'E'!$AK$300,12,FALSE)*100),"")</f>
        <v/>
      </c>
      <c r="U36" s="43"/>
      <c r="V36" s="43" t="str">
        <f>G!BC18</f>
        <v/>
      </c>
      <c r="W36" s="43" t="str">
        <f>G!BB18</f>
        <v>--</v>
      </c>
      <c r="X36" s="43"/>
      <c r="Y36" s="42" t="str">
        <f>G!BE18</f>
        <v/>
      </c>
      <c r="Z36" s="43" t="str">
        <f>G!BD18</f>
        <v>--</v>
      </c>
      <c r="AA36" s="42" t="str">
        <f>G!BF18</f>
        <v/>
      </c>
      <c r="AB36" s="42" t="str">
        <f>G!BG18</f>
        <v/>
      </c>
      <c r="AC36" s="43" t="str">
        <f>IFERROR(IF(OR(Z36="--",Z36="rg",VLOOKUP(F!$B18,E!$B$1:'E'!$AK$300,12,FALSE)=1000000000,AA36="-",AA36=""),"",(HLOOKUP(SMALL(G!$Q$4:'G'!$Y$4,7),G!$Q$4:'G'!$Y$501,ROW(G!AI18)-3,FALSE))/VLOOKUP(F!$B18,E!$B$1:'E'!$AK$300,12,FALSE)*100),"")</f>
        <v/>
      </c>
      <c r="AD36" s="43"/>
      <c r="AE36" s="34"/>
      <c r="AF36" s="34"/>
      <c r="AH36" s="72">
        <f t="shared" si="1"/>
        <v>1</v>
      </c>
      <c r="AJ36" s="34"/>
      <c r="AK36" s="34"/>
    </row>
    <row r="37" spans="1:37" s="72" customFormat="1" ht="9" hidden="1" customHeight="1" x14ac:dyDescent="0.15">
      <c r="A37" s="195" t="str">
        <f>F!A19</f>
        <v>Chroom VI</v>
      </c>
      <c r="B37" s="195"/>
      <c r="C37" s="195"/>
      <c r="D37" s="44" t="str">
        <f>G!AQ19</f>
        <v/>
      </c>
      <c r="E37" s="43" t="str">
        <f>G!AP19</f>
        <v>--</v>
      </c>
      <c r="F37" s="42"/>
      <c r="G37" s="42" t="str">
        <f>G!AS19</f>
        <v/>
      </c>
      <c r="H37" s="43" t="str">
        <f>G!AR19</f>
        <v>--</v>
      </c>
      <c r="I37" s="42" t="str">
        <f>G!AT19</f>
        <v/>
      </c>
      <c r="J37" s="42" t="str">
        <f>G!AU19</f>
        <v/>
      </c>
      <c r="K37" s="43" t="str">
        <f>IFERROR(IF(OR(H37="--",H37="rg",VLOOKUP(F!$B19,E!$B$1:'E'!$AK$300,12,FALSE)=1000000000,I37="-",I37=""),"",(HLOOKUP(SMALL(G!$Q$4:'G'!$Y$4,1),G!$Q$4:'G'!$Y$501,ROW(G!Q19)-3,FALSE))/VLOOKUP(F!$B19,E!$B$1:'E'!$AK$300,12,FALSE)*100),"")</f>
        <v/>
      </c>
      <c r="L37" s="43"/>
      <c r="M37" s="43" t="str">
        <f>G!AW19</f>
        <v/>
      </c>
      <c r="N37" s="43" t="str">
        <f>G!AV19</f>
        <v>--</v>
      </c>
      <c r="O37" s="42"/>
      <c r="P37" s="42" t="str">
        <f>G!AY19</f>
        <v/>
      </c>
      <c r="Q37" s="43" t="str">
        <f>G!AX19</f>
        <v>--</v>
      </c>
      <c r="R37" s="42" t="str">
        <f>G!AZ19</f>
        <v/>
      </c>
      <c r="S37" s="42" t="str">
        <f>G!BA19</f>
        <v/>
      </c>
      <c r="T37" s="43" t="str">
        <f>IFERROR(IF(OR(Q37="--",Q37="rg",VLOOKUP(F!$B19,E!$B$1:'E'!$AK$300,12,FALSE)=1000000000,R37="-",R37=""),"",(HLOOKUP(SMALL(G!$Q$4:'G'!$Y$4,4),G!$Q$4:'G'!$Y$501,ROW(G!Z19)-3,FALSE))/VLOOKUP(F!$B19,E!$B$1:'E'!$AK$300,12,FALSE)*100),"")</f>
        <v/>
      </c>
      <c r="U37" s="43"/>
      <c r="V37" s="43" t="str">
        <f>G!BC19</f>
        <v/>
      </c>
      <c r="W37" s="43" t="str">
        <f>G!BB19</f>
        <v>--</v>
      </c>
      <c r="X37" s="43"/>
      <c r="Y37" s="42" t="str">
        <f>G!BE19</f>
        <v/>
      </c>
      <c r="Z37" s="43" t="str">
        <f>G!BD19</f>
        <v>--</v>
      </c>
      <c r="AA37" s="42" t="str">
        <f>G!BF19</f>
        <v/>
      </c>
      <c r="AB37" s="42" t="str">
        <f>G!BG19</f>
        <v/>
      </c>
      <c r="AC37" s="43" t="str">
        <f>IFERROR(IF(OR(Z37="--",Z37="rg",VLOOKUP(F!$B19,E!$B$1:'E'!$AK$300,12,FALSE)=1000000000,AA37="-",AA37=""),"",(HLOOKUP(SMALL(G!$Q$4:'G'!$Y$4,7),G!$Q$4:'G'!$Y$501,ROW(G!AI19)-3,FALSE))/VLOOKUP(F!$B19,E!$B$1:'E'!$AK$300,12,FALSE)*100),"")</f>
        <v/>
      </c>
      <c r="AD37" s="43"/>
      <c r="AE37" s="34"/>
      <c r="AF37" s="34"/>
      <c r="AH37" s="72">
        <f t="shared" si="1"/>
        <v>1</v>
      </c>
      <c r="AJ37" s="34"/>
      <c r="AK37" s="34"/>
    </row>
    <row r="38" spans="1:37" s="72" customFormat="1" ht="9" hidden="1" customHeight="1" x14ac:dyDescent="0.15">
      <c r="A38" s="195" t="str">
        <f>F!A20</f>
        <v>Kalium</v>
      </c>
      <c r="B38" s="195"/>
      <c r="C38" s="195"/>
      <c r="D38" s="44" t="str">
        <f>G!AQ20</f>
        <v/>
      </c>
      <c r="E38" s="43" t="str">
        <f>G!AP20</f>
        <v>--</v>
      </c>
      <c r="F38" s="42"/>
      <c r="G38" s="42" t="str">
        <f>G!AS20</f>
        <v/>
      </c>
      <c r="H38" s="43" t="str">
        <f>G!AR20</f>
        <v>--</v>
      </c>
      <c r="I38" s="42" t="str">
        <f>G!AT20</f>
        <v/>
      </c>
      <c r="J38" s="42" t="str">
        <f>G!AU20</f>
        <v/>
      </c>
      <c r="K38" s="43" t="str">
        <f>IFERROR(IF(OR(H38="--",H38="rg",VLOOKUP(F!$B20,E!$B$1:'E'!$AK$300,12,FALSE)=1000000000,I38="-",I38=""),"",(HLOOKUP(SMALL(G!$Q$4:'G'!$Y$4,1),G!$Q$4:'G'!$Y$501,ROW(G!Q20)-3,FALSE))/VLOOKUP(F!$B20,E!$B$1:'E'!$AK$300,12,FALSE)*100),"")</f>
        <v/>
      </c>
      <c r="L38" s="43"/>
      <c r="M38" s="43" t="str">
        <f>G!AW20</f>
        <v/>
      </c>
      <c r="N38" s="43" t="str">
        <f>G!AV20</f>
        <v>--</v>
      </c>
      <c r="O38" s="42"/>
      <c r="P38" s="42" t="str">
        <f>G!AY20</f>
        <v/>
      </c>
      <c r="Q38" s="43" t="str">
        <f>G!AX20</f>
        <v>--</v>
      </c>
      <c r="R38" s="42" t="str">
        <f>G!AZ20</f>
        <v/>
      </c>
      <c r="S38" s="42" t="str">
        <f>G!BA20</f>
        <v/>
      </c>
      <c r="T38" s="43" t="str">
        <f>IFERROR(IF(OR(Q38="--",Q38="rg",VLOOKUP(F!$B20,E!$B$1:'E'!$AK$300,12,FALSE)=1000000000,R38="-",R38=""),"",(HLOOKUP(SMALL(G!$Q$4:'G'!$Y$4,4),G!$Q$4:'G'!$Y$501,ROW(G!Z20)-3,FALSE))/VLOOKUP(F!$B20,E!$B$1:'E'!$AK$300,12,FALSE)*100),"")</f>
        <v/>
      </c>
      <c r="U38" s="43"/>
      <c r="V38" s="43" t="str">
        <f>G!BC20</f>
        <v/>
      </c>
      <c r="W38" s="43" t="str">
        <f>G!BB20</f>
        <v>--</v>
      </c>
      <c r="X38" s="43"/>
      <c r="Y38" s="42" t="str">
        <f>G!BE20</f>
        <v/>
      </c>
      <c r="Z38" s="43" t="str">
        <f>G!BD20</f>
        <v>--</v>
      </c>
      <c r="AA38" s="42" t="str">
        <f>G!BF20</f>
        <v/>
      </c>
      <c r="AB38" s="42" t="str">
        <f>G!BG20</f>
        <v/>
      </c>
      <c r="AC38" s="43" t="str">
        <f>IFERROR(IF(OR(Z38="--",Z38="rg",VLOOKUP(F!$B20,E!$B$1:'E'!$AK$300,12,FALSE)=1000000000,AA38="-",AA38=""),"",(HLOOKUP(SMALL(G!$Q$4:'G'!$Y$4,7),G!$Q$4:'G'!$Y$501,ROW(G!AI20)-3,FALSE))/VLOOKUP(F!$B20,E!$B$1:'E'!$AK$300,12,FALSE)*100),"")</f>
        <v/>
      </c>
      <c r="AD38" s="43"/>
      <c r="AE38" s="34"/>
      <c r="AF38" s="34"/>
      <c r="AH38" s="72">
        <f t="shared" si="1"/>
        <v>1</v>
      </c>
      <c r="AJ38" s="34"/>
      <c r="AK38" s="34"/>
    </row>
    <row r="39" spans="1:37" s="72" customFormat="1" ht="9" customHeight="1" x14ac:dyDescent="0.15">
      <c r="A39" s="195" t="str">
        <f>F!A21</f>
        <v>Kobalt</v>
      </c>
      <c r="B39" s="195"/>
      <c r="C39" s="195"/>
      <c r="D39" s="44" t="str">
        <f>G!AQ21</f>
        <v>&lt;</v>
      </c>
      <c r="E39" s="43" t="str">
        <f>G!AP21</f>
        <v>3,0</v>
      </c>
      <c r="F39" s="42"/>
      <c r="G39" s="42" t="str">
        <f>G!AS21</f>
        <v>&lt;</v>
      </c>
      <c r="H39" s="43" t="str">
        <f>G!AR21</f>
        <v>rg</v>
      </c>
      <c r="I39" s="42" t="str">
        <f>G!AT21</f>
        <v>-</v>
      </c>
      <c r="J39" s="42" t="str">
        <f>G!AU21</f>
        <v/>
      </c>
      <c r="K39" s="43" t="str">
        <f>IFERROR(IF(OR(H39="--",H39="rg",VLOOKUP(F!$B21,E!$B$1:'E'!$AK$300,12,FALSE)=1000000000,I39="-",I39=""),"",(HLOOKUP(SMALL(G!$Q$4:'G'!$Y$4,1),G!$Q$4:'G'!$Y$501,ROW(G!Q21)-3,FALSE))/VLOOKUP(F!$B21,E!$B$1:'E'!$AK$300,12,FALSE)*100),"")</f>
        <v/>
      </c>
      <c r="L39" s="43"/>
      <c r="M39" s="43" t="str">
        <f>G!AW21</f>
        <v/>
      </c>
      <c r="N39" s="43" t="str">
        <f>G!AV21</f>
        <v>4,1</v>
      </c>
      <c r="O39" s="42"/>
      <c r="P39" s="42" t="str">
        <f>G!AY21</f>
        <v/>
      </c>
      <c r="Q39" s="43" t="str">
        <f>G!AX21</f>
        <v>7,26</v>
      </c>
      <c r="R39" s="42" t="str">
        <f>G!AZ21</f>
        <v>-</v>
      </c>
      <c r="S39" s="42" t="str">
        <f>G!BA21</f>
        <v/>
      </c>
      <c r="T39" s="43" t="str">
        <f>IFERROR(IF(OR(Q39="--",Q39="rg",VLOOKUP(F!$B21,E!$B$1:'E'!$AK$300,12,FALSE)=1000000000,R39="-",R39=""),"",(HLOOKUP(SMALL(G!$Q$4:'G'!$Y$4,4),G!$Q$4:'G'!$Y$501,ROW(G!Z21)-3,FALSE))/VLOOKUP(F!$B21,E!$B$1:'E'!$AK$300,12,FALSE)*100),"")</f>
        <v/>
      </c>
      <c r="U39" s="43"/>
      <c r="V39" s="43" t="str">
        <f>G!BC21</f>
        <v/>
      </c>
      <c r="W39" s="43" t="str">
        <f>G!BB21</f>
        <v>3,4</v>
      </c>
      <c r="X39" s="43"/>
      <c r="Y39" s="42" t="str">
        <f>G!BE21</f>
        <v/>
      </c>
      <c r="Z39" s="43" t="str">
        <f>G!BD21</f>
        <v>8,44</v>
      </c>
      <c r="AA39" s="42" t="str">
        <f>G!BF21</f>
        <v>-</v>
      </c>
      <c r="AB39" s="42" t="str">
        <f>G!BG21</f>
        <v/>
      </c>
      <c r="AC39" s="43" t="str">
        <f>IFERROR(IF(OR(Z39="--",Z39="rg",VLOOKUP(F!$B21,E!$B$1:'E'!$AK$300,12,FALSE)=1000000000,AA39="-",AA39=""),"",(HLOOKUP(SMALL(G!$Q$4:'G'!$Y$4,7),G!$Q$4:'G'!$Y$501,ROW(G!AI21)-3,FALSE))/VLOOKUP(F!$B21,E!$B$1:'E'!$AK$300,12,FALSE)*100),"")</f>
        <v/>
      </c>
      <c r="AD39" s="43"/>
      <c r="AE39" s="34"/>
      <c r="AF39" s="34"/>
      <c r="AH39" s="72">
        <f t="shared" si="1"/>
        <v>0</v>
      </c>
      <c r="AJ39" s="34"/>
      <c r="AK39" s="34"/>
    </row>
    <row r="40" spans="1:37" s="72" customFormat="1" ht="9" customHeight="1" x14ac:dyDescent="0.15">
      <c r="A40" s="195" t="str">
        <f>F!A22</f>
        <v>Koper</v>
      </c>
      <c r="B40" s="195"/>
      <c r="C40" s="195"/>
      <c r="D40" s="44" t="str">
        <f>G!AQ22</f>
        <v>&lt;</v>
      </c>
      <c r="E40" s="43" t="str">
        <f>G!AP22</f>
        <v>5,0</v>
      </c>
      <c r="F40" s="42"/>
      <c r="G40" s="42" t="str">
        <f>G!AS22</f>
        <v>&lt;</v>
      </c>
      <c r="H40" s="43" t="str">
        <f>G!AR22</f>
        <v>rg</v>
      </c>
      <c r="I40" s="42" t="str">
        <f>G!AT22</f>
        <v>-</v>
      </c>
      <c r="J40" s="42" t="str">
        <f>G!AU22</f>
        <v/>
      </c>
      <c r="K40" s="43" t="str">
        <f>IFERROR(IF(OR(H40="--",H40="rg",VLOOKUP(F!$B22,E!$B$1:'E'!$AK$300,12,FALSE)=1000000000,I40="-",I40=""),"",(HLOOKUP(SMALL(G!$Q$4:'G'!$Y$4,1),G!$Q$4:'G'!$Y$501,ROW(G!Q22)-3,FALSE))/VLOOKUP(F!$B22,E!$B$1:'E'!$AK$300,12,FALSE)*100),"")</f>
        <v/>
      </c>
      <c r="L40" s="43"/>
      <c r="M40" s="43" t="str">
        <f>G!AW22</f>
        <v>&lt;</v>
      </c>
      <c r="N40" s="43" t="str">
        <f>G!AV22</f>
        <v>5,0</v>
      </c>
      <c r="O40" s="42"/>
      <c r="P40" s="42" t="str">
        <f>G!AY22</f>
        <v>&lt;</v>
      </c>
      <c r="Q40" s="43" t="str">
        <f>G!AX22</f>
        <v>rg</v>
      </c>
      <c r="R40" s="42" t="str">
        <f>G!AZ22</f>
        <v>-</v>
      </c>
      <c r="S40" s="42" t="str">
        <f>G!BA22</f>
        <v/>
      </c>
      <c r="T40" s="43" t="str">
        <f>IFERROR(IF(OR(Q40="--",Q40="rg",VLOOKUP(F!$B22,E!$B$1:'E'!$AK$300,12,FALSE)=1000000000,R40="-",R40=""),"",(HLOOKUP(SMALL(G!$Q$4:'G'!$Y$4,4),G!$Q$4:'G'!$Y$501,ROW(G!Z22)-3,FALSE))/VLOOKUP(F!$B22,E!$B$1:'E'!$AK$300,12,FALSE)*100),"")</f>
        <v/>
      </c>
      <c r="U40" s="43"/>
      <c r="V40" s="43" t="str">
        <f>G!BC22</f>
        <v>&lt;</v>
      </c>
      <c r="W40" s="43" t="str">
        <f>G!BB22</f>
        <v>5,0</v>
      </c>
      <c r="X40" s="43"/>
      <c r="Y40" s="42" t="str">
        <f>G!BE22</f>
        <v>&lt;</v>
      </c>
      <c r="Z40" s="43" t="str">
        <f>G!BD22</f>
        <v>rg</v>
      </c>
      <c r="AA40" s="42" t="str">
        <f>G!BF22</f>
        <v>-</v>
      </c>
      <c r="AB40" s="42" t="str">
        <f>G!BG22</f>
        <v/>
      </c>
      <c r="AC40" s="43" t="str">
        <f>IFERROR(IF(OR(Z40="--",Z40="rg",VLOOKUP(F!$B22,E!$B$1:'E'!$AK$300,12,FALSE)=1000000000,AA40="-",AA40=""),"",(HLOOKUP(SMALL(G!$Q$4:'G'!$Y$4,7),G!$Q$4:'G'!$Y$501,ROW(G!AI22)-3,FALSE))/VLOOKUP(F!$B22,E!$B$1:'E'!$AK$300,12,FALSE)*100),"")</f>
        <v/>
      </c>
      <c r="AD40" s="43"/>
      <c r="AE40" s="34"/>
      <c r="AF40" s="34"/>
      <c r="AH40" s="72">
        <f t="shared" si="1"/>
        <v>0</v>
      </c>
      <c r="AJ40" s="34"/>
      <c r="AK40" s="34"/>
    </row>
    <row r="41" spans="1:37" s="72" customFormat="1" ht="9" customHeight="1" x14ac:dyDescent="0.15">
      <c r="A41" s="195" t="str">
        <f>F!A23</f>
        <v>Kwik</v>
      </c>
      <c r="B41" s="195"/>
      <c r="C41" s="195"/>
      <c r="D41" s="44" t="str">
        <f>G!AQ23</f>
        <v>&lt;</v>
      </c>
      <c r="E41" s="43" t="str">
        <f>G!AP23</f>
        <v>0,05</v>
      </c>
      <c r="F41" s="42"/>
      <c r="G41" s="42" t="str">
        <f>G!AS23</f>
        <v>&lt;</v>
      </c>
      <c r="H41" s="43" t="str">
        <f>G!AR23</f>
        <v>rg</v>
      </c>
      <c r="I41" s="42" t="str">
        <f>G!AT23</f>
        <v>-</v>
      </c>
      <c r="J41" s="42" t="str">
        <f>G!AU23</f>
        <v/>
      </c>
      <c r="K41" s="43" t="str">
        <f>IFERROR(IF(OR(H41="--",H41="rg",VLOOKUP(F!$B23,E!$B$1:'E'!$AK$300,12,FALSE)=1000000000,I41="-",I41=""),"",(HLOOKUP(SMALL(G!$Q$4:'G'!$Y$4,1),G!$Q$4:'G'!$Y$501,ROW(G!Q23)-3,FALSE))/VLOOKUP(F!$B23,E!$B$1:'E'!$AK$300,12,FALSE)*100),"")</f>
        <v/>
      </c>
      <c r="L41" s="43"/>
      <c r="M41" s="43" t="str">
        <f>G!AW23</f>
        <v>&lt;</v>
      </c>
      <c r="N41" s="43" t="str">
        <f>G!AV23</f>
        <v>0,05</v>
      </c>
      <c r="O41" s="42"/>
      <c r="P41" s="42" t="str">
        <f>G!AY23</f>
        <v>&lt;</v>
      </c>
      <c r="Q41" s="43" t="str">
        <f>G!AX23</f>
        <v>rg</v>
      </c>
      <c r="R41" s="42" t="str">
        <f>G!AZ23</f>
        <v>-</v>
      </c>
      <c r="S41" s="42" t="str">
        <f>G!BA23</f>
        <v/>
      </c>
      <c r="T41" s="43" t="str">
        <f>IFERROR(IF(OR(Q41="--",Q41="rg",VLOOKUP(F!$B23,E!$B$1:'E'!$AK$300,12,FALSE)=1000000000,R41="-",R41=""),"",(HLOOKUP(SMALL(G!$Q$4:'G'!$Y$4,4),G!$Q$4:'G'!$Y$501,ROW(G!Z23)-3,FALSE))/VLOOKUP(F!$B23,E!$B$1:'E'!$AK$300,12,FALSE)*100),"")</f>
        <v/>
      </c>
      <c r="U41" s="43"/>
      <c r="V41" s="43" t="str">
        <f>G!BC23</f>
        <v>&lt;</v>
      </c>
      <c r="W41" s="43" t="str">
        <f>G!BB23</f>
        <v>0,05</v>
      </c>
      <c r="X41" s="43"/>
      <c r="Y41" s="42" t="str">
        <f>G!BE23</f>
        <v>&lt;</v>
      </c>
      <c r="Z41" s="43" t="str">
        <f>G!BD23</f>
        <v>rg</v>
      </c>
      <c r="AA41" s="42" t="str">
        <f>G!BF23</f>
        <v>-</v>
      </c>
      <c r="AB41" s="42" t="str">
        <f>G!BG23</f>
        <v/>
      </c>
      <c r="AC41" s="43" t="str">
        <f>IFERROR(IF(OR(Z41="--",Z41="rg",VLOOKUP(F!$B23,E!$B$1:'E'!$AK$300,12,FALSE)=1000000000,AA41="-",AA41=""),"",(HLOOKUP(SMALL(G!$Q$4:'G'!$Y$4,7),G!$Q$4:'G'!$Y$501,ROW(G!AI23)-3,FALSE))/VLOOKUP(F!$B23,E!$B$1:'E'!$AK$300,12,FALSE)*100),"")</f>
        <v/>
      </c>
      <c r="AD41" s="43"/>
      <c r="AE41" s="34"/>
      <c r="AF41" s="34"/>
      <c r="AH41" s="72">
        <f t="shared" si="1"/>
        <v>0</v>
      </c>
      <c r="AJ41" s="34"/>
      <c r="AK41" s="34"/>
    </row>
    <row r="42" spans="1:37" s="72" customFormat="1" ht="9" hidden="1" customHeight="1" x14ac:dyDescent="0.15">
      <c r="A42" s="195" t="str">
        <f>F!A24</f>
        <v>Kwik (anorganisch)</v>
      </c>
      <c r="B42" s="195"/>
      <c r="C42" s="195"/>
      <c r="D42" s="44" t="str">
        <f>G!AQ24</f>
        <v/>
      </c>
      <c r="E42" s="43" t="str">
        <f>G!AP24</f>
        <v>--</v>
      </c>
      <c r="F42" s="42"/>
      <c r="G42" s="42" t="str">
        <f>G!AS24</f>
        <v/>
      </c>
      <c r="H42" s="43" t="str">
        <f>G!AR24</f>
        <v>--</v>
      </c>
      <c r="I42" s="42" t="str">
        <f>G!AT24</f>
        <v/>
      </c>
      <c r="J42" s="42" t="str">
        <f>G!AU24</f>
        <v/>
      </c>
      <c r="K42" s="43" t="str">
        <f>IFERROR(IF(OR(H42="--",H42="rg",VLOOKUP(F!$B24,E!$B$1:'E'!$AK$300,12,FALSE)=1000000000,I42="-",I42=""),"",(HLOOKUP(SMALL(G!$Q$4:'G'!$Y$4,1),G!$Q$4:'G'!$Y$501,ROW(G!Q24)-3,FALSE))/VLOOKUP(F!$B24,E!$B$1:'E'!$AK$300,12,FALSE)*100),"")</f>
        <v/>
      </c>
      <c r="L42" s="43"/>
      <c r="M42" s="43" t="str">
        <f>G!AW24</f>
        <v/>
      </c>
      <c r="N42" s="43" t="str">
        <f>G!AV24</f>
        <v>--</v>
      </c>
      <c r="O42" s="42"/>
      <c r="P42" s="42" t="str">
        <f>G!AY24</f>
        <v/>
      </c>
      <c r="Q42" s="43" t="str">
        <f>G!AX24</f>
        <v>--</v>
      </c>
      <c r="R42" s="42" t="str">
        <f>G!AZ24</f>
        <v/>
      </c>
      <c r="S42" s="42" t="str">
        <f>G!BA24</f>
        <v/>
      </c>
      <c r="T42" s="43" t="str">
        <f>IFERROR(IF(OR(Q42="--",Q42="rg",VLOOKUP(F!$B24,E!$B$1:'E'!$AK$300,12,FALSE)=1000000000,R42="-",R42=""),"",(HLOOKUP(SMALL(G!$Q$4:'G'!$Y$4,4),G!$Q$4:'G'!$Y$501,ROW(G!Z24)-3,FALSE))/VLOOKUP(F!$B24,E!$B$1:'E'!$AK$300,12,FALSE)*100),"")</f>
        <v/>
      </c>
      <c r="U42" s="43"/>
      <c r="V42" s="43" t="str">
        <f>G!BC24</f>
        <v/>
      </c>
      <c r="W42" s="43" t="str">
        <f>G!BB24</f>
        <v>--</v>
      </c>
      <c r="X42" s="43"/>
      <c r="Y42" s="42" t="str">
        <f>G!BE24</f>
        <v/>
      </c>
      <c r="Z42" s="43" t="str">
        <f>G!BD24</f>
        <v>--</v>
      </c>
      <c r="AA42" s="42" t="str">
        <f>G!BF24</f>
        <v/>
      </c>
      <c r="AB42" s="42" t="str">
        <f>G!BG24</f>
        <v/>
      </c>
      <c r="AC42" s="43" t="str">
        <f>IFERROR(IF(OR(Z42="--",Z42="rg",VLOOKUP(F!$B24,E!$B$1:'E'!$AK$300,12,FALSE)=1000000000,AA42="-",AA42=""),"",(HLOOKUP(SMALL(G!$Q$4:'G'!$Y$4,7),G!$Q$4:'G'!$Y$501,ROW(G!AI24)-3,FALSE))/VLOOKUP(F!$B24,E!$B$1:'E'!$AK$300,12,FALSE)*100),"")</f>
        <v/>
      </c>
      <c r="AD42" s="43"/>
      <c r="AE42" s="34"/>
      <c r="AF42" s="34"/>
      <c r="AH42" s="72">
        <f t="shared" si="1"/>
        <v>1</v>
      </c>
      <c r="AJ42" s="34"/>
      <c r="AK42" s="34"/>
    </row>
    <row r="43" spans="1:37" s="72" customFormat="1" ht="9" hidden="1" customHeight="1" x14ac:dyDescent="0.15">
      <c r="A43" s="195" t="str">
        <f>F!A25</f>
        <v>Kwik (organisch)</v>
      </c>
      <c r="B43" s="195"/>
      <c r="C43" s="195"/>
      <c r="D43" s="44" t="str">
        <f>G!AQ25</f>
        <v/>
      </c>
      <c r="E43" s="43" t="str">
        <f>G!AP25</f>
        <v>--</v>
      </c>
      <c r="F43" s="42"/>
      <c r="G43" s="42" t="str">
        <f>G!AS25</f>
        <v/>
      </c>
      <c r="H43" s="43" t="str">
        <f>G!AR25</f>
        <v>--</v>
      </c>
      <c r="I43" s="42" t="str">
        <f>G!AT25</f>
        <v/>
      </c>
      <c r="J43" s="42" t="str">
        <f>G!AU25</f>
        <v/>
      </c>
      <c r="K43" s="43" t="str">
        <f>IFERROR(IF(OR(H43="--",H43="rg",VLOOKUP(F!$B25,E!$B$1:'E'!$AK$300,12,FALSE)=1000000000,I43="-",I43=""),"",(HLOOKUP(SMALL(G!$Q$4:'G'!$Y$4,1),G!$Q$4:'G'!$Y$501,ROW(G!Q25)-3,FALSE))/VLOOKUP(F!$B25,E!$B$1:'E'!$AK$300,12,FALSE)*100),"")</f>
        <v/>
      </c>
      <c r="L43" s="43"/>
      <c r="M43" s="43" t="str">
        <f>G!AW25</f>
        <v/>
      </c>
      <c r="N43" s="43" t="str">
        <f>G!AV25</f>
        <v>--</v>
      </c>
      <c r="O43" s="42"/>
      <c r="P43" s="42" t="str">
        <f>G!AY25</f>
        <v/>
      </c>
      <c r="Q43" s="43" t="str">
        <f>G!AX25</f>
        <v>--</v>
      </c>
      <c r="R43" s="42" t="str">
        <f>G!AZ25</f>
        <v/>
      </c>
      <c r="S43" s="42" t="str">
        <f>G!BA25</f>
        <v/>
      </c>
      <c r="T43" s="43" t="str">
        <f>IFERROR(IF(OR(Q43="--",Q43="rg",VLOOKUP(F!$B25,E!$B$1:'E'!$AK$300,12,FALSE)=1000000000,R43="-",R43=""),"",(HLOOKUP(SMALL(G!$Q$4:'G'!$Y$4,4),G!$Q$4:'G'!$Y$501,ROW(G!Z25)-3,FALSE))/VLOOKUP(F!$B25,E!$B$1:'E'!$AK$300,12,FALSE)*100),"")</f>
        <v/>
      </c>
      <c r="U43" s="43"/>
      <c r="V43" s="43" t="str">
        <f>G!BC25</f>
        <v/>
      </c>
      <c r="W43" s="43" t="str">
        <f>G!BB25</f>
        <v>--</v>
      </c>
      <c r="X43" s="43"/>
      <c r="Y43" s="42" t="str">
        <f>G!BE25</f>
        <v/>
      </c>
      <c r="Z43" s="43" t="str">
        <f>G!BD25</f>
        <v>--</v>
      </c>
      <c r="AA43" s="42" t="str">
        <f>G!BF25</f>
        <v/>
      </c>
      <c r="AB43" s="42" t="str">
        <f>G!BG25</f>
        <v/>
      </c>
      <c r="AC43" s="43" t="str">
        <f>IFERROR(IF(OR(Z43="--",Z43="rg",VLOOKUP(F!$B25,E!$B$1:'E'!$AK$300,12,FALSE)=1000000000,AA43="-",AA43=""),"",(HLOOKUP(SMALL(G!$Q$4:'G'!$Y$4,7),G!$Q$4:'G'!$Y$501,ROW(G!AI25)-3,FALSE))/VLOOKUP(F!$B25,E!$B$1:'E'!$AK$300,12,FALSE)*100),"")</f>
        <v/>
      </c>
      <c r="AD43" s="43"/>
      <c r="AE43" s="34"/>
      <c r="AF43" s="34"/>
      <c r="AH43" s="72">
        <f t="shared" si="1"/>
        <v>1</v>
      </c>
      <c r="AJ43" s="34"/>
      <c r="AK43" s="34"/>
    </row>
    <row r="44" spans="1:37" s="72" customFormat="1" ht="9" customHeight="1" x14ac:dyDescent="0.15">
      <c r="A44" s="195" t="str">
        <f>F!A26</f>
        <v>Lood</v>
      </c>
      <c r="B44" s="195"/>
      <c r="C44" s="195"/>
      <c r="D44" s="44" t="str">
        <f>G!AQ26</f>
        <v>&lt;</v>
      </c>
      <c r="E44" s="43" t="str">
        <f>G!AP26</f>
        <v>10</v>
      </c>
      <c r="F44" s="42"/>
      <c r="G44" s="42" t="str">
        <f>G!AS26</f>
        <v>&lt;</v>
      </c>
      <c r="H44" s="43" t="str">
        <f>G!AR26</f>
        <v>rg</v>
      </c>
      <c r="I44" s="42" t="str">
        <f>G!AT26</f>
        <v>-</v>
      </c>
      <c r="J44" s="42" t="str">
        <f>G!AU26</f>
        <v/>
      </c>
      <c r="K44" s="43" t="str">
        <f>IFERROR(IF(OR(H44="--",H44="rg",VLOOKUP(F!$B26,E!$B$1:'E'!$AK$300,12,FALSE)=1000000000,I44="-",I44=""),"",(HLOOKUP(SMALL(G!$Q$4:'G'!$Y$4,1),G!$Q$4:'G'!$Y$501,ROW(G!Q26)-3,FALSE))/VLOOKUP(F!$B26,E!$B$1:'E'!$AK$300,12,FALSE)*100),"")</f>
        <v/>
      </c>
      <c r="L44" s="43"/>
      <c r="M44" s="43" t="str">
        <f>G!AW26</f>
        <v>&lt;</v>
      </c>
      <c r="N44" s="43" t="str">
        <f>G!AV26</f>
        <v>10</v>
      </c>
      <c r="O44" s="42"/>
      <c r="P44" s="42" t="str">
        <f>G!AY26</f>
        <v>&lt;</v>
      </c>
      <c r="Q44" s="43" t="str">
        <f>G!AX26</f>
        <v>rg</v>
      </c>
      <c r="R44" s="42" t="str">
        <f>G!AZ26</f>
        <v>-</v>
      </c>
      <c r="S44" s="42" t="str">
        <f>G!BA26</f>
        <v/>
      </c>
      <c r="T44" s="43" t="str">
        <f>IFERROR(IF(OR(Q44="--",Q44="rg",VLOOKUP(F!$B26,E!$B$1:'E'!$AK$300,12,FALSE)=1000000000,R44="-",R44=""),"",(HLOOKUP(SMALL(G!$Q$4:'G'!$Y$4,4),G!$Q$4:'G'!$Y$501,ROW(G!Z26)-3,FALSE))/VLOOKUP(F!$B26,E!$B$1:'E'!$AK$300,12,FALSE)*100),"")</f>
        <v/>
      </c>
      <c r="U44" s="43"/>
      <c r="V44" s="43" t="str">
        <f>G!BC26</f>
        <v>&lt;</v>
      </c>
      <c r="W44" s="43" t="str">
        <f>G!BB26</f>
        <v>10</v>
      </c>
      <c r="X44" s="43"/>
      <c r="Y44" s="42" t="str">
        <f>G!BE26</f>
        <v>&lt;</v>
      </c>
      <c r="Z44" s="43" t="str">
        <f>G!BD26</f>
        <v>rg</v>
      </c>
      <c r="AA44" s="42" t="str">
        <f>G!BF26</f>
        <v>-</v>
      </c>
      <c r="AB44" s="42" t="str">
        <f>G!BG26</f>
        <v/>
      </c>
      <c r="AC44" s="43" t="str">
        <f>IFERROR(IF(OR(Z44="--",Z44="rg",VLOOKUP(F!$B26,E!$B$1:'E'!$AK$300,12,FALSE)=1000000000,AA44="-",AA44=""),"",(HLOOKUP(SMALL(G!$Q$4:'G'!$Y$4,7),G!$Q$4:'G'!$Y$501,ROW(G!AI26)-3,FALSE))/VLOOKUP(F!$B26,E!$B$1:'E'!$AK$300,12,FALSE)*100),"")</f>
        <v/>
      </c>
      <c r="AD44" s="43"/>
      <c r="AE44" s="34"/>
      <c r="AF44" s="34"/>
      <c r="AH44" s="72">
        <f t="shared" si="1"/>
        <v>0</v>
      </c>
      <c r="AJ44" s="34"/>
      <c r="AK44" s="34"/>
    </row>
    <row r="45" spans="1:37" s="72" customFormat="1" ht="9" customHeight="1" x14ac:dyDescent="0.15">
      <c r="A45" s="195" t="str">
        <f>F!A27</f>
        <v>Molybdeen</v>
      </c>
      <c r="B45" s="195"/>
      <c r="C45" s="195"/>
      <c r="D45" s="44" t="str">
        <f>G!AQ27</f>
        <v>&lt;</v>
      </c>
      <c r="E45" s="43" t="str">
        <f>G!AP27</f>
        <v>1,5</v>
      </c>
      <c r="F45" s="42"/>
      <c r="G45" s="42" t="str">
        <f>G!AS27</f>
        <v>&lt;</v>
      </c>
      <c r="H45" s="43" t="str">
        <f>G!AR27</f>
        <v>rg</v>
      </c>
      <c r="I45" s="42" t="str">
        <f>G!AT27</f>
        <v>-</v>
      </c>
      <c r="J45" s="42" t="str">
        <f>G!AU27</f>
        <v/>
      </c>
      <c r="K45" s="43" t="str">
        <f>IFERROR(IF(OR(H45="--",H45="rg",VLOOKUP(F!$B27,E!$B$1:'E'!$AK$300,12,FALSE)=1000000000,I45="-",I45=""),"",(HLOOKUP(SMALL(G!$Q$4:'G'!$Y$4,1),G!$Q$4:'G'!$Y$501,ROW(G!Q27)-3,FALSE))/VLOOKUP(F!$B27,E!$B$1:'E'!$AK$300,12,FALSE)*100),"")</f>
        <v/>
      </c>
      <c r="L45" s="43"/>
      <c r="M45" s="43" t="str">
        <f>G!AW27</f>
        <v>&lt;</v>
      </c>
      <c r="N45" s="43" t="str">
        <f>G!AV27</f>
        <v>1,5</v>
      </c>
      <c r="O45" s="42"/>
      <c r="P45" s="42" t="str">
        <f>G!AY27</f>
        <v>&lt;</v>
      </c>
      <c r="Q45" s="43" t="str">
        <f>G!AX27</f>
        <v>rg</v>
      </c>
      <c r="R45" s="42" t="str">
        <f>G!AZ27</f>
        <v>-</v>
      </c>
      <c r="S45" s="42" t="str">
        <f>G!BA27</f>
        <v/>
      </c>
      <c r="T45" s="43" t="str">
        <f>IFERROR(IF(OR(Q45="--",Q45="rg",VLOOKUP(F!$B27,E!$B$1:'E'!$AK$300,12,FALSE)=1000000000,R45="-",R45=""),"",(HLOOKUP(SMALL(G!$Q$4:'G'!$Y$4,4),G!$Q$4:'G'!$Y$501,ROW(G!Z27)-3,FALSE))/VLOOKUP(F!$B27,E!$B$1:'E'!$AK$300,12,FALSE)*100),"")</f>
        <v/>
      </c>
      <c r="U45" s="43"/>
      <c r="V45" s="43" t="str">
        <f>G!BC27</f>
        <v>&lt;</v>
      </c>
      <c r="W45" s="43" t="str">
        <f>G!BB27</f>
        <v>1,5</v>
      </c>
      <c r="X45" s="43"/>
      <c r="Y45" s="42" t="str">
        <f>G!BE27</f>
        <v>&lt;</v>
      </c>
      <c r="Z45" s="43" t="str">
        <f>G!BD27</f>
        <v>rg</v>
      </c>
      <c r="AA45" s="42" t="str">
        <f>G!BF27</f>
        <v>-</v>
      </c>
      <c r="AB45" s="42" t="str">
        <f>G!BG27</f>
        <v/>
      </c>
      <c r="AC45" s="43" t="str">
        <f>IFERROR(IF(OR(Z45="--",Z45="rg",VLOOKUP(F!$B27,E!$B$1:'E'!$AK$300,12,FALSE)=1000000000,AA45="-",AA45=""),"",(HLOOKUP(SMALL(G!$Q$4:'G'!$Y$4,7),G!$Q$4:'G'!$Y$501,ROW(G!AI27)-3,FALSE))/VLOOKUP(F!$B27,E!$B$1:'E'!$AK$300,12,FALSE)*100),"")</f>
        <v/>
      </c>
      <c r="AD45" s="43"/>
      <c r="AE45" s="34"/>
      <c r="AF45" s="34"/>
      <c r="AH45" s="72">
        <f t="shared" si="1"/>
        <v>0</v>
      </c>
      <c r="AJ45" s="34"/>
      <c r="AK45" s="34"/>
    </row>
    <row r="46" spans="1:37" s="72" customFormat="1" ht="9" customHeight="1" x14ac:dyDescent="0.15">
      <c r="A46" s="195" t="str">
        <f>F!A28</f>
        <v>Nikkel</v>
      </c>
      <c r="B46" s="195"/>
      <c r="C46" s="195"/>
      <c r="D46" s="44" t="str">
        <f>G!AQ28</f>
        <v/>
      </c>
      <c r="E46" s="43" t="str">
        <f>G!AP28</f>
        <v>8,0</v>
      </c>
      <c r="F46" s="42"/>
      <c r="G46" s="42" t="str">
        <f>G!AS28</f>
        <v/>
      </c>
      <c r="H46" s="43" t="str">
        <f>G!AR28</f>
        <v>23,3</v>
      </c>
      <c r="I46" s="42" t="str">
        <f>G!AT28</f>
        <v>-</v>
      </c>
      <c r="J46" s="42" t="str">
        <f>G!AU28</f>
        <v/>
      </c>
      <c r="K46" s="43" t="str">
        <f>IFERROR(IF(OR(H46="--",H46="rg",VLOOKUP(F!$B28,E!$B$1:'E'!$AK$300,12,FALSE)=1000000000,I46="-",I46=""),"",(HLOOKUP(SMALL(G!$Q$4:'G'!$Y$4,1),G!$Q$4:'G'!$Y$501,ROW(G!Q28)-3,FALSE))/VLOOKUP(F!$B28,E!$B$1:'E'!$AK$300,12,FALSE)*100),"")</f>
        <v/>
      </c>
      <c r="L46" s="43"/>
      <c r="M46" s="43" t="str">
        <f>G!AW28</f>
        <v/>
      </c>
      <c r="N46" s="43" t="str">
        <f>G!AV28</f>
        <v>13</v>
      </c>
      <c r="O46" s="42"/>
      <c r="P46" s="42" t="str">
        <f>G!AY28</f>
        <v/>
      </c>
      <c r="Q46" s="43" t="str">
        <f>G!AX28</f>
        <v>21,7</v>
      </c>
      <c r="R46" s="42" t="str">
        <f>G!AZ28</f>
        <v>-</v>
      </c>
      <c r="S46" s="42" t="str">
        <f>G!BA28</f>
        <v/>
      </c>
      <c r="T46" s="43" t="str">
        <f>IFERROR(IF(OR(Q46="--",Q46="rg",VLOOKUP(F!$B28,E!$B$1:'E'!$AK$300,12,FALSE)=1000000000,R46="-",R46=""),"",(HLOOKUP(SMALL(G!$Q$4:'G'!$Y$4,4),G!$Q$4:'G'!$Y$501,ROW(G!Z28)-3,FALSE))/VLOOKUP(F!$B28,E!$B$1:'E'!$AK$300,12,FALSE)*100),"")</f>
        <v/>
      </c>
      <c r="U46" s="43"/>
      <c r="V46" s="43" t="str">
        <f>G!BC28</f>
        <v/>
      </c>
      <c r="W46" s="43" t="str">
        <f>G!BB28</f>
        <v>10</v>
      </c>
      <c r="X46" s="43"/>
      <c r="Y46" s="42" t="str">
        <f>G!BE28</f>
        <v/>
      </c>
      <c r="Z46" s="43" t="str">
        <f>G!BD28</f>
        <v>22,2</v>
      </c>
      <c r="AA46" s="42" t="str">
        <f>G!BF28</f>
        <v>-</v>
      </c>
      <c r="AB46" s="42" t="str">
        <f>G!BG28</f>
        <v/>
      </c>
      <c r="AC46" s="43" t="str">
        <f>IFERROR(IF(OR(Z46="--",Z46="rg",VLOOKUP(F!$B28,E!$B$1:'E'!$AK$300,12,FALSE)=1000000000,AA46="-",AA46=""),"",(HLOOKUP(SMALL(G!$Q$4:'G'!$Y$4,7),G!$Q$4:'G'!$Y$501,ROW(G!AI28)-3,FALSE))/VLOOKUP(F!$B28,E!$B$1:'E'!$AK$300,12,FALSE)*100),"")</f>
        <v/>
      </c>
      <c r="AD46" s="43"/>
      <c r="AE46" s="34"/>
      <c r="AF46" s="34"/>
      <c r="AH46" s="72">
        <f t="shared" si="1"/>
        <v>0</v>
      </c>
      <c r="AJ46" s="34"/>
      <c r="AK46" s="34"/>
    </row>
    <row r="47" spans="1:37" s="72" customFormat="1" ht="9" hidden="1" customHeight="1" x14ac:dyDescent="0.15">
      <c r="A47" s="195" t="str">
        <f>F!A29</f>
        <v>Seleen</v>
      </c>
      <c r="B47" s="195"/>
      <c r="C47" s="195"/>
      <c r="D47" s="44" t="str">
        <f>G!AQ29</f>
        <v/>
      </c>
      <c r="E47" s="43" t="str">
        <f>G!AP29</f>
        <v>--</v>
      </c>
      <c r="F47" s="42"/>
      <c r="G47" s="42" t="str">
        <f>G!AS29</f>
        <v/>
      </c>
      <c r="H47" s="43" t="str">
        <f>G!AR29</f>
        <v>--</v>
      </c>
      <c r="I47" s="42" t="str">
        <f>G!AT29</f>
        <v/>
      </c>
      <c r="J47" s="42" t="str">
        <f>G!AU29</f>
        <v/>
      </c>
      <c r="K47" s="43" t="str">
        <f>IFERROR(IF(OR(H47="--",H47="rg",VLOOKUP(F!$B29,E!$B$1:'E'!$AK$300,12,FALSE)=1000000000,I47="-",I47=""),"",(HLOOKUP(SMALL(G!$Q$4:'G'!$Y$4,1),G!$Q$4:'G'!$Y$501,ROW(G!Q29)-3,FALSE))/VLOOKUP(F!$B29,E!$B$1:'E'!$AK$300,12,FALSE)*100),"")</f>
        <v/>
      </c>
      <c r="L47" s="43"/>
      <c r="M47" s="43" t="str">
        <f>G!AW29</f>
        <v/>
      </c>
      <c r="N47" s="43" t="str">
        <f>G!AV29</f>
        <v>--</v>
      </c>
      <c r="O47" s="42"/>
      <c r="P47" s="42" t="str">
        <f>G!AY29</f>
        <v/>
      </c>
      <c r="Q47" s="43" t="str">
        <f>G!AX29</f>
        <v>--</v>
      </c>
      <c r="R47" s="42" t="str">
        <f>G!AZ29</f>
        <v/>
      </c>
      <c r="S47" s="42" t="str">
        <f>G!BA29</f>
        <v/>
      </c>
      <c r="T47" s="43" t="str">
        <f>IFERROR(IF(OR(Q47="--",Q47="rg",VLOOKUP(F!$B29,E!$B$1:'E'!$AK$300,12,FALSE)=1000000000,R47="-",R47=""),"",(HLOOKUP(SMALL(G!$Q$4:'G'!$Y$4,4),G!$Q$4:'G'!$Y$501,ROW(G!Z29)-3,FALSE))/VLOOKUP(F!$B29,E!$B$1:'E'!$AK$300,12,FALSE)*100),"")</f>
        <v/>
      </c>
      <c r="U47" s="43"/>
      <c r="V47" s="43" t="str">
        <f>G!BC29</f>
        <v/>
      </c>
      <c r="W47" s="43" t="str">
        <f>G!BB29</f>
        <v>--</v>
      </c>
      <c r="X47" s="43"/>
      <c r="Y47" s="42" t="str">
        <f>G!BE29</f>
        <v/>
      </c>
      <c r="Z47" s="43" t="str">
        <f>G!BD29</f>
        <v>--</v>
      </c>
      <c r="AA47" s="42" t="str">
        <f>G!BF29</f>
        <v/>
      </c>
      <c r="AB47" s="42" t="str">
        <f>G!BG29</f>
        <v/>
      </c>
      <c r="AC47" s="43" t="str">
        <f>IFERROR(IF(OR(Z47="--",Z47="rg",VLOOKUP(F!$B29,E!$B$1:'E'!$AK$300,12,FALSE)=1000000000,AA47="-",AA47=""),"",(HLOOKUP(SMALL(G!$Q$4:'G'!$Y$4,7),G!$Q$4:'G'!$Y$501,ROW(G!AI29)-3,FALSE))/VLOOKUP(F!$B29,E!$B$1:'E'!$AK$300,12,FALSE)*100),"")</f>
        <v/>
      </c>
      <c r="AD47" s="43"/>
      <c r="AE47" s="34"/>
      <c r="AF47" s="34"/>
      <c r="AH47" s="72">
        <f t="shared" si="1"/>
        <v>1</v>
      </c>
      <c r="AJ47" s="34"/>
      <c r="AK47" s="34"/>
    </row>
    <row r="48" spans="1:37" s="72" customFormat="1" ht="9" hidden="1" customHeight="1" x14ac:dyDescent="0.15">
      <c r="A48" s="195" t="str">
        <f>F!A30</f>
        <v>Tin</v>
      </c>
      <c r="B48" s="195"/>
      <c r="C48" s="195"/>
      <c r="D48" s="44" t="str">
        <f>G!AQ30</f>
        <v/>
      </c>
      <c r="E48" s="43" t="str">
        <f>G!AP30</f>
        <v>--</v>
      </c>
      <c r="F48" s="42"/>
      <c r="G48" s="42" t="str">
        <f>G!AS30</f>
        <v/>
      </c>
      <c r="H48" s="43" t="str">
        <f>G!AR30</f>
        <v>--</v>
      </c>
      <c r="I48" s="42" t="str">
        <f>G!AT30</f>
        <v/>
      </c>
      <c r="J48" s="42" t="str">
        <f>G!AU30</f>
        <v/>
      </c>
      <c r="K48" s="43" t="str">
        <f>IFERROR(IF(OR(H48="--",H48="rg",VLOOKUP(F!$B30,E!$B$1:'E'!$AK$300,12,FALSE)=1000000000,I48="-",I48=""),"",(HLOOKUP(SMALL(G!$Q$4:'G'!$Y$4,1),G!$Q$4:'G'!$Y$501,ROW(G!Q30)-3,FALSE))/VLOOKUP(F!$B30,E!$B$1:'E'!$AK$300,12,FALSE)*100),"")</f>
        <v/>
      </c>
      <c r="L48" s="43"/>
      <c r="M48" s="43" t="str">
        <f>G!AW30</f>
        <v/>
      </c>
      <c r="N48" s="43" t="str">
        <f>G!AV30</f>
        <v>--</v>
      </c>
      <c r="O48" s="42"/>
      <c r="P48" s="42" t="str">
        <f>G!AY30</f>
        <v/>
      </c>
      <c r="Q48" s="43" t="str">
        <f>G!AX30</f>
        <v>--</v>
      </c>
      <c r="R48" s="42" t="str">
        <f>G!AZ30</f>
        <v/>
      </c>
      <c r="S48" s="42" t="str">
        <f>G!BA30</f>
        <v/>
      </c>
      <c r="T48" s="43" t="str">
        <f>IFERROR(IF(OR(Q48="--",Q48="rg",VLOOKUP(F!$B30,E!$B$1:'E'!$AK$300,12,FALSE)=1000000000,R48="-",R48=""),"",(HLOOKUP(SMALL(G!$Q$4:'G'!$Y$4,4),G!$Q$4:'G'!$Y$501,ROW(G!Z30)-3,FALSE))/VLOOKUP(F!$B30,E!$B$1:'E'!$AK$300,12,FALSE)*100),"")</f>
        <v/>
      </c>
      <c r="U48" s="43"/>
      <c r="V48" s="43" t="str">
        <f>G!BC30</f>
        <v/>
      </c>
      <c r="W48" s="43" t="str">
        <f>G!BB30</f>
        <v>--</v>
      </c>
      <c r="X48" s="43"/>
      <c r="Y48" s="42" t="str">
        <f>G!BE30</f>
        <v/>
      </c>
      <c r="Z48" s="43" t="str">
        <f>G!BD30</f>
        <v>--</v>
      </c>
      <c r="AA48" s="42" t="str">
        <f>G!BF30</f>
        <v/>
      </c>
      <c r="AB48" s="42" t="str">
        <f>G!BG30</f>
        <v/>
      </c>
      <c r="AC48" s="43" t="str">
        <f>IFERROR(IF(OR(Z48="--",Z48="rg",VLOOKUP(F!$B30,E!$B$1:'E'!$AK$300,12,FALSE)=1000000000,AA48="-",AA48=""),"",(HLOOKUP(SMALL(G!$Q$4:'G'!$Y$4,7),G!$Q$4:'G'!$Y$501,ROW(G!AI30)-3,FALSE))/VLOOKUP(F!$B30,E!$B$1:'E'!$AK$300,12,FALSE)*100),"")</f>
        <v/>
      </c>
      <c r="AD48" s="43"/>
      <c r="AE48" s="34"/>
      <c r="AF48" s="34"/>
      <c r="AH48" s="72">
        <f t="shared" si="1"/>
        <v>1</v>
      </c>
      <c r="AJ48" s="34"/>
      <c r="AK48" s="34"/>
    </row>
    <row r="49" spans="1:37" s="72" customFormat="1" ht="9" hidden="1" customHeight="1" x14ac:dyDescent="0.15">
      <c r="A49" s="195" t="str">
        <f>F!A31</f>
        <v>Vanadium</v>
      </c>
      <c r="B49" s="195"/>
      <c r="C49" s="195"/>
      <c r="D49" s="44" t="str">
        <f>G!AQ31</f>
        <v/>
      </c>
      <c r="E49" s="43" t="str">
        <f>G!AP31</f>
        <v>--</v>
      </c>
      <c r="F49" s="42"/>
      <c r="G49" s="42" t="str">
        <f>G!AS31</f>
        <v/>
      </c>
      <c r="H49" s="43" t="str">
        <f>G!AR31</f>
        <v>--</v>
      </c>
      <c r="I49" s="42" t="str">
        <f>G!AT31</f>
        <v/>
      </c>
      <c r="J49" s="42" t="str">
        <f>G!AU31</f>
        <v/>
      </c>
      <c r="K49" s="43" t="str">
        <f>IFERROR(IF(OR(H49="--",H49="rg",VLOOKUP(F!$B31,E!$B$1:'E'!$AK$300,12,FALSE)=1000000000,I49="-",I49=""),"",(HLOOKUP(SMALL(G!$Q$4:'G'!$Y$4,1),G!$Q$4:'G'!$Y$501,ROW(G!Q31)-3,FALSE))/VLOOKUP(F!$B31,E!$B$1:'E'!$AK$300,12,FALSE)*100),"")</f>
        <v/>
      </c>
      <c r="L49" s="43"/>
      <c r="M49" s="43" t="str">
        <f>G!AW31</f>
        <v/>
      </c>
      <c r="N49" s="43" t="str">
        <f>G!AV31</f>
        <v>--</v>
      </c>
      <c r="O49" s="42"/>
      <c r="P49" s="42" t="str">
        <f>G!AY31</f>
        <v/>
      </c>
      <c r="Q49" s="43" t="str">
        <f>G!AX31</f>
        <v>--</v>
      </c>
      <c r="R49" s="42" t="str">
        <f>G!AZ31</f>
        <v/>
      </c>
      <c r="S49" s="42" t="str">
        <f>G!BA31</f>
        <v/>
      </c>
      <c r="T49" s="43" t="str">
        <f>IFERROR(IF(OR(Q49="--",Q49="rg",VLOOKUP(F!$B31,E!$B$1:'E'!$AK$300,12,FALSE)=1000000000,R49="-",R49=""),"",(HLOOKUP(SMALL(G!$Q$4:'G'!$Y$4,4),G!$Q$4:'G'!$Y$501,ROW(G!Z31)-3,FALSE))/VLOOKUP(F!$B31,E!$B$1:'E'!$AK$300,12,FALSE)*100),"")</f>
        <v/>
      </c>
      <c r="U49" s="43"/>
      <c r="V49" s="43" t="str">
        <f>G!BC31</f>
        <v/>
      </c>
      <c r="W49" s="43" t="str">
        <f>G!BB31</f>
        <v>--</v>
      </c>
      <c r="X49" s="43"/>
      <c r="Y49" s="42" t="str">
        <f>G!BE31</f>
        <v/>
      </c>
      <c r="Z49" s="43" t="str">
        <f>G!BD31</f>
        <v>--</v>
      </c>
      <c r="AA49" s="42" t="str">
        <f>G!BF31</f>
        <v/>
      </c>
      <c r="AB49" s="42" t="str">
        <f>G!BG31</f>
        <v/>
      </c>
      <c r="AC49" s="43" t="str">
        <f>IFERROR(IF(OR(Z49="--",Z49="rg",VLOOKUP(F!$B31,E!$B$1:'E'!$AK$300,12,FALSE)=1000000000,AA49="-",AA49=""),"",(HLOOKUP(SMALL(G!$Q$4:'G'!$Y$4,7),G!$Q$4:'G'!$Y$501,ROW(G!AI31)-3,FALSE))/VLOOKUP(F!$B31,E!$B$1:'E'!$AK$300,12,FALSE)*100),"")</f>
        <v/>
      </c>
      <c r="AD49" s="43"/>
      <c r="AE49" s="34"/>
      <c r="AF49" s="34"/>
      <c r="AH49" s="72">
        <f t="shared" si="1"/>
        <v>1</v>
      </c>
      <c r="AJ49" s="34"/>
      <c r="AK49" s="34"/>
    </row>
    <row r="50" spans="1:37" s="72" customFormat="1" ht="9" customHeight="1" x14ac:dyDescent="0.15">
      <c r="A50" s="195" t="str">
        <f>F!A32</f>
        <v>Zink</v>
      </c>
      <c r="B50" s="195"/>
      <c r="C50" s="195"/>
      <c r="D50" s="44" t="str">
        <f>G!AQ32</f>
        <v>&lt;</v>
      </c>
      <c r="E50" s="43" t="str">
        <f>G!AP32</f>
        <v>20</v>
      </c>
      <c r="F50" s="42"/>
      <c r="G50" s="42" t="str">
        <f>G!AS32</f>
        <v>&lt;</v>
      </c>
      <c r="H50" s="43" t="str">
        <f>G!AR32</f>
        <v>rg</v>
      </c>
      <c r="I50" s="42" t="str">
        <f>G!AT32</f>
        <v>-</v>
      </c>
      <c r="J50" s="42" t="str">
        <f>G!AU32</f>
        <v/>
      </c>
      <c r="K50" s="43" t="str">
        <f>IFERROR(IF(OR(H50="--",H50="rg",VLOOKUP(F!$B32,E!$B$1:'E'!$AK$300,12,FALSE)=1000000000,I50="-",I50=""),"",(HLOOKUP(SMALL(G!$Q$4:'G'!$Y$4,1),G!$Q$4:'G'!$Y$501,ROW(G!Q32)-3,FALSE))/VLOOKUP(F!$B32,E!$B$1:'E'!$AK$300,12,FALSE)*100),"")</f>
        <v/>
      </c>
      <c r="L50" s="43"/>
      <c r="M50" s="43" t="str">
        <f>G!AW32</f>
        <v/>
      </c>
      <c r="N50" s="43" t="str">
        <f>G!AV32</f>
        <v>21</v>
      </c>
      <c r="O50" s="42"/>
      <c r="P50" s="42" t="str">
        <f>G!AY32</f>
        <v/>
      </c>
      <c r="Q50" s="43" t="str">
        <f>G!AX32</f>
        <v>34,2</v>
      </c>
      <c r="R50" s="42" t="str">
        <f>G!AZ32</f>
        <v>-</v>
      </c>
      <c r="S50" s="42" t="str">
        <f>G!BA32</f>
        <v/>
      </c>
      <c r="T50" s="43" t="str">
        <f>IFERROR(IF(OR(Q50="--",Q50="rg",VLOOKUP(F!$B32,E!$B$1:'E'!$AK$300,12,FALSE)=1000000000,R50="-",R50=""),"",(HLOOKUP(SMALL(G!$Q$4:'G'!$Y$4,4),G!$Q$4:'G'!$Y$501,ROW(G!Z32)-3,FALSE))/VLOOKUP(F!$B32,E!$B$1:'E'!$AK$300,12,FALSE)*100),"")</f>
        <v/>
      </c>
      <c r="U50" s="43"/>
      <c r="V50" s="43" t="str">
        <f>G!BC32</f>
        <v/>
      </c>
      <c r="W50" s="43" t="str">
        <f>G!BB32</f>
        <v>20</v>
      </c>
      <c r="X50" s="43"/>
      <c r="Y50" s="42" t="str">
        <f>G!BE32</f>
        <v/>
      </c>
      <c r="Z50" s="43" t="str">
        <f>G!BD32</f>
        <v>39,8</v>
      </c>
      <c r="AA50" s="42" t="str">
        <f>G!BF32</f>
        <v>-</v>
      </c>
      <c r="AB50" s="42" t="str">
        <f>G!BG32</f>
        <v/>
      </c>
      <c r="AC50" s="43" t="str">
        <f>IFERROR(IF(OR(Z50="--",Z50="rg",VLOOKUP(F!$B32,E!$B$1:'E'!$AK$300,12,FALSE)=1000000000,AA50="-",AA50=""),"",(HLOOKUP(SMALL(G!$Q$4:'G'!$Y$4,7),G!$Q$4:'G'!$Y$501,ROW(G!AI32)-3,FALSE))/VLOOKUP(F!$B32,E!$B$1:'E'!$AK$300,12,FALSE)*100),"")</f>
        <v/>
      </c>
      <c r="AD50" s="43"/>
      <c r="AE50" s="34"/>
      <c r="AF50" s="34"/>
      <c r="AH50" s="72">
        <f t="shared" si="1"/>
        <v>0</v>
      </c>
      <c r="AJ50" s="34"/>
      <c r="AK50" s="34"/>
    </row>
    <row r="51" spans="1:37" ht="3.95" customHeight="1" x14ac:dyDescent="0.15">
      <c r="A51" s="41"/>
      <c r="B51" s="41"/>
      <c r="C51" s="41"/>
      <c r="D51" s="44"/>
      <c r="E51" s="43"/>
      <c r="F51" s="42"/>
      <c r="G51" s="42"/>
      <c r="H51" s="43"/>
      <c r="I51" s="42"/>
      <c r="J51" s="42"/>
      <c r="K51" s="42"/>
      <c r="L51" s="43"/>
      <c r="M51" s="43"/>
      <c r="N51" s="42"/>
      <c r="O51" s="42"/>
      <c r="P51" s="43"/>
      <c r="Q51" s="42"/>
      <c r="R51" s="42"/>
      <c r="S51" s="42"/>
      <c r="T51" s="43"/>
      <c r="U51" s="43"/>
      <c r="V51" s="43"/>
      <c r="W51" s="42"/>
      <c r="X51" s="43"/>
      <c r="Y51" s="42"/>
      <c r="Z51" s="43"/>
      <c r="AA51" s="43"/>
      <c r="AC51" s="34"/>
      <c r="AD51" s="72"/>
      <c r="AE51" s="94"/>
      <c r="AF51" s="72"/>
      <c r="AG51" s="34"/>
      <c r="AH51" s="94">
        <f>AH52</f>
        <v>0</v>
      </c>
      <c r="AI51" s="34"/>
    </row>
    <row r="52" spans="1:37" ht="9" customHeight="1" x14ac:dyDescent="0.15">
      <c r="A52" s="198" t="str">
        <f>IF(COUNTIF(F!D31:D47,131)&gt;0,"Polycyclische aromatische koolwaterstoffen (µg/kgds)","Polycyclische aromatische koolwaterstoffen (mg/kgds)")</f>
        <v>Polycyclische aromatische koolwaterstoffen (mg/kgds)</v>
      </c>
      <c r="B52" s="198"/>
      <c r="C52" s="198"/>
      <c r="D52" s="198"/>
      <c r="E52" s="198"/>
      <c r="F52" s="198"/>
      <c r="G52" s="198"/>
      <c r="H52" s="198"/>
      <c r="I52" s="198"/>
      <c r="J52" s="198"/>
      <c r="K52" s="198"/>
      <c r="L52" s="198"/>
      <c r="M52" s="198"/>
      <c r="N52" s="198"/>
      <c r="O52" s="198"/>
      <c r="P52" s="198"/>
      <c r="Q52" s="198"/>
      <c r="R52" s="198"/>
      <c r="S52" s="198"/>
      <c r="T52" s="198"/>
      <c r="U52" s="198"/>
      <c r="V52" s="198"/>
      <c r="W52" s="198"/>
      <c r="X52" s="198"/>
      <c r="Y52" s="198"/>
      <c r="Z52" s="198"/>
      <c r="AA52" s="198"/>
      <c r="AC52" s="34"/>
      <c r="AD52" s="72"/>
      <c r="AE52" s="94"/>
      <c r="AF52" s="72"/>
      <c r="AG52" s="34"/>
      <c r="AH52" s="94">
        <f>IF(COUNTIF(AH53:AH69,1)=COUNT(AH53:AH69),1,0)</f>
        <v>0</v>
      </c>
      <c r="AI52" s="34"/>
    </row>
    <row r="53" spans="1:37" s="72" customFormat="1" ht="9" customHeight="1" x14ac:dyDescent="0.15">
      <c r="A53" s="195" t="str">
        <f>F!A33</f>
        <v>Naftaleen</v>
      </c>
      <c r="B53" s="195"/>
      <c r="C53" s="195"/>
      <c r="D53" s="44" t="str">
        <f>G!AQ33</f>
        <v>&lt;</v>
      </c>
      <c r="E53" s="43" t="str">
        <f>G!AP33</f>
        <v>0,01</v>
      </c>
      <c r="F53" s="42"/>
      <c r="G53" s="42" t="str">
        <f>G!AS33</f>
        <v>&lt;</v>
      </c>
      <c r="H53" s="43" t="str">
        <f>G!AR33</f>
        <v>rg</v>
      </c>
      <c r="I53" s="42" t="str">
        <f>G!AT33</f>
        <v/>
      </c>
      <c r="J53" s="42" t="str">
        <f>G!AU33</f>
        <v/>
      </c>
      <c r="K53" s="43" t="str">
        <f>IFERROR(IF(OR(H53="--",H53="rg",VLOOKUP(F!$B33,E!$B$1:'E'!$AK$300,12,FALSE)=1000000000,I53="-",I53=""),"",(HLOOKUP(SMALL(G!$Q$4:'G'!$Y$4,1),G!$Q$4:'G'!$Y$501,ROW(G!Q33)-3,FALSE))/VLOOKUP(F!$B33,E!$B$1:'E'!$AK$300,12,FALSE)*100),"")</f>
        <v/>
      </c>
      <c r="L53" s="43"/>
      <c r="M53" s="43" t="str">
        <f>G!AW33</f>
        <v>&lt;</v>
      </c>
      <c r="N53" s="43" t="str">
        <f>G!AV33</f>
        <v>0,01</v>
      </c>
      <c r="O53" s="42"/>
      <c r="P53" s="42" t="str">
        <f>G!AY33</f>
        <v>&lt;</v>
      </c>
      <c r="Q53" s="43" t="str">
        <f>G!AX33</f>
        <v>rg</v>
      </c>
      <c r="R53" s="42" t="str">
        <f>G!AZ33</f>
        <v/>
      </c>
      <c r="S53" s="42" t="str">
        <f>G!BA33</f>
        <v/>
      </c>
      <c r="T53" s="43" t="str">
        <f>IFERROR(IF(OR(Q53="--",Q53="rg",VLOOKUP(F!$B33,E!$B$1:'E'!$AK$300,12,FALSE)=1000000000,R53="-",R53=""),"",(HLOOKUP(SMALL(G!$Q$4:'G'!$Y$4,4),G!$Q$4:'G'!$Y$501,ROW(G!Z33)-3,FALSE))/VLOOKUP(F!$B33,E!$B$1:'E'!$AK$300,12,FALSE)*100),"")</f>
        <v/>
      </c>
      <c r="U53" s="43"/>
      <c r="V53" s="43" t="str">
        <f>G!BC33</f>
        <v>&lt;</v>
      </c>
      <c r="W53" s="43" t="str">
        <f>G!BB33</f>
        <v>0,01</v>
      </c>
      <c r="X53" s="43"/>
      <c r="Y53" s="42" t="str">
        <f>G!BE33</f>
        <v>&lt;</v>
      </c>
      <c r="Z53" s="43" t="str">
        <f>G!BD33</f>
        <v>rg</v>
      </c>
      <c r="AA53" s="42" t="str">
        <f>G!BF33</f>
        <v/>
      </c>
      <c r="AB53" s="42" t="str">
        <f>G!BG33</f>
        <v/>
      </c>
      <c r="AC53" s="43" t="str">
        <f>IFERROR(IF(OR(Z53="--",Z53="rg",VLOOKUP(F!$B33,E!$B$1:'E'!$AK$300,12,FALSE)=1000000000,AA53="-",AA53=""),"",(HLOOKUP(SMALL(G!$Q$4:'G'!$Y$4,7),G!$Q$4:'G'!$Y$501,ROW(G!AI33)-3,FALSE))/VLOOKUP(F!$B33,E!$B$1:'E'!$AK$300,12,FALSE)*100),"")</f>
        <v/>
      </c>
      <c r="AD53" s="43"/>
      <c r="AE53" s="34"/>
      <c r="AF53" s="34"/>
      <c r="AH53" s="72">
        <f t="shared" si="1"/>
        <v>0</v>
      </c>
      <c r="AJ53" s="34"/>
      <c r="AK53" s="34"/>
    </row>
    <row r="54" spans="1:37" s="72" customFormat="1" ht="9" customHeight="1" x14ac:dyDescent="0.15">
      <c r="A54" s="195" t="str">
        <f>F!A34</f>
        <v>Antraceen</v>
      </c>
      <c r="B54" s="195"/>
      <c r="C54" s="195"/>
      <c r="D54" s="44" t="str">
        <f>G!AQ34</f>
        <v>&lt;</v>
      </c>
      <c r="E54" s="43" t="str">
        <f>G!AP34</f>
        <v>0,01</v>
      </c>
      <c r="F54" s="42"/>
      <c r="G54" s="42" t="str">
        <f>G!AS34</f>
        <v>&lt;</v>
      </c>
      <c r="H54" s="43" t="str">
        <f>G!AR34</f>
        <v>rg</v>
      </c>
      <c r="I54" s="42" t="str">
        <f>G!AT34</f>
        <v/>
      </c>
      <c r="J54" s="42" t="str">
        <f>G!AU34</f>
        <v/>
      </c>
      <c r="K54" s="43" t="str">
        <f>IFERROR(IF(OR(H54="--",H54="rg",VLOOKUP(F!$B34,E!$B$1:'E'!$AK$300,12,FALSE)=1000000000,I54="-",I54=""),"",(HLOOKUP(SMALL(G!$Q$4:'G'!$Y$4,1),G!$Q$4:'G'!$Y$501,ROW(G!Q34)-3,FALSE))/VLOOKUP(F!$B34,E!$B$1:'E'!$AK$300,12,FALSE)*100),"")</f>
        <v/>
      </c>
      <c r="L54" s="43"/>
      <c r="M54" s="43" t="str">
        <f>G!AW34</f>
        <v>&lt;</v>
      </c>
      <c r="N54" s="43" t="str">
        <f>G!AV34</f>
        <v>0,01</v>
      </c>
      <c r="O54" s="42"/>
      <c r="P54" s="42" t="str">
        <f>G!AY34</f>
        <v>&lt;</v>
      </c>
      <c r="Q54" s="43" t="str">
        <f>G!AX34</f>
        <v>rg</v>
      </c>
      <c r="R54" s="42" t="str">
        <f>G!AZ34</f>
        <v/>
      </c>
      <c r="S54" s="42" t="str">
        <f>G!BA34</f>
        <v/>
      </c>
      <c r="T54" s="43" t="str">
        <f>IFERROR(IF(OR(Q54="--",Q54="rg",VLOOKUP(F!$B34,E!$B$1:'E'!$AK$300,12,FALSE)=1000000000,R54="-",R54=""),"",(HLOOKUP(SMALL(G!$Q$4:'G'!$Y$4,4),G!$Q$4:'G'!$Y$501,ROW(G!Z34)-3,FALSE))/VLOOKUP(F!$B34,E!$B$1:'E'!$AK$300,12,FALSE)*100),"")</f>
        <v/>
      </c>
      <c r="U54" s="43"/>
      <c r="V54" s="43" t="str">
        <f>G!BC34</f>
        <v>&lt;</v>
      </c>
      <c r="W54" s="43" t="str">
        <f>G!BB34</f>
        <v>0,01</v>
      </c>
      <c r="X54" s="43"/>
      <c r="Y54" s="42" t="str">
        <f>G!BE34</f>
        <v>&lt;</v>
      </c>
      <c r="Z54" s="43" t="str">
        <f>G!BD34</f>
        <v>rg</v>
      </c>
      <c r="AA54" s="42" t="str">
        <f>G!BF34</f>
        <v/>
      </c>
      <c r="AB54" s="42" t="str">
        <f>G!BG34</f>
        <v/>
      </c>
      <c r="AC54" s="43" t="str">
        <f>IFERROR(IF(OR(Z54="--",Z54="rg",VLOOKUP(F!$B34,E!$B$1:'E'!$AK$300,12,FALSE)=1000000000,AA54="-",AA54=""),"",(HLOOKUP(SMALL(G!$Q$4:'G'!$Y$4,7),G!$Q$4:'G'!$Y$501,ROW(G!AI34)-3,FALSE))/VLOOKUP(F!$B34,E!$B$1:'E'!$AK$300,12,FALSE)*100),"")</f>
        <v/>
      </c>
      <c r="AD54" s="43"/>
      <c r="AE54" s="34"/>
      <c r="AF54" s="34"/>
      <c r="AH54" s="72">
        <f t="shared" si="1"/>
        <v>0</v>
      </c>
      <c r="AJ54" s="34"/>
      <c r="AK54" s="34"/>
    </row>
    <row r="55" spans="1:37" s="72" customFormat="1" ht="9" customHeight="1" x14ac:dyDescent="0.15">
      <c r="A55" s="195" t="str">
        <f>F!A35</f>
        <v>Fenantreen</v>
      </c>
      <c r="B55" s="195"/>
      <c r="C55" s="195"/>
      <c r="D55" s="44" t="str">
        <f>G!AQ35</f>
        <v>&lt;</v>
      </c>
      <c r="E55" s="43" t="str">
        <f>G!AP35</f>
        <v>0,01</v>
      </c>
      <c r="F55" s="42"/>
      <c r="G55" s="42" t="str">
        <f>G!AS35</f>
        <v>&lt;</v>
      </c>
      <c r="H55" s="43" t="str">
        <f>G!AR35</f>
        <v>rg</v>
      </c>
      <c r="I55" s="42" t="str">
        <f>G!AT35</f>
        <v/>
      </c>
      <c r="J55" s="42" t="str">
        <f>G!AU35</f>
        <v/>
      </c>
      <c r="K55" s="43" t="str">
        <f>IFERROR(IF(OR(H55="--",H55="rg",VLOOKUP(F!$B35,E!$B$1:'E'!$AK$300,12,FALSE)=1000000000,I55="-",I55=""),"",(HLOOKUP(SMALL(G!$Q$4:'G'!$Y$4,1),G!$Q$4:'G'!$Y$501,ROW(G!Q35)-3,FALSE))/VLOOKUP(F!$B35,E!$B$1:'E'!$AK$300,12,FALSE)*100),"")</f>
        <v/>
      </c>
      <c r="L55" s="43"/>
      <c r="M55" s="43" t="str">
        <f>G!AW35</f>
        <v>&lt;</v>
      </c>
      <c r="N55" s="43" t="str">
        <f>G!AV35</f>
        <v>0,01</v>
      </c>
      <c r="O55" s="42"/>
      <c r="P55" s="42" t="str">
        <f>G!AY35</f>
        <v>&lt;</v>
      </c>
      <c r="Q55" s="43" t="str">
        <f>G!AX35</f>
        <v>rg</v>
      </c>
      <c r="R55" s="42" t="str">
        <f>G!AZ35</f>
        <v/>
      </c>
      <c r="S55" s="42" t="str">
        <f>G!BA35</f>
        <v/>
      </c>
      <c r="T55" s="43" t="str">
        <f>IFERROR(IF(OR(Q55="--",Q55="rg",VLOOKUP(F!$B35,E!$B$1:'E'!$AK$300,12,FALSE)=1000000000,R55="-",R55=""),"",(HLOOKUP(SMALL(G!$Q$4:'G'!$Y$4,4),G!$Q$4:'G'!$Y$501,ROW(G!Z35)-3,FALSE))/VLOOKUP(F!$B35,E!$B$1:'E'!$AK$300,12,FALSE)*100),"")</f>
        <v/>
      </c>
      <c r="U55" s="43"/>
      <c r="V55" s="43" t="str">
        <f>G!BC35</f>
        <v>&lt;</v>
      </c>
      <c r="W55" s="43" t="str">
        <f>G!BB35</f>
        <v>0,01</v>
      </c>
      <c r="X55" s="43"/>
      <c r="Y55" s="42" t="str">
        <f>G!BE35</f>
        <v>&lt;</v>
      </c>
      <c r="Z55" s="43" t="str">
        <f>G!BD35</f>
        <v>rg</v>
      </c>
      <c r="AA55" s="42" t="str">
        <f>G!BF35</f>
        <v/>
      </c>
      <c r="AB55" s="42" t="str">
        <f>G!BG35</f>
        <v/>
      </c>
      <c r="AC55" s="43" t="str">
        <f>IFERROR(IF(OR(Z55="--",Z55="rg",VLOOKUP(F!$B35,E!$B$1:'E'!$AK$300,12,FALSE)=1000000000,AA55="-",AA55=""),"",(HLOOKUP(SMALL(G!$Q$4:'G'!$Y$4,7),G!$Q$4:'G'!$Y$501,ROW(G!AI35)-3,FALSE))/VLOOKUP(F!$B35,E!$B$1:'E'!$AK$300,12,FALSE)*100),"")</f>
        <v/>
      </c>
      <c r="AD55" s="43"/>
      <c r="AE55" s="34"/>
      <c r="AF55" s="34"/>
      <c r="AH55" s="72">
        <f t="shared" si="1"/>
        <v>0</v>
      </c>
      <c r="AJ55" s="34"/>
      <c r="AK55" s="34"/>
    </row>
    <row r="56" spans="1:37" s="72" customFormat="1" ht="9" customHeight="1" x14ac:dyDescent="0.15">
      <c r="A56" s="195" t="str">
        <f>F!A36</f>
        <v>Fluoranteen</v>
      </c>
      <c r="B56" s="195"/>
      <c r="C56" s="195"/>
      <c r="D56" s="44" t="str">
        <f>G!AQ36</f>
        <v>&lt;</v>
      </c>
      <c r="E56" s="43" t="str">
        <f>G!AP36</f>
        <v>0,01</v>
      </c>
      <c r="F56" s="42"/>
      <c r="G56" s="42" t="str">
        <f>G!AS36</f>
        <v>&lt;</v>
      </c>
      <c r="H56" s="43" t="str">
        <f>G!AR36</f>
        <v>rg</v>
      </c>
      <c r="I56" s="42" t="str">
        <f>G!AT36</f>
        <v/>
      </c>
      <c r="J56" s="42" t="str">
        <f>G!AU36</f>
        <v/>
      </c>
      <c r="K56" s="43" t="str">
        <f>IFERROR(IF(OR(H56="--",H56="rg",VLOOKUP(F!$B36,E!$B$1:'E'!$AK$300,12,FALSE)=1000000000,I56="-",I56=""),"",(HLOOKUP(SMALL(G!$Q$4:'G'!$Y$4,1),G!$Q$4:'G'!$Y$501,ROW(G!Q36)-3,FALSE))/VLOOKUP(F!$B36,E!$B$1:'E'!$AK$300,12,FALSE)*100),"")</f>
        <v/>
      </c>
      <c r="L56" s="43"/>
      <c r="M56" s="43" t="str">
        <f>G!AW36</f>
        <v>&lt;</v>
      </c>
      <c r="N56" s="43" t="str">
        <f>G!AV36</f>
        <v>0,01</v>
      </c>
      <c r="O56" s="42"/>
      <c r="P56" s="42" t="str">
        <f>G!AY36</f>
        <v>&lt;</v>
      </c>
      <c r="Q56" s="43" t="str">
        <f>G!AX36</f>
        <v>rg</v>
      </c>
      <c r="R56" s="42" t="str">
        <f>G!AZ36</f>
        <v/>
      </c>
      <c r="S56" s="42" t="str">
        <f>G!BA36</f>
        <v/>
      </c>
      <c r="T56" s="43" t="str">
        <f>IFERROR(IF(OR(Q56="--",Q56="rg",VLOOKUP(F!$B36,E!$B$1:'E'!$AK$300,12,FALSE)=1000000000,R56="-",R56=""),"",(HLOOKUP(SMALL(G!$Q$4:'G'!$Y$4,4),G!$Q$4:'G'!$Y$501,ROW(G!Z36)-3,FALSE))/VLOOKUP(F!$B36,E!$B$1:'E'!$AK$300,12,FALSE)*100),"")</f>
        <v/>
      </c>
      <c r="U56" s="43"/>
      <c r="V56" s="43" t="str">
        <f>G!BC36</f>
        <v>&lt;</v>
      </c>
      <c r="W56" s="43" t="str">
        <f>G!BB36</f>
        <v>0,01</v>
      </c>
      <c r="X56" s="43"/>
      <c r="Y56" s="42" t="str">
        <f>G!BE36</f>
        <v>&lt;</v>
      </c>
      <c r="Z56" s="43" t="str">
        <f>G!BD36</f>
        <v>rg</v>
      </c>
      <c r="AA56" s="42" t="str">
        <f>G!BF36</f>
        <v/>
      </c>
      <c r="AB56" s="42" t="str">
        <f>G!BG36</f>
        <v/>
      </c>
      <c r="AC56" s="43" t="str">
        <f>IFERROR(IF(OR(Z56="--",Z56="rg",VLOOKUP(F!$B36,E!$B$1:'E'!$AK$300,12,FALSE)=1000000000,AA56="-",AA56=""),"",(HLOOKUP(SMALL(G!$Q$4:'G'!$Y$4,7),G!$Q$4:'G'!$Y$501,ROW(G!AI36)-3,FALSE))/VLOOKUP(F!$B36,E!$B$1:'E'!$AK$300,12,FALSE)*100),"")</f>
        <v/>
      </c>
      <c r="AD56" s="43"/>
      <c r="AE56" s="34"/>
      <c r="AF56" s="34"/>
      <c r="AH56" s="72">
        <f t="shared" si="1"/>
        <v>0</v>
      </c>
      <c r="AJ56" s="34"/>
      <c r="AK56" s="34"/>
    </row>
    <row r="57" spans="1:37" s="72" customFormat="1" ht="9" customHeight="1" x14ac:dyDescent="0.15">
      <c r="A57" s="195" t="str">
        <f>F!A37</f>
        <v>Benzo(a)antraceen</v>
      </c>
      <c r="B57" s="195"/>
      <c r="C57" s="195"/>
      <c r="D57" s="44" t="str">
        <f>G!AQ37</f>
        <v>&lt;</v>
      </c>
      <c r="E57" s="43" t="str">
        <f>G!AP37</f>
        <v>0,01</v>
      </c>
      <c r="F57" s="42"/>
      <c r="G57" s="42" t="str">
        <f>G!AS37</f>
        <v>&lt;</v>
      </c>
      <c r="H57" s="43" t="str">
        <f>G!AR37</f>
        <v>rg</v>
      </c>
      <c r="I57" s="42" t="str">
        <f>G!AT37</f>
        <v/>
      </c>
      <c r="J57" s="42" t="str">
        <f>G!AU37</f>
        <v/>
      </c>
      <c r="K57" s="43" t="str">
        <f>IFERROR(IF(OR(H57="--",H57="rg",VLOOKUP(F!$B37,E!$B$1:'E'!$AK$300,12,FALSE)=1000000000,I57="-",I57=""),"",(HLOOKUP(SMALL(G!$Q$4:'G'!$Y$4,1),G!$Q$4:'G'!$Y$501,ROW(G!Q37)-3,FALSE))/VLOOKUP(F!$B37,E!$B$1:'E'!$AK$300,12,FALSE)*100),"")</f>
        <v/>
      </c>
      <c r="L57" s="43"/>
      <c r="M57" s="43" t="str">
        <f>G!AW37</f>
        <v>&lt;</v>
      </c>
      <c r="N57" s="43" t="str">
        <f>G!AV37</f>
        <v>0,01</v>
      </c>
      <c r="O57" s="42"/>
      <c r="P57" s="42" t="str">
        <f>G!AY37</f>
        <v>&lt;</v>
      </c>
      <c r="Q57" s="43" t="str">
        <f>G!AX37</f>
        <v>rg</v>
      </c>
      <c r="R57" s="42" t="str">
        <f>G!AZ37</f>
        <v/>
      </c>
      <c r="S57" s="42" t="str">
        <f>G!BA37</f>
        <v/>
      </c>
      <c r="T57" s="43" t="str">
        <f>IFERROR(IF(OR(Q57="--",Q57="rg",VLOOKUP(F!$B37,E!$B$1:'E'!$AK$300,12,FALSE)=1000000000,R57="-",R57=""),"",(HLOOKUP(SMALL(G!$Q$4:'G'!$Y$4,4),G!$Q$4:'G'!$Y$501,ROW(G!Z37)-3,FALSE))/VLOOKUP(F!$B37,E!$B$1:'E'!$AK$300,12,FALSE)*100),"")</f>
        <v/>
      </c>
      <c r="U57" s="43"/>
      <c r="V57" s="43" t="str">
        <f>G!BC37</f>
        <v>&lt;</v>
      </c>
      <c r="W57" s="43" t="str">
        <f>G!BB37</f>
        <v>0,01</v>
      </c>
      <c r="X57" s="43"/>
      <c r="Y57" s="42" t="str">
        <f>G!BE37</f>
        <v>&lt;</v>
      </c>
      <c r="Z57" s="43" t="str">
        <f>G!BD37</f>
        <v>rg</v>
      </c>
      <c r="AA57" s="42" t="str">
        <f>G!BF37</f>
        <v/>
      </c>
      <c r="AB57" s="42" t="str">
        <f>G!BG37</f>
        <v/>
      </c>
      <c r="AC57" s="43" t="str">
        <f>IFERROR(IF(OR(Z57="--",Z57="rg",VLOOKUP(F!$B37,E!$B$1:'E'!$AK$300,12,FALSE)=1000000000,AA57="-",AA57=""),"",(HLOOKUP(SMALL(G!$Q$4:'G'!$Y$4,7),G!$Q$4:'G'!$Y$501,ROW(G!AI37)-3,FALSE))/VLOOKUP(F!$B37,E!$B$1:'E'!$AK$300,12,FALSE)*100),"")</f>
        <v/>
      </c>
      <c r="AD57" s="43"/>
      <c r="AE57" s="34"/>
      <c r="AF57" s="34"/>
      <c r="AH57" s="72">
        <f t="shared" si="1"/>
        <v>0</v>
      </c>
      <c r="AJ57" s="34"/>
      <c r="AK57" s="34"/>
    </row>
    <row r="58" spans="1:37" s="72" customFormat="1" ht="9" customHeight="1" x14ac:dyDescent="0.15">
      <c r="A58" s="195" t="str">
        <f>F!A38</f>
        <v>Chryseen</v>
      </c>
      <c r="B58" s="195"/>
      <c r="C58" s="195"/>
      <c r="D58" s="44" t="str">
        <f>G!AQ38</f>
        <v>&lt;</v>
      </c>
      <c r="E58" s="43" t="str">
        <f>G!AP38</f>
        <v>0,01</v>
      </c>
      <c r="F58" s="42"/>
      <c r="G58" s="42" t="str">
        <f>G!AS38</f>
        <v>&lt;</v>
      </c>
      <c r="H58" s="43" t="str">
        <f>G!AR38</f>
        <v>rg</v>
      </c>
      <c r="I58" s="42" t="str">
        <f>G!AT38</f>
        <v/>
      </c>
      <c r="J58" s="42" t="str">
        <f>G!AU38</f>
        <v/>
      </c>
      <c r="K58" s="43" t="str">
        <f>IFERROR(IF(OR(H58="--",H58="rg",VLOOKUP(F!$B38,E!$B$1:'E'!$AK$300,12,FALSE)=1000000000,I58="-",I58=""),"",(HLOOKUP(SMALL(G!$Q$4:'G'!$Y$4,1),G!$Q$4:'G'!$Y$501,ROW(G!Q38)-3,FALSE))/VLOOKUP(F!$B38,E!$B$1:'E'!$AK$300,12,FALSE)*100),"")</f>
        <v/>
      </c>
      <c r="L58" s="43"/>
      <c r="M58" s="43" t="str">
        <f>G!AW38</f>
        <v>&lt;</v>
      </c>
      <c r="N58" s="43" t="str">
        <f>G!AV38</f>
        <v>0,01</v>
      </c>
      <c r="O58" s="42"/>
      <c r="P58" s="42" t="str">
        <f>G!AY38</f>
        <v>&lt;</v>
      </c>
      <c r="Q58" s="43" t="str">
        <f>G!AX38</f>
        <v>rg</v>
      </c>
      <c r="R58" s="42" t="str">
        <f>G!AZ38</f>
        <v/>
      </c>
      <c r="S58" s="42" t="str">
        <f>G!BA38</f>
        <v/>
      </c>
      <c r="T58" s="43" t="str">
        <f>IFERROR(IF(OR(Q58="--",Q58="rg",VLOOKUP(F!$B38,E!$B$1:'E'!$AK$300,12,FALSE)=1000000000,R58="-",R58=""),"",(HLOOKUP(SMALL(G!$Q$4:'G'!$Y$4,4),G!$Q$4:'G'!$Y$501,ROW(G!Z38)-3,FALSE))/VLOOKUP(F!$B38,E!$B$1:'E'!$AK$300,12,FALSE)*100),"")</f>
        <v/>
      </c>
      <c r="U58" s="43"/>
      <c r="V58" s="43" t="str">
        <f>G!BC38</f>
        <v>&lt;</v>
      </c>
      <c r="W58" s="43" t="str">
        <f>G!BB38</f>
        <v>0,01</v>
      </c>
      <c r="X58" s="43"/>
      <c r="Y58" s="42" t="str">
        <f>G!BE38</f>
        <v>&lt;</v>
      </c>
      <c r="Z58" s="43" t="str">
        <f>G!BD38</f>
        <v>rg</v>
      </c>
      <c r="AA58" s="42" t="str">
        <f>G!BF38</f>
        <v/>
      </c>
      <c r="AB58" s="42" t="str">
        <f>G!BG38</f>
        <v/>
      </c>
      <c r="AC58" s="43" t="str">
        <f>IFERROR(IF(OR(Z58="--",Z58="rg",VLOOKUP(F!$B38,E!$B$1:'E'!$AK$300,12,FALSE)=1000000000,AA58="-",AA58=""),"",(HLOOKUP(SMALL(G!$Q$4:'G'!$Y$4,7),G!$Q$4:'G'!$Y$501,ROW(G!AI38)-3,FALSE))/VLOOKUP(F!$B38,E!$B$1:'E'!$AK$300,12,FALSE)*100),"")</f>
        <v/>
      </c>
      <c r="AD58" s="43"/>
      <c r="AE58" s="34"/>
      <c r="AF58" s="34"/>
      <c r="AH58" s="72">
        <f t="shared" si="1"/>
        <v>0</v>
      </c>
      <c r="AJ58" s="34"/>
      <c r="AK58" s="34"/>
    </row>
    <row r="59" spans="1:37" s="72" customFormat="1" ht="9" customHeight="1" x14ac:dyDescent="0.15">
      <c r="A59" s="195" t="str">
        <f>F!A39</f>
        <v>Benzo(a)pyreen</v>
      </c>
      <c r="B59" s="195"/>
      <c r="C59" s="195"/>
      <c r="D59" s="44" t="str">
        <f>G!AQ39</f>
        <v>&lt;</v>
      </c>
      <c r="E59" s="43" t="str">
        <f>G!AP39</f>
        <v>0,01</v>
      </c>
      <c r="F59" s="42"/>
      <c r="G59" s="42" t="str">
        <f>G!AS39</f>
        <v>&lt;</v>
      </c>
      <c r="H59" s="43" t="str">
        <f>G!AR39</f>
        <v>rg</v>
      </c>
      <c r="I59" s="42" t="str">
        <f>G!AT39</f>
        <v/>
      </c>
      <c r="J59" s="42" t="str">
        <f>G!AU39</f>
        <v/>
      </c>
      <c r="K59" s="43" t="str">
        <f>IFERROR(IF(OR(H59="--",H59="rg",VLOOKUP(F!$B39,E!$B$1:'E'!$AK$300,12,FALSE)=1000000000,I59="-",I59=""),"",(HLOOKUP(SMALL(G!$Q$4:'G'!$Y$4,1),G!$Q$4:'G'!$Y$501,ROW(G!Q39)-3,FALSE))/VLOOKUP(F!$B39,E!$B$1:'E'!$AK$300,12,FALSE)*100),"")</f>
        <v/>
      </c>
      <c r="L59" s="43"/>
      <c r="M59" s="43" t="str">
        <f>G!AW39</f>
        <v>&lt;</v>
      </c>
      <c r="N59" s="43" t="str">
        <f>G!AV39</f>
        <v>0,01</v>
      </c>
      <c r="O59" s="42"/>
      <c r="P59" s="42" t="str">
        <f>G!AY39</f>
        <v>&lt;</v>
      </c>
      <c r="Q59" s="43" t="str">
        <f>G!AX39</f>
        <v>rg</v>
      </c>
      <c r="R59" s="42" t="str">
        <f>G!AZ39</f>
        <v/>
      </c>
      <c r="S59" s="42" t="str">
        <f>G!BA39</f>
        <v/>
      </c>
      <c r="T59" s="43" t="str">
        <f>IFERROR(IF(OR(Q59="--",Q59="rg",VLOOKUP(F!$B39,E!$B$1:'E'!$AK$300,12,FALSE)=1000000000,R59="-",R59=""),"",(HLOOKUP(SMALL(G!$Q$4:'G'!$Y$4,4),G!$Q$4:'G'!$Y$501,ROW(G!Z39)-3,FALSE))/VLOOKUP(F!$B39,E!$B$1:'E'!$AK$300,12,FALSE)*100),"")</f>
        <v/>
      </c>
      <c r="U59" s="43"/>
      <c r="V59" s="43" t="str">
        <f>G!BC39</f>
        <v>&lt;</v>
      </c>
      <c r="W59" s="43" t="str">
        <f>G!BB39</f>
        <v>0,01</v>
      </c>
      <c r="X59" s="43"/>
      <c r="Y59" s="42" t="str">
        <f>G!BE39</f>
        <v>&lt;</v>
      </c>
      <c r="Z59" s="43" t="str">
        <f>G!BD39</f>
        <v>rg</v>
      </c>
      <c r="AA59" s="42" t="str">
        <f>G!BF39</f>
        <v/>
      </c>
      <c r="AB59" s="42" t="str">
        <f>G!BG39</f>
        <v/>
      </c>
      <c r="AC59" s="43" t="str">
        <f>IFERROR(IF(OR(Z59="--",Z59="rg",VLOOKUP(F!$B39,E!$B$1:'E'!$AK$300,12,FALSE)=1000000000,AA59="-",AA59=""),"",(HLOOKUP(SMALL(G!$Q$4:'G'!$Y$4,7),G!$Q$4:'G'!$Y$501,ROW(G!AI39)-3,FALSE))/VLOOKUP(F!$B39,E!$B$1:'E'!$AK$300,12,FALSE)*100),"")</f>
        <v/>
      </c>
      <c r="AD59" s="43"/>
      <c r="AE59" s="34"/>
      <c r="AF59" s="34"/>
      <c r="AH59" s="72">
        <f t="shared" si="1"/>
        <v>0</v>
      </c>
      <c r="AJ59" s="34"/>
      <c r="AK59" s="34"/>
    </row>
    <row r="60" spans="1:37" s="72" customFormat="1" ht="9" customHeight="1" x14ac:dyDescent="0.15">
      <c r="A60" s="195" t="str">
        <f>F!A40</f>
        <v>Benzo(ghi)peryleen</v>
      </c>
      <c r="B60" s="195"/>
      <c r="C60" s="195"/>
      <c r="D60" s="44" t="str">
        <f>G!AQ40</f>
        <v>&lt;</v>
      </c>
      <c r="E60" s="43" t="str">
        <f>G!AP40</f>
        <v>0,01</v>
      </c>
      <c r="F60" s="42"/>
      <c r="G60" s="42" t="str">
        <f>G!AS40</f>
        <v>&lt;</v>
      </c>
      <c r="H60" s="43" t="str">
        <f>G!AR40</f>
        <v>rg</v>
      </c>
      <c r="I60" s="42" t="str">
        <f>G!AT40</f>
        <v/>
      </c>
      <c r="J60" s="42" t="str">
        <f>G!AU40</f>
        <v/>
      </c>
      <c r="K60" s="43" t="str">
        <f>IFERROR(IF(OR(H60="--",H60="rg",VLOOKUP(F!$B40,E!$B$1:'E'!$AK$300,12,FALSE)=1000000000,I60="-",I60=""),"",(HLOOKUP(SMALL(G!$Q$4:'G'!$Y$4,1),G!$Q$4:'G'!$Y$501,ROW(G!Q40)-3,FALSE))/VLOOKUP(F!$B40,E!$B$1:'E'!$AK$300,12,FALSE)*100),"")</f>
        <v/>
      </c>
      <c r="L60" s="43"/>
      <c r="M60" s="43" t="str">
        <f>G!AW40</f>
        <v>&lt;</v>
      </c>
      <c r="N60" s="43" t="str">
        <f>G!AV40</f>
        <v>0,01</v>
      </c>
      <c r="O60" s="42"/>
      <c r="P60" s="42" t="str">
        <f>G!AY40</f>
        <v>&lt;</v>
      </c>
      <c r="Q60" s="43" t="str">
        <f>G!AX40</f>
        <v>rg</v>
      </c>
      <c r="R60" s="42" t="str">
        <f>G!AZ40</f>
        <v/>
      </c>
      <c r="S60" s="42" t="str">
        <f>G!BA40</f>
        <v/>
      </c>
      <c r="T60" s="43" t="str">
        <f>IFERROR(IF(OR(Q60="--",Q60="rg",VLOOKUP(F!$B40,E!$B$1:'E'!$AK$300,12,FALSE)=1000000000,R60="-",R60=""),"",(HLOOKUP(SMALL(G!$Q$4:'G'!$Y$4,4),G!$Q$4:'G'!$Y$501,ROW(G!Z40)-3,FALSE))/VLOOKUP(F!$B40,E!$B$1:'E'!$AK$300,12,FALSE)*100),"")</f>
        <v/>
      </c>
      <c r="U60" s="43"/>
      <c r="V60" s="43" t="str">
        <f>G!BC40</f>
        <v>&lt;</v>
      </c>
      <c r="W60" s="43" t="str">
        <f>G!BB40</f>
        <v>0,01</v>
      </c>
      <c r="X60" s="43"/>
      <c r="Y60" s="42" t="str">
        <f>G!BE40</f>
        <v>&lt;</v>
      </c>
      <c r="Z60" s="43" t="str">
        <f>G!BD40</f>
        <v>rg</v>
      </c>
      <c r="AA60" s="42" t="str">
        <f>G!BF40</f>
        <v/>
      </c>
      <c r="AB60" s="42" t="str">
        <f>G!BG40</f>
        <v/>
      </c>
      <c r="AC60" s="43" t="str">
        <f>IFERROR(IF(OR(Z60="--",Z60="rg",VLOOKUP(F!$B40,E!$B$1:'E'!$AK$300,12,FALSE)=1000000000,AA60="-",AA60=""),"",(HLOOKUP(SMALL(G!$Q$4:'G'!$Y$4,7),G!$Q$4:'G'!$Y$501,ROW(G!AI40)-3,FALSE))/VLOOKUP(F!$B40,E!$B$1:'E'!$AK$300,12,FALSE)*100),"")</f>
        <v/>
      </c>
      <c r="AD60" s="43"/>
      <c r="AE60" s="34"/>
      <c r="AF60" s="34"/>
      <c r="AH60" s="72">
        <f t="shared" si="1"/>
        <v>0</v>
      </c>
      <c r="AJ60" s="34"/>
      <c r="AK60" s="34"/>
    </row>
    <row r="61" spans="1:37" s="72" customFormat="1" ht="9" customHeight="1" x14ac:dyDescent="0.15">
      <c r="A61" s="195" t="str">
        <f>F!A41</f>
        <v>Benzo(k)fluoranteen</v>
      </c>
      <c r="B61" s="195"/>
      <c r="C61" s="195"/>
      <c r="D61" s="44" t="str">
        <f>G!AQ41</f>
        <v>&lt;</v>
      </c>
      <c r="E61" s="43" t="str">
        <f>G!AP41</f>
        <v>0,01</v>
      </c>
      <c r="F61" s="42"/>
      <c r="G61" s="42" t="str">
        <f>G!AS41</f>
        <v>&lt;</v>
      </c>
      <c r="H61" s="43" t="str">
        <f>G!AR41</f>
        <v>rg</v>
      </c>
      <c r="I61" s="42" t="str">
        <f>G!AT41</f>
        <v/>
      </c>
      <c r="J61" s="42" t="str">
        <f>G!AU41</f>
        <v/>
      </c>
      <c r="K61" s="43" t="str">
        <f>IFERROR(IF(OR(H61="--",H61="rg",VLOOKUP(F!$B41,E!$B$1:'E'!$AK$300,12,FALSE)=1000000000,I61="-",I61=""),"",(HLOOKUP(SMALL(G!$Q$4:'G'!$Y$4,1),G!$Q$4:'G'!$Y$501,ROW(G!Q41)-3,FALSE))/VLOOKUP(F!$B41,E!$B$1:'E'!$AK$300,12,FALSE)*100),"")</f>
        <v/>
      </c>
      <c r="L61" s="43"/>
      <c r="M61" s="43" t="str">
        <f>G!AW41</f>
        <v>&lt;</v>
      </c>
      <c r="N61" s="43" t="str">
        <f>G!AV41</f>
        <v>0,01</v>
      </c>
      <c r="O61" s="42"/>
      <c r="P61" s="42" t="str">
        <f>G!AY41</f>
        <v>&lt;</v>
      </c>
      <c r="Q61" s="43" t="str">
        <f>G!AX41</f>
        <v>rg</v>
      </c>
      <c r="R61" s="42" t="str">
        <f>G!AZ41</f>
        <v/>
      </c>
      <c r="S61" s="42" t="str">
        <f>G!BA41</f>
        <v/>
      </c>
      <c r="T61" s="43" t="str">
        <f>IFERROR(IF(OR(Q61="--",Q61="rg",VLOOKUP(F!$B41,E!$B$1:'E'!$AK$300,12,FALSE)=1000000000,R61="-",R61=""),"",(HLOOKUP(SMALL(G!$Q$4:'G'!$Y$4,4),G!$Q$4:'G'!$Y$501,ROW(G!Z41)-3,FALSE))/VLOOKUP(F!$B41,E!$B$1:'E'!$AK$300,12,FALSE)*100),"")</f>
        <v/>
      </c>
      <c r="U61" s="43"/>
      <c r="V61" s="43" t="str">
        <f>G!BC41</f>
        <v>&lt;</v>
      </c>
      <c r="W61" s="43" t="str">
        <f>G!BB41</f>
        <v>0,01</v>
      </c>
      <c r="X61" s="43"/>
      <c r="Y61" s="42" t="str">
        <f>G!BE41</f>
        <v>&lt;</v>
      </c>
      <c r="Z61" s="43" t="str">
        <f>G!BD41</f>
        <v>rg</v>
      </c>
      <c r="AA61" s="42" t="str">
        <f>G!BF41</f>
        <v/>
      </c>
      <c r="AB61" s="42" t="str">
        <f>G!BG41</f>
        <v/>
      </c>
      <c r="AC61" s="43" t="str">
        <f>IFERROR(IF(OR(Z61="--",Z61="rg",VLOOKUP(F!$B41,E!$B$1:'E'!$AK$300,12,FALSE)=1000000000,AA61="-",AA61=""),"",(HLOOKUP(SMALL(G!$Q$4:'G'!$Y$4,7),G!$Q$4:'G'!$Y$501,ROW(G!AI41)-3,FALSE))/VLOOKUP(F!$B41,E!$B$1:'E'!$AK$300,12,FALSE)*100),"")</f>
        <v/>
      </c>
      <c r="AD61" s="43"/>
      <c r="AE61" s="34"/>
      <c r="AF61" s="34"/>
      <c r="AH61" s="72">
        <f t="shared" si="1"/>
        <v>0</v>
      </c>
      <c r="AJ61" s="34"/>
      <c r="AK61" s="34"/>
    </row>
    <row r="62" spans="1:37" s="72" customFormat="1" ht="9" customHeight="1" x14ac:dyDescent="0.15">
      <c r="A62" s="195" t="str">
        <f>F!A42</f>
        <v>Indeno(1,2,3-cd)pyreen</v>
      </c>
      <c r="B62" s="195"/>
      <c r="C62" s="195"/>
      <c r="D62" s="44" t="str">
        <f>G!AQ42</f>
        <v>&lt;</v>
      </c>
      <c r="E62" s="43" t="str">
        <f>G!AP42</f>
        <v>0,01</v>
      </c>
      <c r="F62" s="42"/>
      <c r="G62" s="42" t="str">
        <f>G!AS42</f>
        <v>&lt;</v>
      </c>
      <c r="H62" s="43" t="str">
        <f>G!AR42</f>
        <v>rg</v>
      </c>
      <c r="I62" s="42" t="str">
        <f>G!AT42</f>
        <v/>
      </c>
      <c r="J62" s="42" t="str">
        <f>G!AU42</f>
        <v/>
      </c>
      <c r="K62" s="43" t="str">
        <f>IFERROR(IF(OR(H62="--",H62="rg",VLOOKUP(F!$B42,E!$B$1:'E'!$AK$300,12,FALSE)=1000000000,I62="-",I62=""),"",(HLOOKUP(SMALL(G!$Q$4:'G'!$Y$4,1),G!$Q$4:'G'!$Y$501,ROW(G!Q42)-3,FALSE))/VLOOKUP(F!$B42,E!$B$1:'E'!$AK$300,12,FALSE)*100),"")</f>
        <v/>
      </c>
      <c r="L62" s="43"/>
      <c r="M62" s="43" t="str">
        <f>G!AW42</f>
        <v>&lt;</v>
      </c>
      <c r="N62" s="43" t="str">
        <f>G!AV42</f>
        <v>0,01</v>
      </c>
      <c r="O62" s="42"/>
      <c r="P62" s="42" t="str">
        <f>G!AY42</f>
        <v>&lt;</v>
      </c>
      <c r="Q62" s="43" t="str">
        <f>G!AX42</f>
        <v>rg</v>
      </c>
      <c r="R62" s="42" t="str">
        <f>G!AZ42</f>
        <v/>
      </c>
      <c r="S62" s="42" t="str">
        <f>G!BA42</f>
        <v/>
      </c>
      <c r="T62" s="43" t="str">
        <f>IFERROR(IF(OR(Q62="--",Q62="rg",VLOOKUP(F!$B42,E!$B$1:'E'!$AK$300,12,FALSE)=1000000000,R62="-",R62=""),"",(HLOOKUP(SMALL(G!$Q$4:'G'!$Y$4,4),G!$Q$4:'G'!$Y$501,ROW(G!Z42)-3,FALSE))/VLOOKUP(F!$B42,E!$B$1:'E'!$AK$300,12,FALSE)*100),"")</f>
        <v/>
      </c>
      <c r="U62" s="43"/>
      <c r="V62" s="43" t="str">
        <f>G!BC42</f>
        <v>&lt;</v>
      </c>
      <c r="W62" s="43" t="str">
        <f>G!BB42</f>
        <v>0,01</v>
      </c>
      <c r="X62" s="43"/>
      <c r="Y62" s="42" t="str">
        <f>G!BE42</f>
        <v>&lt;</v>
      </c>
      <c r="Z62" s="43" t="str">
        <f>G!BD42</f>
        <v>rg</v>
      </c>
      <c r="AA62" s="42" t="str">
        <f>G!BF42</f>
        <v/>
      </c>
      <c r="AB62" s="42" t="str">
        <f>G!BG42</f>
        <v/>
      </c>
      <c r="AC62" s="43" t="str">
        <f>IFERROR(IF(OR(Z62="--",Z62="rg",VLOOKUP(F!$B42,E!$B$1:'E'!$AK$300,12,FALSE)=1000000000,AA62="-",AA62=""),"",(HLOOKUP(SMALL(G!$Q$4:'G'!$Y$4,7),G!$Q$4:'G'!$Y$501,ROW(G!AI42)-3,FALSE))/VLOOKUP(F!$B42,E!$B$1:'E'!$AK$300,12,FALSE)*100),"")</f>
        <v/>
      </c>
      <c r="AD62" s="43"/>
      <c r="AE62" s="34"/>
      <c r="AF62" s="34"/>
      <c r="AH62" s="72">
        <f t="shared" si="1"/>
        <v>0</v>
      </c>
      <c r="AJ62" s="34"/>
      <c r="AK62" s="34"/>
    </row>
    <row r="63" spans="1:37" s="72" customFormat="1" ht="9" hidden="1" customHeight="1" x14ac:dyDescent="0.15">
      <c r="A63" s="195" t="str">
        <f>F!A43</f>
        <v>Acenaftyleen</v>
      </c>
      <c r="B63" s="195"/>
      <c r="C63" s="195"/>
      <c r="D63" s="44" t="str">
        <f>G!AQ43</f>
        <v/>
      </c>
      <c r="E63" s="43" t="str">
        <f>G!AP43</f>
        <v>--</v>
      </c>
      <c r="F63" s="42"/>
      <c r="G63" s="42" t="str">
        <f>G!AS43</f>
        <v/>
      </c>
      <c r="H63" s="43" t="str">
        <f>G!AR43</f>
        <v>--</v>
      </c>
      <c r="I63" s="42" t="str">
        <f>G!AT43</f>
        <v/>
      </c>
      <c r="J63" s="42" t="str">
        <f>G!AU43</f>
        <v/>
      </c>
      <c r="K63" s="43" t="str">
        <f>IFERROR(IF(OR(H63="--",H63="rg",VLOOKUP(F!$B43,E!$B$1:'E'!$AK$300,12,FALSE)=1000000000,I63="-",I63=""),"",(HLOOKUP(SMALL(G!$Q$4:'G'!$Y$4,1),G!$Q$4:'G'!$Y$501,ROW(G!Q43)-3,FALSE))/VLOOKUP(F!$B43,E!$B$1:'E'!$AK$300,12,FALSE)*100),"")</f>
        <v/>
      </c>
      <c r="L63" s="43"/>
      <c r="M63" s="43" t="str">
        <f>G!AW43</f>
        <v/>
      </c>
      <c r="N63" s="43" t="str">
        <f>G!AV43</f>
        <v>--</v>
      </c>
      <c r="O63" s="42"/>
      <c r="P63" s="42" t="str">
        <f>G!AY43</f>
        <v/>
      </c>
      <c r="Q63" s="43" t="str">
        <f>G!AX43</f>
        <v>--</v>
      </c>
      <c r="R63" s="42" t="str">
        <f>G!AZ43</f>
        <v/>
      </c>
      <c r="S63" s="42" t="str">
        <f>G!BA43</f>
        <v/>
      </c>
      <c r="T63" s="43" t="str">
        <f>IFERROR(IF(OR(Q63="--",Q63="rg",VLOOKUP(F!$B43,E!$B$1:'E'!$AK$300,12,FALSE)=1000000000,R63="-",R63=""),"",(HLOOKUP(SMALL(G!$Q$4:'G'!$Y$4,4),G!$Q$4:'G'!$Y$501,ROW(G!Z43)-3,FALSE))/VLOOKUP(F!$B43,E!$B$1:'E'!$AK$300,12,FALSE)*100),"")</f>
        <v/>
      </c>
      <c r="U63" s="43"/>
      <c r="V63" s="43" t="str">
        <f>G!BC43</f>
        <v/>
      </c>
      <c r="W63" s="43" t="str">
        <f>G!BB43</f>
        <v>--</v>
      </c>
      <c r="X63" s="43"/>
      <c r="Y63" s="42" t="str">
        <f>G!BE43</f>
        <v/>
      </c>
      <c r="Z63" s="43" t="str">
        <f>G!BD43</f>
        <v>--</v>
      </c>
      <c r="AA63" s="42" t="str">
        <f>G!BF43</f>
        <v/>
      </c>
      <c r="AB63" s="42" t="str">
        <f>G!BG43</f>
        <v/>
      </c>
      <c r="AC63" s="43" t="str">
        <f>IFERROR(IF(OR(Z63="--",Z63="rg",VLOOKUP(F!$B43,E!$B$1:'E'!$AK$300,12,FALSE)=1000000000,AA63="-",AA63=""),"",(HLOOKUP(SMALL(G!$Q$4:'G'!$Y$4,7),G!$Q$4:'G'!$Y$501,ROW(G!AI43)-3,FALSE))/VLOOKUP(F!$B43,E!$B$1:'E'!$AK$300,12,FALSE)*100),"")</f>
        <v/>
      </c>
      <c r="AD63" s="43"/>
      <c r="AE63" s="34"/>
      <c r="AF63" s="34"/>
      <c r="AH63" s="72">
        <f t="shared" si="1"/>
        <v>1</v>
      </c>
      <c r="AJ63" s="34"/>
      <c r="AK63" s="34"/>
    </row>
    <row r="64" spans="1:37" s="72" customFormat="1" ht="9" hidden="1" customHeight="1" x14ac:dyDescent="0.15">
      <c r="A64" s="195" t="str">
        <f>F!A44</f>
        <v>Acenafteen</v>
      </c>
      <c r="B64" s="195"/>
      <c r="C64" s="195"/>
      <c r="D64" s="44" t="str">
        <f>G!AQ44</f>
        <v/>
      </c>
      <c r="E64" s="43" t="str">
        <f>G!AP44</f>
        <v>--</v>
      </c>
      <c r="F64" s="42"/>
      <c r="G64" s="42" t="str">
        <f>G!AS44</f>
        <v/>
      </c>
      <c r="H64" s="43" t="str">
        <f>G!AR44</f>
        <v>--</v>
      </c>
      <c r="I64" s="42" t="str">
        <f>G!AT44</f>
        <v/>
      </c>
      <c r="J64" s="42" t="str">
        <f>G!AU44</f>
        <v/>
      </c>
      <c r="K64" s="43" t="str">
        <f>IFERROR(IF(OR(H64="--",H64="rg",VLOOKUP(F!$B44,E!$B$1:'E'!$AK$300,12,FALSE)=1000000000,I64="-",I64=""),"",(HLOOKUP(SMALL(G!$Q$4:'G'!$Y$4,1),G!$Q$4:'G'!$Y$501,ROW(G!Q44)-3,FALSE))/VLOOKUP(F!$B44,E!$B$1:'E'!$AK$300,12,FALSE)*100),"")</f>
        <v/>
      </c>
      <c r="L64" s="43"/>
      <c r="M64" s="43" t="str">
        <f>G!AW44</f>
        <v/>
      </c>
      <c r="N64" s="43" t="str">
        <f>G!AV44</f>
        <v>--</v>
      </c>
      <c r="O64" s="42"/>
      <c r="P64" s="42" t="str">
        <f>G!AY44</f>
        <v/>
      </c>
      <c r="Q64" s="43" t="str">
        <f>G!AX44</f>
        <v>--</v>
      </c>
      <c r="R64" s="42" t="str">
        <f>G!AZ44</f>
        <v/>
      </c>
      <c r="S64" s="42" t="str">
        <f>G!BA44</f>
        <v/>
      </c>
      <c r="T64" s="43" t="str">
        <f>IFERROR(IF(OR(Q64="--",Q64="rg",VLOOKUP(F!$B44,E!$B$1:'E'!$AK$300,12,FALSE)=1000000000,R64="-",R64=""),"",(HLOOKUP(SMALL(G!$Q$4:'G'!$Y$4,4),G!$Q$4:'G'!$Y$501,ROW(G!Z44)-3,FALSE))/VLOOKUP(F!$B44,E!$B$1:'E'!$AK$300,12,FALSE)*100),"")</f>
        <v/>
      </c>
      <c r="U64" s="43"/>
      <c r="V64" s="43" t="str">
        <f>G!BC44</f>
        <v/>
      </c>
      <c r="W64" s="43" t="str">
        <f>G!BB44</f>
        <v>--</v>
      </c>
      <c r="X64" s="43"/>
      <c r="Y64" s="42" t="str">
        <f>G!BE44</f>
        <v/>
      </c>
      <c r="Z64" s="43" t="str">
        <f>G!BD44</f>
        <v>--</v>
      </c>
      <c r="AA64" s="42" t="str">
        <f>G!BF44</f>
        <v/>
      </c>
      <c r="AB64" s="42" t="str">
        <f>G!BG44</f>
        <v/>
      </c>
      <c r="AC64" s="43" t="str">
        <f>IFERROR(IF(OR(Z64="--",Z64="rg",VLOOKUP(F!$B44,E!$B$1:'E'!$AK$300,12,FALSE)=1000000000,AA64="-",AA64=""),"",(HLOOKUP(SMALL(G!$Q$4:'G'!$Y$4,7),G!$Q$4:'G'!$Y$501,ROW(G!AI44)-3,FALSE))/VLOOKUP(F!$B44,E!$B$1:'E'!$AK$300,12,FALSE)*100),"")</f>
        <v/>
      </c>
      <c r="AD64" s="43"/>
      <c r="AE64" s="34"/>
      <c r="AF64" s="34"/>
      <c r="AH64" s="72">
        <f t="shared" si="1"/>
        <v>1</v>
      </c>
      <c r="AJ64" s="34"/>
      <c r="AK64" s="34"/>
    </row>
    <row r="65" spans="1:37" s="72" customFormat="1" ht="9" hidden="1" customHeight="1" x14ac:dyDescent="0.15">
      <c r="A65" s="195" t="str">
        <f>F!A45</f>
        <v>Fluoreen</v>
      </c>
      <c r="B65" s="195"/>
      <c r="C65" s="195"/>
      <c r="D65" s="44" t="str">
        <f>G!AQ45</f>
        <v/>
      </c>
      <c r="E65" s="43" t="str">
        <f>G!AP45</f>
        <v>--</v>
      </c>
      <c r="F65" s="42"/>
      <c r="G65" s="42" t="str">
        <f>G!AS45</f>
        <v/>
      </c>
      <c r="H65" s="43" t="str">
        <f>G!AR45</f>
        <v>--</v>
      </c>
      <c r="I65" s="42" t="str">
        <f>G!AT45</f>
        <v/>
      </c>
      <c r="J65" s="42" t="str">
        <f>G!AU45</f>
        <v/>
      </c>
      <c r="K65" s="43" t="str">
        <f>IFERROR(IF(OR(H65="--",H65="rg",VLOOKUP(F!$B45,E!$B$1:'E'!$AK$300,12,FALSE)=1000000000,I65="-",I65=""),"",(HLOOKUP(SMALL(G!$Q$4:'G'!$Y$4,1),G!$Q$4:'G'!$Y$501,ROW(G!Q45)-3,FALSE))/VLOOKUP(F!$B45,E!$B$1:'E'!$AK$300,12,FALSE)*100),"")</f>
        <v/>
      </c>
      <c r="L65" s="43"/>
      <c r="M65" s="43" t="str">
        <f>G!AW45</f>
        <v/>
      </c>
      <c r="N65" s="43" t="str">
        <f>G!AV45</f>
        <v>--</v>
      </c>
      <c r="O65" s="42"/>
      <c r="P65" s="42" t="str">
        <f>G!AY45</f>
        <v/>
      </c>
      <c r="Q65" s="43" t="str">
        <f>G!AX45</f>
        <v>--</v>
      </c>
      <c r="R65" s="42" t="str">
        <f>G!AZ45</f>
        <v/>
      </c>
      <c r="S65" s="42" t="str">
        <f>G!BA45</f>
        <v/>
      </c>
      <c r="T65" s="43" t="str">
        <f>IFERROR(IF(OR(Q65="--",Q65="rg",VLOOKUP(F!$B45,E!$B$1:'E'!$AK$300,12,FALSE)=1000000000,R65="-",R65=""),"",(HLOOKUP(SMALL(G!$Q$4:'G'!$Y$4,4),G!$Q$4:'G'!$Y$501,ROW(G!Z45)-3,FALSE))/VLOOKUP(F!$B45,E!$B$1:'E'!$AK$300,12,FALSE)*100),"")</f>
        <v/>
      </c>
      <c r="U65" s="43"/>
      <c r="V65" s="43" t="str">
        <f>G!BC45</f>
        <v/>
      </c>
      <c r="W65" s="43" t="str">
        <f>G!BB45</f>
        <v>--</v>
      </c>
      <c r="X65" s="43"/>
      <c r="Y65" s="42" t="str">
        <f>G!BE45</f>
        <v/>
      </c>
      <c r="Z65" s="43" t="str">
        <f>G!BD45</f>
        <v>--</v>
      </c>
      <c r="AA65" s="42" t="str">
        <f>G!BF45</f>
        <v/>
      </c>
      <c r="AB65" s="42" t="str">
        <f>G!BG45</f>
        <v/>
      </c>
      <c r="AC65" s="43" t="str">
        <f>IFERROR(IF(OR(Z65="--",Z65="rg",VLOOKUP(F!$B45,E!$B$1:'E'!$AK$300,12,FALSE)=1000000000,AA65="-",AA65=""),"",(HLOOKUP(SMALL(G!$Q$4:'G'!$Y$4,7),G!$Q$4:'G'!$Y$501,ROW(G!AI45)-3,FALSE))/VLOOKUP(F!$B45,E!$B$1:'E'!$AK$300,12,FALSE)*100),"")</f>
        <v/>
      </c>
      <c r="AD65" s="43"/>
      <c r="AE65" s="34"/>
      <c r="AF65" s="34"/>
      <c r="AH65" s="72">
        <f t="shared" si="1"/>
        <v>1</v>
      </c>
      <c r="AJ65" s="34"/>
      <c r="AK65" s="34"/>
    </row>
    <row r="66" spans="1:37" s="72" customFormat="1" ht="9" hidden="1" customHeight="1" x14ac:dyDescent="0.15">
      <c r="A66" s="195" t="str">
        <f>F!A46</f>
        <v>Pyreen</v>
      </c>
      <c r="B66" s="195"/>
      <c r="C66" s="195"/>
      <c r="D66" s="44" t="str">
        <f>G!AQ46</f>
        <v/>
      </c>
      <c r="E66" s="43" t="str">
        <f>G!AP46</f>
        <v>--</v>
      </c>
      <c r="F66" s="42"/>
      <c r="G66" s="42" t="str">
        <f>G!AS46</f>
        <v/>
      </c>
      <c r="H66" s="43" t="str">
        <f>G!AR46</f>
        <v>--</v>
      </c>
      <c r="I66" s="42" t="str">
        <f>G!AT46</f>
        <v/>
      </c>
      <c r="J66" s="42" t="str">
        <f>G!AU46</f>
        <v/>
      </c>
      <c r="K66" s="43" t="str">
        <f>IFERROR(IF(OR(H66="--",H66="rg",VLOOKUP(F!$B46,E!$B$1:'E'!$AK$300,12,FALSE)=1000000000,I66="-",I66=""),"",(HLOOKUP(SMALL(G!$Q$4:'G'!$Y$4,1),G!$Q$4:'G'!$Y$501,ROW(G!Q46)-3,FALSE))/VLOOKUP(F!$B46,E!$B$1:'E'!$AK$300,12,FALSE)*100),"")</f>
        <v/>
      </c>
      <c r="L66" s="43"/>
      <c r="M66" s="43" t="str">
        <f>G!AW46</f>
        <v/>
      </c>
      <c r="N66" s="43" t="str">
        <f>G!AV46</f>
        <v>--</v>
      </c>
      <c r="O66" s="42"/>
      <c r="P66" s="42" t="str">
        <f>G!AY46</f>
        <v/>
      </c>
      <c r="Q66" s="43" t="str">
        <f>G!AX46</f>
        <v>--</v>
      </c>
      <c r="R66" s="42" t="str">
        <f>G!AZ46</f>
        <v/>
      </c>
      <c r="S66" s="42" t="str">
        <f>G!BA46</f>
        <v/>
      </c>
      <c r="T66" s="43" t="str">
        <f>IFERROR(IF(OR(Q66="--",Q66="rg",VLOOKUP(F!$B46,E!$B$1:'E'!$AK$300,12,FALSE)=1000000000,R66="-",R66=""),"",(HLOOKUP(SMALL(G!$Q$4:'G'!$Y$4,4),G!$Q$4:'G'!$Y$501,ROW(G!Z46)-3,FALSE))/VLOOKUP(F!$B46,E!$B$1:'E'!$AK$300,12,FALSE)*100),"")</f>
        <v/>
      </c>
      <c r="U66" s="43"/>
      <c r="V66" s="43" t="str">
        <f>G!BC46</f>
        <v/>
      </c>
      <c r="W66" s="43" t="str">
        <f>G!BB46</f>
        <v>--</v>
      </c>
      <c r="X66" s="43"/>
      <c r="Y66" s="42" t="str">
        <f>G!BE46</f>
        <v/>
      </c>
      <c r="Z66" s="43" t="str">
        <f>G!BD46</f>
        <v>--</v>
      </c>
      <c r="AA66" s="42" t="str">
        <f>G!BF46</f>
        <v/>
      </c>
      <c r="AB66" s="42" t="str">
        <f>G!BG46</f>
        <v/>
      </c>
      <c r="AC66" s="43" t="str">
        <f>IFERROR(IF(OR(Z66="--",Z66="rg",VLOOKUP(F!$B46,E!$B$1:'E'!$AK$300,12,FALSE)=1000000000,AA66="-",AA66=""),"",(HLOOKUP(SMALL(G!$Q$4:'G'!$Y$4,7),G!$Q$4:'G'!$Y$501,ROW(G!AI46)-3,FALSE))/VLOOKUP(F!$B46,E!$B$1:'E'!$AK$300,12,FALSE)*100),"")</f>
        <v/>
      </c>
      <c r="AD66" s="43"/>
      <c r="AE66" s="34"/>
      <c r="AF66" s="34"/>
      <c r="AH66" s="72">
        <f t="shared" si="1"/>
        <v>1</v>
      </c>
      <c r="AJ66" s="34"/>
      <c r="AK66" s="34"/>
    </row>
    <row r="67" spans="1:37" s="72" customFormat="1" ht="9" hidden="1" customHeight="1" x14ac:dyDescent="0.15">
      <c r="A67" s="195" t="str">
        <f>F!A47</f>
        <v>Benzo(b)fluoranteen</v>
      </c>
      <c r="B67" s="195"/>
      <c r="C67" s="195"/>
      <c r="D67" s="44" t="str">
        <f>G!AQ47</f>
        <v/>
      </c>
      <c r="E67" s="43" t="str">
        <f>G!AP47</f>
        <v>--</v>
      </c>
      <c r="F67" s="42"/>
      <c r="G67" s="42" t="str">
        <f>G!AS47</f>
        <v/>
      </c>
      <c r="H67" s="43" t="str">
        <f>G!AR47</f>
        <v>--</v>
      </c>
      <c r="I67" s="42" t="str">
        <f>G!AT47</f>
        <v/>
      </c>
      <c r="J67" s="42" t="str">
        <f>G!AU47</f>
        <v/>
      </c>
      <c r="K67" s="43" t="str">
        <f>IFERROR(IF(OR(H67="--",H67="rg",VLOOKUP(F!$B47,E!$B$1:'E'!$AK$300,12,FALSE)=1000000000,I67="-",I67=""),"",(HLOOKUP(SMALL(G!$Q$4:'G'!$Y$4,1),G!$Q$4:'G'!$Y$501,ROW(G!Q47)-3,FALSE))/VLOOKUP(F!$B47,E!$B$1:'E'!$AK$300,12,FALSE)*100),"")</f>
        <v/>
      </c>
      <c r="L67" s="43"/>
      <c r="M67" s="43" t="str">
        <f>G!AW47</f>
        <v/>
      </c>
      <c r="N67" s="43" t="str">
        <f>G!AV47</f>
        <v>--</v>
      </c>
      <c r="O67" s="42"/>
      <c r="P67" s="42" t="str">
        <f>G!AY47</f>
        <v/>
      </c>
      <c r="Q67" s="43" t="str">
        <f>G!AX47</f>
        <v>--</v>
      </c>
      <c r="R67" s="42" t="str">
        <f>G!AZ47</f>
        <v/>
      </c>
      <c r="S67" s="42" t="str">
        <f>G!BA47</f>
        <v/>
      </c>
      <c r="T67" s="43" t="str">
        <f>IFERROR(IF(OR(Q67="--",Q67="rg",VLOOKUP(F!$B47,E!$B$1:'E'!$AK$300,12,FALSE)=1000000000,R67="-",R67=""),"",(HLOOKUP(SMALL(G!$Q$4:'G'!$Y$4,4),G!$Q$4:'G'!$Y$501,ROW(G!Z47)-3,FALSE))/VLOOKUP(F!$B47,E!$B$1:'E'!$AK$300,12,FALSE)*100),"")</f>
        <v/>
      </c>
      <c r="U67" s="43"/>
      <c r="V67" s="43" t="str">
        <f>G!BC47</f>
        <v/>
      </c>
      <c r="W67" s="43" t="str">
        <f>G!BB47</f>
        <v>--</v>
      </c>
      <c r="X67" s="43"/>
      <c r="Y67" s="42" t="str">
        <f>G!BE47</f>
        <v/>
      </c>
      <c r="Z67" s="43" t="str">
        <f>G!BD47</f>
        <v>--</v>
      </c>
      <c r="AA67" s="42" t="str">
        <f>G!BF47</f>
        <v/>
      </c>
      <c r="AB67" s="42" t="str">
        <f>G!BG47</f>
        <v/>
      </c>
      <c r="AC67" s="43" t="str">
        <f>IFERROR(IF(OR(Z67="--",Z67="rg",VLOOKUP(F!$B47,E!$B$1:'E'!$AK$300,12,FALSE)=1000000000,AA67="-",AA67=""),"",(HLOOKUP(SMALL(G!$Q$4:'G'!$Y$4,7),G!$Q$4:'G'!$Y$501,ROW(G!AI47)-3,FALSE))/VLOOKUP(F!$B47,E!$B$1:'E'!$AK$300,12,FALSE)*100),"")</f>
        <v/>
      </c>
      <c r="AD67" s="43"/>
      <c r="AE67" s="34"/>
      <c r="AF67" s="34"/>
      <c r="AH67" s="72">
        <f t="shared" si="1"/>
        <v>1</v>
      </c>
      <c r="AJ67" s="34"/>
      <c r="AK67" s="34"/>
    </row>
    <row r="68" spans="1:37" s="72" customFormat="1" ht="9" hidden="1" customHeight="1" x14ac:dyDescent="0.15">
      <c r="A68" s="195" t="str">
        <f>F!A48</f>
        <v>Dibenz(a,h)antraceen</v>
      </c>
      <c r="B68" s="195"/>
      <c r="C68" s="195"/>
      <c r="D68" s="44" t="str">
        <f>G!AQ48</f>
        <v/>
      </c>
      <c r="E68" s="43" t="str">
        <f>G!AP48</f>
        <v>--</v>
      </c>
      <c r="F68" s="42"/>
      <c r="G68" s="42" t="str">
        <f>G!AS48</f>
        <v/>
      </c>
      <c r="H68" s="43" t="str">
        <f>G!AR48</f>
        <v>--</v>
      </c>
      <c r="I68" s="42" t="str">
        <f>G!AT48</f>
        <v/>
      </c>
      <c r="J68" s="42" t="str">
        <f>G!AU48</f>
        <v/>
      </c>
      <c r="K68" s="43" t="str">
        <f>IFERROR(IF(OR(H68="--",H68="rg",VLOOKUP(F!$B48,E!$B$1:'E'!$AK$300,12,FALSE)=1000000000,I68="-",I68=""),"",(HLOOKUP(SMALL(G!$Q$4:'G'!$Y$4,1),G!$Q$4:'G'!$Y$501,ROW(G!Q48)-3,FALSE))/VLOOKUP(F!$B48,E!$B$1:'E'!$AK$300,12,FALSE)*100),"")</f>
        <v/>
      </c>
      <c r="L68" s="43"/>
      <c r="M68" s="43" t="str">
        <f>G!AW48</f>
        <v/>
      </c>
      <c r="N68" s="43" t="str">
        <f>G!AV48</f>
        <v>--</v>
      </c>
      <c r="O68" s="42"/>
      <c r="P68" s="42" t="str">
        <f>G!AY48</f>
        <v/>
      </c>
      <c r="Q68" s="43" t="str">
        <f>G!AX48</f>
        <v>--</v>
      </c>
      <c r="R68" s="42" t="str">
        <f>G!AZ48</f>
        <v/>
      </c>
      <c r="S68" s="42" t="str">
        <f>G!BA48</f>
        <v/>
      </c>
      <c r="T68" s="43" t="str">
        <f>IFERROR(IF(OR(Q68="--",Q68="rg",VLOOKUP(F!$B48,E!$B$1:'E'!$AK$300,12,FALSE)=1000000000,R68="-",R68=""),"",(HLOOKUP(SMALL(G!$Q$4:'G'!$Y$4,4),G!$Q$4:'G'!$Y$501,ROW(G!Z48)-3,FALSE))/VLOOKUP(F!$B48,E!$B$1:'E'!$AK$300,12,FALSE)*100),"")</f>
        <v/>
      </c>
      <c r="U68" s="43"/>
      <c r="V68" s="43" t="str">
        <f>G!BC48</f>
        <v/>
      </c>
      <c r="W68" s="43" t="str">
        <f>G!BB48</f>
        <v>--</v>
      </c>
      <c r="X68" s="43"/>
      <c r="Y68" s="42" t="str">
        <f>G!BE48</f>
        <v/>
      </c>
      <c r="Z68" s="43" t="str">
        <f>G!BD48</f>
        <v>--</v>
      </c>
      <c r="AA68" s="42" t="str">
        <f>G!BF48</f>
        <v/>
      </c>
      <c r="AB68" s="42" t="str">
        <f>G!BG48</f>
        <v/>
      </c>
      <c r="AC68" s="43" t="str">
        <f>IFERROR(IF(OR(Z68="--",Z68="rg",VLOOKUP(F!$B48,E!$B$1:'E'!$AK$300,12,FALSE)=1000000000,AA68="-",AA68=""),"",(HLOOKUP(SMALL(G!$Q$4:'G'!$Y$4,7),G!$Q$4:'G'!$Y$501,ROW(G!AI48)-3,FALSE))/VLOOKUP(F!$B48,E!$B$1:'E'!$AK$300,12,FALSE)*100),"")</f>
        <v/>
      </c>
      <c r="AD68" s="43"/>
      <c r="AE68" s="34"/>
      <c r="AF68" s="34"/>
      <c r="AH68" s="72">
        <f t="shared" si="1"/>
        <v>1</v>
      </c>
      <c r="AJ68" s="34"/>
      <c r="AK68" s="34"/>
    </row>
    <row r="69" spans="1:37" s="72" customFormat="1" ht="9" customHeight="1" x14ac:dyDescent="0.15">
      <c r="A69" s="195" t="str">
        <f>F!A49</f>
        <v>PAK 10 van VROM</v>
      </c>
      <c r="B69" s="195"/>
      <c r="C69" s="195"/>
      <c r="D69" s="44" t="str">
        <f>G!AQ49</f>
        <v>&lt;</v>
      </c>
      <c r="E69" s="43" t="str">
        <f>G!AP49</f>
        <v>0,10</v>
      </c>
      <c r="F69" s="42"/>
      <c r="G69" s="42" t="str">
        <f>G!AS49</f>
        <v>&lt;</v>
      </c>
      <c r="H69" s="43" t="str">
        <f>G!AR49</f>
        <v>rg</v>
      </c>
      <c r="I69" s="42" t="str">
        <f>G!AT49</f>
        <v>-</v>
      </c>
      <c r="J69" s="42" t="str">
        <f>G!AU49</f>
        <v/>
      </c>
      <c r="K69" s="43" t="str">
        <f>IFERROR(IF(OR(H69="--",H69="rg",VLOOKUP(F!$B49,E!$B$1:'E'!$AK$300,12,FALSE)=1000000000,I69="-",I69=""),"",(HLOOKUP(SMALL(G!$Q$4:'G'!$Y$4,1),G!$Q$4:'G'!$Y$501,ROW(G!Q49)-3,FALSE))/VLOOKUP(F!$B49,E!$B$1:'E'!$AK$300,12,FALSE)*100),"")</f>
        <v/>
      </c>
      <c r="L69" s="43"/>
      <c r="M69" s="43" t="str">
        <f>G!AW49</f>
        <v>&lt;</v>
      </c>
      <c r="N69" s="43" t="str">
        <f>G!AV49</f>
        <v>0,10</v>
      </c>
      <c r="O69" s="42"/>
      <c r="P69" s="42" t="str">
        <f>G!AY49</f>
        <v>&lt;</v>
      </c>
      <c r="Q69" s="43" t="str">
        <f>G!AX49</f>
        <v>rg</v>
      </c>
      <c r="R69" s="42" t="str">
        <f>G!AZ49</f>
        <v>-</v>
      </c>
      <c r="S69" s="42" t="str">
        <f>G!BA49</f>
        <v/>
      </c>
      <c r="T69" s="43" t="str">
        <f>IFERROR(IF(OR(Q69="--",Q69="rg",VLOOKUP(F!$B49,E!$B$1:'E'!$AK$300,12,FALSE)=1000000000,R69="-",R69=""),"",(HLOOKUP(SMALL(G!$Q$4:'G'!$Y$4,4),G!$Q$4:'G'!$Y$501,ROW(G!Z49)-3,FALSE))/VLOOKUP(F!$B49,E!$B$1:'E'!$AK$300,12,FALSE)*100),"")</f>
        <v/>
      </c>
      <c r="U69" s="43"/>
      <c r="V69" s="43" t="str">
        <f>G!BC49</f>
        <v>&lt;</v>
      </c>
      <c r="W69" s="43" t="str">
        <f>G!BB49</f>
        <v>0,10</v>
      </c>
      <c r="X69" s="43"/>
      <c r="Y69" s="42" t="str">
        <f>G!BE49</f>
        <v>&lt;</v>
      </c>
      <c r="Z69" s="43" t="str">
        <f>G!BD49</f>
        <v>rg</v>
      </c>
      <c r="AA69" s="42" t="str">
        <f>G!BF49</f>
        <v>-</v>
      </c>
      <c r="AB69" s="42" t="str">
        <f>G!BG49</f>
        <v/>
      </c>
      <c r="AC69" s="43" t="str">
        <f>IFERROR(IF(OR(Z69="--",Z69="rg",VLOOKUP(F!$B49,E!$B$1:'E'!$AK$300,12,FALSE)=1000000000,AA69="-",AA69=""),"",(HLOOKUP(SMALL(G!$Q$4:'G'!$Y$4,7),G!$Q$4:'G'!$Y$501,ROW(G!AI49)-3,FALSE))/VLOOKUP(F!$B49,E!$B$1:'E'!$AK$300,12,FALSE)*100),"")</f>
        <v/>
      </c>
      <c r="AD69" s="43"/>
      <c r="AE69" s="34"/>
      <c r="AF69" s="34"/>
      <c r="AH69" s="72">
        <f t="shared" si="1"/>
        <v>0</v>
      </c>
      <c r="AJ69" s="34"/>
      <c r="AK69" s="34"/>
    </row>
    <row r="70" spans="1:37" ht="3.95" customHeight="1" x14ac:dyDescent="0.15">
      <c r="A70" s="41"/>
      <c r="B70" s="41"/>
      <c r="C70" s="41"/>
      <c r="D70" s="44"/>
      <c r="E70" s="43"/>
      <c r="F70" s="42"/>
      <c r="G70" s="42"/>
      <c r="H70" s="43"/>
      <c r="I70" s="42"/>
      <c r="J70" s="42"/>
      <c r="K70" s="42"/>
      <c r="L70" s="43"/>
      <c r="M70" s="43"/>
      <c r="N70" s="42"/>
      <c r="O70" s="42"/>
      <c r="P70" s="43"/>
      <c r="Q70" s="42"/>
      <c r="R70" s="42"/>
      <c r="S70" s="42"/>
      <c r="T70" s="43"/>
      <c r="U70" s="43"/>
      <c r="V70" s="43"/>
      <c r="W70" s="42"/>
      <c r="X70" s="43"/>
      <c r="Y70" s="42"/>
      <c r="Z70" s="43"/>
      <c r="AA70" s="43"/>
      <c r="AC70" s="34"/>
      <c r="AD70" s="72"/>
      <c r="AF70" s="72"/>
      <c r="AG70" s="34"/>
      <c r="AH70" s="94">
        <f>AH71</f>
        <v>0</v>
      </c>
      <c r="AI70" s="34"/>
    </row>
    <row r="71" spans="1:37" ht="9" customHeight="1" x14ac:dyDescent="0.15">
      <c r="A71" s="198" t="str">
        <f>IF(COUNTIF(F!D48:D55,131)&gt;0,"Polychloorbifenylen (µg/kgds)","Polychloorbifenylen (mg/kgds)")</f>
        <v>Polychloorbifenylen (µg/kgds)</v>
      </c>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C71" s="34"/>
      <c r="AD71" s="72"/>
      <c r="AF71" s="72"/>
      <c r="AG71" s="34"/>
      <c r="AH71" s="94">
        <f>IF(COUNTIF(AH72:AH79,1)=COUNT(AH72:AH79),1,0)</f>
        <v>0</v>
      </c>
      <c r="AI71" s="34"/>
    </row>
    <row r="72" spans="1:37" s="72" customFormat="1" ht="9" customHeight="1" x14ac:dyDescent="0.15">
      <c r="A72" s="195" t="str">
        <f>F!A50</f>
        <v>PCB 28</v>
      </c>
      <c r="B72" s="195"/>
      <c r="C72" s="195"/>
      <c r="D72" s="44" t="str">
        <f>G!AQ50</f>
        <v>&lt;</v>
      </c>
      <c r="E72" s="43" t="str">
        <f>G!AP50</f>
        <v>1,0</v>
      </c>
      <c r="F72" s="42"/>
      <c r="G72" s="42" t="str">
        <f>G!AS50</f>
        <v>&lt;</v>
      </c>
      <c r="H72" s="43" t="str">
        <f>G!AR50</f>
        <v>rg</v>
      </c>
      <c r="I72" s="42" t="str">
        <f>G!AT50</f>
        <v/>
      </c>
      <c r="J72" s="42" t="str">
        <f>G!AU50</f>
        <v/>
      </c>
      <c r="K72" s="43" t="str">
        <f>IFERROR(IF(OR(H72="--",H72="rg",VLOOKUP(F!$B50,E!$B$1:'E'!$AK$300,12,FALSE)=1000000000,I72="-",I72=""),"",(HLOOKUP(SMALL(G!$Q$4:'G'!$Y$4,1),G!$Q$4:'G'!$Y$501,ROW(G!Q50)-3,FALSE))/VLOOKUP(F!$B50,E!$B$1:'E'!$AK$300,12,FALSE)*100),"")</f>
        <v/>
      </c>
      <c r="L72" s="43"/>
      <c r="M72" s="43" t="str">
        <f>G!AW50</f>
        <v>&lt;</v>
      </c>
      <c r="N72" s="43" t="str">
        <f>G!AV50</f>
        <v>1,0</v>
      </c>
      <c r="O72" s="42"/>
      <c r="P72" s="42" t="str">
        <f>G!AY50</f>
        <v>&lt;</v>
      </c>
      <c r="Q72" s="43" t="str">
        <f>G!AX50</f>
        <v>rg</v>
      </c>
      <c r="R72" s="42" t="str">
        <f>G!AZ50</f>
        <v/>
      </c>
      <c r="S72" s="42" t="str">
        <f>G!BA50</f>
        <v/>
      </c>
      <c r="T72" s="43" t="str">
        <f>IFERROR(IF(OR(Q72="--",Q72="rg",VLOOKUP(F!$B50,E!$B$1:'E'!$AK$300,12,FALSE)=1000000000,R72="-",R72=""),"",(HLOOKUP(SMALL(G!$Q$4:'G'!$Y$4,4),G!$Q$4:'G'!$Y$501,ROW(G!Z50)-3,FALSE))/VLOOKUP(F!$B50,E!$B$1:'E'!$AK$300,12,FALSE)*100),"")</f>
        <v/>
      </c>
      <c r="U72" s="43"/>
      <c r="V72" s="43" t="str">
        <f>G!BC50</f>
        <v>&lt;</v>
      </c>
      <c r="W72" s="43" t="str">
        <f>G!BB50</f>
        <v>1,0</v>
      </c>
      <c r="X72" s="43"/>
      <c r="Y72" s="42" t="str">
        <f>G!BE50</f>
        <v>&lt;</v>
      </c>
      <c r="Z72" s="43" t="str">
        <f>G!BD50</f>
        <v>rg</v>
      </c>
      <c r="AA72" s="42" t="str">
        <f>G!BF50</f>
        <v/>
      </c>
      <c r="AB72" s="42" t="str">
        <f>G!BG50</f>
        <v/>
      </c>
      <c r="AC72" s="43" t="str">
        <f>IFERROR(IF(OR(Z72="--",Z72="rg",VLOOKUP(F!$B50,E!$B$1:'E'!$AK$300,12,FALSE)=1000000000,AA72="-",AA72=""),"",(HLOOKUP(SMALL(G!$Q$4:'G'!$Y$4,7),G!$Q$4:'G'!$Y$501,ROW(G!AI50)-3,FALSE))/VLOOKUP(F!$B50,E!$B$1:'E'!$AK$300,12,FALSE)*100),"")</f>
        <v/>
      </c>
      <c r="AD72" s="43"/>
      <c r="AE72" s="34"/>
      <c r="AF72" s="34"/>
      <c r="AH72" s="72">
        <f t="shared" si="1"/>
        <v>0</v>
      </c>
      <c r="AJ72" s="34"/>
      <c r="AK72" s="34"/>
    </row>
    <row r="73" spans="1:37" s="72" customFormat="1" ht="9" customHeight="1" x14ac:dyDescent="0.15">
      <c r="A73" s="195" t="str">
        <f>F!A51</f>
        <v>PCB 52</v>
      </c>
      <c r="B73" s="195"/>
      <c r="C73" s="195"/>
      <c r="D73" s="44" t="str">
        <f>G!AQ51</f>
        <v>&lt;</v>
      </c>
      <c r="E73" s="43" t="str">
        <f>G!AP51</f>
        <v>1,0</v>
      </c>
      <c r="F73" s="42"/>
      <c r="G73" s="42" t="str">
        <f>G!AS51</f>
        <v>&lt;</v>
      </c>
      <c r="H73" s="43" t="str">
        <f>G!AR51</f>
        <v>rg</v>
      </c>
      <c r="I73" s="42" t="str">
        <f>G!AT51</f>
        <v/>
      </c>
      <c r="J73" s="42" t="str">
        <f>G!AU51</f>
        <v/>
      </c>
      <c r="K73" s="43" t="str">
        <f>IFERROR(IF(OR(H73="--",H73="rg",VLOOKUP(F!$B51,E!$B$1:'E'!$AK$300,12,FALSE)=1000000000,I73="-",I73=""),"",(HLOOKUP(SMALL(G!$Q$4:'G'!$Y$4,1),G!$Q$4:'G'!$Y$501,ROW(G!Q51)-3,FALSE))/VLOOKUP(F!$B51,E!$B$1:'E'!$AK$300,12,FALSE)*100),"")</f>
        <v/>
      </c>
      <c r="L73" s="43"/>
      <c r="M73" s="43" t="str">
        <f>G!AW51</f>
        <v>&lt;</v>
      </c>
      <c r="N73" s="43" t="str">
        <f>G!AV51</f>
        <v>1,0</v>
      </c>
      <c r="O73" s="42"/>
      <c r="P73" s="42" t="str">
        <f>G!AY51</f>
        <v>&lt;</v>
      </c>
      <c r="Q73" s="43" t="str">
        <f>G!AX51</f>
        <v>rg</v>
      </c>
      <c r="R73" s="42" t="str">
        <f>G!AZ51</f>
        <v/>
      </c>
      <c r="S73" s="42" t="str">
        <f>G!BA51</f>
        <v/>
      </c>
      <c r="T73" s="43" t="str">
        <f>IFERROR(IF(OR(Q73="--",Q73="rg",VLOOKUP(F!$B51,E!$B$1:'E'!$AK$300,12,FALSE)=1000000000,R73="-",R73=""),"",(HLOOKUP(SMALL(G!$Q$4:'G'!$Y$4,4),G!$Q$4:'G'!$Y$501,ROW(G!Z51)-3,FALSE))/VLOOKUP(F!$B51,E!$B$1:'E'!$AK$300,12,FALSE)*100),"")</f>
        <v/>
      </c>
      <c r="U73" s="43"/>
      <c r="V73" s="43" t="str">
        <f>G!BC51</f>
        <v>&lt;</v>
      </c>
      <c r="W73" s="43" t="str">
        <f>G!BB51</f>
        <v>1,0</v>
      </c>
      <c r="X73" s="43"/>
      <c r="Y73" s="42" t="str">
        <f>G!BE51</f>
        <v>&lt;</v>
      </c>
      <c r="Z73" s="43" t="str">
        <f>G!BD51</f>
        <v>rg</v>
      </c>
      <c r="AA73" s="42" t="str">
        <f>G!BF51</f>
        <v/>
      </c>
      <c r="AB73" s="42" t="str">
        <f>G!BG51</f>
        <v/>
      </c>
      <c r="AC73" s="43" t="str">
        <f>IFERROR(IF(OR(Z73="--",Z73="rg",VLOOKUP(F!$B51,E!$B$1:'E'!$AK$300,12,FALSE)=1000000000,AA73="-",AA73=""),"",(HLOOKUP(SMALL(G!$Q$4:'G'!$Y$4,7),G!$Q$4:'G'!$Y$501,ROW(G!AI51)-3,FALSE))/VLOOKUP(F!$B51,E!$B$1:'E'!$AK$300,12,FALSE)*100),"")</f>
        <v/>
      </c>
      <c r="AD73" s="43"/>
      <c r="AE73" s="34"/>
      <c r="AF73" s="34"/>
      <c r="AH73" s="72">
        <f t="shared" si="1"/>
        <v>0</v>
      </c>
      <c r="AJ73" s="34"/>
      <c r="AK73" s="34"/>
    </row>
    <row r="74" spans="1:37" s="72" customFormat="1" ht="9" customHeight="1" x14ac:dyDescent="0.15">
      <c r="A74" s="195" t="str">
        <f>F!A52</f>
        <v>PCB 101</v>
      </c>
      <c r="B74" s="195"/>
      <c r="C74" s="195"/>
      <c r="D74" s="44" t="str">
        <f>G!AQ52</f>
        <v>&lt;</v>
      </c>
      <c r="E74" s="43" t="str">
        <f>G!AP52</f>
        <v>1,0</v>
      </c>
      <c r="F74" s="42"/>
      <c r="G74" s="42" t="str">
        <f>G!AS52</f>
        <v>&lt;</v>
      </c>
      <c r="H74" s="43" t="str">
        <f>G!AR52</f>
        <v>rg</v>
      </c>
      <c r="I74" s="42" t="str">
        <f>G!AT52</f>
        <v/>
      </c>
      <c r="J74" s="42" t="str">
        <f>G!AU52</f>
        <v/>
      </c>
      <c r="K74" s="43" t="str">
        <f>IFERROR(IF(OR(H74="--",H74="rg",VLOOKUP(F!$B52,E!$B$1:'E'!$AK$300,12,FALSE)=1000000000,I74="-",I74=""),"",(HLOOKUP(SMALL(G!$Q$4:'G'!$Y$4,1),G!$Q$4:'G'!$Y$501,ROW(G!Q52)-3,FALSE))/VLOOKUP(F!$B52,E!$B$1:'E'!$AK$300,12,FALSE)*100),"")</f>
        <v/>
      </c>
      <c r="L74" s="43"/>
      <c r="M74" s="43" t="str">
        <f>G!AW52</f>
        <v>&lt;</v>
      </c>
      <c r="N74" s="43" t="str">
        <f>G!AV52</f>
        <v>1,0</v>
      </c>
      <c r="O74" s="42"/>
      <c r="P74" s="42" t="str">
        <f>G!AY52</f>
        <v>&lt;</v>
      </c>
      <c r="Q74" s="43" t="str">
        <f>G!AX52</f>
        <v>rg</v>
      </c>
      <c r="R74" s="42" t="str">
        <f>G!AZ52</f>
        <v/>
      </c>
      <c r="S74" s="42" t="str">
        <f>G!BA52</f>
        <v/>
      </c>
      <c r="T74" s="43" t="str">
        <f>IFERROR(IF(OR(Q74="--",Q74="rg",VLOOKUP(F!$B52,E!$B$1:'E'!$AK$300,12,FALSE)=1000000000,R74="-",R74=""),"",(HLOOKUP(SMALL(G!$Q$4:'G'!$Y$4,4),G!$Q$4:'G'!$Y$501,ROW(G!Z52)-3,FALSE))/VLOOKUP(F!$B52,E!$B$1:'E'!$AK$300,12,FALSE)*100),"")</f>
        <v/>
      </c>
      <c r="U74" s="43"/>
      <c r="V74" s="43" t="str">
        <f>G!BC52</f>
        <v>&lt;</v>
      </c>
      <c r="W74" s="43" t="str">
        <f>G!BB52</f>
        <v>1,0</v>
      </c>
      <c r="X74" s="43"/>
      <c r="Y74" s="42" t="str">
        <f>G!BE52</f>
        <v>&lt;</v>
      </c>
      <c r="Z74" s="43" t="str">
        <f>G!BD52</f>
        <v>rg</v>
      </c>
      <c r="AA74" s="42" t="str">
        <f>G!BF52</f>
        <v/>
      </c>
      <c r="AB74" s="42" t="str">
        <f>G!BG52</f>
        <v/>
      </c>
      <c r="AC74" s="43" t="str">
        <f>IFERROR(IF(OR(Z74="--",Z74="rg",VLOOKUP(F!$B52,E!$B$1:'E'!$AK$300,12,FALSE)=1000000000,AA74="-",AA74=""),"",(HLOOKUP(SMALL(G!$Q$4:'G'!$Y$4,7),G!$Q$4:'G'!$Y$501,ROW(G!AI52)-3,FALSE))/VLOOKUP(F!$B52,E!$B$1:'E'!$AK$300,12,FALSE)*100),"")</f>
        <v/>
      </c>
      <c r="AD74" s="43"/>
      <c r="AE74" s="34"/>
      <c r="AF74" s="34"/>
      <c r="AH74" s="72">
        <f t="shared" si="1"/>
        <v>0</v>
      </c>
      <c r="AJ74" s="34"/>
      <c r="AK74" s="34"/>
    </row>
    <row r="75" spans="1:37" s="72" customFormat="1" ht="9" customHeight="1" x14ac:dyDescent="0.15">
      <c r="A75" s="195" t="str">
        <f>F!A53</f>
        <v>PCB 118</v>
      </c>
      <c r="B75" s="195"/>
      <c r="C75" s="195"/>
      <c r="D75" s="44" t="str">
        <f>G!AQ53</f>
        <v>&lt;</v>
      </c>
      <c r="E75" s="43" t="str">
        <f>G!AP53</f>
        <v>1,0</v>
      </c>
      <c r="F75" s="42"/>
      <c r="G75" s="42" t="str">
        <f>G!AS53</f>
        <v>&lt;</v>
      </c>
      <c r="H75" s="43" t="str">
        <f>G!AR53</f>
        <v>rg</v>
      </c>
      <c r="I75" s="42" t="str">
        <f>G!AT53</f>
        <v/>
      </c>
      <c r="J75" s="42" t="str">
        <f>G!AU53</f>
        <v/>
      </c>
      <c r="K75" s="43" t="str">
        <f>IFERROR(IF(OR(H75="--",H75="rg",VLOOKUP(F!$B53,E!$B$1:'E'!$AK$300,12,FALSE)=1000000000,I75="-",I75=""),"",(HLOOKUP(SMALL(G!$Q$4:'G'!$Y$4,1),G!$Q$4:'G'!$Y$501,ROW(G!Q53)-3,FALSE))/VLOOKUP(F!$B53,E!$B$1:'E'!$AK$300,12,FALSE)*100),"")</f>
        <v/>
      </c>
      <c r="L75" s="43"/>
      <c r="M75" s="43" t="str">
        <f>G!AW53</f>
        <v>&lt;</v>
      </c>
      <c r="N75" s="43" t="str">
        <f>G!AV53</f>
        <v>1,0</v>
      </c>
      <c r="O75" s="42"/>
      <c r="P75" s="42" t="str">
        <f>G!AY53</f>
        <v>&lt;</v>
      </c>
      <c r="Q75" s="43" t="str">
        <f>G!AX53</f>
        <v>rg</v>
      </c>
      <c r="R75" s="42" t="str">
        <f>G!AZ53</f>
        <v/>
      </c>
      <c r="S75" s="42" t="str">
        <f>G!BA53</f>
        <v/>
      </c>
      <c r="T75" s="43" t="str">
        <f>IFERROR(IF(OR(Q75="--",Q75="rg",VLOOKUP(F!$B53,E!$B$1:'E'!$AK$300,12,FALSE)=1000000000,R75="-",R75=""),"",(HLOOKUP(SMALL(G!$Q$4:'G'!$Y$4,4),G!$Q$4:'G'!$Y$501,ROW(G!Z53)-3,FALSE))/VLOOKUP(F!$B53,E!$B$1:'E'!$AK$300,12,FALSE)*100),"")</f>
        <v/>
      </c>
      <c r="U75" s="43"/>
      <c r="V75" s="43" t="str">
        <f>G!BC53</f>
        <v>&lt;</v>
      </c>
      <c r="W75" s="43" t="str">
        <f>G!BB53</f>
        <v>1,0</v>
      </c>
      <c r="X75" s="43"/>
      <c r="Y75" s="42" t="str">
        <f>G!BE53</f>
        <v>&lt;</v>
      </c>
      <c r="Z75" s="43" t="str">
        <f>G!BD53</f>
        <v>rg</v>
      </c>
      <c r="AA75" s="42" t="str">
        <f>G!BF53</f>
        <v/>
      </c>
      <c r="AB75" s="42" t="str">
        <f>G!BG53</f>
        <v/>
      </c>
      <c r="AC75" s="43" t="str">
        <f>IFERROR(IF(OR(Z75="--",Z75="rg",VLOOKUP(F!$B53,E!$B$1:'E'!$AK$300,12,FALSE)=1000000000,AA75="-",AA75=""),"",(HLOOKUP(SMALL(G!$Q$4:'G'!$Y$4,7),G!$Q$4:'G'!$Y$501,ROW(G!AI53)-3,FALSE))/VLOOKUP(F!$B53,E!$B$1:'E'!$AK$300,12,FALSE)*100),"")</f>
        <v/>
      </c>
      <c r="AD75" s="43"/>
      <c r="AE75" s="34"/>
      <c r="AF75" s="34"/>
      <c r="AH75" s="72">
        <f t="shared" si="1"/>
        <v>0</v>
      </c>
      <c r="AJ75" s="34"/>
      <c r="AK75" s="34"/>
    </row>
    <row r="76" spans="1:37" s="72" customFormat="1" ht="9" customHeight="1" x14ac:dyDescent="0.15">
      <c r="A76" s="195" t="str">
        <f>F!A54</f>
        <v>PCB 138</v>
      </c>
      <c r="B76" s="195"/>
      <c r="C76" s="195"/>
      <c r="D76" s="44" t="str">
        <f>G!AQ54</f>
        <v>&lt;</v>
      </c>
      <c r="E76" s="43" t="str">
        <f>G!AP54</f>
        <v>1,0</v>
      </c>
      <c r="F76" s="42"/>
      <c r="G76" s="42" t="str">
        <f>G!AS54</f>
        <v>&lt;</v>
      </c>
      <c r="H76" s="43" t="str">
        <f>G!AR54</f>
        <v>rg</v>
      </c>
      <c r="I76" s="42" t="str">
        <f>G!AT54</f>
        <v/>
      </c>
      <c r="J76" s="42" t="str">
        <f>G!AU54</f>
        <v/>
      </c>
      <c r="K76" s="43" t="str">
        <f>IFERROR(IF(OR(H76="--",H76="rg",VLOOKUP(F!$B54,E!$B$1:'E'!$AK$300,12,FALSE)=1000000000,I76="-",I76=""),"",(HLOOKUP(SMALL(G!$Q$4:'G'!$Y$4,1),G!$Q$4:'G'!$Y$501,ROW(G!Q54)-3,FALSE))/VLOOKUP(F!$B54,E!$B$1:'E'!$AK$300,12,FALSE)*100),"")</f>
        <v/>
      </c>
      <c r="L76" s="43"/>
      <c r="M76" s="43" t="str">
        <f>G!AW54</f>
        <v>&lt;</v>
      </c>
      <c r="N76" s="43" t="str">
        <f>G!AV54</f>
        <v>1,0</v>
      </c>
      <c r="O76" s="42"/>
      <c r="P76" s="42" t="str">
        <f>G!AY54</f>
        <v>&lt;</v>
      </c>
      <c r="Q76" s="43" t="str">
        <f>G!AX54</f>
        <v>rg</v>
      </c>
      <c r="R76" s="42" t="str">
        <f>G!AZ54</f>
        <v/>
      </c>
      <c r="S76" s="42" t="str">
        <f>G!BA54</f>
        <v/>
      </c>
      <c r="T76" s="43" t="str">
        <f>IFERROR(IF(OR(Q76="--",Q76="rg",VLOOKUP(F!$B54,E!$B$1:'E'!$AK$300,12,FALSE)=1000000000,R76="-",R76=""),"",(HLOOKUP(SMALL(G!$Q$4:'G'!$Y$4,4),G!$Q$4:'G'!$Y$501,ROW(G!Z54)-3,FALSE))/VLOOKUP(F!$B54,E!$B$1:'E'!$AK$300,12,FALSE)*100),"")</f>
        <v/>
      </c>
      <c r="U76" s="43"/>
      <c r="V76" s="43" t="str">
        <f>G!BC54</f>
        <v>&lt;</v>
      </c>
      <c r="W76" s="43" t="str">
        <f>G!BB54</f>
        <v>1,0</v>
      </c>
      <c r="X76" s="43"/>
      <c r="Y76" s="42" t="str">
        <f>G!BE54</f>
        <v>&lt;</v>
      </c>
      <c r="Z76" s="43" t="str">
        <f>G!BD54</f>
        <v>rg</v>
      </c>
      <c r="AA76" s="42" t="str">
        <f>G!BF54</f>
        <v/>
      </c>
      <c r="AB76" s="42" t="str">
        <f>G!BG54</f>
        <v/>
      </c>
      <c r="AC76" s="43" t="str">
        <f>IFERROR(IF(OR(Z76="--",Z76="rg",VLOOKUP(F!$B54,E!$B$1:'E'!$AK$300,12,FALSE)=1000000000,AA76="-",AA76=""),"",(HLOOKUP(SMALL(G!$Q$4:'G'!$Y$4,7),G!$Q$4:'G'!$Y$501,ROW(G!AI54)-3,FALSE))/VLOOKUP(F!$B54,E!$B$1:'E'!$AK$300,12,FALSE)*100),"")</f>
        <v/>
      </c>
      <c r="AD76" s="43"/>
      <c r="AE76" s="34"/>
      <c r="AF76" s="34"/>
      <c r="AH76" s="72">
        <f t="shared" si="1"/>
        <v>0</v>
      </c>
      <c r="AJ76" s="34"/>
      <c r="AK76" s="34"/>
    </row>
    <row r="77" spans="1:37" s="72" customFormat="1" ht="9" customHeight="1" x14ac:dyDescent="0.15">
      <c r="A77" s="195" t="str">
        <f>F!A55</f>
        <v>PCB 153</v>
      </c>
      <c r="B77" s="195"/>
      <c r="C77" s="195"/>
      <c r="D77" s="44" t="str">
        <f>G!AQ55</f>
        <v>&lt;</v>
      </c>
      <c r="E77" s="43" t="str">
        <f>G!AP55</f>
        <v>1,0</v>
      </c>
      <c r="F77" s="42"/>
      <c r="G77" s="42" t="str">
        <f>G!AS55</f>
        <v>&lt;</v>
      </c>
      <c r="H77" s="43" t="str">
        <f>G!AR55</f>
        <v>rg</v>
      </c>
      <c r="I77" s="42" t="str">
        <f>G!AT55</f>
        <v/>
      </c>
      <c r="J77" s="42" t="str">
        <f>G!AU55</f>
        <v/>
      </c>
      <c r="K77" s="43" t="str">
        <f>IFERROR(IF(OR(H77="--",H77="rg",VLOOKUP(F!$B55,E!$B$1:'E'!$AK$300,12,FALSE)=1000000000,I77="-",I77=""),"",(HLOOKUP(SMALL(G!$Q$4:'G'!$Y$4,1),G!$Q$4:'G'!$Y$501,ROW(G!Q55)-3,FALSE))/VLOOKUP(F!$B55,E!$B$1:'E'!$AK$300,12,FALSE)*100),"")</f>
        <v/>
      </c>
      <c r="L77" s="43"/>
      <c r="M77" s="43" t="str">
        <f>G!AW55</f>
        <v>&lt;</v>
      </c>
      <c r="N77" s="43" t="str">
        <f>G!AV55</f>
        <v>1,0</v>
      </c>
      <c r="O77" s="42"/>
      <c r="P77" s="42" t="str">
        <f>G!AY55</f>
        <v>&lt;</v>
      </c>
      <c r="Q77" s="43" t="str">
        <f>G!AX55</f>
        <v>rg</v>
      </c>
      <c r="R77" s="42" t="str">
        <f>G!AZ55</f>
        <v/>
      </c>
      <c r="S77" s="42" t="str">
        <f>G!BA55</f>
        <v/>
      </c>
      <c r="T77" s="43" t="str">
        <f>IFERROR(IF(OR(Q77="--",Q77="rg",VLOOKUP(F!$B55,E!$B$1:'E'!$AK$300,12,FALSE)=1000000000,R77="-",R77=""),"",(HLOOKUP(SMALL(G!$Q$4:'G'!$Y$4,4),G!$Q$4:'G'!$Y$501,ROW(G!Z55)-3,FALSE))/VLOOKUP(F!$B55,E!$B$1:'E'!$AK$300,12,FALSE)*100),"")</f>
        <v/>
      </c>
      <c r="U77" s="43"/>
      <c r="V77" s="43" t="str">
        <f>G!BC55</f>
        <v>&lt;</v>
      </c>
      <c r="W77" s="43" t="str">
        <f>G!BB55</f>
        <v>1,0</v>
      </c>
      <c r="X77" s="43"/>
      <c r="Y77" s="42" t="str">
        <f>G!BE55</f>
        <v>&lt;</v>
      </c>
      <c r="Z77" s="43" t="str">
        <f>G!BD55</f>
        <v>rg</v>
      </c>
      <c r="AA77" s="42" t="str">
        <f>G!BF55</f>
        <v/>
      </c>
      <c r="AB77" s="42" t="str">
        <f>G!BG55</f>
        <v/>
      </c>
      <c r="AC77" s="43" t="str">
        <f>IFERROR(IF(OR(Z77="--",Z77="rg",VLOOKUP(F!$B55,E!$B$1:'E'!$AK$300,12,FALSE)=1000000000,AA77="-",AA77=""),"",(HLOOKUP(SMALL(G!$Q$4:'G'!$Y$4,7),G!$Q$4:'G'!$Y$501,ROW(G!AI55)-3,FALSE))/VLOOKUP(F!$B55,E!$B$1:'E'!$AK$300,12,FALSE)*100),"")</f>
        <v/>
      </c>
      <c r="AD77" s="43"/>
      <c r="AE77" s="34"/>
      <c r="AF77" s="34"/>
      <c r="AH77" s="72">
        <f t="shared" si="1"/>
        <v>0</v>
      </c>
      <c r="AJ77" s="34"/>
      <c r="AK77" s="34"/>
    </row>
    <row r="78" spans="1:37" s="72" customFormat="1" ht="9" customHeight="1" x14ac:dyDescent="0.15">
      <c r="A78" s="195" t="str">
        <f>F!A56</f>
        <v>PCB 180</v>
      </c>
      <c r="B78" s="195"/>
      <c r="C78" s="195"/>
      <c r="D78" s="44" t="str">
        <f>G!AQ56</f>
        <v>&lt;</v>
      </c>
      <c r="E78" s="43" t="str">
        <f>G!AP56</f>
        <v>1,0</v>
      </c>
      <c r="F78" s="42"/>
      <c r="G78" s="42" t="str">
        <f>G!AS56</f>
        <v>&lt;</v>
      </c>
      <c r="H78" s="43" t="str">
        <f>G!AR56</f>
        <v>rg</v>
      </c>
      <c r="I78" s="42" t="str">
        <f>G!AT56</f>
        <v/>
      </c>
      <c r="J78" s="42" t="str">
        <f>G!AU56</f>
        <v/>
      </c>
      <c r="K78" s="43" t="str">
        <f>IFERROR(IF(OR(H78="--",H78="rg",VLOOKUP(F!$B56,E!$B$1:'E'!$AK$300,12,FALSE)=1000000000,I78="-",I78=""),"",(HLOOKUP(SMALL(G!$Q$4:'G'!$Y$4,1),G!$Q$4:'G'!$Y$501,ROW(G!Q56)-3,FALSE))/VLOOKUP(F!$B56,E!$B$1:'E'!$AK$300,12,FALSE)*100),"")</f>
        <v/>
      </c>
      <c r="L78" s="43"/>
      <c r="M78" s="43" t="str">
        <f>G!AW56</f>
        <v>&lt;</v>
      </c>
      <c r="N78" s="43" t="str">
        <f>G!AV56</f>
        <v>1,0</v>
      </c>
      <c r="O78" s="42"/>
      <c r="P78" s="42" t="str">
        <f>G!AY56</f>
        <v>&lt;</v>
      </c>
      <c r="Q78" s="43" t="str">
        <f>G!AX56</f>
        <v>rg</v>
      </c>
      <c r="R78" s="42" t="str">
        <f>G!AZ56</f>
        <v/>
      </c>
      <c r="S78" s="42" t="str">
        <f>G!BA56</f>
        <v/>
      </c>
      <c r="T78" s="43" t="str">
        <f>IFERROR(IF(OR(Q78="--",Q78="rg",VLOOKUP(F!$B56,E!$B$1:'E'!$AK$300,12,FALSE)=1000000000,R78="-",R78=""),"",(HLOOKUP(SMALL(G!$Q$4:'G'!$Y$4,4),G!$Q$4:'G'!$Y$501,ROW(G!Z56)-3,FALSE))/VLOOKUP(F!$B56,E!$B$1:'E'!$AK$300,12,FALSE)*100),"")</f>
        <v/>
      </c>
      <c r="U78" s="43"/>
      <c r="V78" s="43" t="str">
        <f>G!BC56</f>
        <v>&lt;</v>
      </c>
      <c r="W78" s="43" t="str">
        <f>G!BB56</f>
        <v>1,0</v>
      </c>
      <c r="X78" s="43"/>
      <c r="Y78" s="42" t="str">
        <f>G!BE56</f>
        <v>&lt;</v>
      </c>
      <c r="Z78" s="43" t="str">
        <f>G!BD56</f>
        <v>rg</v>
      </c>
      <c r="AA78" s="42" t="str">
        <f>G!BF56</f>
        <v/>
      </c>
      <c r="AB78" s="42" t="str">
        <f>G!BG56</f>
        <v/>
      </c>
      <c r="AC78" s="43" t="str">
        <f>IFERROR(IF(OR(Z78="--",Z78="rg",VLOOKUP(F!$B56,E!$B$1:'E'!$AK$300,12,FALSE)=1000000000,AA78="-",AA78=""),"",(HLOOKUP(SMALL(G!$Q$4:'G'!$Y$4,7),G!$Q$4:'G'!$Y$501,ROW(G!AI56)-3,FALSE))/VLOOKUP(F!$B56,E!$B$1:'E'!$AK$300,12,FALSE)*100),"")</f>
        <v/>
      </c>
      <c r="AD78" s="43"/>
      <c r="AE78" s="34"/>
      <c r="AF78" s="34"/>
      <c r="AH78" s="72">
        <f t="shared" si="1"/>
        <v>0</v>
      </c>
      <c r="AJ78" s="34"/>
      <c r="AK78" s="34"/>
    </row>
    <row r="79" spans="1:37" s="72" customFormat="1" ht="9" customHeight="1" x14ac:dyDescent="0.15">
      <c r="A79" s="195" t="str">
        <f>F!A57</f>
        <v>PCB som 7</v>
      </c>
      <c r="B79" s="195"/>
      <c r="C79" s="195"/>
      <c r="D79" s="44" t="str">
        <f>G!AQ57</f>
        <v>&lt;</v>
      </c>
      <c r="E79" s="43" t="str">
        <f>G!AP57</f>
        <v>7,0</v>
      </c>
      <c r="F79" s="42"/>
      <c r="G79" s="42" t="str">
        <f>G!AS57</f>
        <v>&lt;</v>
      </c>
      <c r="H79" s="43" t="str">
        <f>G!AR57</f>
        <v>rg</v>
      </c>
      <c r="I79" s="42" t="str">
        <f>G!AT57</f>
        <v>-</v>
      </c>
      <c r="J79" s="42" t="str">
        <f>G!AU57</f>
        <v/>
      </c>
      <c r="K79" s="43" t="str">
        <f>IFERROR(IF(OR(H79="--",H79="rg",VLOOKUP(F!$B57,E!$B$1:'E'!$AK$300,12,FALSE)=1000000000,I79="-",I79=""),"",(HLOOKUP(SMALL(G!$Q$4:'G'!$Y$4,1),G!$Q$4:'G'!$Y$501,ROW(G!Q57)-3,FALSE))/VLOOKUP(F!$B57,E!$B$1:'E'!$AK$300,12,FALSE)*100),"")</f>
        <v/>
      </c>
      <c r="L79" s="43"/>
      <c r="M79" s="43" t="str">
        <f>G!AW57</f>
        <v>&lt;</v>
      </c>
      <c r="N79" s="43" t="str">
        <f>G!AV57</f>
        <v>7,0</v>
      </c>
      <c r="O79" s="42"/>
      <c r="P79" s="42" t="str">
        <f>G!AY57</f>
        <v>&lt;</v>
      </c>
      <c r="Q79" s="43" t="str">
        <f>G!AX57</f>
        <v>rg</v>
      </c>
      <c r="R79" s="42" t="str">
        <f>G!AZ57</f>
        <v>-</v>
      </c>
      <c r="S79" s="42" t="str">
        <f>G!BA57</f>
        <v/>
      </c>
      <c r="T79" s="43" t="str">
        <f>IFERROR(IF(OR(Q79="--",Q79="rg",VLOOKUP(F!$B57,E!$B$1:'E'!$AK$300,12,FALSE)=1000000000,R79="-",R79=""),"",(HLOOKUP(SMALL(G!$Q$4:'G'!$Y$4,4),G!$Q$4:'G'!$Y$501,ROW(G!Z57)-3,FALSE))/VLOOKUP(F!$B57,E!$B$1:'E'!$AK$300,12,FALSE)*100),"")</f>
        <v/>
      </c>
      <c r="U79" s="43"/>
      <c r="V79" s="43" t="str">
        <f>G!BC57</f>
        <v>&lt;</v>
      </c>
      <c r="W79" s="43" t="str">
        <f>G!BB57</f>
        <v>7,0</v>
      </c>
      <c r="X79" s="43"/>
      <c r="Y79" s="42" t="str">
        <f>G!BE57</f>
        <v>&lt;</v>
      </c>
      <c r="Z79" s="43" t="str">
        <f>G!BD57</f>
        <v>rg</v>
      </c>
      <c r="AA79" s="42" t="str">
        <f>G!BF57</f>
        <v>-</v>
      </c>
      <c r="AB79" s="42" t="str">
        <f>G!BG57</f>
        <v/>
      </c>
      <c r="AC79" s="43" t="str">
        <f>IFERROR(IF(OR(Z79="--",Z79="rg",VLOOKUP(F!$B57,E!$B$1:'E'!$AK$300,12,FALSE)=1000000000,AA79="-",AA79=""),"",(HLOOKUP(SMALL(G!$Q$4:'G'!$Y$4,7),G!$Q$4:'G'!$Y$501,ROW(G!AI57)-3,FALSE))/VLOOKUP(F!$B57,E!$B$1:'E'!$AK$300,12,FALSE)*100),"")</f>
        <v/>
      </c>
      <c r="AD79" s="43"/>
      <c r="AE79" s="34"/>
      <c r="AF79" s="34"/>
      <c r="AH79" s="72">
        <f t="shared" si="1"/>
        <v>0</v>
      </c>
      <c r="AJ79" s="34"/>
      <c r="AK79" s="34"/>
    </row>
    <row r="80" spans="1:37" ht="3.95" hidden="1" customHeight="1" x14ac:dyDescent="0.15">
      <c r="A80" s="41"/>
      <c r="B80" s="41"/>
      <c r="C80" s="41"/>
      <c r="D80" s="44"/>
      <c r="E80" s="43"/>
      <c r="F80" s="42"/>
      <c r="G80" s="42"/>
      <c r="H80" s="43"/>
      <c r="I80" s="42"/>
      <c r="J80" s="42"/>
      <c r="K80" s="42"/>
      <c r="L80" s="43"/>
      <c r="M80" s="43"/>
      <c r="N80" s="42"/>
      <c r="O80" s="42"/>
      <c r="P80" s="43"/>
      <c r="Q80" s="42"/>
      <c r="R80" s="42"/>
      <c r="S80" s="42"/>
      <c r="T80" s="43"/>
      <c r="U80" s="43"/>
      <c r="V80" s="43"/>
      <c r="W80" s="42"/>
      <c r="X80" s="43"/>
      <c r="Y80" s="42"/>
      <c r="Z80" s="43"/>
      <c r="AA80" s="43"/>
      <c r="AC80" s="34"/>
      <c r="AD80" s="72"/>
      <c r="AF80" s="72"/>
      <c r="AG80" s="34"/>
      <c r="AH80" s="94">
        <f>AH81</f>
        <v>1</v>
      </c>
      <c r="AI80" s="34"/>
    </row>
    <row r="81" spans="1:37" ht="9" hidden="1" customHeight="1" x14ac:dyDescent="0.15">
      <c r="A81" s="198" t="str">
        <f>IF(COUNTIF(F!D56:D64,131)&gt;0,"Vluchtige aromatische koolwaterstoffen (µg/kgds)","Vluchtige aromatische koolwaterstoffen (mg/kgds)")</f>
        <v>Vluchtige aromatische koolwaterstoffen (µg/kgds)</v>
      </c>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C81" s="34"/>
      <c r="AD81" s="72"/>
      <c r="AF81" s="72"/>
      <c r="AG81" s="34"/>
      <c r="AH81" s="94">
        <f>IF(COUNTIF(AH82:AH90,1)=COUNT(AH82:AH90),1,0)</f>
        <v>1</v>
      </c>
      <c r="AI81" s="34"/>
    </row>
    <row r="82" spans="1:37" s="72" customFormat="1" ht="9" hidden="1" customHeight="1" x14ac:dyDescent="0.15">
      <c r="A82" s="195" t="str">
        <f>F!A58</f>
        <v>Benzeen</v>
      </c>
      <c r="B82" s="195"/>
      <c r="C82" s="195"/>
      <c r="D82" s="44" t="str">
        <f>G!AQ58</f>
        <v/>
      </c>
      <c r="E82" s="43" t="str">
        <f>G!AP58</f>
        <v>--</v>
      </c>
      <c r="F82" s="42"/>
      <c r="G82" s="42" t="str">
        <f>G!AS58</f>
        <v/>
      </c>
      <c r="H82" s="43" t="str">
        <f>G!AR58</f>
        <v>--</v>
      </c>
      <c r="I82" s="42" t="str">
        <f>G!AT58</f>
        <v/>
      </c>
      <c r="J82" s="42" t="str">
        <f>G!AU58</f>
        <v/>
      </c>
      <c r="K82" s="43" t="str">
        <f>IFERROR(IF(OR(H82="--",H82="rg",VLOOKUP(F!$B58,E!$B$1:'E'!$AK$300,12,FALSE)=1000000000,I82="-",I82=""),"",(HLOOKUP(SMALL(G!$Q$4:'G'!$Y$4,1),G!$Q$4:'G'!$Y$501,ROW(G!Q58)-3,FALSE))/VLOOKUP(F!$B58,E!$B$1:'E'!$AK$300,12,FALSE)*100),"")</f>
        <v/>
      </c>
      <c r="L82" s="43"/>
      <c r="M82" s="43" t="str">
        <f>G!AW58</f>
        <v/>
      </c>
      <c r="N82" s="43" t="str">
        <f>G!AV58</f>
        <v>--</v>
      </c>
      <c r="O82" s="42"/>
      <c r="P82" s="42" t="str">
        <f>G!AY58</f>
        <v/>
      </c>
      <c r="Q82" s="43" t="str">
        <f>G!AX58</f>
        <v>--</v>
      </c>
      <c r="R82" s="42" t="str">
        <f>G!AZ58</f>
        <v/>
      </c>
      <c r="S82" s="42" t="str">
        <f>G!BA58</f>
        <v/>
      </c>
      <c r="T82" s="43" t="str">
        <f>IFERROR(IF(OR(Q82="--",Q82="rg",VLOOKUP(F!$B58,E!$B$1:'E'!$AK$300,12,FALSE)=1000000000,R82="-",R82=""),"",(HLOOKUP(SMALL(G!$Q$4:'G'!$Y$4,4),G!$Q$4:'G'!$Y$501,ROW(G!Z58)-3,FALSE))/VLOOKUP(F!$B58,E!$B$1:'E'!$AK$300,12,FALSE)*100),"")</f>
        <v/>
      </c>
      <c r="U82" s="43"/>
      <c r="V82" s="43" t="str">
        <f>G!BC58</f>
        <v/>
      </c>
      <c r="W82" s="43" t="str">
        <f>G!BB58</f>
        <v>--</v>
      </c>
      <c r="X82" s="43"/>
      <c r="Y82" s="42" t="str">
        <f>G!BE58</f>
        <v/>
      </c>
      <c r="Z82" s="43" t="str">
        <f>G!BD58</f>
        <v>--</v>
      </c>
      <c r="AA82" s="42" t="str">
        <f>G!BF58</f>
        <v/>
      </c>
      <c r="AB82" s="42" t="str">
        <f>G!BG58</f>
        <v/>
      </c>
      <c r="AC82" s="43" t="str">
        <f>IFERROR(IF(OR(Z82="--",Z82="rg",VLOOKUP(F!$B58,E!$B$1:'E'!$AK$300,12,FALSE)=1000000000,AA82="-",AA82=""),"",(HLOOKUP(SMALL(G!$Q$4:'G'!$Y$4,7),G!$Q$4:'G'!$Y$501,ROW(G!AI58)-3,FALSE))/VLOOKUP(F!$B58,E!$B$1:'E'!$AK$300,12,FALSE)*100),"")</f>
        <v/>
      </c>
      <c r="AD82" s="43"/>
      <c r="AE82" s="34"/>
      <c r="AF82" s="34"/>
      <c r="AH82" s="72">
        <f t="shared" si="1"/>
        <v>1</v>
      </c>
      <c r="AJ82" s="34"/>
      <c r="AK82" s="34"/>
    </row>
    <row r="83" spans="1:37" s="72" customFormat="1" ht="9" hidden="1" customHeight="1" x14ac:dyDescent="0.15">
      <c r="A83" s="195" t="str">
        <f>F!A59</f>
        <v>Tolueen</v>
      </c>
      <c r="B83" s="195"/>
      <c r="C83" s="195"/>
      <c r="D83" s="44" t="str">
        <f>G!AQ59</f>
        <v/>
      </c>
      <c r="E83" s="43" t="str">
        <f>G!AP59</f>
        <v>--</v>
      </c>
      <c r="F83" s="42"/>
      <c r="G83" s="42" t="str">
        <f>G!AS59</f>
        <v/>
      </c>
      <c r="H83" s="43" t="str">
        <f>G!AR59</f>
        <v>--</v>
      </c>
      <c r="I83" s="42" t="str">
        <f>G!AT59</f>
        <v/>
      </c>
      <c r="J83" s="42" t="str">
        <f>G!AU59</f>
        <v/>
      </c>
      <c r="K83" s="43" t="str">
        <f>IFERROR(IF(OR(H83="--",H83="rg",VLOOKUP(F!$B59,E!$B$1:'E'!$AK$300,12,FALSE)=1000000000,I83="-",I83=""),"",(HLOOKUP(SMALL(G!$Q$4:'G'!$Y$4,1),G!$Q$4:'G'!$Y$501,ROW(G!Q59)-3,FALSE))/VLOOKUP(F!$B59,E!$B$1:'E'!$AK$300,12,FALSE)*100),"")</f>
        <v/>
      </c>
      <c r="L83" s="43"/>
      <c r="M83" s="43" t="str">
        <f>G!AW59</f>
        <v/>
      </c>
      <c r="N83" s="43" t="str">
        <f>G!AV59</f>
        <v>--</v>
      </c>
      <c r="O83" s="42"/>
      <c r="P83" s="42" t="str">
        <f>G!AY59</f>
        <v/>
      </c>
      <c r="Q83" s="43" t="str">
        <f>G!AX59</f>
        <v>--</v>
      </c>
      <c r="R83" s="42" t="str">
        <f>G!AZ59</f>
        <v/>
      </c>
      <c r="S83" s="42" t="str">
        <f>G!BA59</f>
        <v/>
      </c>
      <c r="T83" s="43" t="str">
        <f>IFERROR(IF(OR(Q83="--",Q83="rg",VLOOKUP(F!$B59,E!$B$1:'E'!$AK$300,12,FALSE)=1000000000,R83="-",R83=""),"",(HLOOKUP(SMALL(G!$Q$4:'G'!$Y$4,4),G!$Q$4:'G'!$Y$501,ROW(G!Z59)-3,FALSE))/VLOOKUP(F!$B59,E!$B$1:'E'!$AK$300,12,FALSE)*100),"")</f>
        <v/>
      </c>
      <c r="U83" s="43"/>
      <c r="V83" s="43" t="str">
        <f>G!BC59</f>
        <v/>
      </c>
      <c r="W83" s="43" t="str">
        <f>G!BB59</f>
        <v>--</v>
      </c>
      <c r="X83" s="43"/>
      <c r="Y83" s="42" t="str">
        <f>G!BE59</f>
        <v/>
      </c>
      <c r="Z83" s="43" t="str">
        <f>G!BD59</f>
        <v>--</v>
      </c>
      <c r="AA83" s="42" t="str">
        <f>G!BF59</f>
        <v/>
      </c>
      <c r="AB83" s="42" t="str">
        <f>G!BG59</f>
        <v/>
      </c>
      <c r="AC83" s="43" t="str">
        <f>IFERROR(IF(OR(Z83="--",Z83="rg",VLOOKUP(F!$B59,E!$B$1:'E'!$AK$300,12,FALSE)=1000000000,AA83="-",AA83=""),"",(HLOOKUP(SMALL(G!$Q$4:'G'!$Y$4,7),G!$Q$4:'G'!$Y$501,ROW(G!AI59)-3,FALSE))/VLOOKUP(F!$B59,E!$B$1:'E'!$AK$300,12,FALSE)*100),"")</f>
        <v/>
      </c>
      <c r="AD83" s="43"/>
      <c r="AE83" s="34"/>
      <c r="AF83" s="34"/>
      <c r="AH83" s="72">
        <f t="shared" si="1"/>
        <v>1</v>
      </c>
      <c r="AJ83" s="34"/>
      <c r="AK83" s="34"/>
    </row>
    <row r="84" spans="1:37" s="72" customFormat="1" ht="9" hidden="1" customHeight="1" x14ac:dyDescent="0.15">
      <c r="A84" s="195" t="str">
        <f>F!A60</f>
        <v>Ethylbenzeen</v>
      </c>
      <c r="B84" s="195"/>
      <c r="C84" s="195"/>
      <c r="D84" s="44" t="str">
        <f>G!AQ60</f>
        <v/>
      </c>
      <c r="E84" s="43" t="str">
        <f>G!AP60</f>
        <v>--</v>
      </c>
      <c r="F84" s="42"/>
      <c r="G84" s="42" t="str">
        <f>G!AS60</f>
        <v/>
      </c>
      <c r="H84" s="43" t="str">
        <f>G!AR60</f>
        <v>--</v>
      </c>
      <c r="I84" s="42" t="str">
        <f>G!AT60</f>
        <v/>
      </c>
      <c r="J84" s="42" t="str">
        <f>G!AU60</f>
        <v/>
      </c>
      <c r="K84" s="43" t="str">
        <f>IFERROR(IF(OR(H84="--",H84="rg",VLOOKUP(F!$B60,E!$B$1:'E'!$AK$300,12,FALSE)=1000000000,I84="-",I84=""),"",(HLOOKUP(SMALL(G!$Q$4:'G'!$Y$4,1),G!$Q$4:'G'!$Y$501,ROW(G!Q60)-3,FALSE))/VLOOKUP(F!$B60,E!$B$1:'E'!$AK$300,12,FALSE)*100),"")</f>
        <v/>
      </c>
      <c r="L84" s="43"/>
      <c r="M84" s="43" t="str">
        <f>G!AW60</f>
        <v/>
      </c>
      <c r="N84" s="43" t="str">
        <f>G!AV60</f>
        <v>--</v>
      </c>
      <c r="O84" s="42"/>
      <c r="P84" s="42" t="str">
        <f>G!AY60</f>
        <v/>
      </c>
      <c r="Q84" s="43" t="str">
        <f>G!AX60</f>
        <v>--</v>
      </c>
      <c r="R84" s="42" t="str">
        <f>G!AZ60</f>
        <v/>
      </c>
      <c r="S84" s="42" t="str">
        <f>G!BA60</f>
        <v/>
      </c>
      <c r="T84" s="43" t="str">
        <f>IFERROR(IF(OR(Q84="--",Q84="rg",VLOOKUP(F!$B60,E!$B$1:'E'!$AK$300,12,FALSE)=1000000000,R84="-",R84=""),"",(HLOOKUP(SMALL(G!$Q$4:'G'!$Y$4,4),G!$Q$4:'G'!$Y$501,ROW(G!Z60)-3,FALSE))/VLOOKUP(F!$B60,E!$B$1:'E'!$AK$300,12,FALSE)*100),"")</f>
        <v/>
      </c>
      <c r="U84" s="43"/>
      <c r="V84" s="43" t="str">
        <f>G!BC60</f>
        <v/>
      </c>
      <c r="W84" s="43" t="str">
        <f>G!BB60</f>
        <v>--</v>
      </c>
      <c r="X84" s="43"/>
      <c r="Y84" s="42" t="str">
        <f>G!BE60</f>
        <v/>
      </c>
      <c r="Z84" s="43" t="str">
        <f>G!BD60</f>
        <v>--</v>
      </c>
      <c r="AA84" s="42" t="str">
        <f>G!BF60</f>
        <v/>
      </c>
      <c r="AB84" s="42" t="str">
        <f>G!BG60</f>
        <v/>
      </c>
      <c r="AC84" s="43" t="str">
        <f>IFERROR(IF(OR(Z84="--",Z84="rg",VLOOKUP(F!$B60,E!$B$1:'E'!$AK$300,12,FALSE)=1000000000,AA84="-",AA84=""),"",(HLOOKUP(SMALL(G!$Q$4:'G'!$Y$4,7),G!$Q$4:'G'!$Y$501,ROW(G!AI60)-3,FALSE))/VLOOKUP(F!$B60,E!$B$1:'E'!$AK$300,12,FALSE)*100),"")</f>
        <v/>
      </c>
      <c r="AD84" s="43"/>
      <c r="AE84" s="34"/>
      <c r="AF84" s="34"/>
      <c r="AH84" s="72">
        <f t="shared" si="1"/>
        <v>1</v>
      </c>
      <c r="AJ84" s="34"/>
      <c r="AK84" s="34"/>
    </row>
    <row r="85" spans="1:37" s="72" customFormat="1" ht="9" hidden="1" customHeight="1" x14ac:dyDescent="0.15">
      <c r="A85" s="195" t="str">
        <f>F!A61</f>
        <v>O-xyleen</v>
      </c>
      <c r="B85" s="195"/>
      <c r="C85" s="195"/>
      <c r="D85" s="44" t="str">
        <f>G!AQ61</f>
        <v/>
      </c>
      <c r="E85" s="43" t="str">
        <f>G!AP61</f>
        <v>--</v>
      </c>
      <c r="F85" s="42"/>
      <c r="G85" s="42" t="str">
        <f>G!AS61</f>
        <v/>
      </c>
      <c r="H85" s="43" t="str">
        <f>G!AR61</f>
        <v>--</v>
      </c>
      <c r="I85" s="42" t="str">
        <f>G!AT61</f>
        <v/>
      </c>
      <c r="J85" s="42" t="str">
        <f>G!AU61</f>
        <v/>
      </c>
      <c r="K85" s="43" t="str">
        <f>IFERROR(IF(OR(H85="--",H85="rg",VLOOKUP(F!$B61,E!$B$1:'E'!$AK$300,12,FALSE)=1000000000,I85="-",I85=""),"",(HLOOKUP(SMALL(G!$Q$4:'G'!$Y$4,1),G!$Q$4:'G'!$Y$501,ROW(G!Q61)-3,FALSE))/VLOOKUP(F!$B61,E!$B$1:'E'!$AK$300,12,FALSE)*100),"")</f>
        <v/>
      </c>
      <c r="L85" s="43"/>
      <c r="M85" s="43" t="str">
        <f>G!AW61</f>
        <v/>
      </c>
      <c r="N85" s="43" t="str">
        <f>G!AV61</f>
        <v>--</v>
      </c>
      <c r="O85" s="42"/>
      <c r="P85" s="42" t="str">
        <f>G!AY61</f>
        <v/>
      </c>
      <c r="Q85" s="43" t="str">
        <f>G!AX61</f>
        <v>--</v>
      </c>
      <c r="R85" s="42" t="str">
        <f>G!AZ61</f>
        <v/>
      </c>
      <c r="S85" s="42" t="str">
        <f>G!BA61</f>
        <v/>
      </c>
      <c r="T85" s="43" t="str">
        <f>IFERROR(IF(OR(Q85="--",Q85="rg",VLOOKUP(F!$B61,E!$B$1:'E'!$AK$300,12,FALSE)=1000000000,R85="-",R85=""),"",(HLOOKUP(SMALL(G!$Q$4:'G'!$Y$4,4),G!$Q$4:'G'!$Y$501,ROW(G!Z61)-3,FALSE))/VLOOKUP(F!$B61,E!$B$1:'E'!$AK$300,12,FALSE)*100),"")</f>
        <v/>
      </c>
      <c r="U85" s="43"/>
      <c r="V85" s="43" t="str">
        <f>G!BC61</f>
        <v/>
      </c>
      <c r="W85" s="43" t="str">
        <f>G!BB61</f>
        <v>--</v>
      </c>
      <c r="X85" s="43"/>
      <c r="Y85" s="42" t="str">
        <f>G!BE61</f>
        <v/>
      </c>
      <c r="Z85" s="43" t="str">
        <f>G!BD61</f>
        <v>--</v>
      </c>
      <c r="AA85" s="42" t="str">
        <f>G!BF61</f>
        <v/>
      </c>
      <c r="AB85" s="42" t="str">
        <f>G!BG61</f>
        <v/>
      </c>
      <c r="AC85" s="43" t="str">
        <f>IFERROR(IF(OR(Z85="--",Z85="rg",VLOOKUP(F!$B61,E!$B$1:'E'!$AK$300,12,FALSE)=1000000000,AA85="-",AA85=""),"",(HLOOKUP(SMALL(G!$Q$4:'G'!$Y$4,7),G!$Q$4:'G'!$Y$501,ROW(G!AI61)-3,FALSE))/VLOOKUP(F!$B61,E!$B$1:'E'!$AK$300,12,FALSE)*100),"")</f>
        <v/>
      </c>
      <c r="AD85" s="43"/>
      <c r="AE85" s="34"/>
      <c r="AF85" s="34"/>
      <c r="AH85" s="72">
        <f t="shared" si="1"/>
        <v>1</v>
      </c>
      <c r="AJ85" s="34"/>
      <c r="AK85" s="34"/>
    </row>
    <row r="86" spans="1:37" s="72" customFormat="1" ht="9" hidden="1" customHeight="1" x14ac:dyDescent="0.15">
      <c r="A86" s="195" t="str">
        <f>F!A62</f>
        <v>P- en m-xyleen</v>
      </c>
      <c r="B86" s="195"/>
      <c r="C86" s="195"/>
      <c r="D86" s="44" t="str">
        <f>G!AQ62</f>
        <v/>
      </c>
      <c r="E86" s="43" t="str">
        <f>G!AP62</f>
        <v>--</v>
      </c>
      <c r="F86" s="42"/>
      <c r="G86" s="42" t="str">
        <f>G!AS62</f>
        <v/>
      </c>
      <c r="H86" s="43" t="str">
        <f>G!AR62</f>
        <v>--</v>
      </c>
      <c r="I86" s="42" t="str">
        <f>G!AT62</f>
        <v/>
      </c>
      <c r="J86" s="42" t="str">
        <f>G!AU62</f>
        <v/>
      </c>
      <c r="K86" s="43" t="str">
        <f>IFERROR(IF(OR(H86="--",H86="rg",VLOOKUP(F!$B62,E!$B$1:'E'!$AK$300,12,FALSE)=1000000000,I86="-",I86=""),"",(HLOOKUP(SMALL(G!$Q$4:'G'!$Y$4,1),G!$Q$4:'G'!$Y$501,ROW(G!Q62)-3,FALSE))/VLOOKUP(F!$B62,E!$B$1:'E'!$AK$300,12,FALSE)*100),"")</f>
        <v/>
      </c>
      <c r="L86" s="43"/>
      <c r="M86" s="43" t="str">
        <f>G!AW62</f>
        <v/>
      </c>
      <c r="N86" s="43" t="str">
        <f>G!AV62</f>
        <v>--</v>
      </c>
      <c r="O86" s="42"/>
      <c r="P86" s="42" t="str">
        <f>G!AY62</f>
        <v/>
      </c>
      <c r="Q86" s="43" t="str">
        <f>G!AX62</f>
        <v>--</v>
      </c>
      <c r="R86" s="42" t="str">
        <f>G!AZ62</f>
        <v/>
      </c>
      <c r="S86" s="42" t="str">
        <f>G!BA62</f>
        <v/>
      </c>
      <c r="T86" s="43" t="str">
        <f>IFERROR(IF(OR(Q86="--",Q86="rg",VLOOKUP(F!$B62,E!$B$1:'E'!$AK$300,12,FALSE)=1000000000,R86="-",R86=""),"",(HLOOKUP(SMALL(G!$Q$4:'G'!$Y$4,4),G!$Q$4:'G'!$Y$501,ROW(G!Z62)-3,FALSE))/VLOOKUP(F!$B62,E!$B$1:'E'!$AK$300,12,FALSE)*100),"")</f>
        <v/>
      </c>
      <c r="U86" s="43"/>
      <c r="V86" s="43" t="str">
        <f>G!BC62</f>
        <v/>
      </c>
      <c r="W86" s="43" t="str">
        <f>G!BB62</f>
        <v>--</v>
      </c>
      <c r="X86" s="43"/>
      <c r="Y86" s="42" t="str">
        <f>G!BE62</f>
        <v/>
      </c>
      <c r="Z86" s="43" t="str">
        <f>G!BD62</f>
        <v>--</v>
      </c>
      <c r="AA86" s="42" t="str">
        <f>G!BF62</f>
        <v/>
      </c>
      <c r="AB86" s="42" t="str">
        <f>G!BG62</f>
        <v/>
      </c>
      <c r="AC86" s="43" t="str">
        <f>IFERROR(IF(OR(Z86="--",Z86="rg",VLOOKUP(F!$B62,E!$B$1:'E'!$AK$300,12,FALSE)=1000000000,AA86="-",AA86=""),"",(HLOOKUP(SMALL(G!$Q$4:'G'!$Y$4,7),G!$Q$4:'G'!$Y$501,ROW(G!AI62)-3,FALSE))/VLOOKUP(F!$B62,E!$B$1:'E'!$AK$300,12,FALSE)*100),"")</f>
        <v/>
      </c>
      <c r="AD86" s="43"/>
      <c r="AE86" s="34"/>
      <c r="AF86" s="34"/>
      <c r="AH86" s="72">
        <f t="shared" si="1"/>
        <v>1</v>
      </c>
      <c r="AJ86" s="34"/>
      <c r="AK86" s="34"/>
    </row>
    <row r="87" spans="1:37" s="72" customFormat="1" ht="9" hidden="1" customHeight="1" x14ac:dyDescent="0.15">
      <c r="A87" s="195" t="str">
        <f>F!A63</f>
        <v>Xylenen</v>
      </c>
      <c r="B87" s="195"/>
      <c r="C87" s="195"/>
      <c r="D87" s="44" t="str">
        <f>G!AQ63</f>
        <v/>
      </c>
      <c r="E87" s="43" t="str">
        <f>G!AP63</f>
        <v>--</v>
      </c>
      <c r="F87" s="42"/>
      <c r="G87" s="42" t="str">
        <f>G!AS63</f>
        <v/>
      </c>
      <c r="H87" s="43" t="str">
        <f>G!AR63</f>
        <v>--</v>
      </c>
      <c r="I87" s="42" t="str">
        <f>G!AT63</f>
        <v/>
      </c>
      <c r="J87" s="42" t="str">
        <f>G!AU63</f>
        <v/>
      </c>
      <c r="K87" s="43" t="str">
        <f>IFERROR(IF(OR(H87="--",H87="rg",VLOOKUP(F!$B63,E!$B$1:'E'!$AK$300,12,FALSE)=1000000000,I87="-",I87=""),"",(HLOOKUP(SMALL(G!$Q$4:'G'!$Y$4,1),G!$Q$4:'G'!$Y$501,ROW(G!Q63)-3,FALSE))/VLOOKUP(F!$B63,E!$B$1:'E'!$AK$300,12,FALSE)*100),"")</f>
        <v/>
      </c>
      <c r="L87" s="43"/>
      <c r="M87" s="43" t="str">
        <f>G!AW63</f>
        <v/>
      </c>
      <c r="N87" s="43" t="str">
        <f>G!AV63</f>
        <v>--</v>
      </c>
      <c r="O87" s="42"/>
      <c r="P87" s="42" t="str">
        <f>G!AY63</f>
        <v/>
      </c>
      <c r="Q87" s="43" t="str">
        <f>G!AX63</f>
        <v>--</v>
      </c>
      <c r="R87" s="42" t="str">
        <f>G!AZ63</f>
        <v/>
      </c>
      <c r="S87" s="42" t="str">
        <f>G!BA63</f>
        <v/>
      </c>
      <c r="T87" s="43" t="str">
        <f>IFERROR(IF(OR(Q87="--",Q87="rg",VLOOKUP(F!$B63,E!$B$1:'E'!$AK$300,12,FALSE)=1000000000,R87="-",R87=""),"",(HLOOKUP(SMALL(G!$Q$4:'G'!$Y$4,4),G!$Q$4:'G'!$Y$501,ROW(G!Z63)-3,FALSE))/VLOOKUP(F!$B63,E!$B$1:'E'!$AK$300,12,FALSE)*100),"")</f>
        <v/>
      </c>
      <c r="U87" s="43"/>
      <c r="V87" s="43" t="str">
        <f>G!BC63</f>
        <v/>
      </c>
      <c r="W87" s="43" t="str">
        <f>G!BB63</f>
        <v>--</v>
      </c>
      <c r="X87" s="43"/>
      <c r="Y87" s="42" t="str">
        <f>G!BE63</f>
        <v/>
      </c>
      <c r="Z87" s="43" t="str">
        <f>G!BD63</f>
        <v>--</v>
      </c>
      <c r="AA87" s="42" t="str">
        <f>G!BF63</f>
        <v/>
      </c>
      <c r="AB87" s="42" t="str">
        <f>G!BG63</f>
        <v/>
      </c>
      <c r="AC87" s="43" t="str">
        <f>IFERROR(IF(OR(Z87="--",Z87="rg",VLOOKUP(F!$B63,E!$B$1:'E'!$AK$300,12,FALSE)=1000000000,AA87="-",AA87=""),"",(HLOOKUP(SMALL(G!$Q$4:'G'!$Y$4,7),G!$Q$4:'G'!$Y$501,ROW(G!AI63)-3,FALSE))/VLOOKUP(F!$B63,E!$B$1:'E'!$AK$300,12,FALSE)*100),"")</f>
        <v/>
      </c>
      <c r="AD87" s="43"/>
      <c r="AE87" s="34"/>
      <c r="AF87" s="34"/>
      <c r="AH87" s="72">
        <f t="shared" si="1"/>
        <v>1</v>
      </c>
      <c r="AJ87" s="34"/>
      <c r="AK87" s="34"/>
    </row>
    <row r="88" spans="1:37" s="72" customFormat="1" ht="9" hidden="1" customHeight="1" x14ac:dyDescent="0.15">
      <c r="A88" s="195" t="str">
        <f>F!A64</f>
        <v>Totaal BTEX</v>
      </c>
      <c r="B88" s="195"/>
      <c r="C88" s="195"/>
      <c r="D88" s="44" t="str">
        <f>G!AQ64</f>
        <v/>
      </c>
      <c r="E88" s="43" t="str">
        <f>G!AP64</f>
        <v>--</v>
      </c>
      <c r="F88" s="42"/>
      <c r="G88" s="42" t="str">
        <f>G!AS64</f>
        <v/>
      </c>
      <c r="H88" s="43" t="str">
        <f>G!AR64</f>
        <v>--</v>
      </c>
      <c r="I88" s="42" t="str">
        <f>G!AT64</f>
        <v/>
      </c>
      <c r="J88" s="42" t="str">
        <f>G!AU64</f>
        <v/>
      </c>
      <c r="K88" s="43" t="str">
        <f>IFERROR(IF(OR(H88="--",H88="rg",VLOOKUP(F!$B64,E!$B$1:'E'!$AK$300,12,FALSE)=1000000000,I88="-",I88=""),"",(HLOOKUP(SMALL(G!$Q$4:'G'!$Y$4,1),G!$Q$4:'G'!$Y$501,ROW(G!Q64)-3,FALSE))/VLOOKUP(F!$B64,E!$B$1:'E'!$AK$300,12,FALSE)*100),"")</f>
        <v/>
      </c>
      <c r="L88" s="43"/>
      <c r="M88" s="43" t="str">
        <f>G!AW64</f>
        <v/>
      </c>
      <c r="N88" s="43" t="str">
        <f>G!AV64</f>
        <v>--</v>
      </c>
      <c r="O88" s="42"/>
      <c r="P88" s="42" t="str">
        <f>G!AY64</f>
        <v/>
      </c>
      <c r="Q88" s="43" t="str">
        <f>G!AX64</f>
        <v>--</v>
      </c>
      <c r="R88" s="42" t="str">
        <f>G!AZ64</f>
        <v/>
      </c>
      <c r="S88" s="42" t="str">
        <f>G!BA64</f>
        <v/>
      </c>
      <c r="T88" s="43" t="str">
        <f>IFERROR(IF(OR(Q88="--",Q88="rg",VLOOKUP(F!$B64,E!$B$1:'E'!$AK$300,12,FALSE)=1000000000,R88="-",R88=""),"",(HLOOKUP(SMALL(G!$Q$4:'G'!$Y$4,4),G!$Q$4:'G'!$Y$501,ROW(G!Z64)-3,FALSE))/VLOOKUP(F!$B64,E!$B$1:'E'!$AK$300,12,FALSE)*100),"")</f>
        <v/>
      </c>
      <c r="U88" s="43"/>
      <c r="V88" s="43" t="str">
        <f>G!BC64</f>
        <v/>
      </c>
      <c r="W88" s="43" t="str">
        <f>G!BB64</f>
        <v>--</v>
      </c>
      <c r="X88" s="43"/>
      <c r="Y88" s="42" t="str">
        <f>G!BE64</f>
        <v/>
      </c>
      <c r="Z88" s="43" t="str">
        <f>G!BD64</f>
        <v>--</v>
      </c>
      <c r="AA88" s="42" t="str">
        <f>G!BF64</f>
        <v/>
      </c>
      <c r="AB88" s="42" t="str">
        <f>G!BG64</f>
        <v/>
      </c>
      <c r="AC88" s="43" t="str">
        <f>IFERROR(IF(OR(Z88="--",Z88="rg",VLOOKUP(F!$B64,E!$B$1:'E'!$AK$300,12,FALSE)=1000000000,AA88="-",AA88=""),"",(HLOOKUP(SMALL(G!$Q$4:'G'!$Y$4,7),G!$Q$4:'G'!$Y$501,ROW(G!AI64)-3,FALSE))/VLOOKUP(F!$B64,E!$B$1:'E'!$AK$300,12,FALSE)*100),"")</f>
        <v/>
      </c>
      <c r="AD88" s="43"/>
      <c r="AE88" s="34"/>
      <c r="AF88" s="34"/>
      <c r="AH88" s="72">
        <f t="shared" ref="AH88:AH151" si="2">IF(AND(E88="--",N88="--",W88="--"),1,0)</f>
        <v>1</v>
      </c>
      <c r="AJ88" s="34"/>
      <c r="AK88" s="34"/>
    </row>
    <row r="89" spans="1:37" s="72" customFormat="1" ht="9" hidden="1" customHeight="1" x14ac:dyDescent="0.15">
      <c r="A89" s="195" t="str">
        <f>F!A65</f>
        <v>Styreen (vinylbenzeen)</v>
      </c>
      <c r="B89" s="195"/>
      <c r="C89" s="195"/>
      <c r="D89" s="44" t="str">
        <f>G!AQ65</f>
        <v/>
      </c>
      <c r="E89" s="43" t="str">
        <f>G!AP65</f>
        <v>--</v>
      </c>
      <c r="F89" s="42"/>
      <c r="G89" s="42" t="str">
        <f>G!AS65</f>
        <v/>
      </c>
      <c r="H89" s="43" t="str">
        <f>G!AR65</f>
        <v>--</v>
      </c>
      <c r="I89" s="42" t="str">
        <f>G!AT65</f>
        <v/>
      </c>
      <c r="J89" s="42" t="str">
        <f>G!AU65</f>
        <v/>
      </c>
      <c r="K89" s="43" t="str">
        <f>IFERROR(IF(OR(H89="--",H89="rg",VLOOKUP(F!$B65,E!$B$1:'E'!$AK$300,12,FALSE)=1000000000,I89="-",I89=""),"",(HLOOKUP(SMALL(G!$Q$4:'G'!$Y$4,1),G!$Q$4:'G'!$Y$501,ROW(G!Q65)-3,FALSE))/VLOOKUP(F!$B65,E!$B$1:'E'!$AK$300,12,FALSE)*100),"")</f>
        <v/>
      </c>
      <c r="L89" s="43"/>
      <c r="M89" s="43" t="str">
        <f>G!AW65</f>
        <v/>
      </c>
      <c r="N89" s="43" t="str">
        <f>G!AV65</f>
        <v>--</v>
      </c>
      <c r="O89" s="42"/>
      <c r="P89" s="42" t="str">
        <f>G!AY65</f>
        <v/>
      </c>
      <c r="Q89" s="43" t="str">
        <f>G!AX65</f>
        <v>--</v>
      </c>
      <c r="R89" s="42" t="str">
        <f>G!AZ65</f>
        <v/>
      </c>
      <c r="S89" s="42" t="str">
        <f>G!BA65</f>
        <v/>
      </c>
      <c r="T89" s="43" t="str">
        <f>IFERROR(IF(OR(Q89="--",Q89="rg",VLOOKUP(F!$B65,E!$B$1:'E'!$AK$300,12,FALSE)=1000000000,R89="-",R89=""),"",(HLOOKUP(SMALL(G!$Q$4:'G'!$Y$4,4),G!$Q$4:'G'!$Y$501,ROW(G!Z65)-3,FALSE))/VLOOKUP(F!$B65,E!$B$1:'E'!$AK$300,12,FALSE)*100),"")</f>
        <v/>
      </c>
      <c r="U89" s="43"/>
      <c r="V89" s="43" t="str">
        <f>G!BC65</f>
        <v/>
      </c>
      <c r="W89" s="43" t="str">
        <f>G!BB65</f>
        <v>--</v>
      </c>
      <c r="X89" s="43"/>
      <c r="Y89" s="42" t="str">
        <f>G!BE65</f>
        <v/>
      </c>
      <c r="Z89" s="43" t="str">
        <f>G!BD65</f>
        <v>--</v>
      </c>
      <c r="AA89" s="42" t="str">
        <f>G!BF65</f>
        <v/>
      </c>
      <c r="AB89" s="42" t="str">
        <f>G!BG65</f>
        <v/>
      </c>
      <c r="AC89" s="43" t="str">
        <f>IFERROR(IF(OR(Z89="--",Z89="rg",VLOOKUP(F!$B65,E!$B$1:'E'!$AK$300,12,FALSE)=1000000000,AA89="-",AA89=""),"",(HLOOKUP(SMALL(G!$Q$4:'G'!$Y$4,7),G!$Q$4:'G'!$Y$501,ROW(G!AI65)-3,FALSE))/VLOOKUP(F!$B65,E!$B$1:'E'!$AK$300,12,FALSE)*100),"")</f>
        <v/>
      </c>
      <c r="AD89" s="43"/>
      <c r="AE89" s="34"/>
      <c r="AF89" s="34"/>
      <c r="AH89" s="72">
        <f t="shared" si="2"/>
        <v>1</v>
      </c>
      <c r="AJ89" s="34"/>
      <c r="AK89" s="34"/>
    </row>
    <row r="90" spans="1:37" s="72" customFormat="1" ht="9" hidden="1" customHeight="1" x14ac:dyDescent="0.15">
      <c r="A90" s="195" t="str">
        <f>F!A66</f>
        <v>1,2,3-Trimethylbenzeen</v>
      </c>
      <c r="B90" s="195"/>
      <c r="C90" s="195"/>
      <c r="D90" s="44" t="str">
        <f>G!AQ66</f>
        <v/>
      </c>
      <c r="E90" s="43" t="str">
        <f>G!AP66</f>
        <v>--</v>
      </c>
      <c r="F90" s="42"/>
      <c r="G90" s="42" t="str">
        <f>G!AS66</f>
        <v/>
      </c>
      <c r="H90" s="43" t="str">
        <f>G!AR66</f>
        <v>--</v>
      </c>
      <c r="I90" s="42" t="str">
        <f>G!AT66</f>
        <v/>
      </c>
      <c r="J90" s="42" t="str">
        <f>G!AU66</f>
        <v/>
      </c>
      <c r="K90" s="43" t="str">
        <f>IFERROR(IF(OR(H90="--",H90="rg",VLOOKUP(F!$B66,E!$B$1:'E'!$AK$300,12,FALSE)=1000000000,I90="-",I90=""),"",(HLOOKUP(SMALL(G!$Q$4:'G'!$Y$4,1),G!$Q$4:'G'!$Y$501,ROW(G!Q66)-3,FALSE))/VLOOKUP(F!$B66,E!$B$1:'E'!$AK$300,12,FALSE)*100),"")</f>
        <v/>
      </c>
      <c r="L90" s="43"/>
      <c r="M90" s="43" t="str">
        <f>G!AW66</f>
        <v/>
      </c>
      <c r="N90" s="43" t="str">
        <f>G!AV66</f>
        <v>--</v>
      </c>
      <c r="O90" s="42"/>
      <c r="P90" s="42" t="str">
        <f>G!AY66</f>
        <v/>
      </c>
      <c r="Q90" s="43" t="str">
        <f>G!AX66</f>
        <v>--</v>
      </c>
      <c r="R90" s="42" t="str">
        <f>G!AZ66</f>
        <v/>
      </c>
      <c r="S90" s="42" t="str">
        <f>G!BA66</f>
        <v/>
      </c>
      <c r="T90" s="43" t="str">
        <f>IFERROR(IF(OR(Q90="--",Q90="rg",VLOOKUP(F!$B66,E!$B$1:'E'!$AK$300,12,FALSE)=1000000000,R90="-",R90=""),"",(HLOOKUP(SMALL(G!$Q$4:'G'!$Y$4,4),G!$Q$4:'G'!$Y$501,ROW(G!Z66)-3,FALSE))/VLOOKUP(F!$B66,E!$B$1:'E'!$AK$300,12,FALSE)*100),"")</f>
        <v/>
      </c>
      <c r="U90" s="43"/>
      <c r="V90" s="43" t="str">
        <f>G!BC66</f>
        <v/>
      </c>
      <c r="W90" s="43" t="str">
        <f>G!BB66</f>
        <v>--</v>
      </c>
      <c r="X90" s="43"/>
      <c r="Y90" s="42" t="str">
        <f>G!BE66</f>
        <v/>
      </c>
      <c r="Z90" s="43" t="str">
        <f>G!BD66</f>
        <v>--</v>
      </c>
      <c r="AA90" s="42" t="str">
        <f>G!BF66</f>
        <v/>
      </c>
      <c r="AB90" s="42" t="str">
        <f>G!BG66</f>
        <v/>
      </c>
      <c r="AC90" s="43" t="str">
        <f>IFERROR(IF(OR(Z90="--",Z90="rg",VLOOKUP(F!$B66,E!$B$1:'E'!$AK$300,12,FALSE)=1000000000,AA90="-",AA90=""),"",(HLOOKUP(SMALL(G!$Q$4:'G'!$Y$4,7),G!$Q$4:'G'!$Y$501,ROW(G!AI66)-3,FALSE))/VLOOKUP(F!$B66,E!$B$1:'E'!$AK$300,12,FALSE)*100),"")</f>
        <v/>
      </c>
      <c r="AD90" s="43"/>
      <c r="AE90" s="34"/>
      <c r="AF90" s="34"/>
      <c r="AH90" s="72">
        <f t="shared" si="2"/>
        <v>1</v>
      </c>
      <c r="AJ90" s="34"/>
      <c r="AK90" s="34"/>
    </row>
    <row r="91" spans="1:37" ht="3.95" hidden="1" customHeight="1" x14ac:dyDescent="0.15">
      <c r="A91" s="41"/>
      <c r="B91" s="41"/>
      <c r="C91" s="41"/>
      <c r="D91" s="44"/>
      <c r="E91" s="43"/>
      <c r="F91" s="42"/>
      <c r="G91" s="42"/>
      <c r="H91" s="43"/>
      <c r="I91" s="42"/>
      <c r="J91" s="42"/>
      <c r="K91" s="42"/>
      <c r="L91" s="43"/>
      <c r="M91" s="43"/>
      <c r="N91" s="42"/>
      <c r="O91" s="42"/>
      <c r="P91" s="43"/>
      <c r="Q91" s="42"/>
      <c r="R91" s="42"/>
      <c r="S91" s="42"/>
      <c r="T91" s="43"/>
      <c r="U91" s="43"/>
      <c r="V91" s="43"/>
      <c r="W91" s="42"/>
      <c r="X91" s="43"/>
      <c r="Y91" s="42"/>
      <c r="Z91" s="43"/>
      <c r="AA91" s="43"/>
      <c r="AC91" s="34"/>
      <c r="AD91" s="72"/>
      <c r="AF91" s="72"/>
      <c r="AG91" s="34"/>
      <c r="AH91" s="94">
        <f>AH92</f>
        <v>1</v>
      </c>
      <c r="AI91" s="34"/>
    </row>
    <row r="92" spans="1:37" ht="9" hidden="1" customHeight="1" x14ac:dyDescent="0.15">
      <c r="A92" s="198" t="str">
        <f>IF(COUNTIF(F!D65:D105,131)&gt;0,"Gechloreerde koolwaterstoffen (µg/kgds)","Gechloreerde koolwaterstoffen (mg/kgds)")</f>
        <v>Gechloreerde koolwaterstoffen (mg/kgds)</v>
      </c>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C92" s="34"/>
      <c r="AD92" s="72"/>
      <c r="AF92" s="72"/>
      <c r="AG92" s="34"/>
      <c r="AH92" s="94">
        <f>IF(COUNTIF(AH93:AH133,1)=COUNT(AH93:AH133),1,0)</f>
        <v>1</v>
      </c>
      <c r="AI92" s="34"/>
    </row>
    <row r="93" spans="1:37" s="72" customFormat="1" ht="9" hidden="1" customHeight="1" x14ac:dyDescent="0.15">
      <c r="A93" s="195" t="str">
        <f>F!A67</f>
        <v>Monochlooretheen (vinylchloride)</v>
      </c>
      <c r="B93" s="195"/>
      <c r="C93" s="195"/>
      <c r="D93" s="44" t="str">
        <f>G!AQ67</f>
        <v/>
      </c>
      <c r="E93" s="43" t="str">
        <f>G!AP67</f>
        <v>--</v>
      </c>
      <c r="F93" s="42"/>
      <c r="G93" s="42" t="str">
        <f>G!AS67</f>
        <v/>
      </c>
      <c r="H93" s="43" t="str">
        <f>G!AR67</f>
        <v>--</v>
      </c>
      <c r="I93" s="42" t="str">
        <f>G!AT67</f>
        <v/>
      </c>
      <c r="J93" s="42" t="str">
        <f>G!AU67</f>
        <v/>
      </c>
      <c r="K93" s="43" t="str">
        <f>IFERROR(IF(OR(H93="--",H93="rg",VLOOKUP(F!$B67,E!$B$1:'E'!$AK$300,12,FALSE)=1000000000,I93="-",I93=""),"",(HLOOKUP(SMALL(G!$Q$4:'G'!$Y$4,1),G!$Q$4:'G'!$Y$501,ROW(G!Q67)-3,FALSE))/VLOOKUP(F!$B67,E!$B$1:'E'!$AK$300,12,FALSE)*100),"")</f>
        <v/>
      </c>
      <c r="L93" s="43"/>
      <c r="M93" s="43" t="str">
        <f>G!AW67</f>
        <v/>
      </c>
      <c r="N93" s="43" t="str">
        <f>G!AV67</f>
        <v>--</v>
      </c>
      <c r="O93" s="42"/>
      <c r="P93" s="42" t="str">
        <f>G!AY67</f>
        <v/>
      </c>
      <c r="Q93" s="43" t="str">
        <f>G!AX67</f>
        <v>--</v>
      </c>
      <c r="R93" s="42" t="str">
        <f>G!AZ67</f>
        <v/>
      </c>
      <c r="S93" s="42" t="str">
        <f>G!BA67</f>
        <v/>
      </c>
      <c r="T93" s="43" t="str">
        <f>IFERROR(IF(OR(Q93="--",Q93="rg",VLOOKUP(F!$B67,E!$B$1:'E'!$AK$300,12,FALSE)=1000000000,R93="-",R93=""),"",(HLOOKUP(SMALL(G!$Q$4:'G'!$Y$4,4),G!$Q$4:'G'!$Y$501,ROW(G!Z67)-3,FALSE))/VLOOKUP(F!$B67,E!$B$1:'E'!$AK$300,12,FALSE)*100),"")</f>
        <v/>
      </c>
      <c r="U93" s="43"/>
      <c r="V93" s="43" t="str">
        <f>G!BC67</f>
        <v/>
      </c>
      <c r="W93" s="43" t="str">
        <f>G!BB67</f>
        <v>--</v>
      </c>
      <c r="X93" s="43"/>
      <c r="Y93" s="42" t="str">
        <f>G!BE67</f>
        <v/>
      </c>
      <c r="Z93" s="43" t="str">
        <f>G!BD67</f>
        <v>--</v>
      </c>
      <c r="AA93" s="42" t="str">
        <f>G!BF67</f>
        <v/>
      </c>
      <c r="AB93" s="42" t="str">
        <f>G!BG67</f>
        <v/>
      </c>
      <c r="AC93" s="43" t="str">
        <f>IFERROR(IF(OR(Z93="--",Z93="rg",VLOOKUP(F!$B67,E!$B$1:'E'!$AK$300,12,FALSE)=1000000000,AA93="-",AA93=""),"",(HLOOKUP(SMALL(G!$Q$4:'G'!$Y$4,7),G!$Q$4:'G'!$Y$501,ROW(G!AI67)-3,FALSE))/VLOOKUP(F!$B67,E!$B$1:'E'!$AK$300,12,FALSE)*100),"")</f>
        <v/>
      </c>
      <c r="AD93" s="43"/>
      <c r="AE93" s="34"/>
      <c r="AF93" s="34"/>
      <c r="AH93" s="72">
        <f t="shared" si="2"/>
        <v>1</v>
      </c>
      <c r="AJ93" s="34"/>
      <c r="AK93" s="34"/>
    </row>
    <row r="94" spans="1:37" s="72" customFormat="1" ht="9" hidden="1" customHeight="1" x14ac:dyDescent="0.15">
      <c r="A94" s="195" t="str">
        <f>F!A68</f>
        <v>Dichloormethaan</v>
      </c>
      <c r="B94" s="195"/>
      <c r="C94" s="195"/>
      <c r="D94" s="44" t="str">
        <f>G!AQ68</f>
        <v/>
      </c>
      <c r="E94" s="43" t="str">
        <f>G!AP68</f>
        <v>--</v>
      </c>
      <c r="F94" s="42"/>
      <c r="G94" s="42" t="str">
        <f>G!AS68</f>
        <v/>
      </c>
      <c r="H94" s="43" t="str">
        <f>G!AR68</f>
        <v>--</v>
      </c>
      <c r="I94" s="42" t="str">
        <f>G!AT68</f>
        <v/>
      </c>
      <c r="J94" s="42" t="str">
        <f>G!AU68</f>
        <v/>
      </c>
      <c r="K94" s="43" t="str">
        <f>IFERROR(IF(OR(H94="--",H94="rg",VLOOKUP(F!$B68,E!$B$1:'E'!$AK$300,12,FALSE)=1000000000,I94="-",I94=""),"",(HLOOKUP(SMALL(G!$Q$4:'G'!$Y$4,1),G!$Q$4:'G'!$Y$501,ROW(G!Q68)-3,FALSE))/VLOOKUP(F!$B68,E!$B$1:'E'!$AK$300,12,FALSE)*100),"")</f>
        <v/>
      </c>
      <c r="L94" s="43"/>
      <c r="M94" s="43" t="str">
        <f>G!AW68</f>
        <v/>
      </c>
      <c r="N94" s="43" t="str">
        <f>G!AV68</f>
        <v>--</v>
      </c>
      <c r="O94" s="42"/>
      <c r="P94" s="42" t="str">
        <f>G!AY68</f>
        <v/>
      </c>
      <c r="Q94" s="43" t="str">
        <f>G!AX68</f>
        <v>--</v>
      </c>
      <c r="R94" s="42" t="str">
        <f>G!AZ68</f>
        <v/>
      </c>
      <c r="S94" s="42" t="str">
        <f>G!BA68</f>
        <v/>
      </c>
      <c r="T94" s="43" t="str">
        <f>IFERROR(IF(OR(Q94="--",Q94="rg",VLOOKUP(F!$B68,E!$B$1:'E'!$AK$300,12,FALSE)=1000000000,R94="-",R94=""),"",(HLOOKUP(SMALL(G!$Q$4:'G'!$Y$4,4),G!$Q$4:'G'!$Y$501,ROW(G!Z68)-3,FALSE))/VLOOKUP(F!$B68,E!$B$1:'E'!$AK$300,12,FALSE)*100),"")</f>
        <v/>
      </c>
      <c r="U94" s="43"/>
      <c r="V94" s="43" t="str">
        <f>G!BC68</f>
        <v/>
      </c>
      <c r="W94" s="43" t="str">
        <f>G!BB68</f>
        <v>--</v>
      </c>
      <c r="X94" s="43"/>
      <c r="Y94" s="42" t="str">
        <f>G!BE68</f>
        <v/>
      </c>
      <c r="Z94" s="43" t="str">
        <f>G!BD68</f>
        <v>--</v>
      </c>
      <c r="AA94" s="42" t="str">
        <f>G!BF68</f>
        <v/>
      </c>
      <c r="AB94" s="42" t="str">
        <f>G!BG68</f>
        <v/>
      </c>
      <c r="AC94" s="43" t="str">
        <f>IFERROR(IF(OR(Z94="--",Z94="rg",VLOOKUP(F!$B68,E!$B$1:'E'!$AK$300,12,FALSE)=1000000000,AA94="-",AA94=""),"",(HLOOKUP(SMALL(G!$Q$4:'G'!$Y$4,7),G!$Q$4:'G'!$Y$501,ROW(G!AI68)-3,FALSE))/VLOOKUP(F!$B68,E!$B$1:'E'!$AK$300,12,FALSE)*100),"")</f>
        <v/>
      </c>
      <c r="AD94" s="43"/>
      <c r="AE94" s="34"/>
      <c r="AF94" s="34"/>
      <c r="AH94" s="72">
        <f t="shared" si="2"/>
        <v>1</v>
      </c>
      <c r="AJ94" s="34"/>
      <c r="AK94" s="34"/>
    </row>
    <row r="95" spans="1:37" s="72" customFormat="1" ht="9" hidden="1" customHeight="1" x14ac:dyDescent="0.15">
      <c r="A95" s="195" t="str">
        <f>F!A69</f>
        <v>1,1-Dichloorethaan</v>
      </c>
      <c r="B95" s="195"/>
      <c r="C95" s="195"/>
      <c r="D95" s="44" t="str">
        <f>G!AQ69</f>
        <v/>
      </c>
      <c r="E95" s="43" t="str">
        <f>G!AP69</f>
        <v>--</v>
      </c>
      <c r="F95" s="42"/>
      <c r="G95" s="42" t="str">
        <f>G!AS69</f>
        <v/>
      </c>
      <c r="H95" s="43" t="str">
        <f>G!AR69</f>
        <v>--</v>
      </c>
      <c r="I95" s="42" t="str">
        <f>G!AT69</f>
        <v/>
      </c>
      <c r="J95" s="42" t="str">
        <f>G!AU69</f>
        <v/>
      </c>
      <c r="K95" s="43" t="str">
        <f>IFERROR(IF(OR(H95="--",H95="rg",VLOOKUP(F!$B69,E!$B$1:'E'!$AK$300,12,FALSE)=1000000000,I95="-",I95=""),"",(HLOOKUP(SMALL(G!$Q$4:'G'!$Y$4,1),G!$Q$4:'G'!$Y$501,ROW(G!Q69)-3,FALSE))/VLOOKUP(F!$B69,E!$B$1:'E'!$AK$300,12,FALSE)*100),"")</f>
        <v/>
      </c>
      <c r="L95" s="43"/>
      <c r="M95" s="43" t="str">
        <f>G!AW69</f>
        <v/>
      </c>
      <c r="N95" s="43" t="str">
        <f>G!AV69</f>
        <v>--</v>
      </c>
      <c r="O95" s="42"/>
      <c r="P95" s="42" t="str">
        <f>G!AY69</f>
        <v/>
      </c>
      <c r="Q95" s="43" t="str">
        <f>G!AX69</f>
        <v>--</v>
      </c>
      <c r="R95" s="42" t="str">
        <f>G!AZ69</f>
        <v/>
      </c>
      <c r="S95" s="42" t="str">
        <f>G!BA69</f>
        <v/>
      </c>
      <c r="T95" s="43" t="str">
        <f>IFERROR(IF(OR(Q95="--",Q95="rg",VLOOKUP(F!$B69,E!$B$1:'E'!$AK$300,12,FALSE)=1000000000,R95="-",R95=""),"",(HLOOKUP(SMALL(G!$Q$4:'G'!$Y$4,4),G!$Q$4:'G'!$Y$501,ROW(G!Z69)-3,FALSE))/VLOOKUP(F!$B69,E!$B$1:'E'!$AK$300,12,FALSE)*100),"")</f>
        <v/>
      </c>
      <c r="U95" s="43"/>
      <c r="V95" s="43" t="str">
        <f>G!BC69</f>
        <v/>
      </c>
      <c r="W95" s="43" t="str">
        <f>G!BB69</f>
        <v>--</v>
      </c>
      <c r="X95" s="43"/>
      <c r="Y95" s="42" t="str">
        <f>G!BE69</f>
        <v/>
      </c>
      <c r="Z95" s="43" t="str">
        <f>G!BD69</f>
        <v>--</v>
      </c>
      <c r="AA95" s="42" t="str">
        <f>G!BF69</f>
        <v/>
      </c>
      <c r="AB95" s="42" t="str">
        <f>G!BG69</f>
        <v/>
      </c>
      <c r="AC95" s="43" t="str">
        <f>IFERROR(IF(OR(Z95="--",Z95="rg",VLOOKUP(F!$B69,E!$B$1:'E'!$AK$300,12,FALSE)=1000000000,AA95="-",AA95=""),"",(HLOOKUP(SMALL(G!$Q$4:'G'!$Y$4,7),G!$Q$4:'G'!$Y$501,ROW(G!AI69)-3,FALSE))/VLOOKUP(F!$B69,E!$B$1:'E'!$AK$300,12,FALSE)*100),"")</f>
        <v/>
      </c>
      <c r="AD95" s="43"/>
      <c r="AE95" s="34"/>
      <c r="AF95" s="34"/>
      <c r="AH95" s="72">
        <f t="shared" si="2"/>
        <v>1</v>
      </c>
      <c r="AJ95" s="34"/>
      <c r="AK95" s="34"/>
    </row>
    <row r="96" spans="1:37" s="72" customFormat="1" ht="9" hidden="1" customHeight="1" x14ac:dyDescent="0.15">
      <c r="A96" s="195" t="str">
        <f>F!A70</f>
        <v>1,2-Dichloorethaan</v>
      </c>
      <c r="B96" s="195"/>
      <c r="C96" s="195"/>
      <c r="D96" s="44" t="str">
        <f>G!AQ70</f>
        <v/>
      </c>
      <c r="E96" s="43" t="str">
        <f>G!AP70</f>
        <v>--</v>
      </c>
      <c r="F96" s="42"/>
      <c r="G96" s="42" t="str">
        <f>G!AS70</f>
        <v/>
      </c>
      <c r="H96" s="43" t="str">
        <f>G!AR70</f>
        <v>--</v>
      </c>
      <c r="I96" s="42" t="str">
        <f>G!AT70</f>
        <v/>
      </c>
      <c r="J96" s="42" t="str">
        <f>G!AU70</f>
        <v/>
      </c>
      <c r="K96" s="43" t="str">
        <f>IFERROR(IF(OR(H96="--",H96="rg",VLOOKUP(F!$B70,E!$B$1:'E'!$AK$300,12,FALSE)=1000000000,I96="-",I96=""),"",(HLOOKUP(SMALL(G!$Q$4:'G'!$Y$4,1),G!$Q$4:'G'!$Y$501,ROW(G!Q70)-3,FALSE))/VLOOKUP(F!$B70,E!$B$1:'E'!$AK$300,12,FALSE)*100),"")</f>
        <v/>
      </c>
      <c r="L96" s="43"/>
      <c r="M96" s="43" t="str">
        <f>G!AW70</f>
        <v/>
      </c>
      <c r="N96" s="43" t="str">
        <f>G!AV70</f>
        <v>--</v>
      </c>
      <c r="O96" s="42"/>
      <c r="P96" s="42" t="str">
        <f>G!AY70</f>
        <v/>
      </c>
      <c r="Q96" s="43" t="str">
        <f>G!AX70</f>
        <v>--</v>
      </c>
      <c r="R96" s="42" t="str">
        <f>G!AZ70</f>
        <v/>
      </c>
      <c r="S96" s="42" t="str">
        <f>G!BA70</f>
        <v/>
      </c>
      <c r="T96" s="43" t="str">
        <f>IFERROR(IF(OR(Q96="--",Q96="rg",VLOOKUP(F!$B70,E!$B$1:'E'!$AK$300,12,FALSE)=1000000000,R96="-",R96=""),"",(HLOOKUP(SMALL(G!$Q$4:'G'!$Y$4,4),G!$Q$4:'G'!$Y$501,ROW(G!Z70)-3,FALSE))/VLOOKUP(F!$B70,E!$B$1:'E'!$AK$300,12,FALSE)*100),"")</f>
        <v/>
      </c>
      <c r="U96" s="43"/>
      <c r="V96" s="43" t="str">
        <f>G!BC70</f>
        <v/>
      </c>
      <c r="W96" s="43" t="str">
        <f>G!BB70</f>
        <v>--</v>
      </c>
      <c r="X96" s="43"/>
      <c r="Y96" s="42" t="str">
        <f>G!BE70</f>
        <v/>
      </c>
      <c r="Z96" s="43" t="str">
        <f>G!BD70</f>
        <v>--</v>
      </c>
      <c r="AA96" s="42" t="str">
        <f>G!BF70</f>
        <v/>
      </c>
      <c r="AB96" s="42" t="str">
        <f>G!BG70</f>
        <v/>
      </c>
      <c r="AC96" s="43" t="str">
        <f>IFERROR(IF(OR(Z96="--",Z96="rg",VLOOKUP(F!$B70,E!$B$1:'E'!$AK$300,12,FALSE)=1000000000,AA96="-",AA96=""),"",(HLOOKUP(SMALL(G!$Q$4:'G'!$Y$4,7),G!$Q$4:'G'!$Y$501,ROW(G!AI70)-3,FALSE))/VLOOKUP(F!$B70,E!$B$1:'E'!$AK$300,12,FALSE)*100),"")</f>
        <v/>
      </c>
      <c r="AD96" s="43"/>
      <c r="AE96" s="34"/>
      <c r="AF96" s="34"/>
      <c r="AH96" s="72">
        <f t="shared" si="2"/>
        <v>1</v>
      </c>
      <c r="AJ96" s="34"/>
      <c r="AK96" s="34"/>
    </row>
    <row r="97" spans="1:37" s="72" customFormat="1" ht="9" hidden="1" customHeight="1" x14ac:dyDescent="0.15">
      <c r="A97" s="195" t="str">
        <f>F!A71</f>
        <v>1,1-Dichlooretheen</v>
      </c>
      <c r="B97" s="195"/>
      <c r="C97" s="195"/>
      <c r="D97" s="44" t="str">
        <f>G!AQ71</f>
        <v/>
      </c>
      <c r="E97" s="43" t="str">
        <f>G!AP71</f>
        <v>--</v>
      </c>
      <c r="F97" s="42"/>
      <c r="G97" s="42" t="str">
        <f>G!AS71</f>
        <v/>
      </c>
      <c r="H97" s="43" t="str">
        <f>G!AR71</f>
        <v>--</v>
      </c>
      <c r="I97" s="42" t="str">
        <f>G!AT71</f>
        <v/>
      </c>
      <c r="J97" s="42" t="str">
        <f>G!AU71</f>
        <v/>
      </c>
      <c r="K97" s="43" t="str">
        <f>IFERROR(IF(OR(H97="--",H97="rg",VLOOKUP(F!$B71,E!$B$1:'E'!$AK$300,12,FALSE)=1000000000,I97="-",I97=""),"",(HLOOKUP(SMALL(G!$Q$4:'G'!$Y$4,1),G!$Q$4:'G'!$Y$501,ROW(G!Q71)-3,FALSE))/VLOOKUP(F!$B71,E!$B$1:'E'!$AK$300,12,FALSE)*100),"")</f>
        <v/>
      </c>
      <c r="L97" s="43"/>
      <c r="M97" s="43" t="str">
        <f>G!AW71</f>
        <v/>
      </c>
      <c r="N97" s="43" t="str">
        <f>G!AV71</f>
        <v>--</v>
      </c>
      <c r="O97" s="42"/>
      <c r="P97" s="42" t="str">
        <f>G!AY71</f>
        <v/>
      </c>
      <c r="Q97" s="43" t="str">
        <f>G!AX71</f>
        <v>--</v>
      </c>
      <c r="R97" s="42" t="str">
        <f>G!AZ71</f>
        <v/>
      </c>
      <c r="S97" s="42" t="str">
        <f>G!BA71</f>
        <v/>
      </c>
      <c r="T97" s="43" t="str">
        <f>IFERROR(IF(OR(Q97="--",Q97="rg",VLOOKUP(F!$B71,E!$B$1:'E'!$AK$300,12,FALSE)=1000000000,R97="-",R97=""),"",(HLOOKUP(SMALL(G!$Q$4:'G'!$Y$4,4),G!$Q$4:'G'!$Y$501,ROW(G!Z71)-3,FALSE))/VLOOKUP(F!$B71,E!$B$1:'E'!$AK$300,12,FALSE)*100),"")</f>
        <v/>
      </c>
      <c r="U97" s="43"/>
      <c r="V97" s="43" t="str">
        <f>G!BC71</f>
        <v/>
      </c>
      <c r="W97" s="43" t="str">
        <f>G!BB71</f>
        <v>--</v>
      </c>
      <c r="X97" s="43"/>
      <c r="Y97" s="42" t="str">
        <f>G!BE71</f>
        <v/>
      </c>
      <c r="Z97" s="43" t="str">
        <f>G!BD71</f>
        <v>--</v>
      </c>
      <c r="AA97" s="42" t="str">
        <f>G!BF71</f>
        <v/>
      </c>
      <c r="AB97" s="42" t="str">
        <f>G!BG71</f>
        <v/>
      </c>
      <c r="AC97" s="43" t="str">
        <f>IFERROR(IF(OR(Z97="--",Z97="rg",VLOOKUP(F!$B71,E!$B$1:'E'!$AK$300,12,FALSE)=1000000000,AA97="-",AA97=""),"",(HLOOKUP(SMALL(G!$Q$4:'G'!$Y$4,7),G!$Q$4:'G'!$Y$501,ROW(G!AI71)-3,FALSE))/VLOOKUP(F!$B71,E!$B$1:'E'!$AK$300,12,FALSE)*100),"")</f>
        <v/>
      </c>
      <c r="AD97" s="43"/>
      <c r="AE97" s="34"/>
      <c r="AF97" s="34"/>
      <c r="AH97" s="72">
        <f t="shared" si="2"/>
        <v>1</v>
      </c>
      <c r="AJ97" s="34"/>
      <c r="AK97" s="34"/>
    </row>
    <row r="98" spans="1:37" s="72" customFormat="1" ht="9" hidden="1" customHeight="1" x14ac:dyDescent="0.15">
      <c r="A98" s="195" t="str">
        <f>F!A72</f>
        <v>Cis-1,2-dichlooretheen</v>
      </c>
      <c r="B98" s="195"/>
      <c r="C98" s="195"/>
      <c r="D98" s="44" t="str">
        <f>G!AQ72</f>
        <v/>
      </c>
      <c r="E98" s="43" t="str">
        <f>G!AP72</f>
        <v>--</v>
      </c>
      <c r="F98" s="42"/>
      <c r="G98" s="42" t="str">
        <f>G!AS72</f>
        <v/>
      </c>
      <c r="H98" s="43" t="str">
        <f>G!AR72</f>
        <v>--</v>
      </c>
      <c r="I98" s="42" t="str">
        <f>G!AT72</f>
        <v/>
      </c>
      <c r="J98" s="42" t="str">
        <f>G!AU72</f>
        <v/>
      </c>
      <c r="K98" s="43" t="str">
        <f>IFERROR(IF(OR(H98="--",H98="rg",VLOOKUP(F!$B72,E!$B$1:'E'!$AK$300,12,FALSE)=1000000000,I98="-",I98=""),"",(HLOOKUP(SMALL(G!$Q$4:'G'!$Y$4,1),G!$Q$4:'G'!$Y$501,ROW(G!Q72)-3,FALSE))/VLOOKUP(F!$B72,E!$B$1:'E'!$AK$300,12,FALSE)*100),"")</f>
        <v/>
      </c>
      <c r="L98" s="43"/>
      <c r="M98" s="43" t="str">
        <f>G!AW72</f>
        <v/>
      </c>
      <c r="N98" s="43" t="str">
        <f>G!AV72</f>
        <v>--</v>
      </c>
      <c r="O98" s="42"/>
      <c r="P98" s="42" t="str">
        <f>G!AY72</f>
        <v/>
      </c>
      <c r="Q98" s="43" t="str">
        <f>G!AX72</f>
        <v>--</v>
      </c>
      <c r="R98" s="42" t="str">
        <f>G!AZ72</f>
        <v/>
      </c>
      <c r="S98" s="42" t="str">
        <f>G!BA72</f>
        <v/>
      </c>
      <c r="T98" s="43" t="str">
        <f>IFERROR(IF(OR(Q98="--",Q98="rg",VLOOKUP(F!$B72,E!$B$1:'E'!$AK$300,12,FALSE)=1000000000,R98="-",R98=""),"",(HLOOKUP(SMALL(G!$Q$4:'G'!$Y$4,4),G!$Q$4:'G'!$Y$501,ROW(G!Z72)-3,FALSE))/VLOOKUP(F!$B72,E!$B$1:'E'!$AK$300,12,FALSE)*100),"")</f>
        <v/>
      </c>
      <c r="U98" s="43"/>
      <c r="V98" s="43" t="str">
        <f>G!BC72</f>
        <v/>
      </c>
      <c r="W98" s="43" t="str">
        <f>G!BB72</f>
        <v>--</v>
      </c>
      <c r="X98" s="43"/>
      <c r="Y98" s="42" t="str">
        <f>G!BE72</f>
        <v/>
      </c>
      <c r="Z98" s="43" t="str">
        <f>G!BD72</f>
        <v>--</v>
      </c>
      <c r="AA98" s="42" t="str">
        <f>G!BF72</f>
        <v/>
      </c>
      <c r="AB98" s="42" t="str">
        <f>G!BG72</f>
        <v/>
      </c>
      <c r="AC98" s="43" t="str">
        <f>IFERROR(IF(OR(Z98="--",Z98="rg",VLOOKUP(F!$B72,E!$B$1:'E'!$AK$300,12,FALSE)=1000000000,AA98="-",AA98=""),"",(HLOOKUP(SMALL(G!$Q$4:'G'!$Y$4,7),G!$Q$4:'G'!$Y$501,ROW(G!AI72)-3,FALSE))/VLOOKUP(F!$B72,E!$B$1:'E'!$AK$300,12,FALSE)*100),"")</f>
        <v/>
      </c>
      <c r="AD98" s="43"/>
      <c r="AE98" s="34"/>
      <c r="AF98" s="34"/>
      <c r="AH98" s="72">
        <f t="shared" si="2"/>
        <v>1</v>
      </c>
      <c r="AJ98" s="34"/>
      <c r="AK98" s="34"/>
    </row>
    <row r="99" spans="1:37" s="72" customFormat="1" ht="9" hidden="1" customHeight="1" x14ac:dyDescent="0.15">
      <c r="A99" s="195" t="str">
        <f>F!A73</f>
        <v>Trans-1,2-dichlooretheen</v>
      </c>
      <c r="B99" s="195"/>
      <c r="C99" s="195"/>
      <c r="D99" s="44" t="str">
        <f>G!AQ73</f>
        <v/>
      </c>
      <c r="E99" s="43" t="str">
        <f>G!AP73</f>
        <v>--</v>
      </c>
      <c r="F99" s="42"/>
      <c r="G99" s="42" t="str">
        <f>G!AS73</f>
        <v/>
      </c>
      <c r="H99" s="43" t="str">
        <f>G!AR73</f>
        <v>--</v>
      </c>
      <c r="I99" s="42" t="str">
        <f>G!AT73</f>
        <v/>
      </c>
      <c r="J99" s="42" t="str">
        <f>G!AU73</f>
        <v/>
      </c>
      <c r="K99" s="43" t="str">
        <f>IFERROR(IF(OR(H99="--",H99="rg",VLOOKUP(F!$B73,E!$B$1:'E'!$AK$300,12,FALSE)=1000000000,I99="-",I99=""),"",(HLOOKUP(SMALL(G!$Q$4:'G'!$Y$4,1),G!$Q$4:'G'!$Y$501,ROW(G!Q73)-3,FALSE))/VLOOKUP(F!$B73,E!$B$1:'E'!$AK$300,12,FALSE)*100),"")</f>
        <v/>
      </c>
      <c r="L99" s="43"/>
      <c r="M99" s="43" t="str">
        <f>G!AW73</f>
        <v/>
      </c>
      <c r="N99" s="43" t="str">
        <f>G!AV73</f>
        <v>--</v>
      </c>
      <c r="O99" s="42"/>
      <c r="P99" s="42" t="str">
        <f>G!AY73</f>
        <v/>
      </c>
      <c r="Q99" s="43" t="str">
        <f>G!AX73</f>
        <v>--</v>
      </c>
      <c r="R99" s="42" t="str">
        <f>G!AZ73</f>
        <v/>
      </c>
      <c r="S99" s="42" t="str">
        <f>G!BA73</f>
        <v/>
      </c>
      <c r="T99" s="43" t="str">
        <f>IFERROR(IF(OR(Q99="--",Q99="rg",VLOOKUP(F!$B73,E!$B$1:'E'!$AK$300,12,FALSE)=1000000000,R99="-",R99=""),"",(HLOOKUP(SMALL(G!$Q$4:'G'!$Y$4,4),G!$Q$4:'G'!$Y$501,ROW(G!Z73)-3,FALSE))/VLOOKUP(F!$B73,E!$B$1:'E'!$AK$300,12,FALSE)*100),"")</f>
        <v/>
      </c>
      <c r="U99" s="43"/>
      <c r="V99" s="43" t="str">
        <f>G!BC73</f>
        <v/>
      </c>
      <c r="W99" s="43" t="str">
        <f>G!BB73</f>
        <v>--</v>
      </c>
      <c r="X99" s="43"/>
      <c r="Y99" s="42" t="str">
        <f>G!BE73</f>
        <v/>
      </c>
      <c r="Z99" s="43" t="str">
        <f>G!BD73</f>
        <v>--</v>
      </c>
      <c r="AA99" s="42" t="str">
        <f>G!BF73</f>
        <v/>
      </c>
      <c r="AB99" s="42" t="str">
        <f>G!BG73</f>
        <v/>
      </c>
      <c r="AC99" s="43" t="str">
        <f>IFERROR(IF(OR(Z99="--",Z99="rg",VLOOKUP(F!$B73,E!$B$1:'E'!$AK$300,12,FALSE)=1000000000,AA99="-",AA99=""),"",(HLOOKUP(SMALL(G!$Q$4:'G'!$Y$4,7),G!$Q$4:'G'!$Y$501,ROW(G!AI73)-3,FALSE))/VLOOKUP(F!$B73,E!$B$1:'E'!$AK$300,12,FALSE)*100),"")</f>
        <v/>
      </c>
      <c r="AD99" s="43"/>
      <c r="AE99" s="34"/>
      <c r="AF99" s="34"/>
      <c r="AH99" s="72">
        <f t="shared" si="2"/>
        <v>1</v>
      </c>
      <c r="AJ99" s="34"/>
      <c r="AK99" s="34"/>
    </row>
    <row r="100" spans="1:37" s="72" customFormat="1" ht="9" hidden="1" customHeight="1" x14ac:dyDescent="0.15">
      <c r="A100" s="195" t="str">
        <f>F!A74</f>
        <v>1,2-Dichlooretheen (som)</v>
      </c>
      <c r="B100" s="195"/>
      <c r="C100" s="195"/>
      <c r="D100" s="44" t="str">
        <f>G!AQ74</f>
        <v/>
      </c>
      <c r="E100" s="43" t="str">
        <f>G!AP74</f>
        <v>--</v>
      </c>
      <c r="F100" s="42"/>
      <c r="G100" s="42" t="str">
        <f>G!AS74</f>
        <v/>
      </c>
      <c r="H100" s="43" t="str">
        <f>G!AR74</f>
        <v>--</v>
      </c>
      <c r="I100" s="42" t="str">
        <f>G!AT74</f>
        <v/>
      </c>
      <c r="J100" s="42" t="str">
        <f>G!AU74</f>
        <v/>
      </c>
      <c r="K100" s="43" t="str">
        <f>IFERROR(IF(OR(H100="--",H100="rg",VLOOKUP(F!$B74,E!$B$1:'E'!$AK$300,12,FALSE)=1000000000,I100="-",I100=""),"",(HLOOKUP(SMALL(G!$Q$4:'G'!$Y$4,1),G!$Q$4:'G'!$Y$501,ROW(G!Q74)-3,FALSE))/VLOOKUP(F!$B74,E!$B$1:'E'!$AK$300,12,FALSE)*100),"")</f>
        <v/>
      </c>
      <c r="L100" s="43"/>
      <c r="M100" s="43" t="str">
        <f>G!AW74</f>
        <v/>
      </c>
      <c r="N100" s="43" t="str">
        <f>G!AV74</f>
        <v>--</v>
      </c>
      <c r="O100" s="42"/>
      <c r="P100" s="42" t="str">
        <f>G!AY74</f>
        <v/>
      </c>
      <c r="Q100" s="43" t="str">
        <f>G!AX74</f>
        <v>--</v>
      </c>
      <c r="R100" s="42" t="str">
        <f>G!AZ74</f>
        <v/>
      </c>
      <c r="S100" s="42" t="str">
        <f>G!BA74</f>
        <v/>
      </c>
      <c r="T100" s="43" t="str">
        <f>IFERROR(IF(OR(Q100="--",Q100="rg",VLOOKUP(F!$B74,E!$B$1:'E'!$AK$300,12,FALSE)=1000000000,R100="-",R100=""),"",(HLOOKUP(SMALL(G!$Q$4:'G'!$Y$4,4),G!$Q$4:'G'!$Y$501,ROW(G!Z74)-3,FALSE))/VLOOKUP(F!$B74,E!$B$1:'E'!$AK$300,12,FALSE)*100),"")</f>
        <v/>
      </c>
      <c r="U100" s="43"/>
      <c r="V100" s="43" t="str">
        <f>G!BC74</f>
        <v/>
      </c>
      <c r="W100" s="43" t="str">
        <f>G!BB74</f>
        <v>--</v>
      </c>
      <c r="X100" s="43"/>
      <c r="Y100" s="42" t="str">
        <f>G!BE74</f>
        <v/>
      </c>
      <c r="Z100" s="43" t="str">
        <f>G!BD74</f>
        <v>--</v>
      </c>
      <c r="AA100" s="42" t="str">
        <f>G!BF74</f>
        <v/>
      </c>
      <c r="AB100" s="42" t="str">
        <f>G!BG74</f>
        <v/>
      </c>
      <c r="AC100" s="43" t="str">
        <f>IFERROR(IF(OR(Z100="--",Z100="rg",VLOOKUP(F!$B74,E!$B$1:'E'!$AK$300,12,FALSE)=1000000000,AA100="-",AA100=""),"",(HLOOKUP(SMALL(G!$Q$4:'G'!$Y$4,7),G!$Q$4:'G'!$Y$501,ROW(G!AI74)-3,FALSE))/VLOOKUP(F!$B74,E!$B$1:'E'!$AK$300,12,FALSE)*100),"")</f>
        <v/>
      </c>
      <c r="AD100" s="43"/>
      <c r="AE100" s="34"/>
      <c r="AF100" s="34"/>
      <c r="AH100" s="72">
        <f t="shared" si="2"/>
        <v>1</v>
      </c>
      <c r="AJ100" s="34"/>
      <c r="AK100" s="34"/>
    </row>
    <row r="101" spans="1:37" s="72" customFormat="1" ht="9" hidden="1" customHeight="1" x14ac:dyDescent="0.15">
      <c r="A101" s="195" t="str">
        <f>F!A75</f>
        <v>1,1-Dichloorpropaan</v>
      </c>
      <c r="B101" s="195"/>
      <c r="C101" s="195"/>
      <c r="D101" s="44" t="str">
        <f>G!AQ75</f>
        <v/>
      </c>
      <c r="E101" s="43" t="str">
        <f>G!AP75</f>
        <v>--</v>
      </c>
      <c r="F101" s="42"/>
      <c r="G101" s="42" t="str">
        <f>G!AS75</f>
        <v/>
      </c>
      <c r="H101" s="43" t="str">
        <f>G!AR75</f>
        <v>--</v>
      </c>
      <c r="I101" s="42" t="str">
        <f>G!AT75</f>
        <v/>
      </c>
      <c r="J101" s="42" t="str">
        <f>G!AU75</f>
        <v/>
      </c>
      <c r="K101" s="43" t="str">
        <f>IFERROR(IF(OR(H101="--",H101="rg",VLOOKUP(F!$B75,E!$B$1:'E'!$AK$300,12,FALSE)=1000000000,I101="-",I101=""),"",(HLOOKUP(SMALL(G!$Q$4:'G'!$Y$4,1),G!$Q$4:'G'!$Y$501,ROW(G!Q75)-3,FALSE))/VLOOKUP(F!$B75,E!$B$1:'E'!$AK$300,12,FALSE)*100),"")</f>
        <v/>
      </c>
      <c r="L101" s="43"/>
      <c r="M101" s="43" t="str">
        <f>G!AW75</f>
        <v/>
      </c>
      <c r="N101" s="43" t="str">
        <f>G!AV75</f>
        <v>--</v>
      </c>
      <c r="O101" s="42"/>
      <c r="P101" s="42" t="str">
        <f>G!AY75</f>
        <v/>
      </c>
      <c r="Q101" s="43" t="str">
        <f>G!AX75</f>
        <v>--</v>
      </c>
      <c r="R101" s="42" t="str">
        <f>G!AZ75</f>
        <v/>
      </c>
      <c r="S101" s="42" t="str">
        <f>G!BA75</f>
        <v/>
      </c>
      <c r="T101" s="43" t="str">
        <f>IFERROR(IF(OR(Q101="--",Q101="rg",VLOOKUP(F!$B75,E!$B$1:'E'!$AK$300,12,FALSE)=1000000000,R101="-",R101=""),"",(HLOOKUP(SMALL(G!$Q$4:'G'!$Y$4,4),G!$Q$4:'G'!$Y$501,ROW(G!Z75)-3,FALSE))/VLOOKUP(F!$B75,E!$B$1:'E'!$AK$300,12,FALSE)*100),"")</f>
        <v/>
      </c>
      <c r="U101" s="43"/>
      <c r="V101" s="43" t="str">
        <f>G!BC75</f>
        <v/>
      </c>
      <c r="W101" s="43" t="str">
        <f>G!BB75</f>
        <v>--</v>
      </c>
      <c r="X101" s="43"/>
      <c r="Y101" s="42" t="str">
        <f>G!BE75</f>
        <v/>
      </c>
      <c r="Z101" s="43" t="str">
        <f>G!BD75</f>
        <v>--</v>
      </c>
      <c r="AA101" s="42" t="str">
        <f>G!BF75</f>
        <v/>
      </c>
      <c r="AB101" s="42" t="str">
        <f>G!BG75</f>
        <v/>
      </c>
      <c r="AC101" s="43" t="str">
        <f>IFERROR(IF(OR(Z101="--",Z101="rg",VLOOKUP(F!$B75,E!$B$1:'E'!$AK$300,12,FALSE)=1000000000,AA101="-",AA101=""),"",(HLOOKUP(SMALL(G!$Q$4:'G'!$Y$4,7),G!$Q$4:'G'!$Y$501,ROW(G!AI75)-3,FALSE))/VLOOKUP(F!$B75,E!$B$1:'E'!$AK$300,12,FALSE)*100),"")</f>
        <v/>
      </c>
      <c r="AD101" s="43"/>
      <c r="AE101" s="34"/>
      <c r="AF101" s="34"/>
      <c r="AH101" s="72">
        <f t="shared" si="2"/>
        <v>1</v>
      </c>
      <c r="AJ101" s="34"/>
      <c r="AK101" s="34"/>
    </row>
    <row r="102" spans="1:37" s="72" customFormat="1" ht="9" hidden="1" customHeight="1" x14ac:dyDescent="0.15">
      <c r="A102" s="195" t="str">
        <f>F!A76</f>
        <v>1,2-Dichloorpropaan</v>
      </c>
      <c r="B102" s="195"/>
      <c r="C102" s="195"/>
      <c r="D102" s="44" t="str">
        <f>G!AQ76</f>
        <v/>
      </c>
      <c r="E102" s="43" t="str">
        <f>G!AP76</f>
        <v>--</v>
      </c>
      <c r="F102" s="42"/>
      <c r="G102" s="42" t="str">
        <f>G!AS76</f>
        <v/>
      </c>
      <c r="H102" s="43" t="str">
        <f>G!AR76</f>
        <v>--</v>
      </c>
      <c r="I102" s="42" t="str">
        <f>G!AT76</f>
        <v/>
      </c>
      <c r="J102" s="42" t="str">
        <f>G!AU76</f>
        <v/>
      </c>
      <c r="K102" s="43" t="str">
        <f>IFERROR(IF(OR(H102="--",H102="rg",VLOOKUP(F!$B76,E!$B$1:'E'!$AK$300,12,FALSE)=1000000000,I102="-",I102=""),"",(HLOOKUP(SMALL(G!$Q$4:'G'!$Y$4,1),G!$Q$4:'G'!$Y$501,ROW(G!Q76)-3,FALSE))/VLOOKUP(F!$B76,E!$B$1:'E'!$AK$300,12,FALSE)*100),"")</f>
        <v/>
      </c>
      <c r="L102" s="43"/>
      <c r="M102" s="43" t="str">
        <f>G!AW76</f>
        <v/>
      </c>
      <c r="N102" s="43" t="str">
        <f>G!AV76</f>
        <v>--</v>
      </c>
      <c r="O102" s="42"/>
      <c r="P102" s="42" t="str">
        <f>G!AY76</f>
        <v/>
      </c>
      <c r="Q102" s="43" t="str">
        <f>G!AX76</f>
        <v>--</v>
      </c>
      <c r="R102" s="42" t="str">
        <f>G!AZ76</f>
        <v/>
      </c>
      <c r="S102" s="42" t="str">
        <f>G!BA76</f>
        <v/>
      </c>
      <c r="T102" s="43" t="str">
        <f>IFERROR(IF(OR(Q102="--",Q102="rg",VLOOKUP(F!$B76,E!$B$1:'E'!$AK$300,12,FALSE)=1000000000,R102="-",R102=""),"",(HLOOKUP(SMALL(G!$Q$4:'G'!$Y$4,4),G!$Q$4:'G'!$Y$501,ROW(G!Z76)-3,FALSE))/VLOOKUP(F!$B76,E!$B$1:'E'!$AK$300,12,FALSE)*100),"")</f>
        <v/>
      </c>
      <c r="U102" s="43"/>
      <c r="V102" s="43" t="str">
        <f>G!BC76</f>
        <v/>
      </c>
      <c r="W102" s="43" t="str">
        <f>G!BB76</f>
        <v>--</v>
      </c>
      <c r="X102" s="43"/>
      <c r="Y102" s="42" t="str">
        <f>G!BE76</f>
        <v/>
      </c>
      <c r="Z102" s="43" t="str">
        <f>G!BD76</f>
        <v>--</v>
      </c>
      <c r="AA102" s="42" t="str">
        <f>G!BF76</f>
        <v/>
      </c>
      <c r="AB102" s="42" t="str">
        <f>G!BG76</f>
        <v/>
      </c>
      <c r="AC102" s="43" t="str">
        <f>IFERROR(IF(OR(Z102="--",Z102="rg",VLOOKUP(F!$B76,E!$B$1:'E'!$AK$300,12,FALSE)=1000000000,AA102="-",AA102=""),"",(HLOOKUP(SMALL(G!$Q$4:'G'!$Y$4,7),G!$Q$4:'G'!$Y$501,ROW(G!AI76)-3,FALSE))/VLOOKUP(F!$B76,E!$B$1:'E'!$AK$300,12,FALSE)*100),"")</f>
        <v/>
      </c>
      <c r="AD102" s="43"/>
      <c r="AE102" s="34"/>
      <c r="AF102" s="34"/>
      <c r="AH102" s="72">
        <f t="shared" si="2"/>
        <v>1</v>
      </c>
      <c r="AJ102" s="34"/>
      <c r="AK102" s="34"/>
    </row>
    <row r="103" spans="1:37" s="72" customFormat="1" ht="9" hidden="1" customHeight="1" x14ac:dyDescent="0.15">
      <c r="A103" s="195" t="str">
        <f>F!A77</f>
        <v>1,3-Dichloorpropaan</v>
      </c>
      <c r="B103" s="195"/>
      <c r="C103" s="195"/>
      <c r="D103" s="44" t="str">
        <f>G!AQ77</f>
        <v/>
      </c>
      <c r="E103" s="43" t="str">
        <f>G!AP77</f>
        <v>--</v>
      </c>
      <c r="F103" s="42"/>
      <c r="G103" s="42" t="str">
        <f>G!AS77</f>
        <v/>
      </c>
      <c r="H103" s="43" t="str">
        <f>G!AR77</f>
        <v>--</v>
      </c>
      <c r="I103" s="42" t="str">
        <f>G!AT77</f>
        <v/>
      </c>
      <c r="J103" s="42" t="str">
        <f>G!AU77</f>
        <v/>
      </c>
      <c r="K103" s="43" t="str">
        <f>IFERROR(IF(OR(H103="--",H103="rg",VLOOKUP(F!$B77,E!$B$1:'E'!$AK$300,12,FALSE)=1000000000,I103="-",I103=""),"",(HLOOKUP(SMALL(G!$Q$4:'G'!$Y$4,1),G!$Q$4:'G'!$Y$501,ROW(G!Q77)-3,FALSE))/VLOOKUP(F!$B77,E!$B$1:'E'!$AK$300,12,FALSE)*100),"")</f>
        <v/>
      </c>
      <c r="L103" s="43"/>
      <c r="M103" s="43" t="str">
        <f>G!AW77</f>
        <v/>
      </c>
      <c r="N103" s="43" t="str">
        <f>G!AV77</f>
        <v>--</v>
      </c>
      <c r="O103" s="42"/>
      <c r="P103" s="42" t="str">
        <f>G!AY77</f>
        <v/>
      </c>
      <c r="Q103" s="43" t="str">
        <f>G!AX77</f>
        <v>--</v>
      </c>
      <c r="R103" s="42" t="str">
        <f>G!AZ77</f>
        <v/>
      </c>
      <c r="S103" s="42" t="str">
        <f>G!BA77</f>
        <v/>
      </c>
      <c r="T103" s="43" t="str">
        <f>IFERROR(IF(OR(Q103="--",Q103="rg",VLOOKUP(F!$B77,E!$B$1:'E'!$AK$300,12,FALSE)=1000000000,R103="-",R103=""),"",(HLOOKUP(SMALL(G!$Q$4:'G'!$Y$4,4),G!$Q$4:'G'!$Y$501,ROW(G!Z77)-3,FALSE))/VLOOKUP(F!$B77,E!$B$1:'E'!$AK$300,12,FALSE)*100),"")</f>
        <v/>
      </c>
      <c r="U103" s="43"/>
      <c r="V103" s="43" t="str">
        <f>G!BC77</f>
        <v/>
      </c>
      <c r="W103" s="43" t="str">
        <f>G!BB77</f>
        <v>--</v>
      </c>
      <c r="X103" s="43"/>
      <c r="Y103" s="42" t="str">
        <f>G!BE77</f>
        <v/>
      </c>
      <c r="Z103" s="43" t="str">
        <f>G!BD77</f>
        <v>--</v>
      </c>
      <c r="AA103" s="42" t="str">
        <f>G!BF77</f>
        <v/>
      </c>
      <c r="AB103" s="42" t="str">
        <f>G!BG77</f>
        <v/>
      </c>
      <c r="AC103" s="43" t="str">
        <f>IFERROR(IF(OR(Z103="--",Z103="rg",VLOOKUP(F!$B77,E!$B$1:'E'!$AK$300,12,FALSE)=1000000000,AA103="-",AA103=""),"",(HLOOKUP(SMALL(G!$Q$4:'G'!$Y$4,7),G!$Q$4:'G'!$Y$501,ROW(G!AI77)-3,FALSE))/VLOOKUP(F!$B77,E!$B$1:'E'!$AK$300,12,FALSE)*100),"")</f>
        <v/>
      </c>
      <c r="AD103" s="43"/>
      <c r="AE103" s="34"/>
      <c r="AF103" s="34"/>
      <c r="AH103" s="72">
        <f t="shared" si="2"/>
        <v>1</v>
      </c>
      <c r="AJ103" s="34"/>
      <c r="AK103" s="34"/>
    </row>
    <row r="104" spans="1:37" s="72" customFormat="1" ht="9" hidden="1" customHeight="1" x14ac:dyDescent="0.15">
      <c r="A104" s="195" t="str">
        <f>F!A78</f>
        <v>2,2-Dichloorpropaan</v>
      </c>
      <c r="B104" s="195"/>
      <c r="C104" s="195"/>
      <c r="D104" s="44" t="str">
        <f>G!AQ78</f>
        <v/>
      </c>
      <c r="E104" s="43" t="str">
        <f>G!AP78</f>
        <v>--</v>
      </c>
      <c r="F104" s="42"/>
      <c r="G104" s="42" t="str">
        <f>G!AS78</f>
        <v/>
      </c>
      <c r="H104" s="43" t="str">
        <f>G!AR78</f>
        <v>--</v>
      </c>
      <c r="I104" s="42" t="str">
        <f>G!AT78</f>
        <v/>
      </c>
      <c r="J104" s="42" t="str">
        <f>G!AU78</f>
        <v/>
      </c>
      <c r="K104" s="43" t="str">
        <f>IFERROR(IF(OR(H104="--",H104="rg",VLOOKUP(F!$B78,E!$B$1:'E'!$AK$300,12,FALSE)=1000000000,I104="-",I104=""),"",(HLOOKUP(SMALL(G!$Q$4:'G'!$Y$4,1),G!$Q$4:'G'!$Y$501,ROW(G!Q78)-3,FALSE))/VLOOKUP(F!$B78,E!$B$1:'E'!$AK$300,12,FALSE)*100),"")</f>
        <v/>
      </c>
      <c r="L104" s="43"/>
      <c r="M104" s="43" t="str">
        <f>G!AW78</f>
        <v/>
      </c>
      <c r="N104" s="43" t="str">
        <f>G!AV78</f>
        <v>--</v>
      </c>
      <c r="O104" s="42"/>
      <c r="P104" s="42" t="str">
        <f>G!AY78</f>
        <v/>
      </c>
      <c r="Q104" s="43" t="str">
        <f>G!AX78</f>
        <v>--</v>
      </c>
      <c r="R104" s="42" t="str">
        <f>G!AZ78</f>
        <v/>
      </c>
      <c r="S104" s="42" t="str">
        <f>G!BA78</f>
        <v/>
      </c>
      <c r="T104" s="43" t="str">
        <f>IFERROR(IF(OR(Q104="--",Q104="rg",VLOOKUP(F!$B78,E!$B$1:'E'!$AK$300,12,FALSE)=1000000000,R104="-",R104=""),"",(HLOOKUP(SMALL(G!$Q$4:'G'!$Y$4,4),G!$Q$4:'G'!$Y$501,ROW(G!Z78)-3,FALSE))/VLOOKUP(F!$B78,E!$B$1:'E'!$AK$300,12,FALSE)*100),"")</f>
        <v/>
      </c>
      <c r="U104" s="43"/>
      <c r="V104" s="43" t="str">
        <f>G!BC78</f>
        <v/>
      </c>
      <c r="W104" s="43" t="str">
        <f>G!BB78</f>
        <v>--</v>
      </c>
      <c r="X104" s="43"/>
      <c r="Y104" s="42" t="str">
        <f>G!BE78</f>
        <v/>
      </c>
      <c r="Z104" s="43" t="str">
        <f>G!BD78</f>
        <v>--</v>
      </c>
      <c r="AA104" s="42" t="str">
        <f>G!BF78</f>
        <v/>
      </c>
      <c r="AB104" s="42" t="str">
        <f>G!BG78</f>
        <v/>
      </c>
      <c r="AC104" s="43" t="str">
        <f>IFERROR(IF(OR(Z104="--",Z104="rg",VLOOKUP(F!$B78,E!$B$1:'E'!$AK$300,12,FALSE)=1000000000,AA104="-",AA104=""),"",(HLOOKUP(SMALL(G!$Q$4:'G'!$Y$4,7),G!$Q$4:'G'!$Y$501,ROW(G!AI78)-3,FALSE))/VLOOKUP(F!$B78,E!$B$1:'E'!$AK$300,12,FALSE)*100),"")</f>
        <v/>
      </c>
      <c r="AD104" s="43"/>
      <c r="AE104" s="34"/>
      <c r="AF104" s="34"/>
      <c r="AH104" s="72">
        <f t="shared" si="2"/>
        <v>1</v>
      </c>
      <c r="AJ104" s="34"/>
      <c r="AK104" s="34"/>
    </row>
    <row r="105" spans="1:37" s="72" customFormat="1" ht="9" hidden="1" customHeight="1" x14ac:dyDescent="0.15">
      <c r="A105" s="195" t="str">
        <f>F!A79</f>
        <v>Dichloorpropanen (som)</v>
      </c>
      <c r="B105" s="195"/>
      <c r="C105" s="195"/>
      <c r="D105" s="44" t="str">
        <f>G!AQ79</f>
        <v/>
      </c>
      <c r="E105" s="43" t="str">
        <f>G!AP79</f>
        <v>--</v>
      </c>
      <c r="F105" s="42"/>
      <c r="G105" s="42" t="str">
        <f>G!AS79</f>
        <v/>
      </c>
      <c r="H105" s="43" t="str">
        <f>G!AR79</f>
        <v>--</v>
      </c>
      <c r="I105" s="42" t="str">
        <f>G!AT79</f>
        <v/>
      </c>
      <c r="J105" s="42" t="str">
        <f>G!AU79</f>
        <v/>
      </c>
      <c r="K105" s="43" t="str">
        <f>IFERROR(IF(OR(H105="--",H105="rg",VLOOKUP(F!$B79,E!$B$1:'E'!$AK$300,12,FALSE)=1000000000,I105="-",I105=""),"",(HLOOKUP(SMALL(G!$Q$4:'G'!$Y$4,1),G!$Q$4:'G'!$Y$501,ROW(G!Q79)-3,FALSE))/VLOOKUP(F!$B79,E!$B$1:'E'!$AK$300,12,FALSE)*100),"")</f>
        <v/>
      </c>
      <c r="L105" s="43"/>
      <c r="M105" s="43" t="str">
        <f>G!AW79</f>
        <v/>
      </c>
      <c r="N105" s="43" t="str">
        <f>G!AV79</f>
        <v>--</v>
      </c>
      <c r="O105" s="42"/>
      <c r="P105" s="42" t="str">
        <f>G!AY79</f>
        <v/>
      </c>
      <c r="Q105" s="43" t="str">
        <f>G!AX79</f>
        <v>--</v>
      </c>
      <c r="R105" s="42" t="str">
        <f>G!AZ79</f>
        <v/>
      </c>
      <c r="S105" s="42" t="str">
        <f>G!BA79</f>
        <v/>
      </c>
      <c r="T105" s="43" t="str">
        <f>IFERROR(IF(OR(Q105="--",Q105="rg",VLOOKUP(F!$B79,E!$B$1:'E'!$AK$300,12,FALSE)=1000000000,R105="-",R105=""),"",(HLOOKUP(SMALL(G!$Q$4:'G'!$Y$4,4),G!$Q$4:'G'!$Y$501,ROW(G!Z79)-3,FALSE))/VLOOKUP(F!$B79,E!$B$1:'E'!$AK$300,12,FALSE)*100),"")</f>
        <v/>
      </c>
      <c r="U105" s="43"/>
      <c r="V105" s="43" t="str">
        <f>G!BC79</f>
        <v/>
      </c>
      <c r="W105" s="43" t="str">
        <f>G!BB79</f>
        <v>--</v>
      </c>
      <c r="X105" s="43"/>
      <c r="Y105" s="42" t="str">
        <f>G!BE79</f>
        <v/>
      </c>
      <c r="Z105" s="43" t="str">
        <f>G!BD79</f>
        <v>--</v>
      </c>
      <c r="AA105" s="42" t="str">
        <f>G!BF79</f>
        <v/>
      </c>
      <c r="AB105" s="42" t="str">
        <f>G!BG79</f>
        <v/>
      </c>
      <c r="AC105" s="43" t="str">
        <f>IFERROR(IF(OR(Z105="--",Z105="rg",VLOOKUP(F!$B79,E!$B$1:'E'!$AK$300,12,FALSE)=1000000000,AA105="-",AA105=""),"",(HLOOKUP(SMALL(G!$Q$4:'G'!$Y$4,7),G!$Q$4:'G'!$Y$501,ROW(G!AI79)-3,FALSE))/VLOOKUP(F!$B79,E!$B$1:'E'!$AK$300,12,FALSE)*100),"")</f>
        <v/>
      </c>
      <c r="AD105" s="43"/>
      <c r="AE105" s="34"/>
      <c r="AF105" s="34"/>
      <c r="AH105" s="72">
        <f t="shared" si="2"/>
        <v>1</v>
      </c>
      <c r="AJ105" s="34"/>
      <c r="AK105" s="34"/>
    </row>
    <row r="106" spans="1:37" s="72" customFormat="1" ht="9" hidden="1" customHeight="1" x14ac:dyDescent="0.15">
      <c r="A106" s="195" t="str">
        <f>F!A80</f>
        <v>1,2,3-Trichloorpropaan</v>
      </c>
      <c r="B106" s="195"/>
      <c r="C106" s="195"/>
      <c r="D106" s="44" t="str">
        <f>G!AQ80</f>
        <v/>
      </c>
      <c r="E106" s="43" t="str">
        <f>G!AP80</f>
        <v>--</v>
      </c>
      <c r="F106" s="42"/>
      <c r="G106" s="42" t="str">
        <f>G!AS80</f>
        <v/>
      </c>
      <c r="H106" s="43" t="str">
        <f>G!AR80</f>
        <v>--</v>
      </c>
      <c r="I106" s="42" t="str">
        <f>G!AT80</f>
        <v/>
      </c>
      <c r="J106" s="42" t="str">
        <f>G!AU80</f>
        <v/>
      </c>
      <c r="K106" s="43" t="str">
        <f>IFERROR(IF(OR(H106="--",H106="rg",VLOOKUP(F!$B80,E!$B$1:'E'!$AK$300,12,FALSE)=1000000000,I106="-",I106=""),"",(HLOOKUP(SMALL(G!$Q$4:'G'!$Y$4,1),G!$Q$4:'G'!$Y$501,ROW(G!Q80)-3,FALSE))/VLOOKUP(F!$B80,E!$B$1:'E'!$AK$300,12,FALSE)*100),"")</f>
        <v/>
      </c>
      <c r="L106" s="43"/>
      <c r="M106" s="43" t="str">
        <f>G!AW80</f>
        <v/>
      </c>
      <c r="N106" s="43" t="str">
        <f>G!AV80</f>
        <v>--</v>
      </c>
      <c r="O106" s="42"/>
      <c r="P106" s="42" t="str">
        <f>G!AY80</f>
        <v/>
      </c>
      <c r="Q106" s="43" t="str">
        <f>G!AX80</f>
        <v>--</v>
      </c>
      <c r="R106" s="42" t="str">
        <f>G!AZ80</f>
        <v/>
      </c>
      <c r="S106" s="42" t="str">
        <f>G!BA80</f>
        <v/>
      </c>
      <c r="T106" s="43" t="str">
        <f>IFERROR(IF(OR(Q106="--",Q106="rg",VLOOKUP(F!$B80,E!$B$1:'E'!$AK$300,12,FALSE)=1000000000,R106="-",R106=""),"",(HLOOKUP(SMALL(G!$Q$4:'G'!$Y$4,4),G!$Q$4:'G'!$Y$501,ROW(G!Z80)-3,FALSE))/VLOOKUP(F!$B80,E!$B$1:'E'!$AK$300,12,FALSE)*100),"")</f>
        <v/>
      </c>
      <c r="U106" s="43"/>
      <c r="V106" s="43" t="str">
        <f>G!BC80</f>
        <v/>
      </c>
      <c r="W106" s="43" t="str">
        <f>G!BB80</f>
        <v>--</v>
      </c>
      <c r="X106" s="43"/>
      <c r="Y106" s="42" t="str">
        <f>G!BE80</f>
        <v/>
      </c>
      <c r="Z106" s="43" t="str">
        <f>G!BD80</f>
        <v>--</v>
      </c>
      <c r="AA106" s="42" t="str">
        <f>G!BF80</f>
        <v/>
      </c>
      <c r="AB106" s="42" t="str">
        <f>G!BG80</f>
        <v/>
      </c>
      <c r="AC106" s="43" t="str">
        <f>IFERROR(IF(OR(Z106="--",Z106="rg",VLOOKUP(F!$B80,E!$B$1:'E'!$AK$300,12,FALSE)=1000000000,AA106="-",AA106=""),"",(HLOOKUP(SMALL(G!$Q$4:'G'!$Y$4,7),G!$Q$4:'G'!$Y$501,ROW(G!AI80)-3,FALSE))/VLOOKUP(F!$B80,E!$B$1:'E'!$AK$300,12,FALSE)*100),"")</f>
        <v/>
      </c>
      <c r="AD106" s="43"/>
      <c r="AE106" s="34"/>
      <c r="AF106" s="34"/>
      <c r="AH106" s="72">
        <f t="shared" si="2"/>
        <v>1</v>
      </c>
      <c r="AJ106" s="34"/>
      <c r="AK106" s="34"/>
    </row>
    <row r="107" spans="1:37" s="72" customFormat="1" ht="9" hidden="1" customHeight="1" x14ac:dyDescent="0.15">
      <c r="A107" s="195" t="str">
        <f>F!A81</f>
        <v>1,1-Dichloorpropeen</v>
      </c>
      <c r="B107" s="195"/>
      <c r="C107" s="195"/>
      <c r="D107" s="44" t="str">
        <f>G!AQ81</f>
        <v/>
      </c>
      <c r="E107" s="43" t="str">
        <f>G!AP81</f>
        <v>--</v>
      </c>
      <c r="F107" s="42"/>
      <c r="G107" s="42" t="str">
        <f>G!AS81</f>
        <v/>
      </c>
      <c r="H107" s="43" t="str">
        <f>G!AR81</f>
        <v>--</v>
      </c>
      <c r="I107" s="42" t="str">
        <f>G!AT81</f>
        <v/>
      </c>
      <c r="J107" s="42" t="str">
        <f>G!AU81</f>
        <v/>
      </c>
      <c r="K107" s="43" t="str">
        <f>IFERROR(IF(OR(H107="--",H107="rg",VLOOKUP(F!$B81,E!$B$1:'E'!$AK$300,12,FALSE)=1000000000,I107="-",I107=""),"",(HLOOKUP(SMALL(G!$Q$4:'G'!$Y$4,1),G!$Q$4:'G'!$Y$501,ROW(G!Q81)-3,FALSE))/VLOOKUP(F!$B81,E!$B$1:'E'!$AK$300,12,FALSE)*100),"")</f>
        <v/>
      </c>
      <c r="L107" s="43"/>
      <c r="M107" s="43" t="str">
        <f>G!AW81</f>
        <v/>
      </c>
      <c r="N107" s="43" t="str">
        <f>G!AV81</f>
        <v>--</v>
      </c>
      <c r="O107" s="42"/>
      <c r="P107" s="42" t="str">
        <f>G!AY81</f>
        <v/>
      </c>
      <c r="Q107" s="43" t="str">
        <f>G!AX81</f>
        <v>--</v>
      </c>
      <c r="R107" s="42" t="str">
        <f>G!AZ81</f>
        <v/>
      </c>
      <c r="S107" s="42" t="str">
        <f>G!BA81</f>
        <v/>
      </c>
      <c r="T107" s="43" t="str">
        <f>IFERROR(IF(OR(Q107="--",Q107="rg",VLOOKUP(F!$B81,E!$B$1:'E'!$AK$300,12,FALSE)=1000000000,R107="-",R107=""),"",(HLOOKUP(SMALL(G!$Q$4:'G'!$Y$4,4),G!$Q$4:'G'!$Y$501,ROW(G!Z81)-3,FALSE))/VLOOKUP(F!$B81,E!$B$1:'E'!$AK$300,12,FALSE)*100),"")</f>
        <v/>
      </c>
      <c r="U107" s="43"/>
      <c r="V107" s="43" t="str">
        <f>G!BC81</f>
        <v/>
      </c>
      <c r="W107" s="43" t="str">
        <f>G!BB81</f>
        <v>--</v>
      </c>
      <c r="X107" s="43"/>
      <c r="Y107" s="42" t="str">
        <f>G!BE81</f>
        <v/>
      </c>
      <c r="Z107" s="43" t="str">
        <f>G!BD81</f>
        <v>--</v>
      </c>
      <c r="AA107" s="42" t="str">
        <f>G!BF81</f>
        <v/>
      </c>
      <c r="AB107" s="42" t="str">
        <f>G!BG81</f>
        <v/>
      </c>
      <c r="AC107" s="43" t="str">
        <f>IFERROR(IF(OR(Z107="--",Z107="rg",VLOOKUP(F!$B81,E!$B$1:'E'!$AK$300,12,FALSE)=1000000000,AA107="-",AA107=""),"",(HLOOKUP(SMALL(G!$Q$4:'G'!$Y$4,7),G!$Q$4:'G'!$Y$501,ROW(G!AI81)-3,FALSE))/VLOOKUP(F!$B81,E!$B$1:'E'!$AK$300,12,FALSE)*100),"")</f>
        <v/>
      </c>
      <c r="AD107" s="43"/>
      <c r="AE107" s="34"/>
      <c r="AF107" s="34"/>
      <c r="AH107" s="72">
        <f t="shared" si="2"/>
        <v>1</v>
      </c>
      <c r="AJ107" s="34"/>
      <c r="AK107" s="34"/>
    </row>
    <row r="108" spans="1:37" s="72" customFormat="1" ht="9" hidden="1" customHeight="1" x14ac:dyDescent="0.15">
      <c r="A108" s="195" t="str">
        <f>F!A82</f>
        <v>trans-1,3-Dichloorpropeen</v>
      </c>
      <c r="B108" s="195"/>
      <c r="C108" s="195"/>
      <c r="D108" s="44" t="str">
        <f>G!AQ82</f>
        <v/>
      </c>
      <c r="E108" s="43" t="str">
        <f>G!AP82</f>
        <v>--</v>
      </c>
      <c r="F108" s="42"/>
      <c r="G108" s="42" t="str">
        <f>G!AS82</f>
        <v/>
      </c>
      <c r="H108" s="43" t="str">
        <f>G!AR82</f>
        <v>--</v>
      </c>
      <c r="I108" s="42" t="str">
        <f>G!AT82</f>
        <v/>
      </c>
      <c r="J108" s="42" t="str">
        <f>G!AU82</f>
        <v/>
      </c>
      <c r="K108" s="43" t="str">
        <f>IFERROR(IF(OR(H108="--",H108="rg",VLOOKUP(F!$B82,E!$B$1:'E'!$AK$300,12,FALSE)=1000000000,I108="-",I108=""),"",(HLOOKUP(SMALL(G!$Q$4:'G'!$Y$4,1),G!$Q$4:'G'!$Y$501,ROW(G!Q82)-3,FALSE))/VLOOKUP(F!$B82,E!$B$1:'E'!$AK$300,12,FALSE)*100),"")</f>
        <v/>
      </c>
      <c r="L108" s="43"/>
      <c r="M108" s="43" t="str">
        <f>G!AW82</f>
        <v/>
      </c>
      <c r="N108" s="43" t="str">
        <f>G!AV82</f>
        <v>--</v>
      </c>
      <c r="O108" s="42"/>
      <c r="P108" s="42" t="str">
        <f>G!AY82</f>
        <v/>
      </c>
      <c r="Q108" s="43" t="str">
        <f>G!AX82</f>
        <v>--</v>
      </c>
      <c r="R108" s="42" t="str">
        <f>G!AZ82</f>
        <v/>
      </c>
      <c r="S108" s="42" t="str">
        <f>G!BA82</f>
        <v/>
      </c>
      <c r="T108" s="43" t="str">
        <f>IFERROR(IF(OR(Q108="--",Q108="rg",VLOOKUP(F!$B82,E!$B$1:'E'!$AK$300,12,FALSE)=1000000000,R108="-",R108=""),"",(HLOOKUP(SMALL(G!$Q$4:'G'!$Y$4,4),G!$Q$4:'G'!$Y$501,ROW(G!Z82)-3,FALSE))/VLOOKUP(F!$B82,E!$B$1:'E'!$AK$300,12,FALSE)*100),"")</f>
        <v/>
      </c>
      <c r="U108" s="43"/>
      <c r="V108" s="43" t="str">
        <f>G!BC82</f>
        <v/>
      </c>
      <c r="W108" s="43" t="str">
        <f>G!BB82</f>
        <v>--</v>
      </c>
      <c r="X108" s="43"/>
      <c r="Y108" s="42" t="str">
        <f>G!BE82</f>
        <v/>
      </c>
      <c r="Z108" s="43" t="str">
        <f>G!BD82</f>
        <v>--</v>
      </c>
      <c r="AA108" s="42" t="str">
        <f>G!BF82</f>
        <v/>
      </c>
      <c r="AB108" s="42" t="str">
        <f>G!BG82</f>
        <v/>
      </c>
      <c r="AC108" s="43" t="str">
        <f>IFERROR(IF(OR(Z108="--",Z108="rg",VLOOKUP(F!$B82,E!$B$1:'E'!$AK$300,12,FALSE)=1000000000,AA108="-",AA108=""),"",(HLOOKUP(SMALL(G!$Q$4:'G'!$Y$4,7),G!$Q$4:'G'!$Y$501,ROW(G!AI82)-3,FALSE))/VLOOKUP(F!$B82,E!$B$1:'E'!$AK$300,12,FALSE)*100),"")</f>
        <v/>
      </c>
      <c r="AD108" s="43"/>
      <c r="AE108" s="34"/>
      <c r="AF108" s="34"/>
      <c r="AH108" s="72">
        <f t="shared" si="2"/>
        <v>1</v>
      </c>
      <c r="AJ108" s="34"/>
      <c r="AK108" s="34"/>
    </row>
    <row r="109" spans="1:37" s="72" customFormat="1" ht="9" hidden="1" customHeight="1" x14ac:dyDescent="0.15">
      <c r="A109" s="195" t="str">
        <f>F!A83</f>
        <v>cis-1,3-Dichloorpropeen</v>
      </c>
      <c r="B109" s="195"/>
      <c r="C109" s="195"/>
      <c r="D109" s="44" t="str">
        <f>G!AQ83</f>
        <v/>
      </c>
      <c r="E109" s="43" t="str">
        <f>G!AP83</f>
        <v>--</v>
      </c>
      <c r="F109" s="42"/>
      <c r="G109" s="42" t="str">
        <f>G!AS83</f>
        <v/>
      </c>
      <c r="H109" s="43" t="str">
        <f>G!AR83</f>
        <v>--</v>
      </c>
      <c r="I109" s="42" t="str">
        <f>G!AT83</f>
        <v/>
      </c>
      <c r="J109" s="42" t="str">
        <f>G!AU83</f>
        <v/>
      </c>
      <c r="K109" s="43" t="str">
        <f>IFERROR(IF(OR(H109="--",H109="rg",VLOOKUP(F!$B83,E!$B$1:'E'!$AK$300,12,FALSE)=1000000000,I109="-",I109=""),"",(HLOOKUP(SMALL(G!$Q$4:'G'!$Y$4,1),G!$Q$4:'G'!$Y$501,ROW(G!Q83)-3,FALSE))/VLOOKUP(F!$B83,E!$B$1:'E'!$AK$300,12,FALSE)*100),"")</f>
        <v/>
      </c>
      <c r="L109" s="43"/>
      <c r="M109" s="43" t="str">
        <f>G!AW83</f>
        <v/>
      </c>
      <c r="N109" s="43" t="str">
        <f>G!AV83</f>
        <v>--</v>
      </c>
      <c r="O109" s="42"/>
      <c r="P109" s="42" t="str">
        <f>G!AY83</f>
        <v/>
      </c>
      <c r="Q109" s="43" t="str">
        <f>G!AX83</f>
        <v>--</v>
      </c>
      <c r="R109" s="42" t="str">
        <f>G!AZ83</f>
        <v/>
      </c>
      <c r="S109" s="42" t="str">
        <f>G!BA83</f>
        <v/>
      </c>
      <c r="T109" s="43" t="str">
        <f>IFERROR(IF(OR(Q109="--",Q109="rg",VLOOKUP(F!$B83,E!$B$1:'E'!$AK$300,12,FALSE)=1000000000,R109="-",R109=""),"",(HLOOKUP(SMALL(G!$Q$4:'G'!$Y$4,4),G!$Q$4:'G'!$Y$501,ROW(G!Z83)-3,FALSE))/VLOOKUP(F!$B83,E!$B$1:'E'!$AK$300,12,FALSE)*100),"")</f>
        <v/>
      </c>
      <c r="U109" s="43"/>
      <c r="V109" s="43" t="str">
        <f>G!BC83</f>
        <v/>
      </c>
      <c r="W109" s="43" t="str">
        <f>G!BB83</f>
        <v>--</v>
      </c>
      <c r="X109" s="43"/>
      <c r="Y109" s="42" t="str">
        <f>G!BE83</f>
        <v/>
      </c>
      <c r="Z109" s="43" t="str">
        <f>G!BD83</f>
        <v>--</v>
      </c>
      <c r="AA109" s="42" t="str">
        <f>G!BF83</f>
        <v/>
      </c>
      <c r="AB109" s="42" t="str">
        <f>G!BG83</f>
        <v/>
      </c>
      <c r="AC109" s="43" t="str">
        <f>IFERROR(IF(OR(Z109="--",Z109="rg",VLOOKUP(F!$B83,E!$B$1:'E'!$AK$300,12,FALSE)=1000000000,AA109="-",AA109=""),"",(HLOOKUP(SMALL(G!$Q$4:'G'!$Y$4,7),G!$Q$4:'G'!$Y$501,ROW(G!AI83)-3,FALSE))/VLOOKUP(F!$B83,E!$B$1:'E'!$AK$300,12,FALSE)*100),"")</f>
        <v/>
      </c>
      <c r="AD109" s="43"/>
      <c r="AE109" s="34"/>
      <c r="AF109" s="34"/>
      <c r="AH109" s="72">
        <f t="shared" si="2"/>
        <v>1</v>
      </c>
      <c r="AJ109" s="34"/>
      <c r="AK109" s="34"/>
    </row>
    <row r="110" spans="1:37" s="72" customFormat="1" ht="9" hidden="1" customHeight="1" x14ac:dyDescent="0.15">
      <c r="A110" s="195" t="str">
        <f>F!A84</f>
        <v>1,3-Dichloorpropeen</v>
      </c>
      <c r="B110" s="195"/>
      <c r="C110" s="195"/>
      <c r="D110" s="44" t="str">
        <f>G!AQ84</f>
        <v/>
      </c>
      <c r="E110" s="43" t="str">
        <f>G!AP84</f>
        <v>--</v>
      </c>
      <c r="F110" s="42"/>
      <c r="G110" s="42" t="str">
        <f>G!AS84</f>
        <v/>
      </c>
      <c r="H110" s="43" t="str">
        <f>G!AR84</f>
        <v>--</v>
      </c>
      <c r="I110" s="42" t="str">
        <f>G!AT84</f>
        <v/>
      </c>
      <c r="J110" s="42" t="str">
        <f>G!AU84</f>
        <v/>
      </c>
      <c r="K110" s="43" t="str">
        <f>IFERROR(IF(OR(H110="--",H110="rg",VLOOKUP(F!$B84,E!$B$1:'E'!$AK$300,12,FALSE)=1000000000,I110="-",I110=""),"",(HLOOKUP(SMALL(G!$Q$4:'G'!$Y$4,1),G!$Q$4:'G'!$Y$501,ROW(G!Q84)-3,FALSE))/VLOOKUP(F!$B84,E!$B$1:'E'!$AK$300,12,FALSE)*100),"")</f>
        <v/>
      </c>
      <c r="L110" s="43"/>
      <c r="M110" s="43" t="str">
        <f>G!AW84</f>
        <v/>
      </c>
      <c r="N110" s="43" t="str">
        <f>G!AV84</f>
        <v>--</v>
      </c>
      <c r="O110" s="42"/>
      <c r="P110" s="42" t="str">
        <f>G!AY84</f>
        <v/>
      </c>
      <c r="Q110" s="43" t="str">
        <f>G!AX84</f>
        <v>--</v>
      </c>
      <c r="R110" s="42" t="str">
        <f>G!AZ84</f>
        <v/>
      </c>
      <c r="S110" s="42" t="str">
        <f>G!BA84</f>
        <v/>
      </c>
      <c r="T110" s="43" t="str">
        <f>IFERROR(IF(OR(Q110="--",Q110="rg",VLOOKUP(F!$B84,E!$B$1:'E'!$AK$300,12,FALSE)=1000000000,R110="-",R110=""),"",(HLOOKUP(SMALL(G!$Q$4:'G'!$Y$4,4),G!$Q$4:'G'!$Y$501,ROW(G!Z84)-3,FALSE))/VLOOKUP(F!$B84,E!$B$1:'E'!$AK$300,12,FALSE)*100),"")</f>
        <v/>
      </c>
      <c r="U110" s="43"/>
      <c r="V110" s="43" t="str">
        <f>G!BC84</f>
        <v/>
      </c>
      <c r="W110" s="43" t="str">
        <f>G!BB84</f>
        <v>--</v>
      </c>
      <c r="X110" s="43"/>
      <c r="Y110" s="42" t="str">
        <f>G!BE84</f>
        <v/>
      </c>
      <c r="Z110" s="43" t="str">
        <f>G!BD84</f>
        <v>--</v>
      </c>
      <c r="AA110" s="42" t="str">
        <f>G!BF84</f>
        <v/>
      </c>
      <c r="AB110" s="42" t="str">
        <f>G!BG84</f>
        <v/>
      </c>
      <c r="AC110" s="43" t="str">
        <f>IFERROR(IF(OR(Z110="--",Z110="rg",VLOOKUP(F!$B84,E!$B$1:'E'!$AK$300,12,FALSE)=1000000000,AA110="-",AA110=""),"",(HLOOKUP(SMALL(G!$Q$4:'G'!$Y$4,7),G!$Q$4:'G'!$Y$501,ROW(G!AI84)-3,FALSE))/VLOOKUP(F!$B84,E!$B$1:'E'!$AK$300,12,FALSE)*100),"")</f>
        <v/>
      </c>
      <c r="AD110" s="43"/>
      <c r="AE110" s="34"/>
      <c r="AF110" s="34"/>
      <c r="AH110" s="72">
        <f t="shared" si="2"/>
        <v>1</v>
      </c>
      <c r="AJ110" s="34"/>
      <c r="AK110" s="34"/>
    </row>
    <row r="111" spans="1:37" s="72" customFormat="1" ht="9" hidden="1" customHeight="1" x14ac:dyDescent="0.15">
      <c r="A111" s="195" t="str">
        <f>F!A85</f>
        <v>1,2-Dibroom-3-chloorpropaan</v>
      </c>
      <c r="B111" s="195"/>
      <c r="C111" s="195"/>
      <c r="D111" s="44" t="str">
        <f>G!AQ85</f>
        <v/>
      </c>
      <c r="E111" s="43" t="str">
        <f>G!AP85</f>
        <v>--</v>
      </c>
      <c r="F111" s="42"/>
      <c r="G111" s="42" t="str">
        <f>G!AS85</f>
        <v/>
      </c>
      <c r="H111" s="43" t="str">
        <f>G!AR85</f>
        <v>--</v>
      </c>
      <c r="I111" s="42" t="str">
        <f>G!AT85</f>
        <v/>
      </c>
      <c r="J111" s="42" t="str">
        <f>G!AU85</f>
        <v/>
      </c>
      <c r="K111" s="43" t="str">
        <f>IFERROR(IF(OR(H111="--",H111="rg",VLOOKUP(F!$B85,E!$B$1:'E'!$AK$300,12,FALSE)=1000000000,I111="-",I111=""),"",(HLOOKUP(SMALL(G!$Q$4:'G'!$Y$4,1),G!$Q$4:'G'!$Y$501,ROW(G!Q85)-3,FALSE))/VLOOKUP(F!$B85,E!$B$1:'E'!$AK$300,12,FALSE)*100),"")</f>
        <v/>
      </c>
      <c r="L111" s="43"/>
      <c r="M111" s="43" t="str">
        <f>G!AW85</f>
        <v/>
      </c>
      <c r="N111" s="43" t="str">
        <f>G!AV85</f>
        <v>--</v>
      </c>
      <c r="O111" s="42"/>
      <c r="P111" s="42" t="str">
        <f>G!AY85</f>
        <v/>
      </c>
      <c r="Q111" s="43" t="str">
        <f>G!AX85</f>
        <v>--</v>
      </c>
      <c r="R111" s="42" t="str">
        <f>G!AZ85</f>
        <v/>
      </c>
      <c r="S111" s="42" t="str">
        <f>G!BA85</f>
        <v/>
      </c>
      <c r="T111" s="43" t="str">
        <f>IFERROR(IF(OR(Q111="--",Q111="rg",VLOOKUP(F!$B85,E!$B$1:'E'!$AK$300,12,FALSE)=1000000000,R111="-",R111=""),"",(HLOOKUP(SMALL(G!$Q$4:'G'!$Y$4,4),G!$Q$4:'G'!$Y$501,ROW(G!Z85)-3,FALSE))/VLOOKUP(F!$B85,E!$B$1:'E'!$AK$300,12,FALSE)*100),"")</f>
        <v/>
      </c>
      <c r="U111" s="43"/>
      <c r="V111" s="43" t="str">
        <f>G!BC85</f>
        <v/>
      </c>
      <c r="W111" s="43" t="str">
        <f>G!BB85</f>
        <v>--</v>
      </c>
      <c r="X111" s="43"/>
      <c r="Y111" s="42" t="str">
        <f>G!BE85</f>
        <v/>
      </c>
      <c r="Z111" s="43" t="str">
        <f>G!BD85</f>
        <v>--</v>
      </c>
      <c r="AA111" s="42" t="str">
        <f>G!BF85</f>
        <v/>
      </c>
      <c r="AB111" s="42" t="str">
        <f>G!BG85</f>
        <v/>
      </c>
      <c r="AC111" s="43" t="str">
        <f>IFERROR(IF(OR(Z111="--",Z111="rg",VLOOKUP(F!$B85,E!$B$1:'E'!$AK$300,12,FALSE)=1000000000,AA111="-",AA111=""),"",(HLOOKUP(SMALL(G!$Q$4:'G'!$Y$4,7),G!$Q$4:'G'!$Y$501,ROW(G!AI85)-3,FALSE))/VLOOKUP(F!$B85,E!$B$1:'E'!$AK$300,12,FALSE)*100),"")</f>
        <v/>
      </c>
      <c r="AD111" s="43"/>
      <c r="AE111" s="34"/>
      <c r="AF111" s="34"/>
      <c r="AH111" s="72">
        <f t="shared" si="2"/>
        <v>1</v>
      </c>
      <c r="AJ111" s="34"/>
      <c r="AK111" s="34"/>
    </row>
    <row r="112" spans="1:37" s="72" customFormat="1" ht="9" hidden="1" customHeight="1" x14ac:dyDescent="0.15">
      <c r="A112" s="195" t="str">
        <f>F!A86</f>
        <v>Trichloormethaan (chloroform)</v>
      </c>
      <c r="B112" s="195"/>
      <c r="C112" s="195"/>
      <c r="D112" s="44" t="str">
        <f>G!AQ86</f>
        <v/>
      </c>
      <c r="E112" s="43" t="str">
        <f>G!AP86</f>
        <v>--</v>
      </c>
      <c r="F112" s="42"/>
      <c r="G112" s="42" t="str">
        <f>G!AS86</f>
        <v/>
      </c>
      <c r="H112" s="43" t="str">
        <f>G!AR86</f>
        <v>--</v>
      </c>
      <c r="I112" s="42" t="str">
        <f>G!AT86</f>
        <v/>
      </c>
      <c r="J112" s="42" t="str">
        <f>G!AU86</f>
        <v/>
      </c>
      <c r="K112" s="43" t="str">
        <f>IFERROR(IF(OR(H112="--",H112="rg",VLOOKUP(F!$B86,E!$B$1:'E'!$AK$300,12,FALSE)=1000000000,I112="-",I112=""),"",(HLOOKUP(SMALL(G!$Q$4:'G'!$Y$4,1),G!$Q$4:'G'!$Y$501,ROW(G!Q86)-3,FALSE))/VLOOKUP(F!$B86,E!$B$1:'E'!$AK$300,12,FALSE)*100),"")</f>
        <v/>
      </c>
      <c r="L112" s="43"/>
      <c r="M112" s="43" t="str">
        <f>G!AW86</f>
        <v/>
      </c>
      <c r="N112" s="43" t="str">
        <f>G!AV86</f>
        <v>--</v>
      </c>
      <c r="O112" s="42"/>
      <c r="P112" s="42" t="str">
        <f>G!AY86</f>
        <v/>
      </c>
      <c r="Q112" s="43" t="str">
        <f>G!AX86</f>
        <v>--</v>
      </c>
      <c r="R112" s="42" t="str">
        <f>G!AZ86</f>
        <v/>
      </c>
      <c r="S112" s="42" t="str">
        <f>G!BA86</f>
        <v/>
      </c>
      <c r="T112" s="43" t="str">
        <f>IFERROR(IF(OR(Q112="--",Q112="rg",VLOOKUP(F!$B86,E!$B$1:'E'!$AK$300,12,FALSE)=1000000000,R112="-",R112=""),"",(HLOOKUP(SMALL(G!$Q$4:'G'!$Y$4,4),G!$Q$4:'G'!$Y$501,ROW(G!Z86)-3,FALSE))/VLOOKUP(F!$B86,E!$B$1:'E'!$AK$300,12,FALSE)*100),"")</f>
        <v/>
      </c>
      <c r="U112" s="43"/>
      <c r="V112" s="43" t="str">
        <f>G!BC86</f>
        <v/>
      </c>
      <c r="W112" s="43" t="str">
        <f>G!BB86</f>
        <v>--</v>
      </c>
      <c r="X112" s="43"/>
      <c r="Y112" s="42" t="str">
        <f>G!BE86</f>
        <v/>
      </c>
      <c r="Z112" s="43" t="str">
        <f>G!BD86</f>
        <v>--</v>
      </c>
      <c r="AA112" s="42" t="str">
        <f>G!BF86</f>
        <v/>
      </c>
      <c r="AB112" s="42" t="str">
        <f>G!BG86</f>
        <v/>
      </c>
      <c r="AC112" s="43" t="str">
        <f>IFERROR(IF(OR(Z112="--",Z112="rg",VLOOKUP(F!$B86,E!$B$1:'E'!$AK$300,12,FALSE)=1000000000,AA112="-",AA112=""),"",(HLOOKUP(SMALL(G!$Q$4:'G'!$Y$4,7),G!$Q$4:'G'!$Y$501,ROW(G!AI86)-3,FALSE))/VLOOKUP(F!$B86,E!$B$1:'E'!$AK$300,12,FALSE)*100),"")</f>
        <v/>
      </c>
      <c r="AD112" s="43"/>
      <c r="AE112" s="34"/>
      <c r="AF112" s="34"/>
      <c r="AH112" s="72">
        <f t="shared" si="2"/>
        <v>1</v>
      </c>
      <c r="AJ112" s="34"/>
      <c r="AK112" s="34"/>
    </row>
    <row r="113" spans="1:37" s="72" customFormat="1" ht="9" hidden="1" customHeight="1" x14ac:dyDescent="0.15">
      <c r="A113" s="195" t="str">
        <f>F!A87</f>
        <v>1,1,1-Trichloorethaan</v>
      </c>
      <c r="B113" s="195"/>
      <c r="C113" s="195"/>
      <c r="D113" s="44" t="str">
        <f>G!AQ87</f>
        <v/>
      </c>
      <c r="E113" s="43" t="str">
        <f>G!AP87</f>
        <v>--</v>
      </c>
      <c r="F113" s="42"/>
      <c r="G113" s="42" t="str">
        <f>G!AS87</f>
        <v/>
      </c>
      <c r="H113" s="43" t="str">
        <f>G!AR87</f>
        <v>--</v>
      </c>
      <c r="I113" s="42" t="str">
        <f>G!AT87</f>
        <v/>
      </c>
      <c r="J113" s="42" t="str">
        <f>G!AU87</f>
        <v/>
      </c>
      <c r="K113" s="43" t="str">
        <f>IFERROR(IF(OR(H113="--",H113="rg",VLOOKUP(F!$B87,E!$B$1:'E'!$AK$300,12,FALSE)=1000000000,I113="-",I113=""),"",(HLOOKUP(SMALL(G!$Q$4:'G'!$Y$4,1),G!$Q$4:'G'!$Y$501,ROW(G!Q87)-3,FALSE))/VLOOKUP(F!$B87,E!$B$1:'E'!$AK$300,12,FALSE)*100),"")</f>
        <v/>
      </c>
      <c r="L113" s="43"/>
      <c r="M113" s="43" t="str">
        <f>G!AW87</f>
        <v/>
      </c>
      <c r="N113" s="43" t="str">
        <f>G!AV87</f>
        <v>--</v>
      </c>
      <c r="O113" s="42"/>
      <c r="P113" s="42" t="str">
        <f>G!AY87</f>
        <v/>
      </c>
      <c r="Q113" s="43" t="str">
        <f>G!AX87</f>
        <v>--</v>
      </c>
      <c r="R113" s="42" t="str">
        <f>G!AZ87</f>
        <v/>
      </c>
      <c r="S113" s="42" t="str">
        <f>G!BA87</f>
        <v/>
      </c>
      <c r="T113" s="43" t="str">
        <f>IFERROR(IF(OR(Q113="--",Q113="rg",VLOOKUP(F!$B87,E!$B$1:'E'!$AK$300,12,FALSE)=1000000000,R113="-",R113=""),"",(HLOOKUP(SMALL(G!$Q$4:'G'!$Y$4,4),G!$Q$4:'G'!$Y$501,ROW(G!Z87)-3,FALSE))/VLOOKUP(F!$B87,E!$B$1:'E'!$AK$300,12,FALSE)*100),"")</f>
        <v/>
      </c>
      <c r="U113" s="43"/>
      <c r="V113" s="43" t="str">
        <f>G!BC87</f>
        <v/>
      </c>
      <c r="W113" s="43" t="str">
        <f>G!BB87</f>
        <v>--</v>
      </c>
      <c r="X113" s="43"/>
      <c r="Y113" s="42" t="str">
        <f>G!BE87</f>
        <v/>
      </c>
      <c r="Z113" s="43" t="str">
        <f>G!BD87</f>
        <v>--</v>
      </c>
      <c r="AA113" s="42" t="str">
        <f>G!BF87</f>
        <v/>
      </c>
      <c r="AB113" s="42" t="str">
        <f>G!BG87</f>
        <v/>
      </c>
      <c r="AC113" s="43" t="str">
        <f>IFERROR(IF(OR(Z113="--",Z113="rg",VLOOKUP(F!$B87,E!$B$1:'E'!$AK$300,12,FALSE)=1000000000,AA113="-",AA113=""),"",(HLOOKUP(SMALL(G!$Q$4:'G'!$Y$4,7),G!$Q$4:'G'!$Y$501,ROW(G!AI87)-3,FALSE))/VLOOKUP(F!$B87,E!$B$1:'E'!$AK$300,12,FALSE)*100),"")</f>
        <v/>
      </c>
      <c r="AD113" s="43"/>
      <c r="AE113" s="34"/>
      <c r="AF113" s="34"/>
      <c r="AH113" s="72">
        <f t="shared" si="2"/>
        <v>1</v>
      </c>
      <c r="AJ113" s="34"/>
      <c r="AK113" s="34"/>
    </row>
    <row r="114" spans="1:37" s="72" customFormat="1" ht="9" hidden="1" customHeight="1" x14ac:dyDescent="0.15">
      <c r="A114" s="195" t="str">
        <f>F!A88</f>
        <v>1,1,2-Trichloorethaan</v>
      </c>
      <c r="B114" s="195"/>
      <c r="C114" s="195"/>
      <c r="D114" s="44" t="str">
        <f>G!AQ88</f>
        <v/>
      </c>
      <c r="E114" s="43" t="str">
        <f>G!AP88</f>
        <v>--</v>
      </c>
      <c r="F114" s="42"/>
      <c r="G114" s="42" t="str">
        <f>G!AS88</f>
        <v/>
      </c>
      <c r="H114" s="43" t="str">
        <f>G!AR88</f>
        <v>--</v>
      </c>
      <c r="I114" s="42" t="str">
        <f>G!AT88</f>
        <v/>
      </c>
      <c r="J114" s="42" t="str">
        <f>G!AU88</f>
        <v/>
      </c>
      <c r="K114" s="43" t="str">
        <f>IFERROR(IF(OR(H114="--",H114="rg",VLOOKUP(F!$B88,E!$B$1:'E'!$AK$300,12,FALSE)=1000000000,I114="-",I114=""),"",(HLOOKUP(SMALL(G!$Q$4:'G'!$Y$4,1),G!$Q$4:'G'!$Y$501,ROW(G!Q88)-3,FALSE))/VLOOKUP(F!$B88,E!$B$1:'E'!$AK$300,12,FALSE)*100),"")</f>
        <v/>
      </c>
      <c r="L114" s="43"/>
      <c r="M114" s="43" t="str">
        <f>G!AW88</f>
        <v/>
      </c>
      <c r="N114" s="43" t="str">
        <f>G!AV88</f>
        <v>--</v>
      </c>
      <c r="O114" s="42"/>
      <c r="P114" s="42" t="str">
        <f>G!AY88</f>
        <v/>
      </c>
      <c r="Q114" s="43" t="str">
        <f>G!AX88</f>
        <v>--</v>
      </c>
      <c r="R114" s="42" t="str">
        <f>G!AZ88</f>
        <v/>
      </c>
      <c r="S114" s="42" t="str">
        <f>G!BA88</f>
        <v/>
      </c>
      <c r="T114" s="43" t="str">
        <f>IFERROR(IF(OR(Q114="--",Q114="rg",VLOOKUP(F!$B88,E!$B$1:'E'!$AK$300,12,FALSE)=1000000000,R114="-",R114=""),"",(HLOOKUP(SMALL(G!$Q$4:'G'!$Y$4,4),G!$Q$4:'G'!$Y$501,ROW(G!Z88)-3,FALSE))/VLOOKUP(F!$B88,E!$B$1:'E'!$AK$300,12,FALSE)*100),"")</f>
        <v/>
      </c>
      <c r="U114" s="43"/>
      <c r="V114" s="43" t="str">
        <f>G!BC88</f>
        <v/>
      </c>
      <c r="W114" s="43" t="str">
        <f>G!BB88</f>
        <v>--</v>
      </c>
      <c r="X114" s="43"/>
      <c r="Y114" s="42" t="str">
        <f>G!BE88</f>
        <v/>
      </c>
      <c r="Z114" s="43" t="str">
        <f>G!BD88</f>
        <v>--</v>
      </c>
      <c r="AA114" s="42" t="str">
        <f>G!BF88</f>
        <v/>
      </c>
      <c r="AB114" s="42" t="str">
        <f>G!BG88</f>
        <v/>
      </c>
      <c r="AC114" s="43" t="str">
        <f>IFERROR(IF(OR(Z114="--",Z114="rg",VLOOKUP(F!$B88,E!$B$1:'E'!$AK$300,12,FALSE)=1000000000,AA114="-",AA114=""),"",(HLOOKUP(SMALL(G!$Q$4:'G'!$Y$4,7),G!$Q$4:'G'!$Y$501,ROW(G!AI88)-3,FALSE))/VLOOKUP(F!$B88,E!$B$1:'E'!$AK$300,12,FALSE)*100),"")</f>
        <v/>
      </c>
      <c r="AD114" s="43"/>
      <c r="AE114" s="34"/>
      <c r="AF114" s="34"/>
      <c r="AH114" s="72">
        <f t="shared" si="2"/>
        <v>1</v>
      </c>
      <c r="AJ114" s="34"/>
      <c r="AK114" s="34"/>
    </row>
    <row r="115" spans="1:37" s="72" customFormat="1" ht="9" hidden="1" customHeight="1" x14ac:dyDescent="0.15">
      <c r="A115" s="195" t="str">
        <f>F!A89</f>
        <v>Trichlooretheen (tri)</v>
      </c>
      <c r="B115" s="195"/>
      <c r="C115" s="195"/>
      <c r="D115" s="44" t="str">
        <f>G!AQ89</f>
        <v/>
      </c>
      <c r="E115" s="43" t="str">
        <f>G!AP89</f>
        <v>--</v>
      </c>
      <c r="F115" s="42"/>
      <c r="G115" s="42" t="str">
        <f>G!AS89</f>
        <v/>
      </c>
      <c r="H115" s="43" t="str">
        <f>G!AR89</f>
        <v>--</v>
      </c>
      <c r="I115" s="42" t="str">
        <f>G!AT89</f>
        <v/>
      </c>
      <c r="J115" s="42" t="str">
        <f>G!AU89</f>
        <v/>
      </c>
      <c r="K115" s="43" t="str">
        <f>IFERROR(IF(OR(H115="--",H115="rg",VLOOKUP(F!$B89,E!$B$1:'E'!$AK$300,12,FALSE)=1000000000,I115="-",I115=""),"",(HLOOKUP(SMALL(G!$Q$4:'G'!$Y$4,1),G!$Q$4:'G'!$Y$501,ROW(G!Q89)-3,FALSE))/VLOOKUP(F!$B89,E!$B$1:'E'!$AK$300,12,FALSE)*100),"")</f>
        <v/>
      </c>
      <c r="L115" s="43"/>
      <c r="M115" s="43" t="str">
        <f>G!AW89</f>
        <v/>
      </c>
      <c r="N115" s="43" t="str">
        <f>G!AV89</f>
        <v>--</v>
      </c>
      <c r="O115" s="42"/>
      <c r="P115" s="42" t="str">
        <f>G!AY89</f>
        <v/>
      </c>
      <c r="Q115" s="43" t="str">
        <f>G!AX89</f>
        <v>--</v>
      </c>
      <c r="R115" s="42" t="str">
        <f>G!AZ89</f>
        <v/>
      </c>
      <c r="S115" s="42" t="str">
        <f>G!BA89</f>
        <v/>
      </c>
      <c r="T115" s="43" t="str">
        <f>IFERROR(IF(OR(Q115="--",Q115="rg",VLOOKUP(F!$B89,E!$B$1:'E'!$AK$300,12,FALSE)=1000000000,R115="-",R115=""),"",(HLOOKUP(SMALL(G!$Q$4:'G'!$Y$4,4),G!$Q$4:'G'!$Y$501,ROW(G!Z89)-3,FALSE))/VLOOKUP(F!$B89,E!$B$1:'E'!$AK$300,12,FALSE)*100),"")</f>
        <v/>
      </c>
      <c r="U115" s="43"/>
      <c r="V115" s="43" t="str">
        <f>G!BC89</f>
        <v/>
      </c>
      <c r="W115" s="43" t="str">
        <f>G!BB89</f>
        <v>--</v>
      </c>
      <c r="X115" s="43"/>
      <c r="Y115" s="42" t="str">
        <f>G!BE89</f>
        <v/>
      </c>
      <c r="Z115" s="43" t="str">
        <f>G!BD89</f>
        <v>--</v>
      </c>
      <c r="AA115" s="42" t="str">
        <f>G!BF89</f>
        <v/>
      </c>
      <c r="AB115" s="42" t="str">
        <f>G!BG89</f>
        <v/>
      </c>
      <c r="AC115" s="43" t="str">
        <f>IFERROR(IF(OR(Z115="--",Z115="rg",VLOOKUP(F!$B89,E!$B$1:'E'!$AK$300,12,FALSE)=1000000000,AA115="-",AA115=""),"",(HLOOKUP(SMALL(G!$Q$4:'G'!$Y$4,7),G!$Q$4:'G'!$Y$501,ROW(G!AI89)-3,FALSE))/VLOOKUP(F!$B89,E!$B$1:'E'!$AK$300,12,FALSE)*100),"")</f>
        <v/>
      </c>
      <c r="AD115" s="43"/>
      <c r="AE115" s="34"/>
      <c r="AF115" s="34"/>
      <c r="AH115" s="72">
        <f t="shared" si="2"/>
        <v>1</v>
      </c>
      <c r="AJ115" s="34"/>
      <c r="AK115" s="34"/>
    </row>
    <row r="116" spans="1:37" s="72" customFormat="1" ht="9" hidden="1" customHeight="1" x14ac:dyDescent="0.15">
      <c r="A116" s="195" t="str">
        <f>F!A90</f>
        <v>Tetrachloormethaan (tetra)</v>
      </c>
      <c r="B116" s="195"/>
      <c r="C116" s="195"/>
      <c r="D116" s="44" t="str">
        <f>G!AQ90</f>
        <v/>
      </c>
      <c r="E116" s="43" t="str">
        <f>G!AP90</f>
        <v>--</v>
      </c>
      <c r="F116" s="42"/>
      <c r="G116" s="42" t="str">
        <f>G!AS90</f>
        <v/>
      </c>
      <c r="H116" s="43" t="str">
        <f>G!AR90</f>
        <v>--</v>
      </c>
      <c r="I116" s="42" t="str">
        <f>G!AT90</f>
        <v/>
      </c>
      <c r="J116" s="42" t="str">
        <f>G!AU90</f>
        <v/>
      </c>
      <c r="K116" s="43" t="str">
        <f>IFERROR(IF(OR(H116="--",H116="rg",VLOOKUP(F!$B90,E!$B$1:'E'!$AK$300,12,FALSE)=1000000000,I116="-",I116=""),"",(HLOOKUP(SMALL(G!$Q$4:'G'!$Y$4,1),G!$Q$4:'G'!$Y$501,ROW(G!Q90)-3,FALSE))/VLOOKUP(F!$B90,E!$B$1:'E'!$AK$300,12,FALSE)*100),"")</f>
        <v/>
      </c>
      <c r="L116" s="43"/>
      <c r="M116" s="43" t="str">
        <f>G!AW90</f>
        <v/>
      </c>
      <c r="N116" s="43" t="str">
        <f>G!AV90</f>
        <v>--</v>
      </c>
      <c r="O116" s="42"/>
      <c r="P116" s="42" t="str">
        <f>G!AY90</f>
        <v/>
      </c>
      <c r="Q116" s="43" t="str">
        <f>G!AX90</f>
        <v>--</v>
      </c>
      <c r="R116" s="42" t="str">
        <f>G!AZ90</f>
        <v/>
      </c>
      <c r="S116" s="42" t="str">
        <f>G!BA90</f>
        <v/>
      </c>
      <c r="T116" s="43" t="str">
        <f>IFERROR(IF(OR(Q116="--",Q116="rg",VLOOKUP(F!$B90,E!$B$1:'E'!$AK$300,12,FALSE)=1000000000,R116="-",R116=""),"",(HLOOKUP(SMALL(G!$Q$4:'G'!$Y$4,4),G!$Q$4:'G'!$Y$501,ROW(G!Z90)-3,FALSE))/VLOOKUP(F!$B90,E!$B$1:'E'!$AK$300,12,FALSE)*100),"")</f>
        <v/>
      </c>
      <c r="U116" s="43"/>
      <c r="V116" s="43" t="str">
        <f>G!BC90</f>
        <v/>
      </c>
      <c r="W116" s="43" t="str">
        <f>G!BB90</f>
        <v>--</v>
      </c>
      <c r="X116" s="43"/>
      <c r="Y116" s="42" t="str">
        <f>G!BE90</f>
        <v/>
      </c>
      <c r="Z116" s="43" t="str">
        <f>G!BD90</f>
        <v>--</v>
      </c>
      <c r="AA116" s="42" t="str">
        <f>G!BF90</f>
        <v/>
      </c>
      <c r="AB116" s="42" t="str">
        <f>G!BG90</f>
        <v/>
      </c>
      <c r="AC116" s="43" t="str">
        <f>IFERROR(IF(OR(Z116="--",Z116="rg",VLOOKUP(F!$B90,E!$B$1:'E'!$AK$300,12,FALSE)=1000000000,AA116="-",AA116=""),"",(HLOOKUP(SMALL(G!$Q$4:'G'!$Y$4,7),G!$Q$4:'G'!$Y$501,ROW(G!AI90)-3,FALSE))/VLOOKUP(F!$B90,E!$B$1:'E'!$AK$300,12,FALSE)*100),"")</f>
        <v/>
      </c>
      <c r="AD116" s="43"/>
      <c r="AE116" s="34"/>
      <c r="AF116" s="34"/>
      <c r="AH116" s="72">
        <f t="shared" si="2"/>
        <v>1</v>
      </c>
      <c r="AJ116" s="34"/>
      <c r="AK116" s="34"/>
    </row>
    <row r="117" spans="1:37" s="72" customFormat="1" ht="9" hidden="1" customHeight="1" x14ac:dyDescent="0.15">
      <c r="A117" s="195" t="str">
        <f>F!A91</f>
        <v>Tetrachlooretheen (per)</v>
      </c>
      <c r="B117" s="195"/>
      <c r="C117" s="195"/>
      <c r="D117" s="44" t="str">
        <f>G!AQ91</f>
        <v/>
      </c>
      <c r="E117" s="43" t="str">
        <f>G!AP91</f>
        <v>--</v>
      </c>
      <c r="F117" s="42"/>
      <c r="G117" s="42" t="str">
        <f>G!AS91</f>
        <v/>
      </c>
      <c r="H117" s="43" t="str">
        <f>G!AR91</f>
        <v>--</v>
      </c>
      <c r="I117" s="42" t="str">
        <f>G!AT91</f>
        <v/>
      </c>
      <c r="J117" s="42" t="str">
        <f>G!AU91</f>
        <v/>
      </c>
      <c r="K117" s="43" t="str">
        <f>IFERROR(IF(OR(H117="--",H117="rg",VLOOKUP(F!$B91,E!$B$1:'E'!$AK$300,12,FALSE)=1000000000,I117="-",I117=""),"",(HLOOKUP(SMALL(G!$Q$4:'G'!$Y$4,1),G!$Q$4:'G'!$Y$501,ROW(G!Q91)-3,FALSE))/VLOOKUP(F!$B91,E!$B$1:'E'!$AK$300,12,FALSE)*100),"")</f>
        <v/>
      </c>
      <c r="L117" s="43"/>
      <c r="M117" s="43" t="str">
        <f>G!AW91</f>
        <v/>
      </c>
      <c r="N117" s="43" t="str">
        <f>G!AV91</f>
        <v>--</v>
      </c>
      <c r="O117" s="42"/>
      <c r="P117" s="42" t="str">
        <f>G!AY91</f>
        <v/>
      </c>
      <c r="Q117" s="43" t="str">
        <f>G!AX91</f>
        <v>--</v>
      </c>
      <c r="R117" s="42" t="str">
        <f>G!AZ91</f>
        <v/>
      </c>
      <c r="S117" s="42" t="str">
        <f>G!BA91</f>
        <v/>
      </c>
      <c r="T117" s="43" t="str">
        <f>IFERROR(IF(OR(Q117="--",Q117="rg",VLOOKUP(F!$B91,E!$B$1:'E'!$AK$300,12,FALSE)=1000000000,R117="-",R117=""),"",(HLOOKUP(SMALL(G!$Q$4:'G'!$Y$4,4),G!$Q$4:'G'!$Y$501,ROW(G!Z91)-3,FALSE))/VLOOKUP(F!$B91,E!$B$1:'E'!$AK$300,12,FALSE)*100),"")</f>
        <v/>
      </c>
      <c r="U117" s="43"/>
      <c r="V117" s="43" t="str">
        <f>G!BC91</f>
        <v/>
      </c>
      <c r="W117" s="43" t="str">
        <f>G!BB91</f>
        <v>--</v>
      </c>
      <c r="X117" s="43"/>
      <c r="Y117" s="42" t="str">
        <f>G!BE91</f>
        <v/>
      </c>
      <c r="Z117" s="43" t="str">
        <f>G!BD91</f>
        <v>--</v>
      </c>
      <c r="AA117" s="42" t="str">
        <f>G!BF91</f>
        <v/>
      </c>
      <c r="AB117" s="42" t="str">
        <f>G!BG91</f>
        <v/>
      </c>
      <c r="AC117" s="43" t="str">
        <f>IFERROR(IF(OR(Z117="--",Z117="rg",VLOOKUP(F!$B91,E!$B$1:'E'!$AK$300,12,FALSE)=1000000000,AA117="-",AA117=""),"",(HLOOKUP(SMALL(G!$Q$4:'G'!$Y$4,7),G!$Q$4:'G'!$Y$501,ROW(G!AI91)-3,FALSE))/VLOOKUP(F!$B91,E!$B$1:'E'!$AK$300,12,FALSE)*100),"")</f>
        <v/>
      </c>
      <c r="AD117" s="43"/>
      <c r="AE117" s="34"/>
      <c r="AF117" s="34"/>
      <c r="AH117" s="72">
        <f t="shared" si="2"/>
        <v>1</v>
      </c>
      <c r="AJ117" s="34"/>
      <c r="AK117" s="34"/>
    </row>
    <row r="118" spans="1:37" s="72" customFormat="1" ht="9" hidden="1" customHeight="1" x14ac:dyDescent="0.15">
      <c r="A118" s="195" t="str">
        <f>F!A92</f>
        <v>Broomchloormethaan</v>
      </c>
      <c r="B118" s="195"/>
      <c r="C118" s="195"/>
      <c r="D118" s="44" t="str">
        <f>G!AQ92</f>
        <v/>
      </c>
      <c r="E118" s="43" t="str">
        <f>G!AP92</f>
        <v>--</v>
      </c>
      <c r="F118" s="42"/>
      <c r="G118" s="42" t="str">
        <f>G!AS92</f>
        <v/>
      </c>
      <c r="H118" s="43" t="str">
        <f>G!AR92</f>
        <v>--</v>
      </c>
      <c r="I118" s="42" t="str">
        <f>G!AT92</f>
        <v/>
      </c>
      <c r="J118" s="42" t="str">
        <f>G!AU92</f>
        <v/>
      </c>
      <c r="K118" s="43" t="str">
        <f>IFERROR(IF(OR(H118="--",H118="rg",VLOOKUP(F!$B92,E!$B$1:'E'!$AK$300,12,FALSE)=1000000000,I118="-",I118=""),"",(HLOOKUP(SMALL(G!$Q$4:'G'!$Y$4,1),G!$Q$4:'G'!$Y$501,ROW(G!Q92)-3,FALSE))/VLOOKUP(F!$B92,E!$B$1:'E'!$AK$300,12,FALSE)*100),"")</f>
        <v/>
      </c>
      <c r="L118" s="43"/>
      <c r="M118" s="43" t="str">
        <f>G!AW92</f>
        <v/>
      </c>
      <c r="N118" s="43" t="str">
        <f>G!AV92</f>
        <v>--</v>
      </c>
      <c r="O118" s="42"/>
      <c r="P118" s="42" t="str">
        <f>G!AY92</f>
        <v/>
      </c>
      <c r="Q118" s="43" t="str">
        <f>G!AX92</f>
        <v>--</v>
      </c>
      <c r="R118" s="42" t="str">
        <f>G!AZ92</f>
        <v/>
      </c>
      <c r="S118" s="42" t="str">
        <f>G!BA92</f>
        <v/>
      </c>
      <c r="T118" s="43" t="str">
        <f>IFERROR(IF(OR(Q118="--",Q118="rg",VLOOKUP(F!$B92,E!$B$1:'E'!$AK$300,12,FALSE)=1000000000,R118="-",R118=""),"",(HLOOKUP(SMALL(G!$Q$4:'G'!$Y$4,4),G!$Q$4:'G'!$Y$501,ROW(G!Z92)-3,FALSE))/VLOOKUP(F!$B92,E!$B$1:'E'!$AK$300,12,FALSE)*100),"")</f>
        <v/>
      </c>
      <c r="U118" s="43"/>
      <c r="V118" s="43" t="str">
        <f>G!BC92</f>
        <v/>
      </c>
      <c r="W118" s="43" t="str">
        <f>G!BB92</f>
        <v>--</v>
      </c>
      <c r="X118" s="43"/>
      <c r="Y118" s="42" t="str">
        <f>G!BE92</f>
        <v/>
      </c>
      <c r="Z118" s="43" t="str">
        <f>G!BD92</f>
        <v>--</v>
      </c>
      <c r="AA118" s="42" t="str">
        <f>G!BF92</f>
        <v/>
      </c>
      <c r="AB118" s="42" t="str">
        <f>G!BG92</f>
        <v/>
      </c>
      <c r="AC118" s="43" t="str">
        <f>IFERROR(IF(OR(Z118="--",Z118="rg",VLOOKUP(F!$B92,E!$B$1:'E'!$AK$300,12,FALSE)=1000000000,AA118="-",AA118=""),"",(HLOOKUP(SMALL(G!$Q$4:'G'!$Y$4,7),G!$Q$4:'G'!$Y$501,ROW(G!AI92)-3,FALSE))/VLOOKUP(F!$B92,E!$B$1:'E'!$AK$300,12,FALSE)*100),"")</f>
        <v/>
      </c>
      <c r="AD118" s="43"/>
      <c r="AE118" s="34"/>
      <c r="AF118" s="34"/>
      <c r="AH118" s="72">
        <f t="shared" si="2"/>
        <v>1</v>
      </c>
      <c r="AJ118" s="34"/>
      <c r="AK118" s="34"/>
    </row>
    <row r="119" spans="1:37" s="72" customFormat="1" ht="9" hidden="1" customHeight="1" x14ac:dyDescent="0.15">
      <c r="A119" s="195" t="str">
        <f>F!A93</f>
        <v>Broomdichloormethaan</v>
      </c>
      <c r="B119" s="195"/>
      <c r="C119" s="195"/>
      <c r="D119" s="44" t="str">
        <f>G!AQ93</f>
        <v/>
      </c>
      <c r="E119" s="43" t="str">
        <f>G!AP93</f>
        <v>--</v>
      </c>
      <c r="F119" s="42"/>
      <c r="G119" s="42" t="str">
        <f>G!AS93</f>
        <v/>
      </c>
      <c r="H119" s="43" t="str">
        <f>G!AR93</f>
        <v>--</v>
      </c>
      <c r="I119" s="42" t="str">
        <f>G!AT93</f>
        <v/>
      </c>
      <c r="J119" s="42" t="str">
        <f>G!AU93</f>
        <v/>
      </c>
      <c r="K119" s="43" t="str">
        <f>IFERROR(IF(OR(H119="--",H119="rg",VLOOKUP(F!$B93,E!$B$1:'E'!$AK$300,12,FALSE)=1000000000,I119="-",I119=""),"",(HLOOKUP(SMALL(G!$Q$4:'G'!$Y$4,1),G!$Q$4:'G'!$Y$501,ROW(G!Q93)-3,FALSE))/VLOOKUP(F!$B93,E!$B$1:'E'!$AK$300,12,FALSE)*100),"")</f>
        <v/>
      </c>
      <c r="L119" s="43"/>
      <c r="M119" s="43" t="str">
        <f>G!AW93</f>
        <v/>
      </c>
      <c r="N119" s="43" t="str">
        <f>G!AV93</f>
        <v>--</v>
      </c>
      <c r="O119" s="42"/>
      <c r="P119" s="42" t="str">
        <f>G!AY93</f>
        <v/>
      </c>
      <c r="Q119" s="43" t="str">
        <f>G!AX93</f>
        <v>--</v>
      </c>
      <c r="R119" s="42" t="str">
        <f>G!AZ93</f>
        <v/>
      </c>
      <c r="S119" s="42" t="str">
        <f>G!BA93</f>
        <v/>
      </c>
      <c r="T119" s="43" t="str">
        <f>IFERROR(IF(OR(Q119="--",Q119="rg",VLOOKUP(F!$B93,E!$B$1:'E'!$AK$300,12,FALSE)=1000000000,R119="-",R119=""),"",(HLOOKUP(SMALL(G!$Q$4:'G'!$Y$4,4),G!$Q$4:'G'!$Y$501,ROW(G!Z93)-3,FALSE))/VLOOKUP(F!$B93,E!$B$1:'E'!$AK$300,12,FALSE)*100),"")</f>
        <v/>
      </c>
      <c r="U119" s="43"/>
      <c r="V119" s="43" t="str">
        <f>G!BC93</f>
        <v/>
      </c>
      <c r="W119" s="43" t="str">
        <f>G!BB93</f>
        <v>--</v>
      </c>
      <c r="X119" s="43"/>
      <c r="Y119" s="42" t="str">
        <f>G!BE93</f>
        <v/>
      </c>
      <c r="Z119" s="43" t="str">
        <f>G!BD93</f>
        <v>--</v>
      </c>
      <c r="AA119" s="42" t="str">
        <f>G!BF93</f>
        <v/>
      </c>
      <c r="AB119" s="42" t="str">
        <f>G!BG93</f>
        <v/>
      </c>
      <c r="AC119" s="43" t="str">
        <f>IFERROR(IF(OR(Z119="--",Z119="rg",VLOOKUP(F!$B93,E!$B$1:'E'!$AK$300,12,FALSE)=1000000000,AA119="-",AA119=""),"",(HLOOKUP(SMALL(G!$Q$4:'G'!$Y$4,7),G!$Q$4:'G'!$Y$501,ROW(G!AI93)-3,FALSE))/VLOOKUP(F!$B93,E!$B$1:'E'!$AK$300,12,FALSE)*100),"")</f>
        <v/>
      </c>
      <c r="AD119" s="43"/>
      <c r="AE119" s="34"/>
      <c r="AF119" s="34"/>
      <c r="AH119" s="72">
        <f t="shared" si="2"/>
        <v>1</v>
      </c>
      <c r="AJ119" s="34"/>
      <c r="AK119" s="34"/>
    </row>
    <row r="120" spans="1:37" s="72" customFormat="1" ht="9" hidden="1" customHeight="1" x14ac:dyDescent="0.15">
      <c r="A120" s="195" t="str">
        <f>F!A94</f>
        <v>Dibroomchloormethaan</v>
      </c>
      <c r="B120" s="195"/>
      <c r="C120" s="195"/>
      <c r="D120" s="44" t="str">
        <f>G!AQ94</f>
        <v/>
      </c>
      <c r="E120" s="43" t="str">
        <f>G!AP94</f>
        <v>--</v>
      </c>
      <c r="F120" s="42"/>
      <c r="G120" s="42" t="str">
        <f>G!AS94</f>
        <v/>
      </c>
      <c r="H120" s="43" t="str">
        <f>G!AR94</f>
        <v>--</v>
      </c>
      <c r="I120" s="42" t="str">
        <f>G!AT94</f>
        <v/>
      </c>
      <c r="J120" s="42" t="str">
        <f>G!AU94</f>
        <v/>
      </c>
      <c r="K120" s="43" t="str">
        <f>IFERROR(IF(OR(H120="--",H120="rg",VLOOKUP(F!$B94,E!$B$1:'E'!$AK$300,12,FALSE)=1000000000,I120="-",I120=""),"",(HLOOKUP(SMALL(G!$Q$4:'G'!$Y$4,1),G!$Q$4:'G'!$Y$501,ROW(G!Q94)-3,FALSE))/VLOOKUP(F!$B94,E!$B$1:'E'!$AK$300,12,FALSE)*100),"")</f>
        <v/>
      </c>
      <c r="L120" s="43"/>
      <c r="M120" s="43" t="str">
        <f>G!AW94</f>
        <v/>
      </c>
      <c r="N120" s="43" t="str">
        <f>G!AV94</f>
        <v>--</v>
      </c>
      <c r="O120" s="42"/>
      <c r="P120" s="42" t="str">
        <f>G!AY94</f>
        <v/>
      </c>
      <c r="Q120" s="43" t="str">
        <f>G!AX94</f>
        <v>--</v>
      </c>
      <c r="R120" s="42" t="str">
        <f>G!AZ94</f>
        <v/>
      </c>
      <c r="S120" s="42" t="str">
        <f>G!BA94</f>
        <v/>
      </c>
      <c r="T120" s="43" t="str">
        <f>IFERROR(IF(OR(Q120="--",Q120="rg",VLOOKUP(F!$B94,E!$B$1:'E'!$AK$300,12,FALSE)=1000000000,R120="-",R120=""),"",(HLOOKUP(SMALL(G!$Q$4:'G'!$Y$4,4),G!$Q$4:'G'!$Y$501,ROW(G!Z94)-3,FALSE))/VLOOKUP(F!$B94,E!$B$1:'E'!$AK$300,12,FALSE)*100),"")</f>
        <v/>
      </c>
      <c r="U120" s="43"/>
      <c r="V120" s="43" t="str">
        <f>G!BC94</f>
        <v/>
      </c>
      <c r="W120" s="43" t="str">
        <f>G!BB94</f>
        <v>--</v>
      </c>
      <c r="X120" s="43"/>
      <c r="Y120" s="42" t="str">
        <f>G!BE94</f>
        <v/>
      </c>
      <c r="Z120" s="43" t="str">
        <f>G!BD94</f>
        <v>--</v>
      </c>
      <c r="AA120" s="42" t="str">
        <f>G!BF94</f>
        <v/>
      </c>
      <c r="AB120" s="42" t="str">
        <f>G!BG94</f>
        <v/>
      </c>
      <c r="AC120" s="43" t="str">
        <f>IFERROR(IF(OR(Z120="--",Z120="rg",VLOOKUP(F!$B94,E!$B$1:'E'!$AK$300,12,FALSE)=1000000000,AA120="-",AA120=""),"",(HLOOKUP(SMALL(G!$Q$4:'G'!$Y$4,7),G!$Q$4:'G'!$Y$501,ROW(G!AI94)-3,FALSE))/VLOOKUP(F!$B94,E!$B$1:'E'!$AK$300,12,FALSE)*100),"")</f>
        <v/>
      </c>
      <c r="AD120" s="43"/>
      <c r="AE120" s="34"/>
      <c r="AF120" s="34"/>
      <c r="AH120" s="72">
        <f t="shared" si="2"/>
        <v>1</v>
      </c>
      <c r="AJ120" s="34"/>
      <c r="AK120" s="34"/>
    </row>
    <row r="121" spans="1:37" s="72" customFormat="1" ht="9" hidden="1" customHeight="1" x14ac:dyDescent="0.15">
      <c r="A121" s="195" t="str">
        <f>F!A95</f>
        <v>Tribroommethaan</v>
      </c>
      <c r="B121" s="195"/>
      <c r="C121" s="195"/>
      <c r="D121" s="44" t="str">
        <f>G!AQ95</f>
        <v/>
      </c>
      <c r="E121" s="43" t="str">
        <f>G!AP95</f>
        <v>--</v>
      </c>
      <c r="F121" s="42"/>
      <c r="G121" s="42" t="str">
        <f>G!AS95</f>
        <v/>
      </c>
      <c r="H121" s="43" t="str">
        <f>G!AR95</f>
        <v>--</v>
      </c>
      <c r="I121" s="42" t="str">
        <f>G!AT95</f>
        <v/>
      </c>
      <c r="J121" s="42" t="str">
        <f>G!AU95</f>
        <v/>
      </c>
      <c r="K121" s="43" t="str">
        <f>IFERROR(IF(OR(H121="--",H121="rg",VLOOKUP(F!$B95,E!$B$1:'E'!$AK$300,12,FALSE)=1000000000,I121="-",I121=""),"",(HLOOKUP(SMALL(G!$Q$4:'G'!$Y$4,1),G!$Q$4:'G'!$Y$501,ROW(G!Q95)-3,FALSE))/VLOOKUP(F!$B95,E!$B$1:'E'!$AK$300,12,FALSE)*100),"")</f>
        <v/>
      </c>
      <c r="L121" s="43"/>
      <c r="M121" s="43" t="str">
        <f>G!AW95</f>
        <v/>
      </c>
      <c r="N121" s="43" t="str">
        <f>G!AV95</f>
        <v>--</v>
      </c>
      <c r="O121" s="42"/>
      <c r="P121" s="42" t="str">
        <f>G!AY95</f>
        <v/>
      </c>
      <c r="Q121" s="43" t="str">
        <f>G!AX95</f>
        <v>--</v>
      </c>
      <c r="R121" s="42" t="str">
        <f>G!AZ95</f>
        <v/>
      </c>
      <c r="S121" s="42" t="str">
        <f>G!BA95</f>
        <v/>
      </c>
      <c r="T121" s="43" t="str">
        <f>IFERROR(IF(OR(Q121="--",Q121="rg",VLOOKUP(F!$B95,E!$B$1:'E'!$AK$300,12,FALSE)=1000000000,R121="-",R121=""),"",(HLOOKUP(SMALL(G!$Q$4:'G'!$Y$4,4),G!$Q$4:'G'!$Y$501,ROW(G!Z95)-3,FALSE))/VLOOKUP(F!$B95,E!$B$1:'E'!$AK$300,12,FALSE)*100),"")</f>
        <v/>
      </c>
      <c r="U121" s="43"/>
      <c r="V121" s="43" t="str">
        <f>G!BC95</f>
        <v/>
      </c>
      <c r="W121" s="43" t="str">
        <f>G!BB95</f>
        <v>--</v>
      </c>
      <c r="X121" s="43"/>
      <c r="Y121" s="42" t="str">
        <f>G!BE95</f>
        <v/>
      </c>
      <c r="Z121" s="43" t="str">
        <f>G!BD95</f>
        <v>--</v>
      </c>
      <c r="AA121" s="42" t="str">
        <f>G!BF95</f>
        <v/>
      </c>
      <c r="AB121" s="42" t="str">
        <f>G!BG95</f>
        <v/>
      </c>
      <c r="AC121" s="43" t="str">
        <f>IFERROR(IF(OR(Z121="--",Z121="rg",VLOOKUP(F!$B95,E!$B$1:'E'!$AK$300,12,FALSE)=1000000000,AA121="-",AA121=""),"",(HLOOKUP(SMALL(G!$Q$4:'G'!$Y$4,7),G!$Q$4:'G'!$Y$501,ROW(G!AI95)-3,FALSE))/VLOOKUP(F!$B95,E!$B$1:'E'!$AK$300,12,FALSE)*100),"")</f>
        <v/>
      </c>
      <c r="AD121" s="43"/>
      <c r="AE121" s="34"/>
      <c r="AF121" s="34"/>
      <c r="AH121" s="72">
        <f t="shared" si="2"/>
        <v>1</v>
      </c>
      <c r="AJ121" s="34"/>
      <c r="AK121" s="34"/>
    </row>
    <row r="122" spans="1:37" s="72" customFormat="1" ht="9" hidden="1" customHeight="1" x14ac:dyDescent="0.15">
      <c r="A122" s="195" t="str">
        <f>F!A96</f>
        <v>1,2-Dibroommethaan</v>
      </c>
      <c r="B122" s="195"/>
      <c r="C122" s="195"/>
      <c r="D122" s="44" t="str">
        <f>G!AQ96</f>
        <v/>
      </c>
      <c r="E122" s="43" t="str">
        <f>G!AP96</f>
        <v>--</v>
      </c>
      <c r="F122" s="42"/>
      <c r="G122" s="42" t="str">
        <f>G!AS96</f>
        <v/>
      </c>
      <c r="H122" s="43" t="str">
        <f>G!AR96</f>
        <v>--</v>
      </c>
      <c r="I122" s="42" t="str">
        <f>G!AT96</f>
        <v/>
      </c>
      <c r="J122" s="42" t="str">
        <f>G!AU96</f>
        <v/>
      </c>
      <c r="K122" s="43" t="str">
        <f>IFERROR(IF(OR(H122="--",H122="rg",VLOOKUP(F!$B96,E!$B$1:'E'!$AK$300,12,FALSE)=1000000000,I122="-",I122=""),"",(HLOOKUP(SMALL(G!$Q$4:'G'!$Y$4,1),G!$Q$4:'G'!$Y$501,ROW(G!Q96)-3,FALSE))/VLOOKUP(F!$B96,E!$B$1:'E'!$AK$300,12,FALSE)*100),"")</f>
        <v/>
      </c>
      <c r="L122" s="43"/>
      <c r="M122" s="43" t="str">
        <f>G!AW96</f>
        <v/>
      </c>
      <c r="N122" s="43" t="str">
        <f>G!AV96</f>
        <v>--</v>
      </c>
      <c r="O122" s="42"/>
      <c r="P122" s="42" t="str">
        <f>G!AY96</f>
        <v/>
      </c>
      <c r="Q122" s="43" t="str">
        <f>G!AX96</f>
        <v>--</v>
      </c>
      <c r="R122" s="42" t="str">
        <f>G!AZ96</f>
        <v/>
      </c>
      <c r="S122" s="42" t="str">
        <f>G!BA96</f>
        <v/>
      </c>
      <c r="T122" s="43" t="str">
        <f>IFERROR(IF(OR(Q122="--",Q122="rg",VLOOKUP(F!$B96,E!$B$1:'E'!$AK$300,12,FALSE)=1000000000,R122="-",R122=""),"",(HLOOKUP(SMALL(G!$Q$4:'G'!$Y$4,4),G!$Q$4:'G'!$Y$501,ROW(G!Z96)-3,FALSE))/VLOOKUP(F!$B96,E!$B$1:'E'!$AK$300,12,FALSE)*100),"")</f>
        <v/>
      </c>
      <c r="U122" s="43"/>
      <c r="V122" s="43" t="str">
        <f>G!BC96</f>
        <v/>
      </c>
      <c r="W122" s="43" t="str">
        <f>G!BB96</f>
        <v>--</v>
      </c>
      <c r="X122" s="43"/>
      <c r="Y122" s="42" t="str">
        <f>G!BE96</f>
        <v/>
      </c>
      <c r="Z122" s="43" t="str">
        <f>G!BD96</f>
        <v>--</v>
      </c>
      <c r="AA122" s="42" t="str">
        <f>G!BF96</f>
        <v/>
      </c>
      <c r="AB122" s="42" t="str">
        <f>G!BG96</f>
        <v/>
      </c>
      <c r="AC122" s="43" t="str">
        <f>IFERROR(IF(OR(Z122="--",Z122="rg",VLOOKUP(F!$B96,E!$B$1:'E'!$AK$300,12,FALSE)=1000000000,AA122="-",AA122=""),"",(HLOOKUP(SMALL(G!$Q$4:'G'!$Y$4,7),G!$Q$4:'G'!$Y$501,ROW(G!AI96)-3,FALSE))/VLOOKUP(F!$B96,E!$B$1:'E'!$AK$300,12,FALSE)*100),"")</f>
        <v/>
      </c>
      <c r="AD122" s="43"/>
      <c r="AE122" s="34"/>
      <c r="AF122" s="34"/>
      <c r="AH122" s="72">
        <f t="shared" si="2"/>
        <v>1</v>
      </c>
      <c r="AJ122" s="34"/>
      <c r="AK122" s="34"/>
    </row>
    <row r="123" spans="1:37" s="72" customFormat="1" ht="9" hidden="1" customHeight="1" x14ac:dyDescent="0.15">
      <c r="A123" s="195" t="str">
        <f>F!A97</f>
        <v>Dibroommethaan</v>
      </c>
      <c r="B123" s="195"/>
      <c r="C123" s="195"/>
      <c r="D123" s="44" t="str">
        <f>G!AQ97</f>
        <v/>
      </c>
      <c r="E123" s="43" t="str">
        <f>G!AP97</f>
        <v>--</v>
      </c>
      <c r="F123" s="42"/>
      <c r="G123" s="42" t="str">
        <f>G!AS97</f>
        <v/>
      </c>
      <c r="H123" s="43" t="str">
        <f>G!AR97</f>
        <v>--</v>
      </c>
      <c r="I123" s="42" t="str">
        <f>G!AT97</f>
        <v/>
      </c>
      <c r="J123" s="42" t="str">
        <f>G!AU97</f>
        <v/>
      </c>
      <c r="K123" s="43" t="str">
        <f>IFERROR(IF(OR(H123="--",H123="rg",VLOOKUP(F!$B97,E!$B$1:'E'!$AK$300,12,FALSE)=1000000000,I123="-",I123=""),"",(HLOOKUP(SMALL(G!$Q$4:'G'!$Y$4,1),G!$Q$4:'G'!$Y$501,ROW(G!Q97)-3,FALSE))/VLOOKUP(F!$B97,E!$B$1:'E'!$AK$300,12,FALSE)*100),"")</f>
        <v/>
      </c>
      <c r="L123" s="43"/>
      <c r="M123" s="43" t="str">
        <f>G!AW97</f>
        <v/>
      </c>
      <c r="N123" s="43" t="str">
        <f>G!AV97</f>
        <v>--</v>
      </c>
      <c r="O123" s="42"/>
      <c r="P123" s="42" t="str">
        <f>G!AY97</f>
        <v/>
      </c>
      <c r="Q123" s="43" t="str">
        <f>G!AX97</f>
        <v>--</v>
      </c>
      <c r="R123" s="42" t="str">
        <f>G!AZ97</f>
        <v/>
      </c>
      <c r="S123" s="42" t="str">
        <f>G!BA97</f>
        <v/>
      </c>
      <c r="T123" s="43" t="str">
        <f>IFERROR(IF(OR(Q123="--",Q123="rg",VLOOKUP(F!$B97,E!$B$1:'E'!$AK$300,12,FALSE)=1000000000,R123="-",R123=""),"",(HLOOKUP(SMALL(G!$Q$4:'G'!$Y$4,4),G!$Q$4:'G'!$Y$501,ROW(G!Z97)-3,FALSE))/VLOOKUP(F!$B97,E!$B$1:'E'!$AK$300,12,FALSE)*100),"")</f>
        <v/>
      </c>
      <c r="U123" s="43"/>
      <c r="V123" s="43" t="str">
        <f>G!BC97</f>
        <v/>
      </c>
      <c r="W123" s="43" t="str">
        <f>G!BB97</f>
        <v>--</v>
      </c>
      <c r="X123" s="43"/>
      <c r="Y123" s="42" t="str">
        <f>G!BE97</f>
        <v/>
      </c>
      <c r="Z123" s="43" t="str">
        <f>G!BD97</f>
        <v>--</v>
      </c>
      <c r="AA123" s="42" t="str">
        <f>G!BF97</f>
        <v/>
      </c>
      <c r="AB123" s="42" t="str">
        <f>G!BG97</f>
        <v/>
      </c>
      <c r="AC123" s="43" t="str">
        <f>IFERROR(IF(OR(Z123="--",Z123="rg",VLOOKUP(F!$B97,E!$B$1:'E'!$AK$300,12,FALSE)=1000000000,AA123="-",AA123=""),"",(HLOOKUP(SMALL(G!$Q$4:'G'!$Y$4,7),G!$Q$4:'G'!$Y$501,ROW(G!AI97)-3,FALSE))/VLOOKUP(F!$B97,E!$B$1:'E'!$AK$300,12,FALSE)*100),"")</f>
        <v/>
      </c>
      <c r="AD123" s="43"/>
      <c r="AE123" s="34"/>
      <c r="AF123" s="34"/>
      <c r="AH123" s="72">
        <f t="shared" si="2"/>
        <v>1</v>
      </c>
      <c r="AJ123" s="34"/>
      <c r="AK123" s="34"/>
    </row>
    <row r="124" spans="1:37" s="72" customFormat="1" ht="9" hidden="1" customHeight="1" x14ac:dyDescent="0.15">
      <c r="A124" s="195" t="str">
        <f>F!A98</f>
        <v>Broombenzeen</v>
      </c>
      <c r="B124" s="195"/>
      <c r="C124" s="195"/>
      <c r="D124" s="44" t="str">
        <f>G!AQ98</f>
        <v/>
      </c>
      <c r="E124" s="43" t="str">
        <f>G!AP98</f>
        <v>--</v>
      </c>
      <c r="F124" s="42"/>
      <c r="G124" s="42" t="str">
        <f>G!AS98</f>
        <v/>
      </c>
      <c r="H124" s="43" t="str">
        <f>G!AR98</f>
        <v>--</v>
      </c>
      <c r="I124" s="42" t="str">
        <f>G!AT98</f>
        <v/>
      </c>
      <c r="J124" s="42" t="str">
        <f>G!AU98</f>
        <v/>
      </c>
      <c r="K124" s="43" t="str">
        <f>IFERROR(IF(OR(H124="--",H124="rg",VLOOKUP(F!$B98,E!$B$1:'E'!$AK$300,12,FALSE)=1000000000,I124="-",I124=""),"",(HLOOKUP(SMALL(G!$Q$4:'G'!$Y$4,1),G!$Q$4:'G'!$Y$501,ROW(G!Q98)-3,FALSE))/VLOOKUP(F!$B98,E!$B$1:'E'!$AK$300,12,FALSE)*100),"")</f>
        <v/>
      </c>
      <c r="L124" s="43"/>
      <c r="M124" s="43" t="str">
        <f>G!AW98</f>
        <v/>
      </c>
      <c r="N124" s="43" t="str">
        <f>G!AV98</f>
        <v>--</v>
      </c>
      <c r="O124" s="42"/>
      <c r="P124" s="42" t="str">
        <f>G!AY98</f>
        <v/>
      </c>
      <c r="Q124" s="43" t="str">
        <f>G!AX98</f>
        <v>--</v>
      </c>
      <c r="R124" s="42" t="str">
        <f>G!AZ98</f>
        <v/>
      </c>
      <c r="S124" s="42" t="str">
        <f>G!BA98</f>
        <v/>
      </c>
      <c r="T124" s="43" t="str">
        <f>IFERROR(IF(OR(Q124="--",Q124="rg",VLOOKUP(F!$B98,E!$B$1:'E'!$AK$300,12,FALSE)=1000000000,R124="-",R124=""),"",(HLOOKUP(SMALL(G!$Q$4:'G'!$Y$4,4),G!$Q$4:'G'!$Y$501,ROW(G!Z98)-3,FALSE))/VLOOKUP(F!$B98,E!$B$1:'E'!$AK$300,12,FALSE)*100),"")</f>
        <v/>
      </c>
      <c r="U124" s="43"/>
      <c r="V124" s="43" t="str">
        <f>G!BC98</f>
        <v/>
      </c>
      <c r="W124" s="43" t="str">
        <f>G!BB98</f>
        <v>--</v>
      </c>
      <c r="X124" s="43"/>
      <c r="Y124" s="42" t="str">
        <f>G!BE98</f>
        <v/>
      </c>
      <c r="Z124" s="43" t="str">
        <f>G!BD98</f>
        <v>--</v>
      </c>
      <c r="AA124" s="42" t="str">
        <f>G!BF98</f>
        <v/>
      </c>
      <c r="AB124" s="42" t="str">
        <f>G!BG98</f>
        <v/>
      </c>
      <c r="AC124" s="43" t="str">
        <f>IFERROR(IF(OR(Z124="--",Z124="rg",VLOOKUP(F!$B98,E!$B$1:'E'!$AK$300,12,FALSE)=1000000000,AA124="-",AA124=""),"",(HLOOKUP(SMALL(G!$Q$4:'G'!$Y$4,7),G!$Q$4:'G'!$Y$501,ROW(G!AI98)-3,FALSE))/VLOOKUP(F!$B98,E!$B$1:'E'!$AK$300,12,FALSE)*100),"")</f>
        <v/>
      </c>
      <c r="AD124" s="43"/>
      <c r="AE124" s="34"/>
      <c r="AF124" s="34"/>
      <c r="AH124" s="72">
        <f t="shared" si="2"/>
        <v>1</v>
      </c>
      <c r="AJ124" s="34"/>
      <c r="AK124" s="34"/>
    </row>
    <row r="125" spans="1:37" s="72" customFormat="1" ht="9" hidden="1" customHeight="1" x14ac:dyDescent="0.15">
      <c r="A125" s="195" t="str">
        <f>F!A99</f>
        <v>1,1,1,2-Tetrachloorethaan</v>
      </c>
      <c r="B125" s="195"/>
      <c r="C125" s="195"/>
      <c r="D125" s="44" t="str">
        <f>G!AQ99</f>
        <v/>
      </c>
      <c r="E125" s="43" t="str">
        <f>G!AP99</f>
        <v>--</v>
      </c>
      <c r="F125" s="42"/>
      <c r="G125" s="42" t="str">
        <f>G!AS99</f>
        <v/>
      </c>
      <c r="H125" s="43" t="str">
        <f>G!AR99</f>
        <v>--</v>
      </c>
      <c r="I125" s="42" t="str">
        <f>G!AT99</f>
        <v/>
      </c>
      <c r="J125" s="42" t="str">
        <f>G!AU99</f>
        <v/>
      </c>
      <c r="K125" s="43" t="str">
        <f>IFERROR(IF(OR(H125="--",H125="rg",VLOOKUP(F!$B99,E!$B$1:'E'!$AK$300,12,FALSE)=1000000000,I125="-",I125=""),"",(HLOOKUP(SMALL(G!$Q$4:'G'!$Y$4,1),G!$Q$4:'G'!$Y$501,ROW(G!Q99)-3,FALSE))/VLOOKUP(F!$B99,E!$B$1:'E'!$AK$300,12,FALSE)*100),"")</f>
        <v/>
      </c>
      <c r="L125" s="43"/>
      <c r="M125" s="43" t="str">
        <f>G!AW99</f>
        <v/>
      </c>
      <c r="N125" s="43" t="str">
        <f>G!AV99</f>
        <v>--</v>
      </c>
      <c r="O125" s="42"/>
      <c r="P125" s="42" t="str">
        <f>G!AY99</f>
        <v/>
      </c>
      <c r="Q125" s="43" t="str">
        <f>G!AX99</f>
        <v>--</v>
      </c>
      <c r="R125" s="42" t="str">
        <f>G!AZ99</f>
        <v/>
      </c>
      <c r="S125" s="42" t="str">
        <f>G!BA99</f>
        <v/>
      </c>
      <c r="T125" s="43" t="str">
        <f>IFERROR(IF(OR(Q125="--",Q125="rg",VLOOKUP(F!$B99,E!$B$1:'E'!$AK$300,12,FALSE)=1000000000,R125="-",R125=""),"",(HLOOKUP(SMALL(G!$Q$4:'G'!$Y$4,4),G!$Q$4:'G'!$Y$501,ROW(G!Z99)-3,FALSE))/VLOOKUP(F!$B99,E!$B$1:'E'!$AK$300,12,FALSE)*100),"")</f>
        <v/>
      </c>
      <c r="U125" s="43"/>
      <c r="V125" s="43" t="str">
        <f>G!BC99</f>
        <v/>
      </c>
      <c r="W125" s="43" t="str">
        <f>G!BB99</f>
        <v>--</v>
      </c>
      <c r="X125" s="43"/>
      <c r="Y125" s="42" t="str">
        <f>G!BE99</f>
        <v/>
      </c>
      <c r="Z125" s="43" t="str">
        <f>G!BD99</f>
        <v>--</v>
      </c>
      <c r="AA125" s="42" t="str">
        <f>G!BF99</f>
        <v/>
      </c>
      <c r="AB125" s="42" t="str">
        <f>G!BG99</f>
        <v/>
      </c>
      <c r="AC125" s="43" t="str">
        <f>IFERROR(IF(OR(Z125="--",Z125="rg",VLOOKUP(F!$B99,E!$B$1:'E'!$AK$300,12,FALSE)=1000000000,AA125="-",AA125=""),"",(HLOOKUP(SMALL(G!$Q$4:'G'!$Y$4,7),G!$Q$4:'G'!$Y$501,ROW(G!AI99)-3,FALSE))/VLOOKUP(F!$B99,E!$B$1:'E'!$AK$300,12,FALSE)*100),"")</f>
        <v/>
      </c>
      <c r="AD125" s="43"/>
      <c r="AE125" s="34"/>
      <c r="AF125" s="34"/>
      <c r="AH125" s="72">
        <f t="shared" si="2"/>
        <v>1</v>
      </c>
      <c r="AJ125" s="34"/>
      <c r="AK125" s="34"/>
    </row>
    <row r="126" spans="1:37" s="72" customFormat="1" ht="9" hidden="1" customHeight="1" x14ac:dyDescent="0.15">
      <c r="A126" s="195" t="str">
        <f>F!A100</f>
        <v>1,1,2,2-Tetrachloorethaan</v>
      </c>
      <c r="B126" s="195"/>
      <c r="C126" s="195"/>
      <c r="D126" s="44" t="str">
        <f>G!AQ100</f>
        <v/>
      </c>
      <c r="E126" s="43" t="str">
        <f>G!AP100</f>
        <v>--</v>
      </c>
      <c r="F126" s="42"/>
      <c r="G126" s="42" t="str">
        <f>G!AS100</f>
        <v/>
      </c>
      <c r="H126" s="43" t="str">
        <f>G!AR100</f>
        <v>--</v>
      </c>
      <c r="I126" s="42" t="str">
        <f>G!AT100</f>
        <v/>
      </c>
      <c r="J126" s="42" t="str">
        <f>G!AU100</f>
        <v/>
      </c>
      <c r="K126" s="43" t="str">
        <f>IFERROR(IF(OR(H126="--",H126="rg",VLOOKUP(F!$B100,E!$B$1:'E'!$AK$300,12,FALSE)=1000000000,I126="-",I126=""),"",(HLOOKUP(SMALL(G!$Q$4:'G'!$Y$4,1),G!$Q$4:'G'!$Y$501,ROW(G!Q100)-3,FALSE))/VLOOKUP(F!$B100,E!$B$1:'E'!$AK$300,12,FALSE)*100),"")</f>
        <v/>
      </c>
      <c r="L126" s="43"/>
      <c r="M126" s="43" t="str">
        <f>G!AW100</f>
        <v/>
      </c>
      <c r="N126" s="43" t="str">
        <f>G!AV100</f>
        <v>--</v>
      </c>
      <c r="O126" s="42"/>
      <c r="P126" s="42" t="str">
        <f>G!AY100</f>
        <v/>
      </c>
      <c r="Q126" s="43" t="str">
        <f>G!AX100</f>
        <v>--</v>
      </c>
      <c r="R126" s="42" t="str">
        <f>G!AZ100</f>
        <v/>
      </c>
      <c r="S126" s="42" t="str">
        <f>G!BA100</f>
        <v/>
      </c>
      <c r="T126" s="43" t="str">
        <f>IFERROR(IF(OR(Q126="--",Q126="rg",VLOOKUP(F!$B100,E!$B$1:'E'!$AK$300,12,FALSE)=1000000000,R126="-",R126=""),"",(HLOOKUP(SMALL(G!$Q$4:'G'!$Y$4,4),G!$Q$4:'G'!$Y$501,ROW(G!Z100)-3,FALSE))/VLOOKUP(F!$B100,E!$B$1:'E'!$AK$300,12,FALSE)*100),"")</f>
        <v/>
      </c>
      <c r="U126" s="43"/>
      <c r="V126" s="43" t="str">
        <f>G!BC100</f>
        <v/>
      </c>
      <c r="W126" s="43" t="str">
        <f>G!BB100</f>
        <v>--</v>
      </c>
      <c r="X126" s="43"/>
      <c r="Y126" s="42" t="str">
        <f>G!BE100</f>
        <v/>
      </c>
      <c r="Z126" s="43" t="str">
        <f>G!BD100</f>
        <v>--</v>
      </c>
      <c r="AA126" s="42" t="str">
        <f>G!BF100</f>
        <v/>
      </c>
      <c r="AB126" s="42" t="str">
        <f>G!BG100</f>
        <v/>
      </c>
      <c r="AC126" s="43" t="str">
        <f>IFERROR(IF(OR(Z126="--",Z126="rg",VLOOKUP(F!$B100,E!$B$1:'E'!$AK$300,12,FALSE)=1000000000,AA126="-",AA126=""),"",(HLOOKUP(SMALL(G!$Q$4:'G'!$Y$4,7),G!$Q$4:'G'!$Y$501,ROW(G!AI100)-3,FALSE))/VLOOKUP(F!$B100,E!$B$1:'E'!$AK$300,12,FALSE)*100),"")</f>
        <v/>
      </c>
      <c r="AD126" s="43"/>
      <c r="AE126" s="34"/>
      <c r="AF126" s="34"/>
      <c r="AH126" s="72">
        <f t="shared" si="2"/>
        <v>1</v>
      </c>
      <c r="AJ126" s="34"/>
      <c r="AK126" s="34"/>
    </row>
    <row r="127" spans="1:37" s="72" customFormat="1" ht="9" hidden="1" customHeight="1" x14ac:dyDescent="0.15">
      <c r="A127" s="195" t="str">
        <f>F!A101</f>
        <v>2-Chloortolueen</v>
      </c>
      <c r="B127" s="195"/>
      <c r="C127" s="195"/>
      <c r="D127" s="44" t="str">
        <f>G!AQ101</f>
        <v/>
      </c>
      <c r="E127" s="43" t="str">
        <f>G!AP101</f>
        <v>--</v>
      </c>
      <c r="F127" s="42"/>
      <c r="G127" s="42" t="str">
        <f>G!AS101</f>
        <v/>
      </c>
      <c r="H127" s="43" t="str">
        <f>G!AR101</f>
        <v>--</v>
      </c>
      <c r="I127" s="42" t="str">
        <f>G!AT101</f>
        <v/>
      </c>
      <c r="J127" s="42" t="str">
        <f>G!AU101</f>
        <v/>
      </c>
      <c r="K127" s="43" t="str">
        <f>IFERROR(IF(OR(H127="--",H127="rg",VLOOKUP(F!$B101,E!$B$1:'E'!$AK$300,12,FALSE)=1000000000,I127="-",I127=""),"",(HLOOKUP(SMALL(G!$Q$4:'G'!$Y$4,1),G!$Q$4:'G'!$Y$501,ROW(G!Q101)-3,FALSE))/VLOOKUP(F!$B101,E!$B$1:'E'!$AK$300,12,FALSE)*100),"")</f>
        <v/>
      </c>
      <c r="L127" s="43"/>
      <c r="M127" s="43" t="str">
        <f>G!AW101</f>
        <v/>
      </c>
      <c r="N127" s="43" t="str">
        <f>G!AV101</f>
        <v>--</v>
      </c>
      <c r="O127" s="42"/>
      <c r="P127" s="42" t="str">
        <f>G!AY101</f>
        <v/>
      </c>
      <c r="Q127" s="43" t="str">
        <f>G!AX101</f>
        <v>--</v>
      </c>
      <c r="R127" s="42" t="str">
        <f>G!AZ101</f>
        <v/>
      </c>
      <c r="S127" s="42" t="str">
        <f>G!BA101</f>
        <v/>
      </c>
      <c r="T127" s="43" t="str">
        <f>IFERROR(IF(OR(Q127="--",Q127="rg",VLOOKUP(F!$B101,E!$B$1:'E'!$AK$300,12,FALSE)=1000000000,R127="-",R127=""),"",(HLOOKUP(SMALL(G!$Q$4:'G'!$Y$4,4),G!$Q$4:'G'!$Y$501,ROW(G!Z101)-3,FALSE))/VLOOKUP(F!$B101,E!$B$1:'E'!$AK$300,12,FALSE)*100),"")</f>
        <v/>
      </c>
      <c r="U127" s="43"/>
      <c r="V127" s="43" t="str">
        <f>G!BC101</f>
        <v/>
      </c>
      <c r="W127" s="43" t="str">
        <f>G!BB101</f>
        <v>--</v>
      </c>
      <c r="X127" s="43"/>
      <c r="Y127" s="42" t="str">
        <f>G!BE101</f>
        <v/>
      </c>
      <c r="Z127" s="43" t="str">
        <f>G!BD101</f>
        <v>--</v>
      </c>
      <c r="AA127" s="42" t="str">
        <f>G!BF101</f>
        <v/>
      </c>
      <c r="AB127" s="42" t="str">
        <f>G!BG101</f>
        <v/>
      </c>
      <c r="AC127" s="43" t="str">
        <f>IFERROR(IF(OR(Z127="--",Z127="rg",VLOOKUP(F!$B101,E!$B$1:'E'!$AK$300,12,FALSE)=1000000000,AA127="-",AA127=""),"",(HLOOKUP(SMALL(G!$Q$4:'G'!$Y$4,7),G!$Q$4:'G'!$Y$501,ROW(G!AI101)-3,FALSE))/VLOOKUP(F!$B101,E!$B$1:'E'!$AK$300,12,FALSE)*100),"")</f>
        <v/>
      </c>
      <c r="AD127" s="43"/>
      <c r="AE127" s="34"/>
      <c r="AF127" s="34"/>
      <c r="AH127" s="72">
        <f t="shared" si="2"/>
        <v>1</v>
      </c>
      <c r="AJ127" s="34"/>
      <c r="AK127" s="34"/>
    </row>
    <row r="128" spans="1:37" s="72" customFormat="1" ht="9" hidden="1" customHeight="1" x14ac:dyDescent="0.15">
      <c r="A128" s="195" t="str">
        <f>F!A102</f>
        <v>4-Chloortolueen</v>
      </c>
      <c r="B128" s="195"/>
      <c r="C128" s="195"/>
      <c r="D128" s="44" t="str">
        <f>G!AQ102</f>
        <v/>
      </c>
      <c r="E128" s="43" t="str">
        <f>G!AP102</f>
        <v>--</v>
      </c>
      <c r="F128" s="42"/>
      <c r="G128" s="42" t="str">
        <f>G!AS102</f>
        <v/>
      </c>
      <c r="H128" s="43" t="str">
        <f>G!AR102</f>
        <v>--</v>
      </c>
      <c r="I128" s="42" t="str">
        <f>G!AT102</f>
        <v/>
      </c>
      <c r="J128" s="42" t="str">
        <f>G!AU102</f>
        <v/>
      </c>
      <c r="K128" s="43" t="str">
        <f>IFERROR(IF(OR(H128="--",H128="rg",VLOOKUP(F!$B102,E!$B$1:'E'!$AK$300,12,FALSE)=1000000000,I128="-",I128=""),"",(HLOOKUP(SMALL(G!$Q$4:'G'!$Y$4,1),G!$Q$4:'G'!$Y$501,ROW(G!Q102)-3,FALSE))/VLOOKUP(F!$B102,E!$B$1:'E'!$AK$300,12,FALSE)*100),"")</f>
        <v/>
      </c>
      <c r="L128" s="43"/>
      <c r="M128" s="43" t="str">
        <f>G!AW102</f>
        <v/>
      </c>
      <c r="N128" s="43" t="str">
        <f>G!AV102</f>
        <v>--</v>
      </c>
      <c r="O128" s="42"/>
      <c r="P128" s="42" t="str">
        <f>G!AY102</f>
        <v/>
      </c>
      <c r="Q128" s="43" t="str">
        <f>G!AX102</f>
        <v>--</v>
      </c>
      <c r="R128" s="42" t="str">
        <f>G!AZ102</f>
        <v/>
      </c>
      <c r="S128" s="42" t="str">
        <f>G!BA102</f>
        <v/>
      </c>
      <c r="T128" s="43" t="str">
        <f>IFERROR(IF(OR(Q128="--",Q128="rg",VLOOKUP(F!$B102,E!$B$1:'E'!$AK$300,12,FALSE)=1000000000,R128="-",R128=""),"",(HLOOKUP(SMALL(G!$Q$4:'G'!$Y$4,4),G!$Q$4:'G'!$Y$501,ROW(G!Z102)-3,FALSE))/VLOOKUP(F!$B102,E!$B$1:'E'!$AK$300,12,FALSE)*100),"")</f>
        <v/>
      </c>
      <c r="U128" s="43"/>
      <c r="V128" s="43" t="str">
        <f>G!BC102</f>
        <v/>
      </c>
      <c r="W128" s="43" t="str">
        <f>G!BB102</f>
        <v>--</v>
      </c>
      <c r="X128" s="43"/>
      <c r="Y128" s="42" t="str">
        <f>G!BE102</f>
        <v/>
      </c>
      <c r="Z128" s="43" t="str">
        <f>G!BD102</f>
        <v>--</v>
      </c>
      <c r="AA128" s="42" t="str">
        <f>G!BF102</f>
        <v/>
      </c>
      <c r="AB128" s="42" t="str">
        <f>G!BG102</f>
        <v/>
      </c>
      <c r="AC128" s="43" t="str">
        <f>IFERROR(IF(OR(Z128="--",Z128="rg",VLOOKUP(F!$B102,E!$B$1:'E'!$AK$300,12,FALSE)=1000000000,AA128="-",AA128=""),"",(HLOOKUP(SMALL(G!$Q$4:'G'!$Y$4,7),G!$Q$4:'G'!$Y$501,ROW(G!AI102)-3,FALSE))/VLOOKUP(F!$B102,E!$B$1:'E'!$AK$300,12,FALSE)*100),"")</f>
        <v/>
      </c>
      <c r="AD128" s="43"/>
      <c r="AE128" s="34"/>
      <c r="AF128" s="34"/>
      <c r="AH128" s="72">
        <f t="shared" si="2"/>
        <v>1</v>
      </c>
      <c r="AJ128" s="34"/>
      <c r="AK128" s="34"/>
    </row>
    <row r="129" spans="1:37" s="72" customFormat="1" ht="9" hidden="1" customHeight="1" x14ac:dyDescent="0.15">
      <c r="A129" s="195" t="str">
        <f>F!A103</f>
        <v>Trichloorfluormethaan</v>
      </c>
      <c r="B129" s="195"/>
      <c r="C129" s="195"/>
      <c r="D129" s="44" t="str">
        <f>G!AQ103</f>
        <v/>
      </c>
      <c r="E129" s="43" t="str">
        <f>G!AP103</f>
        <v>--</v>
      </c>
      <c r="F129" s="42"/>
      <c r="G129" s="42" t="str">
        <f>G!AS103</f>
        <v/>
      </c>
      <c r="H129" s="43" t="str">
        <f>G!AR103</f>
        <v>--</v>
      </c>
      <c r="I129" s="42" t="str">
        <f>G!AT103</f>
        <v/>
      </c>
      <c r="J129" s="42" t="str">
        <f>G!AU103</f>
        <v/>
      </c>
      <c r="K129" s="43" t="str">
        <f>IFERROR(IF(OR(H129="--",H129="rg",VLOOKUP(F!$B103,E!$B$1:'E'!$AK$300,12,FALSE)=1000000000,I129="-",I129=""),"",(HLOOKUP(SMALL(G!$Q$4:'G'!$Y$4,1),G!$Q$4:'G'!$Y$501,ROW(G!Q103)-3,FALSE))/VLOOKUP(F!$B103,E!$B$1:'E'!$AK$300,12,FALSE)*100),"")</f>
        <v/>
      </c>
      <c r="L129" s="43"/>
      <c r="M129" s="43" t="str">
        <f>G!AW103</f>
        <v/>
      </c>
      <c r="N129" s="43" t="str">
        <f>G!AV103</f>
        <v>--</v>
      </c>
      <c r="O129" s="42"/>
      <c r="P129" s="42" t="str">
        <f>G!AY103</f>
        <v/>
      </c>
      <c r="Q129" s="43" t="str">
        <f>G!AX103</f>
        <v>--</v>
      </c>
      <c r="R129" s="42" t="str">
        <f>G!AZ103</f>
        <v/>
      </c>
      <c r="S129" s="42" t="str">
        <f>G!BA103</f>
        <v/>
      </c>
      <c r="T129" s="43" t="str">
        <f>IFERROR(IF(OR(Q129="--",Q129="rg",VLOOKUP(F!$B103,E!$B$1:'E'!$AK$300,12,FALSE)=1000000000,R129="-",R129=""),"",(HLOOKUP(SMALL(G!$Q$4:'G'!$Y$4,4),G!$Q$4:'G'!$Y$501,ROW(G!Z103)-3,FALSE))/VLOOKUP(F!$B103,E!$B$1:'E'!$AK$300,12,FALSE)*100),"")</f>
        <v/>
      </c>
      <c r="U129" s="43"/>
      <c r="V129" s="43" t="str">
        <f>G!BC103</f>
        <v/>
      </c>
      <c r="W129" s="43" t="str">
        <f>G!BB103</f>
        <v>--</v>
      </c>
      <c r="X129" s="43"/>
      <c r="Y129" s="42" t="str">
        <f>G!BE103</f>
        <v/>
      </c>
      <c r="Z129" s="43" t="str">
        <f>G!BD103</f>
        <v>--</v>
      </c>
      <c r="AA129" s="42" t="str">
        <f>G!BF103</f>
        <v/>
      </c>
      <c r="AB129" s="42" t="str">
        <f>G!BG103</f>
        <v/>
      </c>
      <c r="AC129" s="43" t="str">
        <f>IFERROR(IF(OR(Z129="--",Z129="rg",VLOOKUP(F!$B103,E!$B$1:'E'!$AK$300,12,FALSE)=1000000000,AA129="-",AA129=""),"",(HLOOKUP(SMALL(G!$Q$4:'G'!$Y$4,7),G!$Q$4:'G'!$Y$501,ROW(G!AI103)-3,FALSE))/VLOOKUP(F!$B103,E!$B$1:'E'!$AK$300,12,FALSE)*100),"")</f>
        <v/>
      </c>
      <c r="AD129" s="43"/>
      <c r="AE129" s="34"/>
      <c r="AF129" s="34"/>
      <c r="AH129" s="72">
        <f t="shared" si="2"/>
        <v>1</v>
      </c>
      <c r="AJ129" s="34"/>
      <c r="AK129" s="34"/>
    </row>
    <row r="130" spans="1:37" s="72" customFormat="1" ht="9" hidden="1" customHeight="1" x14ac:dyDescent="0.15">
      <c r="A130" s="195" t="str">
        <f>F!A104</f>
        <v>Dichloorfluormethaan</v>
      </c>
      <c r="B130" s="195"/>
      <c r="C130" s="195"/>
      <c r="D130" s="44" t="str">
        <f>G!AQ104</f>
        <v/>
      </c>
      <c r="E130" s="43" t="str">
        <f>G!AP104</f>
        <v>--</v>
      </c>
      <c r="F130" s="42"/>
      <c r="G130" s="42" t="str">
        <f>G!AS104</f>
        <v/>
      </c>
      <c r="H130" s="43" t="str">
        <f>G!AR104</f>
        <v>--</v>
      </c>
      <c r="I130" s="42" t="str">
        <f>G!AT104</f>
        <v/>
      </c>
      <c r="J130" s="42" t="str">
        <f>G!AU104</f>
        <v/>
      </c>
      <c r="K130" s="43" t="str">
        <f>IFERROR(IF(OR(H130="--",H130="rg",VLOOKUP(F!$B104,E!$B$1:'E'!$AK$300,12,FALSE)=1000000000,I130="-",I130=""),"",(HLOOKUP(SMALL(G!$Q$4:'G'!$Y$4,1),G!$Q$4:'G'!$Y$501,ROW(G!Q104)-3,FALSE))/VLOOKUP(F!$B104,E!$B$1:'E'!$AK$300,12,FALSE)*100),"")</f>
        <v/>
      </c>
      <c r="L130" s="43"/>
      <c r="M130" s="43" t="str">
        <f>G!AW104</f>
        <v/>
      </c>
      <c r="N130" s="43" t="str">
        <f>G!AV104</f>
        <v>--</v>
      </c>
      <c r="O130" s="42"/>
      <c r="P130" s="42" t="str">
        <f>G!AY104</f>
        <v/>
      </c>
      <c r="Q130" s="43" t="str">
        <f>G!AX104</f>
        <v>--</v>
      </c>
      <c r="R130" s="42" t="str">
        <f>G!AZ104</f>
        <v/>
      </c>
      <c r="S130" s="42" t="str">
        <f>G!BA104</f>
        <v/>
      </c>
      <c r="T130" s="43" t="str">
        <f>IFERROR(IF(OR(Q130="--",Q130="rg",VLOOKUP(F!$B104,E!$B$1:'E'!$AK$300,12,FALSE)=1000000000,R130="-",R130=""),"",(HLOOKUP(SMALL(G!$Q$4:'G'!$Y$4,4),G!$Q$4:'G'!$Y$501,ROW(G!Z104)-3,FALSE))/VLOOKUP(F!$B104,E!$B$1:'E'!$AK$300,12,FALSE)*100),"")</f>
        <v/>
      </c>
      <c r="U130" s="43"/>
      <c r="V130" s="43" t="str">
        <f>G!BC104</f>
        <v/>
      </c>
      <c r="W130" s="43" t="str">
        <f>G!BB104</f>
        <v>--</v>
      </c>
      <c r="X130" s="43"/>
      <c r="Y130" s="42" t="str">
        <f>G!BE104</f>
        <v/>
      </c>
      <c r="Z130" s="43" t="str">
        <f>G!BD104</f>
        <v>--</v>
      </c>
      <c r="AA130" s="42" t="str">
        <f>G!BF104</f>
        <v/>
      </c>
      <c r="AB130" s="42" t="str">
        <f>G!BG104</f>
        <v/>
      </c>
      <c r="AC130" s="43" t="str">
        <f>IFERROR(IF(OR(Z130="--",Z130="rg",VLOOKUP(F!$B104,E!$B$1:'E'!$AK$300,12,FALSE)=1000000000,AA130="-",AA130=""),"",(HLOOKUP(SMALL(G!$Q$4:'G'!$Y$4,7),G!$Q$4:'G'!$Y$501,ROW(G!AI104)-3,FALSE))/VLOOKUP(F!$B104,E!$B$1:'E'!$AK$300,12,FALSE)*100),"")</f>
        <v/>
      </c>
      <c r="AD130" s="43"/>
      <c r="AE130" s="34"/>
      <c r="AF130" s="34"/>
      <c r="AH130" s="72">
        <f t="shared" si="2"/>
        <v>1</v>
      </c>
      <c r="AJ130" s="34"/>
      <c r="AK130" s="34"/>
    </row>
    <row r="131" spans="1:37" s="72" customFormat="1" ht="9" hidden="1" customHeight="1" x14ac:dyDescent="0.15">
      <c r="A131" s="195" t="str">
        <f>F!A105</f>
        <v>Chloorethaan</v>
      </c>
      <c r="B131" s="195"/>
      <c r="C131" s="195"/>
      <c r="D131" s="44" t="str">
        <f>G!AQ105</f>
        <v/>
      </c>
      <c r="E131" s="43" t="str">
        <f>G!AP105</f>
        <v>--</v>
      </c>
      <c r="F131" s="42"/>
      <c r="G131" s="42" t="str">
        <f>G!AS105</f>
        <v/>
      </c>
      <c r="H131" s="43" t="str">
        <f>G!AR105</f>
        <v>--</v>
      </c>
      <c r="I131" s="42" t="str">
        <f>G!AT105</f>
        <v/>
      </c>
      <c r="J131" s="42" t="str">
        <f>G!AU105</f>
        <v/>
      </c>
      <c r="K131" s="43" t="str">
        <f>IFERROR(IF(OR(H131="--",H131="rg",VLOOKUP(F!$B105,E!$B$1:'E'!$AK$300,12,FALSE)=1000000000,I131="-",I131=""),"",(HLOOKUP(SMALL(G!$Q$4:'G'!$Y$4,1),G!$Q$4:'G'!$Y$501,ROW(G!Q105)-3,FALSE))/VLOOKUP(F!$B105,E!$B$1:'E'!$AK$300,12,FALSE)*100),"")</f>
        <v/>
      </c>
      <c r="L131" s="43"/>
      <c r="M131" s="43" t="str">
        <f>G!AW105</f>
        <v/>
      </c>
      <c r="N131" s="43" t="str">
        <f>G!AV105</f>
        <v>--</v>
      </c>
      <c r="O131" s="42"/>
      <c r="P131" s="42" t="str">
        <f>G!AY105</f>
        <v/>
      </c>
      <c r="Q131" s="43" t="str">
        <f>G!AX105</f>
        <v>--</v>
      </c>
      <c r="R131" s="42" t="str">
        <f>G!AZ105</f>
        <v/>
      </c>
      <c r="S131" s="42" t="str">
        <f>G!BA105</f>
        <v/>
      </c>
      <c r="T131" s="43" t="str">
        <f>IFERROR(IF(OR(Q131="--",Q131="rg",VLOOKUP(F!$B105,E!$B$1:'E'!$AK$300,12,FALSE)=1000000000,R131="-",R131=""),"",(HLOOKUP(SMALL(G!$Q$4:'G'!$Y$4,4),G!$Q$4:'G'!$Y$501,ROW(G!Z105)-3,FALSE))/VLOOKUP(F!$B105,E!$B$1:'E'!$AK$300,12,FALSE)*100),"")</f>
        <v/>
      </c>
      <c r="U131" s="43"/>
      <c r="V131" s="43" t="str">
        <f>G!BC105</f>
        <v/>
      </c>
      <c r="W131" s="43" t="str">
        <f>G!BB105</f>
        <v>--</v>
      </c>
      <c r="X131" s="43"/>
      <c r="Y131" s="42" t="str">
        <f>G!BE105</f>
        <v/>
      </c>
      <c r="Z131" s="43" t="str">
        <f>G!BD105</f>
        <v>--</v>
      </c>
      <c r="AA131" s="42" t="str">
        <f>G!BF105</f>
        <v/>
      </c>
      <c r="AB131" s="42" t="str">
        <f>G!BG105</f>
        <v/>
      </c>
      <c r="AC131" s="43" t="str">
        <f>IFERROR(IF(OR(Z131="--",Z131="rg",VLOOKUP(F!$B105,E!$B$1:'E'!$AK$300,12,FALSE)=1000000000,AA131="-",AA131=""),"",(HLOOKUP(SMALL(G!$Q$4:'G'!$Y$4,7),G!$Q$4:'G'!$Y$501,ROW(G!AI105)-3,FALSE))/VLOOKUP(F!$B105,E!$B$1:'E'!$AK$300,12,FALSE)*100),"")</f>
        <v/>
      </c>
      <c r="AD131" s="43"/>
      <c r="AE131" s="34"/>
      <c r="AF131" s="34"/>
      <c r="AH131" s="72">
        <f t="shared" si="2"/>
        <v>1</v>
      </c>
      <c r="AJ131" s="34"/>
      <c r="AK131" s="34"/>
    </row>
    <row r="132" spans="1:37" s="72" customFormat="1" ht="9" hidden="1" customHeight="1" x14ac:dyDescent="0.15">
      <c r="A132" s="195" t="str">
        <f>F!A106</f>
        <v>Chloormethaan</v>
      </c>
      <c r="B132" s="195"/>
      <c r="C132" s="195"/>
      <c r="D132" s="44" t="str">
        <f>G!AQ106</f>
        <v/>
      </c>
      <c r="E132" s="43" t="str">
        <f>G!AP106</f>
        <v>--</v>
      </c>
      <c r="F132" s="42"/>
      <c r="G132" s="42" t="str">
        <f>G!AS106</f>
        <v/>
      </c>
      <c r="H132" s="43" t="str">
        <f>G!AR106</f>
        <v>--</v>
      </c>
      <c r="I132" s="42" t="str">
        <f>G!AT106</f>
        <v/>
      </c>
      <c r="J132" s="42" t="str">
        <f>G!AU106</f>
        <v/>
      </c>
      <c r="K132" s="43" t="str">
        <f>IFERROR(IF(OR(H132="--",H132="rg",VLOOKUP(F!$B106,E!$B$1:'E'!$AK$300,12,FALSE)=1000000000,I132="-",I132=""),"",(HLOOKUP(SMALL(G!$Q$4:'G'!$Y$4,1),G!$Q$4:'G'!$Y$501,ROW(G!Q106)-3,FALSE))/VLOOKUP(F!$B106,E!$B$1:'E'!$AK$300,12,FALSE)*100),"")</f>
        <v/>
      </c>
      <c r="L132" s="43"/>
      <c r="M132" s="43" t="str">
        <f>G!AW106</f>
        <v/>
      </c>
      <c r="N132" s="43" t="str">
        <f>G!AV106</f>
        <v>--</v>
      </c>
      <c r="O132" s="42"/>
      <c r="P132" s="42" t="str">
        <f>G!AY106</f>
        <v/>
      </c>
      <c r="Q132" s="43" t="str">
        <f>G!AX106</f>
        <v>--</v>
      </c>
      <c r="R132" s="42" t="str">
        <f>G!AZ106</f>
        <v/>
      </c>
      <c r="S132" s="42" t="str">
        <f>G!BA106</f>
        <v/>
      </c>
      <c r="T132" s="43" t="str">
        <f>IFERROR(IF(OR(Q132="--",Q132="rg",VLOOKUP(F!$B106,E!$B$1:'E'!$AK$300,12,FALSE)=1000000000,R132="-",R132=""),"",(HLOOKUP(SMALL(G!$Q$4:'G'!$Y$4,4),G!$Q$4:'G'!$Y$501,ROW(G!Z106)-3,FALSE))/VLOOKUP(F!$B106,E!$B$1:'E'!$AK$300,12,FALSE)*100),"")</f>
        <v/>
      </c>
      <c r="U132" s="43"/>
      <c r="V132" s="43" t="str">
        <f>G!BC106</f>
        <v/>
      </c>
      <c r="W132" s="43" t="str">
        <f>G!BB106</f>
        <v>--</v>
      </c>
      <c r="X132" s="43"/>
      <c r="Y132" s="42" t="str">
        <f>G!BE106</f>
        <v/>
      </c>
      <c r="Z132" s="43" t="str">
        <f>G!BD106</f>
        <v>--</v>
      </c>
      <c r="AA132" s="42" t="str">
        <f>G!BF106</f>
        <v/>
      </c>
      <c r="AB132" s="42" t="str">
        <f>G!BG106</f>
        <v/>
      </c>
      <c r="AC132" s="43" t="str">
        <f>IFERROR(IF(OR(Z132="--",Z132="rg",VLOOKUP(F!$B106,E!$B$1:'E'!$AK$300,12,FALSE)=1000000000,AA132="-",AA132=""),"",(HLOOKUP(SMALL(G!$Q$4:'G'!$Y$4,7),G!$Q$4:'G'!$Y$501,ROW(G!AI106)-3,FALSE))/VLOOKUP(F!$B106,E!$B$1:'E'!$AK$300,12,FALSE)*100),"")</f>
        <v/>
      </c>
      <c r="AD132" s="43"/>
      <c r="AE132" s="34"/>
      <c r="AF132" s="34"/>
      <c r="AH132" s="72">
        <f t="shared" si="2"/>
        <v>1</v>
      </c>
      <c r="AJ132" s="34"/>
      <c r="AK132" s="34"/>
    </row>
    <row r="133" spans="1:37" s="72" customFormat="1" ht="9" hidden="1" customHeight="1" x14ac:dyDescent="0.15">
      <c r="A133" s="195" t="str">
        <f>F!A107</f>
        <v>Broommethaan</v>
      </c>
      <c r="B133" s="195"/>
      <c r="C133" s="195"/>
      <c r="D133" s="44" t="str">
        <f>G!AQ107</f>
        <v/>
      </c>
      <c r="E133" s="43" t="str">
        <f>G!AP107</f>
        <v>--</v>
      </c>
      <c r="F133" s="42"/>
      <c r="G133" s="42" t="str">
        <f>G!AS107</f>
        <v/>
      </c>
      <c r="H133" s="43" t="str">
        <f>G!AR107</f>
        <v>--</v>
      </c>
      <c r="I133" s="42" t="str">
        <f>G!AT107</f>
        <v/>
      </c>
      <c r="J133" s="42" t="str">
        <f>G!AU107</f>
        <v/>
      </c>
      <c r="K133" s="43" t="str">
        <f>IFERROR(IF(OR(H133="--",H133="rg",VLOOKUP(F!$B107,E!$B$1:'E'!$AK$300,12,FALSE)=1000000000,I133="-",I133=""),"",(HLOOKUP(SMALL(G!$Q$4:'G'!$Y$4,1),G!$Q$4:'G'!$Y$501,ROW(G!Q107)-3,FALSE))/VLOOKUP(F!$B107,E!$B$1:'E'!$AK$300,12,FALSE)*100),"")</f>
        <v/>
      </c>
      <c r="L133" s="43"/>
      <c r="M133" s="43" t="str">
        <f>G!AW107</f>
        <v/>
      </c>
      <c r="N133" s="43" t="str">
        <f>G!AV107</f>
        <v>--</v>
      </c>
      <c r="O133" s="42"/>
      <c r="P133" s="42" t="str">
        <f>G!AY107</f>
        <v/>
      </c>
      <c r="Q133" s="43" t="str">
        <f>G!AX107</f>
        <v>--</v>
      </c>
      <c r="R133" s="42" t="str">
        <f>G!AZ107</f>
        <v/>
      </c>
      <c r="S133" s="42" t="str">
        <f>G!BA107</f>
        <v/>
      </c>
      <c r="T133" s="43" t="str">
        <f>IFERROR(IF(OR(Q133="--",Q133="rg",VLOOKUP(F!$B107,E!$B$1:'E'!$AK$300,12,FALSE)=1000000000,R133="-",R133=""),"",(HLOOKUP(SMALL(G!$Q$4:'G'!$Y$4,4),G!$Q$4:'G'!$Y$501,ROW(G!Z107)-3,FALSE))/VLOOKUP(F!$B107,E!$B$1:'E'!$AK$300,12,FALSE)*100),"")</f>
        <v/>
      </c>
      <c r="U133" s="43"/>
      <c r="V133" s="43" t="str">
        <f>G!BC107</f>
        <v/>
      </c>
      <c r="W133" s="43" t="str">
        <f>G!BB107</f>
        <v>--</v>
      </c>
      <c r="X133" s="43"/>
      <c r="Y133" s="42" t="str">
        <f>G!BE107</f>
        <v/>
      </c>
      <c r="Z133" s="43" t="str">
        <f>G!BD107</f>
        <v>--</v>
      </c>
      <c r="AA133" s="42" t="str">
        <f>G!BF107</f>
        <v/>
      </c>
      <c r="AB133" s="42" t="str">
        <f>G!BG107</f>
        <v/>
      </c>
      <c r="AC133" s="43" t="str">
        <f>IFERROR(IF(OR(Z133="--",Z133="rg",VLOOKUP(F!$B107,E!$B$1:'E'!$AK$300,12,FALSE)=1000000000,AA133="-",AA133=""),"",(HLOOKUP(SMALL(G!$Q$4:'G'!$Y$4,7),G!$Q$4:'G'!$Y$501,ROW(G!AI107)-3,FALSE))/VLOOKUP(F!$B107,E!$B$1:'E'!$AK$300,12,FALSE)*100),"")</f>
        <v/>
      </c>
      <c r="AD133" s="43"/>
      <c r="AE133" s="34"/>
      <c r="AF133" s="34"/>
      <c r="AH133" s="72">
        <f t="shared" si="2"/>
        <v>1</v>
      </c>
      <c r="AJ133" s="34"/>
      <c r="AK133" s="34"/>
    </row>
    <row r="134" spans="1:37" ht="3.95" hidden="1" customHeight="1" x14ac:dyDescent="0.15">
      <c r="A134" s="41"/>
      <c r="B134" s="41"/>
      <c r="C134" s="41"/>
      <c r="D134" s="44"/>
      <c r="E134" s="43"/>
      <c r="F134" s="42"/>
      <c r="G134" s="42"/>
      <c r="H134" s="43"/>
      <c r="I134" s="42"/>
      <c r="J134" s="42"/>
      <c r="K134" s="42"/>
      <c r="L134" s="43"/>
      <c r="M134" s="43"/>
      <c r="N134" s="42"/>
      <c r="O134" s="42"/>
      <c r="P134" s="43"/>
      <c r="Q134" s="42"/>
      <c r="R134" s="42"/>
      <c r="S134" s="42"/>
      <c r="T134" s="43"/>
      <c r="U134" s="43"/>
      <c r="V134" s="43"/>
      <c r="W134" s="42"/>
      <c r="X134" s="43"/>
      <c r="Y134" s="42"/>
      <c r="Z134" s="43"/>
      <c r="AA134" s="43"/>
      <c r="AC134" s="34"/>
      <c r="AD134" s="72"/>
      <c r="AF134" s="72"/>
      <c r="AG134" s="34"/>
      <c r="AH134" s="94">
        <f>AH135</f>
        <v>1</v>
      </c>
      <c r="AI134" s="34"/>
    </row>
    <row r="135" spans="1:37" ht="9" hidden="1" customHeight="1" x14ac:dyDescent="0.15">
      <c r="A135" s="198" t="str">
        <f>IF(COUNTIF(F!D106:D121,131)&gt;0,"Chloorbenzenen (µg/kgds)","Chloorbenzenen (mg/kgds)")</f>
        <v>Chloorbenzenen (mg/kgds)</v>
      </c>
      <c r="B135" s="198"/>
      <c r="C135" s="198"/>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198"/>
      <c r="AC135" s="34"/>
      <c r="AD135" s="72"/>
      <c r="AF135" s="72"/>
      <c r="AG135" s="34"/>
      <c r="AH135" s="94">
        <f>IF(COUNTIF(AH136:AH151,1)=COUNT(AH136:AH151),1,0)</f>
        <v>1</v>
      </c>
      <c r="AI135" s="34"/>
    </row>
    <row r="136" spans="1:37" s="72" customFormat="1" ht="9" hidden="1" customHeight="1" x14ac:dyDescent="0.15">
      <c r="A136" s="195" t="str">
        <f>F!A108</f>
        <v>Monochloorbenzeen</v>
      </c>
      <c r="B136" s="195"/>
      <c r="C136" s="195"/>
      <c r="D136" s="44" t="str">
        <f>G!AQ108</f>
        <v/>
      </c>
      <c r="E136" s="43" t="str">
        <f>G!AP108</f>
        <v>--</v>
      </c>
      <c r="F136" s="42"/>
      <c r="G136" s="42" t="str">
        <f>G!AS108</f>
        <v/>
      </c>
      <c r="H136" s="43" t="str">
        <f>G!AR108</f>
        <v>--</v>
      </c>
      <c r="I136" s="42" t="str">
        <f>G!AT108</f>
        <v/>
      </c>
      <c r="J136" s="42" t="str">
        <f>G!AU108</f>
        <v/>
      </c>
      <c r="K136" s="43" t="str">
        <f>IFERROR(IF(OR(H136="--",H136="rg",VLOOKUP(F!$B108,E!$B$1:'E'!$AK$300,12,FALSE)=1000000000,I136="-",I136=""),"",(HLOOKUP(SMALL(G!$Q$4:'G'!$Y$4,1),G!$Q$4:'G'!$Y$501,ROW(G!Q108)-3,FALSE))/VLOOKUP(F!$B108,E!$B$1:'E'!$AK$300,12,FALSE)*100),"")</f>
        <v/>
      </c>
      <c r="L136" s="43"/>
      <c r="M136" s="43" t="str">
        <f>G!AW108</f>
        <v/>
      </c>
      <c r="N136" s="43" t="str">
        <f>G!AV108</f>
        <v>--</v>
      </c>
      <c r="O136" s="42"/>
      <c r="P136" s="42" t="str">
        <f>G!AY108</f>
        <v/>
      </c>
      <c r="Q136" s="43" t="str">
        <f>G!AX108</f>
        <v>--</v>
      </c>
      <c r="R136" s="42" t="str">
        <f>G!AZ108</f>
        <v/>
      </c>
      <c r="S136" s="42" t="str">
        <f>G!BA108</f>
        <v/>
      </c>
      <c r="T136" s="43" t="str">
        <f>IFERROR(IF(OR(Q136="--",Q136="rg",VLOOKUP(F!$B108,E!$B$1:'E'!$AK$300,12,FALSE)=1000000000,R136="-",R136=""),"",(HLOOKUP(SMALL(G!$Q$4:'G'!$Y$4,4),G!$Q$4:'G'!$Y$501,ROW(G!Z108)-3,FALSE))/VLOOKUP(F!$B108,E!$B$1:'E'!$AK$300,12,FALSE)*100),"")</f>
        <v/>
      </c>
      <c r="U136" s="43"/>
      <c r="V136" s="43" t="str">
        <f>G!BC108</f>
        <v/>
      </c>
      <c r="W136" s="43" t="str">
        <f>G!BB108</f>
        <v>--</v>
      </c>
      <c r="X136" s="43"/>
      <c r="Y136" s="42" t="str">
        <f>G!BE108</f>
        <v/>
      </c>
      <c r="Z136" s="43" t="str">
        <f>G!BD108</f>
        <v>--</v>
      </c>
      <c r="AA136" s="42" t="str">
        <f>G!BF108</f>
        <v/>
      </c>
      <c r="AB136" s="42" t="str">
        <f>G!BG108</f>
        <v/>
      </c>
      <c r="AC136" s="43" t="str">
        <f>IFERROR(IF(OR(Z136="--",Z136="rg",VLOOKUP(F!$B108,E!$B$1:'E'!$AK$300,12,FALSE)=1000000000,AA136="-",AA136=""),"",(HLOOKUP(SMALL(G!$Q$4:'G'!$Y$4,7),G!$Q$4:'G'!$Y$501,ROW(G!AI108)-3,FALSE))/VLOOKUP(F!$B108,E!$B$1:'E'!$AK$300,12,FALSE)*100),"")</f>
        <v/>
      </c>
      <c r="AD136" s="43"/>
      <c r="AE136" s="34"/>
      <c r="AF136" s="34"/>
      <c r="AH136" s="72">
        <f t="shared" si="2"/>
        <v>1</v>
      </c>
      <c r="AJ136" s="34"/>
      <c r="AK136" s="34"/>
    </row>
    <row r="137" spans="1:37" s="72" customFormat="1" ht="9" hidden="1" customHeight="1" x14ac:dyDescent="0.15">
      <c r="A137" s="195" t="str">
        <f>F!A109</f>
        <v>1,2-Dichloorbenzeen</v>
      </c>
      <c r="B137" s="195"/>
      <c r="C137" s="195"/>
      <c r="D137" s="44" t="str">
        <f>G!AQ109</f>
        <v/>
      </c>
      <c r="E137" s="43" t="str">
        <f>G!AP109</f>
        <v>--</v>
      </c>
      <c r="F137" s="42"/>
      <c r="G137" s="42" t="str">
        <f>G!AS109</f>
        <v/>
      </c>
      <c r="H137" s="43" t="str">
        <f>G!AR109</f>
        <v>--</v>
      </c>
      <c r="I137" s="42" t="str">
        <f>G!AT109</f>
        <v/>
      </c>
      <c r="J137" s="42" t="str">
        <f>G!AU109</f>
        <v/>
      </c>
      <c r="K137" s="43" t="str">
        <f>IFERROR(IF(OR(H137="--",H137="rg",VLOOKUP(F!$B109,E!$B$1:'E'!$AK$300,12,FALSE)=1000000000,I137="-",I137=""),"",(HLOOKUP(SMALL(G!$Q$4:'G'!$Y$4,1),G!$Q$4:'G'!$Y$501,ROW(G!Q109)-3,FALSE))/VLOOKUP(F!$B109,E!$B$1:'E'!$AK$300,12,FALSE)*100),"")</f>
        <v/>
      </c>
      <c r="L137" s="43"/>
      <c r="M137" s="43" t="str">
        <f>G!AW109</f>
        <v/>
      </c>
      <c r="N137" s="43" t="str">
        <f>G!AV109</f>
        <v>--</v>
      </c>
      <c r="O137" s="42"/>
      <c r="P137" s="42" t="str">
        <f>G!AY109</f>
        <v/>
      </c>
      <c r="Q137" s="43" t="str">
        <f>G!AX109</f>
        <v>--</v>
      </c>
      <c r="R137" s="42" t="str">
        <f>G!AZ109</f>
        <v/>
      </c>
      <c r="S137" s="42" t="str">
        <f>G!BA109</f>
        <v/>
      </c>
      <c r="T137" s="43" t="str">
        <f>IFERROR(IF(OR(Q137="--",Q137="rg",VLOOKUP(F!$B109,E!$B$1:'E'!$AK$300,12,FALSE)=1000000000,R137="-",R137=""),"",(HLOOKUP(SMALL(G!$Q$4:'G'!$Y$4,4),G!$Q$4:'G'!$Y$501,ROW(G!Z109)-3,FALSE))/VLOOKUP(F!$B109,E!$B$1:'E'!$AK$300,12,FALSE)*100),"")</f>
        <v/>
      </c>
      <c r="U137" s="43"/>
      <c r="V137" s="43" t="str">
        <f>G!BC109</f>
        <v/>
      </c>
      <c r="W137" s="43" t="str">
        <f>G!BB109</f>
        <v>--</v>
      </c>
      <c r="X137" s="43"/>
      <c r="Y137" s="42" t="str">
        <f>G!BE109</f>
        <v/>
      </c>
      <c r="Z137" s="43" t="str">
        <f>G!BD109</f>
        <v>--</v>
      </c>
      <c r="AA137" s="42" t="str">
        <f>G!BF109</f>
        <v/>
      </c>
      <c r="AB137" s="42" t="str">
        <f>G!BG109</f>
        <v/>
      </c>
      <c r="AC137" s="43" t="str">
        <f>IFERROR(IF(OR(Z137="--",Z137="rg",VLOOKUP(F!$B109,E!$B$1:'E'!$AK$300,12,FALSE)=1000000000,AA137="-",AA137=""),"",(HLOOKUP(SMALL(G!$Q$4:'G'!$Y$4,7),G!$Q$4:'G'!$Y$501,ROW(G!AI109)-3,FALSE))/VLOOKUP(F!$B109,E!$B$1:'E'!$AK$300,12,FALSE)*100),"")</f>
        <v/>
      </c>
      <c r="AD137" s="43"/>
      <c r="AE137" s="34"/>
      <c r="AF137" s="34"/>
      <c r="AH137" s="72">
        <f t="shared" si="2"/>
        <v>1</v>
      </c>
      <c r="AJ137" s="34"/>
      <c r="AK137" s="34"/>
    </row>
    <row r="138" spans="1:37" s="72" customFormat="1" ht="9" hidden="1" customHeight="1" x14ac:dyDescent="0.15">
      <c r="A138" s="195" t="str">
        <f>F!A110</f>
        <v>1,3-Dichloorbenzeen</v>
      </c>
      <c r="B138" s="195"/>
      <c r="C138" s="195"/>
      <c r="D138" s="44" t="str">
        <f>G!AQ110</f>
        <v/>
      </c>
      <c r="E138" s="43" t="str">
        <f>G!AP110</f>
        <v>--</v>
      </c>
      <c r="F138" s="42"/>
      <c r="G138" s="42" t="str">
        <f>G!AS110</f>
        <v/>
      </c>
      <c r="H138" s="43" t="str">
        <f>G!AR110</f>
        <v>--</v>
      </c>
      <c r="I138" s="42" t="str">
        <f>G!AT110</f>
        <v/>
      </c>
      <c r="J138" s="42" t="str">
        <f>G!AU110</f>
        <v/>
      </c>
      <c r="K138" s="43" t="str">
        <f>IFERROR(IF(OR(H138="--",H138="rg",VLOOKUP(F!$B110,E!$B$1:'E'!$AK$300,12,FALSE)=1000000000,I138="-",I138=""),"",(HLOOKUP(SMALL(G!$Q$4:'G'!$Y$4,1),G!$Q$4:'G'!$Y$501,ROW(G!Q110)-3,FALSE))/VLOOKUP(F!$B110,E!$B$1:'E'!$AK$300,12,FALSE)*100),"")</f>
        <v/>
      </c>
      <c r="L138" s="43"/>
      <c r="M138" s="43" t="str">
        <f>G!AW110</f>
        <v/>
      </c>
      <c r="N138" s="43" t="str">
        <f>G!AV110</f>
        <v>--</v>
      </c>
      <c r="O138" s="42"/>
      <c r="P138" s="42" t="str">
        <f>G!AY110</f>
        <v/>
      </c>
      <c r="Q138" s="43" t="str">
        <f>G!AX110</f>
        <v>--</v>
      </c>
      <c r="R138" s="42" t="str">
        <f>G!AZ110</f>
        <v/>
      </c>
      <c r="S138" s="42" t="str">
        <f>G!BA110</f>
        <v/>
      </c>
      <c r="T138" s="43" t="str">
        <f>IFERROR(IF(OR(Q138="--",Q138="rg",VLOOKUP(F!$B110,E!$B$1:'E'!$AK$300,12,FALSE)=1000000000,R138="-",R138=""),"",(HLOOKUP(SMALL(G!$Q$4:'G'!$Y$4,4),G!$Q$4:'G'!$Y$501,ROW(G!Z110)-3,FALSE))/VLOOKUP(F!$B110,E!$B$1:'E'!$AK$300,12,FALSE)*100),"")</f>
        <v/>
      </c>
      <c r="U138" s="43"/>
      <c r="V138" s="43" t="str">
        <f>G!BC110</f>
        <v/>
      </c>
      <c r="W138" s="43" t="str">
        <f>G!BB110</f>
        <v>--</v>
      </c>
      <c r="X138" s="43"/>
      <c r="Y138" s="42" t="str">
        <f>G!BE110</f>
        <v/>
      </c>
      <c r="Z138" s="43" t="str">
        <f>G!BD110</f>
        <v>--</v>
      </c>
      <c r="AA138" s="42" t="str">
        <f>G!BF110</f>
        <v/>
      </c>
      <c r="AB138" s="42" t="str">
        <f>G!BG110</f>
        <v/>
      </c>
      <c r="AC138" s="43" t="str">
        <f>IFERROR(IF(OR(Z138="--",Z138="rg",VLOOKUP(F!$B110,E!$B$1:'E'!$AK$300,12,FALSE)=1000000000,AA138="-",AA138=""),"",(HLOOKUP(SMALL(G!$Q$4:'G'!$Y$4,7),G!$Q$4:'G'!$Y$501,ROW(G!AI110)-3,FALSE))/VLOOKUP(F!$B110,E!$B$1:'E'!$AK$300,12,FALSE)*100),"")</f>
        <v/>
      </c>
      <c r="AD138" s="43"/>
      <c r="AE138" s="34"/>
      <c r="AF138" s="34"/>
      <c r="AH138" s="72">
        <f t="shared" si="2"/>
        <v>1</v>
      </c>
      <c r="AJ138" s="34"/>
      <c r="AK138" s="34"/>
    </row>
    <row r="139" spans="1:37" s="72" customFormat="1" ht="9" hidden="1" customHeight="1" x14ac:dyDescent="0.15">
      <c r="A139" s="195" t="str">
        <f>F!A111</f>
        <v>1,4-Dichloorbenzeen</v>
      </c>
      <c r="B139" s="195"/>
      <c r="C139" s="195"/>
      <c r="D139" s="44" t="str">
        <f>G!AQ111</f>
        <v/>
      </c>
      <c r="E139" s="43" t="str">
        <f>G!AP111</f>
        <v>--</v>
      </c>
      <c r="F139" s="42"/>
      <c r="G139" s="42" t="str">
        <f>G!AS111</f>
        <v/>
      </c>
      <c r="H139" s="43" t="str">
        <f>G!AR111</f>
        <v>--</v>
      </c>
      <c r="I139" s="42" t="str">
        <f>G!AT111</f>
        <v/>
      </c>
      <c r="J139" s="42" t="str">
        <f>G!AU111</f>
        <v/>
      </c>
      <c r="K139" s="43" t="str">
        <f>IFERROR(IF(OR(H139="--",H139="rg",VLOOKUP(F!$B111,E!$B$1:'E'!$AK$300,12,FALSE)=1000000000,I139="-",I139=""),"",(HLOOKUP(SMALL(G!$Q$4:'G'!$Y$4,1),G!$Q$4:'G'!$Y$501,ROW(G!Q111)-3,FALSE))/VLOOKUP(F!$B111,E!$B$1:'E'!$AK$300,12,FALSE)*100),"")</f>
        <v/>
      </c>
      <c r="L139" s="43"/>
      <c r="M139" s="43" t="str">
        <f>G!AW111</f>
        <v/>
      </c>
      <c r="N139" s="43" t="str">
        <f>G!AV111</f>
        <v>--</v>
      </c>
      <c r="O139" s="42"/>
      <c r="P139" s="42" t="str">
        <f>G!AY111</f>
        <v/>
      </c>
      <c r="Q139" s="43" t="str">
        <f>G!AX111</f>
        <v>--</v>
      </c>
      <c r="R139" s="42" t="str">
        <f>G!AZ111</f>
        <v/>
      </c>
      <c r="S139" s="42" t="str">
        <f>G!BA111</f>
        <v/>
      </c>
      <c r="T139" s="43" t="str">
        <f>IFERROR(IF(OR(Q139="--",Q139="rg",VLOOKUP(F!$B111,E!$B$1:'E'!$AK$300,12,FALSE)=1000000000,R139="-",R139=""),"",(HLOOKUP(SMALL(G!$Q$4:'G'!$Y$4,4),G!$Q$4:'G'!$Y$501,ROW(G!Z111)-3,FALSE))/VLOOKUP(F!$B111,E!$B$1:'E'!$AK$300,12,FALSE)*100),"")</f>
        <v/>
      </c>
      <c r="U139" s="43"/>
      <c r="V139" s="43" t="str">
        <f>G!BC111</f>
        <v/>
      </c>
      <c r="W139" s="43" t="str">
        <f>G!BB111</f>
        <v>--</v>
      </c>
      <c r="X139" s="43"/>
      <c r="Y139" s="42" t="str">
        <f>G!BE111</f>
        <v/>
      </c>
      <c r="Z139" s="43" t="str">
        <f>G!BD111</f>
        <v>--</v>
      </c>
      <c r="AA139" s="42" t="str">
        <f>G!BF111</f>
        <v/>
      </c>
      <c r="AB139" s="42" t="str">
        <f>G!BG111</f>
        <v/>
      </c>
      <c r="AC139" s="43" t="str">
        <f>IFERROR(IF(OR(Z139="--",Z139="rg",VLOOKUP(F!$B111,E!$B$1:'E'!$AK$300,12,FALSE)=1000000000,AA139="-",AA139=""),"",(HLOOKUP(SMALL(G!$Q$4:'G'!$Y$4,7),G!$Q$4:'G'!$Y$501,ROW(G!AI111)-3,FALSE))/VLOOKUP(F!$B111,E!$B$1:'E'!$AK$300,12,FALSE)*100),"")</f>
        <v/>
      </c>
      <c r="AD139" s="43"/>
      <c r="AE139" s="34"/>
      <c r="AF139" s="34"/>
      <c r="AH139" s="72">
        <f t="shared" si="2"/>
        <v>1</v>
      </c>
      <c r="AJ139" s="34"/>
      <c r="AK139" s="34"/>
    </row>
    <row r="140" spans="1:37" s="72" customFormat="1" ht="9" hidden="1" customHeight="1" x14ac:dyDescent="0.15">
      <c r="A140" s="195" t="str">
        <f>F!A112</f>
        <v>Dichloorbenzenen (som)</v>
      </c>
      <c r="B140" s="195"/>
      <c r="C140" s="195"/>
      <c r="D140" s="44" t="str">
        <f>G!AQ112</f>
        <v/>
      </c>
      <c r="E140" s="43" t="str">
        <f>G!AP112</f>
        <v>--</v>
      </c>
      <c r="F140" s="42"/>
      <c r="G140" s="42" t="str">
        <f>G!AS112</f>
        <v/>
      </c>
      <c r="H140" s="43" t="str">
        <f>G!AR112</f>
        <v>--</v>
      </c>
      <c r="I140" s="42" t="str">
        <f>G!AT112</f>
        <v/>
      </c>
      <c r="J140" s="42" t="str">
        <f>G!AU112</f>
        <v/>
      </c>
      <c r="K140" s="43" t="str">
        <f>IFERROR(IF(OR(H140="--",H140="rg",VLOOKUP(F!$B112,E!$B$1:'E'!$AK$300,12,FALSE)=1000000000,I140="-",I140=""),"",(HLOOKUP(SMALL(G!$Q$4:'G'!$Y$4,1),G!$Q$4:'G'!$Y$501,ROW(G!Q112)-3,FALSE))/VLOOKUP(F!$B112,E!$B$1:'E'!$AK$300,12,FALSE)*100),"")</f>
        <v/>
      </c>
      <c r="L140" s="43"/>
      <c r="M140" s="43" t="str">
        <f>G!AW112</f>
        <v/>
      </c>
      <c r="N140" s="43" t="str">
        <f>G!AV112</f>
        <v>--</v>
      </c>
      <c r="O140" s="42"/>
      <c r="P140" s="42" t="str">
        <f>G!AY112</f>
        <v/>
      </c>
      <c r="Q140" s="43" t="str">
        <f>G!AX112</f>
        <v>--</v>
      </c>
      <c r="R140" s="42" t="str">
        <f>G!AZ112</f>
        <v/>
      </c>
      <c r="S140" s="42" t="str">
        <f>G!BA112</f>
        <v/>
      </c>
      <c r="T140" s="43" t="str">
        <f>IFERROR(IF(OR(Q140="--",Q140="rg",VLOOKUP(F!$B112,E!$B$1:'E'!$AK$300,12,FALSE)=1000000000,R140="-",R140=""),"",(HLOOKUP(SMALL(G!$Q$4:'G'!$Y$4,4),G!$Q$4:'G'!$Y$501,ROW(G!Z112)-3,FALSE))/VLOOKUP(F!$B112,E!$B$1:'E'!$AK$300,12,FALSE)*100),"")</f>
        <v/>
      </c>
      <c r="U140" s="43"/>
      <c r="V140" s="43" t="str">
        <f>G!BC112</f>
        <v/>
      </c>
      <c r="W140" s="43" t="str">
        <f>G!BB112</f>
        <v>--</v>
      </c>
      <c r="X140" s="43"/>
      <c r="Y140" s="42" t="str">
        <f>G!BE112</f>
        <v/>
      </c>
      <c r="Z140" s="43" t="str">
        <f>G!BD112</f>
        <v>--</v>
      </c>
      <c r="AA140" s="42" t="str">
        <f>G!BF112</f>
        <v/>
      </c>
      <c r="AB140" s="42" t="str">
        <f>G!BG112</f>
        <v/>
      </c>
      <c r="AC140" s="43" t="str">
        <f>IFERROR(IF(OR(Z140="--",Z140="rg",VLOOKUP(F!$B112,E!$B$1:'E'!$AK$300,12,FALSE)=1000000000,AA140="-",AA140=""),"",(HLOOKUP(SMALL(G!$Q$4:'G'!$Y$4,7),G!$Q$4:'G'!$Y$501,ROW(G!AI112)-3,FALSE))/VLOOKUP(F!$B112,E!$B$1:'E'!$AK$300,12,FALSE)*100),"")</f>
        <v/>
      </c>
      <c r="AD140" s="43"/>
      <c r="AE140" s="34"/>
      <c r="AF140" s="34"/>
      <c r="AH140" s="72">
        <f t="shared" si="2"/>
        <v>1</v>
      </c>
      <c r="AJ140" s="34"/>
      <c r="AK140" s="34"/>
    </row>
    <row r="141" spans="1:37" s="72" customFormat="1" ht="9" hidden="1" customHeight="1" x14ac:dyDescent="0.15">
      <c r="A141" s="195" t="str">
        <f>F!A113</f>
        <v>1,2,3-Trichloorbenzeen</v>
      </c>
      <c r="B141" s="195"/>
      <c r="C141" s="195"/>
      <c r="D141" s="44" t="str">
        <f>G!AQ113</f>
        <v/>
      </c>
      <c r="E141" s="43" t="str">
        <f>G!AP113</f>
        <v>--</v>
      </c>
      <c r="F141" s="42"/>
      <c r="G141" s="42" t="str">
        <f>G!AS113</f>
        <v/>
      </c>
      <c r="H141" s="43" t="str">
        <f>G!AR113</f>
        <v>--</v>
      </c>
      <c r="I141" s="42" t="str">
        <f>G!AT113</f>
        <v/>
      </c>
      <c r="J141" s="42" t="str">
        <f>G!AU113</f>
        <v/>
      </c>
      <c r="K141" s="43" t="str">
        <f>IFERROR(IF(OR(H141="--",H141="rg",VLOOKUP(F!$B113,E!$B$1:'E'!$AK$300,12,FALSE)=1000000000,I141="-",I141=""),"",(HLOOKUP(SMALL(G!$Q$4:'G'!$Y$4,1),G!$Q$4:'G'!$Y$501,ROW(G!Q113)-3,FALSE))/VLOOKUP(F!$B113,E!$B$1:'E'!$AK$300,12,FALSE)*100),"")</f>
        <v/>
      </c>
      <c r="L141" s="43"/>
      <c r="M141" s="43" t="str">
        <f>G!AW113</f>
        <v/>
      </c>
      <c r="N141" s="43" t="str">
        <f>G!AV113</f>
        <v>--</v>
      </c>
      <c r="O141" s="42"/>
      <c r="P141" s="42" t="str">
        <f>G!AY113</f>
        <v/>
      </c>
      <c r="Q141" s="43" t="str">
        <f>G!AX113</f>
        <v>--</v>
      </c>
      <c r="R141" s="42" t="str">
        <f>G!AZ113</f>
        <v/>
      </c>
      <c r="S141" s="42" t="str">
        <f>G!BA113</f>
        <v/>
      </c>
      <c r="T141" s="43" t="str">
        <f>IFERROR(IF(OR(Q141="--",Q141="rg",VLOOKUP(F!$B113,E!$B$1:'E'!$AK$300,12,FALSE)=1000000000,R141="-",R141=""),"",(HLOOKUP(SMALL(G!$Q$4:'G'!$Y$4,4),G!$Q$4:'G'!$Y$501,ROW(G!Z113)-3,FALSE))/VLOOKUP(F!$B113,E!$B$1:'E'!$AK$300,12,FALSE)*100),"")</f>
        <v/>
      </c>
      <c r="U141" s="43"/>
      <c r="V141" s="43" t="str">
        <f>G!BC113</f>
        <v/>
      </c>
      <c r="W141" s="43" t="str">
        <f>G!BB113</f>
        <v>--</v>
      </c>
      <c r="X141" s="43"/>
      <c r="Y141" s="42" t="str">
        <f>G!BE113</f>
        <v/>
      </c>
      <c r="Z141" s="43" t="str">
        <f>G!BD113</f>
        <v>--</v>
      </c>
      <c r="AA141" s="42" t="str">
        <f>G!BF113</f>
        <v/>
      </c>
      <c r="AB141" s="42" t="str">
        <f>G!BG113</f>
        <v/>
      </c>
      <c r="AC141" s="43" t="str">
        <f>IFERROR(IF(OR(Z141="--",Z141="rg",VLOOKUP(F!$B113,E!$B$1:'E'!$AK$300,12,FALSE)=1000000000,AA141="-",AA141=""),"",(HLOOKUP(SMALL(G!$Q$4:'G'!$Y$4,7),G!$Q$4:'G'!$Y$501,ROW(G!AI113)-3,FALSE))/VLOOKUP(F!$B113,E!$B$1:'E'!$AK$300,12,FALSE)*100),"")</f>
        <v/>
      </c>
      <c r="AD141" s="43"/>
      <c r="AE141" s="34"/>
      <c r="AF141" s="34"/>
      <c r="AH141" s="72">
        <f t="shared" si="2"/>
        <v>1</v>
      </c>
      <c r="AJ141" s="34"/>
      <c r="AK141" s="34"/>
    </row>
    <row r="142" spans="1:37" s="72" customFormat="1" ht="9" hidden="1" customHeight="1" x14ac:dyDescent="0.15">
      <c r="A142" s="195" t="str">
        <f>F!A114</f>
        <v>1,2,4-Trichloorbenzeen</v>
      </c>
      <c r="B142" s="195"/>
      <c r="C142" s="195"/>
      <c r="D142" s="44" t="str">
        <f>G!AQ114</f>
        <v/>
      </c>
      <c r="E142" s="43" t="str">
        <f>G!AP114</f>
        <v>--</v>
      </c>
      <c r="F142" s="42"/>
      <c r="G142" s="42" t="str">
        <f>G!AS114</f>
        <v/>
      </c>
      <c r="H142" s="43" t="str">
        <f>G!AR114</f>
        <v>--</v>
      </c>
      <c r="I142" s="42" t="str">
        <f>G!AT114</f>
        <v/>
      </c>
      <c r="J142" s="42" t="str">
        <f>G!AU114</f>
        <v/>
      </c>
      <c r="K142" s="43" t="str">
        <f>IFERROR(IF(OR(H142="--",H142="rg",VLOOKUP(F!$B114,E!$B$1:'E'!$AK$300,12,FALSE)=1000000000,I142="-",I142=""),"",(HLOOKUP(SMALL(G!$Q$4:'G'!$Y$4,1),G!$Q$4:'G'!$Y$501,ROW(G!Q114)-3,FALSE))/VLOOKUP(F!$B114,E!$B$1:'E'!$AK$300,12,FALSE)*100),"")</f>
        <v/>
      </c>
      <c r="L142" s="43"/>
      <c r="M142" s="43" t="str">
        <f>G!AW114</f>
        <v/>
      </c>
      <c r="N142" s="43" t="str">
        <f>G!AV114</f>
        <v>--</v>
      </c>
      <c r="O142" s="42"/>
      <c r="P142" s="42" t="str">
        <f>G!AY114</f>
        <v/>
      </c>
      <c r="Q142" s="43" t="str">
        <f>G!AX114</f>
        <v>--</v>
      </c>
      <c r="R142" s="42" t="str">
        <f>G!AZ114</f>
        <v/>
      </c>
      <c r="S142" s="42" t="str">
        <f>G!BA114</f>
        <v/>
      </c>
      <c r="T142" s="43" t="str">
        <f>IFERROR(IF(OR(Q142="--",Q142="rg",VLOOKUP(F!$B114,E!$B$1:'E'!$AK$300,12,FALSE)=1000000000,R142="-",R142=""),"",(HLOOKUP(SMALL(G!$Q$4:'G'!$Y$4,4),G!$Q$4:'G'!$Y$501,ROW(G!Z114)-3,FALSE))/VLOOKUP(F!$B114,E!$B$1:'E'!$AK$300,12,FALSE)*100),"")</f>
        <v/>
      </c>
      <c r="U142" s="43"/>
      <c r="V142" s="43" t="str">
        <f>G!BC114</f>
        <v/>
      </c>
      <c r="W142" s="43" t="str">
        <f>G!BB114</f>
        <v>--</v>
      </c>
      <c r="X142" s="43"/>
      <c r="Y142" s="42" t="str">
        <f>G!BE114</f>
        <v/>
      </c>
      <c r="Z142" s="43" t="str">
        <f>G!BD114</f>
        <v>--</v>
      </c>
      <c r="AA142" s="42" t="str">
        <f>G!BF114</f>
        <v/>
      </c>
      <c r="AB142" s="42" t="str">
        <f>G!BG114</f>
        <v/>
      </c>
      <c r="AC142" s="43" t="str">
        <f>IFERROR(IF(OR(Z142="--",Z142="rg",VLOOKUP(F!$B114,E!$B$1:'E'!$AK$300,12,FALSE)=1000000000,AA142="-",AA142=""),"",(HLOOKUP(SMALL(G!$Q$4:'G'!$Y$4,7),G!$Q$4:'G'!$Y$501,ROW(G!AI114)-3,FALSE))/VLOOKUP(F!$B114,E!$B$1:'E'!$AK$300,12,FALSE)*100),"")</f>
        <v/>
      </c>
      <c r="AD142" s="43"/>
      <c r="AE142" s="34"/>
      <c r="AF142" s="34"/>
      <c r="AH142" s="72">
        <f t="shared" si="2"/>
        <v>1</v>
      </c>
      <c r="AJ142" s="34"/>
      <c r="AK142" s="34"/>
    </row>
    <row r="143" spans="1:37" s="72" customFormat="1" ht="9" hidden="1" customHeight="1" x14ac:dyDescent="0.15">
      <c r="A143" s="195" t="str">
        <f>F!A115</f>
        <v>1,3,5-trichloorbenzeen</v>
      </c>
      <c r="B143" s="195"/>
      <c r="C143" s="195"/>
      <c r="D143" s="44" t="str">
        <f>G!AQ115</f>
        <v/>
      </c>
      <c r="E143" s="43" t="str">
        <f>G!AP115</f>
        <v>--</v>
      </c>
      <c r="F143" s="42"/>
      <c r="G143" s="42" t="str">
        <f>G!AS115</f>
        <v/>
      </c>
      <c r="H143" s="43" t="str">
        <f>G!AR115</f>
        <v>--</v>
      </c>
      <c r="I143" s="42" t="str">
        <f>G!AT115</f>
        <v/>
      </c>
      <c r="J143" s="42" t="str">
        <f>G!AU115</f>
        <v/>
      </c>
      <c r="K143" s="43" t="str">
        <f>IFERROR(IF(OR(H143="--",H143="rg",VLOOKUP(F!$B115,E!$B$1:'E'!$AK$300,12,FALSE)=1000000000,I143="-",I143=""),"",(HLOOKUP(SMALL(G!$Q$4:'G'!$Y$4,1),G!$Q$4:'G'!$Y$501,ROW(G!Q115)-3,FALSE))/VLOOKUP(F!$B115,E!$B$1:'E'!$AK$300,12,FALSE)*100),"")</f>
        <v/>
      </c>
      <c r="L143" s="43"/>
      <c r="M143" s="43" t="str">
        <f>G!AW115</f>
        <v/>
      </c>
      <c r="N143" s="43" t="str">
        <f>G!AV115</f>
        <v>--</v>
      </c>
      <c r="O143" s="42"/>
      <c r="P143" s="42" t="str">
        <f>G!AY115</f>
        <v/>
      </c>
      <c r="Q143" s="43" t="str">
        <f>G!AX115</f>
        <v>--</v>
      </c>
      <c r="R143" s="42" t="str">
        <f>G!AZ115</f>
        <v/>
      </c>
      <c r="S143" s="42" t="str">
        <f>G!BA115</f>
        <v/>
      </c>
      <c r="T143" s="43" t="str">
        <f>IFERROR(IF(OR(Q143="--",Q143="rg",VLOOKUP(F!$B115,E!$B$1:'E'!$AK$300,12,FALSE)=1000000000,R143="-",R143=""),"",(HLOOKUP(SMALL(G!$Q$4:'G'!$Y$4,4),G!$Q$4:'G'!$Y$501,ROW(G!Z115)-3,FALSE))/VLOOKUP(F!$B115,E!$B$1:'E'!$AK$300,12,FALSE)*100),"")</f>
        <v/>
      </c>
      <c r="U143" s="43"/>
      <c r="V143" s="43" t="str">
        <f>G!BC115</f>
        <v/>
      </c>
      <c r="W143" s="43" t="str">
        <f>G!BB115</f>
        <v>--</v>
      </c>
      <c r="X143" s="43"/>
      <c r="Y143" s="42" t="str">
        <f>G!BE115</f>
        <v/>
      </c>
      <c r="Z143" s="43" t="str">
        <f>G!BD115</f>
        <v>--</v>
      </c>
      <c r="AA143" s="42" t="str">
        <f>G!BF115</f>
        <v/>
      </c>
      <c r="AB143" s="42" t="str">
        <f>G!BG115</f>
        <v/>
      </c>
      <c r="AC143" s="43" t="str">
        <f>IFERROR(IF(OR(Z143="--",Z143="rg",VLOOKUP(F!$B115,E!$B$1:'E'!$AK$300,12,FALSE)=1000000000,AA143="-",AA143=""),"",(HLOOKUP(SMALL(G!$Q$4:'G'!$Y$4,7),G!$Q$4:'G'!$Y$501,ROW(G!AI115)-3,FALSE))/VLOOKUP(F!$B115,E!$B$1:'E'!$AK$300,12,FALSE)*100),"")</f>
        <v/>
      </c>
      <c r="AD143" s="43"/>
      <c r="AE143" s="34"/>
      <c r="AF143" s="34"/>
      <c r="AH143" s="72">
        <f t="shared" si="2"/>
        <v>1</v>
      </c>
      <c r="AJ143" s="34"/>
      <c r="AK143" s="34"/>
    </row>
    <row r="144" spans="1:37" s="72" customFormat="1" ht="9" hidden="1" customHeight="1" x14ac:dyDescent="0.15">
      <c r="A144" s="195" t="str">
        <f>F!A116</f>
        <v>Trichloorbenzenen (som)</v>
      </c>
      <c r="B144" s="195"/>
      <c r="C144" s="195"/>
      <c r="D144" s="44" t="str">
        <f>G!AQ116</f>
        <v/>
      </c>
      <c r="E144" s="43" t="str">
        <f>G!AP116</f>
        <v>--</v>
      </c>
      <c r="F144" s="42"/>
      <c r="G144" s="42" t="str">
        <f>G!AS116</f>
        <v/>
      </c>
      <c r="H144" s="43" t="str">
        <f>G!AR116</f>
        <v>--</v>
      </c>
      <c r="I144" s="42" t="str">
        <f>G!AT116</f>
        <v/>
      </c>
      <c r="J144" s="42" t="str">
        <f>G!AU116</f>
        <v/>
      </c>
      <c r="K144" s="43" t="str">
        <f>IFERROR(IF(OR(H144="--",H144="rg",VLOOKUP(F!$B116,E!$B$1:'E'!$AK$300,12,FALSE)=1000000000,I144="-",I144=""),"",(HLOOKUP(SMALL(G!$Q$4:'G'!$Y$4,1),G!$Q$4:'G'!$Y$501,ROW(G!Q116)-3,FALSE))/VLOOKUP(F!$B116,E!$B$1:'E'!$AK$300,12,FALSE)*100),"")</f>
        <v/>
      </c>
      <c r="L144" s="43"/>
      <c r="M144" s="43" t="str">
        <f>G!AW116</f>
        <v/>
      </c>
      <c r="N144" s="43" t="str">
        <f>G!AV116</f>
        <v>--</v>
      </c>
      <c r="O144" s="42"/>
      <c r="P144" s="42" t="str">
        <f>G!AY116</f>
        <v/>
      </c>
      <c r="Q144" s="43" t="str">
        <f>G!AX116</f>
        <v>--</v>
      </c>
      <c r="R144" s="42" t="str">
        <f>G!AZ116</f>
        <v/>
      </c>
      <c r="S144" s="42" t="str">
        <f>G!BA116</f>
        <v/>
      </c>
      <c r="T144" s="43" t="str">
        <f>IFERROR(IF(OR(Q144="--",Q144="rg",VLOOKUP(F!$B116,E!$B$1:'E'!$AK$300,12,FALSE)=1000000000,R144="-",R144=""),"",(HLOOKUP(SMALL(G!$Q$4:'G'!$Y$4,4),G!$Q$4:'G'!$Y$501,ROW(G!Z116)-3,FALSE))/VLOOKUP(F!$B116,E!$B$1:'E'!$AK$300,12,FALSE)*100),"")</f>
        <v/>
      </c>
      <c r="U144" s="43"/>
      <c r="V144" s="43" t="str">
        <f>G!BC116</f>
        <v/>
      </c>
      <c r="W144" s="43" t="str">
        <f>G!BB116</f>
        <v>--</v>
      </c>
      <c r="X144" s="43"/>
      <c r="Y144" s="42" t="str">
        <f>G!BE116</f>
        <v/>
      </c>
      <c r="Z144" s="43" t="str">
        <f>G!BD116</f>
        <v>--</v>
      </c>
      <c r="AA144" s="42" t="str">
        <f>G!BF116</f>
        <v/>
      </c>
      <c r="AB144" s="42" t="str">
        <f>G!BG116</f>
        <v/>
      </c>
      <c r="AC144" s="43" t="str">
        <f>IFERROR(IF(OR(Z144="--",Z144="rg",VLOOKUP(F!$B116,E!$B$1:'E'!$AK$300,12,FALSE)=1000000000,AA144="-",AA144=""),"",(HLOOKUP(SMALL(G!$Q$4:'G'!$Y$4,7),G!$Q$4:'G'!$Y$501,ROW(G!AI116)-3,FALSE))/VLOOKUP(F!$B116,E!$B$1:'E'!$AK$300,12,FALSE)*100),"")</f>
        <v/>
      </c>
      <c r="AD144" s="43"/>
      <c r="AE144" s="34"/>
      <c r="AF144" s="34"/>
      <c r="AH144" s="72">
        <f t="shared" si="2"/>
        <v>1</v>
      </c>
      <c r="AJ144" s="34"/>
      <c r="AK144" s="34"/>
    </row>
    <row r="145" spans="1:37" s="72" customFormat="1" ht="9" hidden="1" customHeight="1" x14ac:dyDescent="0.15">
      <c r="A145" s="195" t="str">
        <f>F!A117</f>
        <v>1,2,3,4-tetrachloorbenzeen</v>
      </c>
      <c r="B145" s="195"/>
      <c r="C145" s="195"/>
      <c r="D145" s="44" t="str">
        <f>G!AQ117</f>
        <v/>
      </c>
      <c r="E145" s="43" t="str">
        <f>G!AP117</f>
        <v>--</v>
      </c>
      <c r="F145" s="42"/>
      <c r="G145" s="42" t="str">
        <f>G!AS117</f>
        <v/>
      </c>
      <c r="H145" s="43" t="str">
        <f>G!AR117</f>
        <v>--</v>
      </c>
      <c r="I145" s="42" t="str">
        <f>G!AT117</f>
        <v/>
      </c>
      <c r="J145" s="42" t="str">
        <f>G!AU117</f>
        <v/>
      </c>
      <c r="K145" s="43" t="str">
        <f>IFERROR(IF(OR(H145="--",H145="rg",VLOOKUP(F!$B117,E!$B$1:'E'!$AK$300,12,FALSE)=1000000000,I145="-",I145=""),"",(HLOOKUP(SMALL(G!$Q$4:'G'!$Y$4,1),G!$Q$4:'G'!$Y$501,ROW(G!Q117)-3,FALSE))/VLOOKUP(F!$B117,E!$B$1:'E'!$AK$300,12,FALSE)*100),"")</f>
        <v/>
      </c>
      <c r="L145" s="43"/>
      <c r="M145" s="43" t="str">
        <f>G!AW117</f>
        <v/>
      </c>
      <c r="N145" s="43" t="str">
        <f>G!AV117</f>
        <v>--</v>
      </c>
      <c r="O145" s="42"/>
      <c r="P145" s="42" t="str">
        <f>G!AY117</f>
        <v/>
      </c>
      <c r="Q145" s="43" t="str">
        <f>G!AX117</f>
        <v>--</v>
      </c>
      <c r="R145" s="42" t="str">
        <f>G!AZ117</f>
        <v/>
      </c>
      <c r="S145" s="42" t="str">
        <f>G!BA117</f>
        <v/>
      </c>
      <c r="T145" s="43" t="str">
        <f>IFERROR(IF(OR(Q145="--",Q145="rg",VLOOKUP(F!$B117,E!$B$1:'E'!$AK$300,12,FALSE)=1000000000,R145="-",R145=""),"",(HLOOKUP(SMALL(G!$Q$4:'G'!$Y$4,4),G!$Q$4:'G'!$Y$501,ROW(G!Z117)-3,FALSE))/VLOOKUP(F!$B117,E!$B$1:'E'!$AK$300,12,FALSE)*100),"")</f>
        <v/>
      </c>
      <c r="U145" s="43"/>
      <c r="V145" s="43" t="str">
        <f>G!BC117</f>
        <v/>
      </c>
      <c r="W145" s="43" t="str">
        <f>G!BB117</f>
        <v>--</v>
      </c>
      <c r="X145" s="43"/>
      <c r="Y145" s="42" t="str">
        <f>G!BE117</f>
        <v/>
      </c>
      <c r="Z145" s="43" t="str">
        <f>G!BD117</f>
        <v>--</v>
      </c>
      <c r="AA145" s="42" t="str">
        <f>G!BF117</f>
        <v/>
      </c>
      <c r="AB145" s="42" t="str">
        <f>G!BG117</f>
        <v/>
      </c>
      <c r="AC145" s="43" t="str">
        <f>IFERROR(IF(OR(Z145="--",Z145="rg",VLOOKUP(F!$B117,E!$B$1:'E'!$AK$300,12,FALSE)=1000000000,AA145="-",AA145=""),"",(HLOOKUP(SMALL(G!$Q$4:'G'!$Y$4,7),G!$Q$4:'G'!$Y$501,ROW(G!AI117)-3,FALSE))/VLOOKUP(F!$B117,E!$B$1:'E'!$AK$300,12,FALSE)*100),"")</f>
        <v/>
      </c>
      <c r="AD145" s="43"/>
      <c r="AE145" s="34"/>
      <c r="AF145" s="34"/>
      <c r="AH145" s="72">
        <f t="shared" si="2"/>
        <v>1</v>
      </c>
      <c r="AJ145" s="34"/>
      <c r="AK145" s="34"/>
    </row>
    <row r="146" spans="1:37" s="72" customFormat="1" ht="9" hidden="1" customHeight="1" x14ac:dyDescent="0.15">
      <c r="A146" s="195" t="str">
        <f>F!A118</f>
        <v>1,2,3,5-tetrachloorbenzeen</v>
      </c>
      <c r="B146" s="195"/>
      <c r="C146" s="195"/>
      <c r="D146" s="44" t="str">
        <f>G!AQ118</f>
        <v/>
      </c>
      <c r="E146" s="43" t="str">
        <f>G!AP118</f>
        <v>--</v>
      </c>
      <c r="F146" s="42"/>
      <c r="G146" s="42" t="str">
        <f>G!AS118</f>
        <v/>
      </c>
      <c r="H146" s="43" t="str">
        <f>G!AR118</f>
        <v>--</v>
      </c>
      <c r="I146" s="42" t="str">
        <f>G!AT118</f>
        <v/>
      </c>
      <c r="J146" s="42" t="str">
        <f>G!AU118</f>
        <v/>
      </c>
      <c r="K146" s="43" t="str">
        <f>IFERROR(IF(OR(H146="--",H146="rg",VLOOKUP(F!$B118,E!$B$1:'E'!$AK$300,12,FALSE)=1000000000,I146="-",I146=""),"",(HLOOKUP(SMALL(G!$Q$4:'G'!$Y$4,1),G!$Q$4:'G'!$Y$501,ROW(G!Q118)-3,FALSE))/VLOOKUP(F!$B118,E!$B$1:'E'!$AK$300,12,FALSE)*100),"")</f>
        <v/>
      </c>
      <c r="L146" s="43"/>
      <c r="M146" s="43" t="str">
        <f>G!AW118</f>
        <v/>
      </c>
      <c r="N146" s="43" t="str">
        <f>G!AV118</f>
        <v>--</v>
      </c>
      <c r="O146" s="42"/>
      <c r="P146" s="42" t="str">
        <f>G!AY118</f>
        <v/>
      </c>
      <c r="Q146" s="43" t="str">
        <f>G!AX118</f>
        <v>--</v>
      </c>
      <c r="R146" s="42" t="str">
        <f>G!AZ118</f>
        <v/>
      </c>
      <c r="S146" s="42" t="str">
        <f>G!BA118</f>
        <v/>
      </c>
      <c r="T146" s="43" t="str">
        <f>IFERROR(IF(OR(Q146="--",Q146="rg",VLOOKUP(F!$B118,E!$B$1:'E'!$AK$300,12,FALSE)=1000000000,R146="-",R146=""),"",(HLOOKUP(SMALL(G!$Q$4:'G'!$Y$4,4),G!$Q$4:'G'!$Y$501,ROW(G!Z118)-3,FALSE))/VLOOKUP(F!$B118,E!$B$1:'E'!$AK$300,12,FALSE)*100),"")</f>
        <v/>
      </c>
      <c r="U146" s="43"/>
      <c r="V146" s="43" t="str">
        <f>G!BC118</f>
        <v/>
      </c>
      <c r="W146" s="43" t="str">
        <f>G!BB118</f>
        <v>--</v>
      </c>
      <c r="X146" s="43"/>
      <c r="Y146" s="42" t="str">
        <f>G!BE118</f>
        <v/>
      </c>
      <c r="Z146" s="43" t="str">
        <f>G!BD118</f>
        <v>--</v>
      </c>
      <c r="AA146" s="42" t="str">
        <f>G!BF118</f>
        <v/>
      </c>
      <c r="AB146" s="42" t="str">
        <f>G!BG118</f>
        <v/>
      </c>
      <c r="AC146" s="43" t="str">
        <f>IFERROR(IF(OR(Z146="--",Z146="rg",VLOOKUP(F!$B118,E!$B$1:'E'!$AK$300,12,FALSE)=1000000000,AA146="-",AA146=""),"",(HLOOKUP(SMALL(G!$Q$4:'G'!$Y$4,7),G!$Q$4:'G'!$Y$501,ROW(G!AI118)-3,FALSE))/VLOOKUP(F!$B118,E!$B$1:'E'!$AK$300,12,FALSE)*100),"")</f>
        <v/>
      </c>
      <c r="AD146" s="43"/>
      <c r="AE146" s="34"/>
      <c r="AF146" s="34"/>
      <c r="AH146" s="72">
        <f t="shared" si="2"/>
        <v>1</v>
      </c>
      <c r="AJ146" s="34"/>
      <c r="AK146" s="34"/>
    </row>
    <row r="147" spans="1:37" s="72" customFormat="1" ht="9" hidden="1" customHeight="1" x14ac:dyDescent="0.15">
      <c r="A147" s="195" t="str">
        <f>F!A119</f>
        <v>1,2,4,5-tetrachloorbenzeen</v>
      </c>
      <c r="B147" s="195"/>
      <c r="C147" s="195"/>
      <c r="D147" s="44" t="str">
        <f>G!AQ119</f>
        <v/>
      </c>
      <c r="E147" s="43" t="str">
        <f>G!AP119</f>
        <v>--</v>
      </c>
      <c r="F147" s="42"/>
      <c r="G147" s="42" t="str">
        <f>G!AS119</f>
        <v/>
      </c>
      <c r="H147" s="43" t="str">
        <f>G!AR119</f>
        <v>--</v>
      </c>
      <c r="I147" s="42" t="str">
        <f>G!AT119</f>
        <v/>
      </c>
      <c r="J147" s="42" t="str">
        <f>G!AU119</f>
        <v/>
      </c>
      <c r="K147" s="43" t="str">
        <f>IFERROR(IF(OR(H147="--",H147="rg",VLOOKUP(F!$B119,E!$B$1:'E'!$AK$300,12,FALSE)=1000000000,I147="-",I147=""),"",(HLOOKUP(SMALL(G!$Q$4:'G'!$Y$4,1),G!$Q$4:'G'!$Y$501,ROW(G!Q119)-3,FALSE))/VLOOKUP(F!$B119,E!$B$1:'E'!$AK$300,12,FALSE)*100),"")</f>
        <v/>
      </c>
      <c r="L147" s="43"/>
      <c r="M147" s="43" t="str">
        <f>G!AW119</f>
        <v/>
      </c>
      <c r="N147" s="43" t="str">
        <f>G!AV119</f>
        <v>--</v>
      </c>
      <c r="O147" s="42"/>
      <c r="P147" s="42" t="str">
        <f>G!AY119</f>
        <v/>
      </c>
      <c r="Q147" s="43" t="str">
        <f>G!AX119</f>
        <v>--</v>
      </c>
      <c r="R147" s="42" t="str">
        <f>G!AZ119</f>
        <v/>
      </c>
      <c r="S147" s="42" t="str">
        <f>G!BA119</f>
        <v/>
      </c>
      <c r="T147" s="43" t="str">
        <f>IFERROR(IF(OR(Q147="--",Q147="rg",VLOOKUP(F!$B119,E!$B$1:'E'!$AK$300,12,FALSE)=1000000000,R147="-",R147=""),"",(HLOOKUP(SMALL(G!$Q$4:'G'!$Y$4,4),G!$Q$4:'G'!$Y$501,ROW(G!Z119)-3,FALSE))/VLOOKUP(F!$B119,E!$B$1:'E'!$AK$300,12,FALSE)*100),"")</f>
        <v/>
      </c>
      <c r="U147" s="43"/>
      <c r="V147" s="43" t="str">
        <f>G!BC119</f>
        <v/>
      </c>
      <c r="W147" s="43" t="str">
        <f>G!BB119</f>
        <v>--</v>
      </c>
      <c r="X147" s="43"/>
      <c r="Y147" s="42" t="str">
        <f>G!BE119</f>
        <v/>
      </c>
      <c r="Z147" s="43" t="str">
        <f>G!BD119</f>
        <v>--</v>
      </c>
      <c r="AA147" s="42" t="str">
        <f>G!BF119</f>
        <v/>
      </c>
      <c r="AB147" s="42" t="str">
        <f>G!BG119</f>
        <v/>
      </c>
      <c r="AC147" s="43" t="str">
        <f>IFERROR(IF(OR(Z147="--",Z147="rg",VLOOKUP(F!$B119,E!$B$1:'E'!$AK$300,12,FALSE)=1000000000,AA147="-",AA147=""),"",(HLOOKUP(SMALL(G!$Q$4:'G'!$Y$4,7),G!$Q$4:'G'!$Y$501,ROW(G!AI119)-3,FALSE))/VLOOKUP(F!$B119,E!$B$1:'E'!$AK$300,12,FALSE)*100),"")</f>
        <v/>
      </c>
      <c r="AD147" s="43"/>
      <c r="AE147" s="34"/>
      <c r="AF147" s="34"/>
      <c r="AH147" s="72">
        <f t="shared" si="2"/>
        <v>1</v>
      </c>
      <c r="AJ147" s="34"/>
      <c r="AK147" s="34"/>
    </row>
    <row r="148" spans="1:37" s="72" customFormat="1" ht="9" hidden="1" customHeight="1" x14ac:dyDescent="0.15">
      <c r="A148" s="195" t="str">
        <f>F!A120</f>
        <v>Tetrachloorbenzenen (som)</v>
      </c>
      <c r="B148" s="195"/>
      <c r="C148" s="195"/>
      <c r="D148" s="44" t="str">
        <f>G!AQ120</f>
        <v/>
      </c>
      <c r="E148" s="43" t="str">
        <f>G!AP120</f>
        <v>--</v>
      </c>
      <c r="F148" s="42"/>
      <c r="G148" s="42" t="str">
        <f>G!AS120</f>
        <v/>
      </c>
      <c r="H148" s="43" t="str">
        <f>G!AR120</f>
        <v>--</v>
      </c>
      <c r="I148" s="42" t="str">
        <f>G!AT120</f>
        <v/>
      </c>
      <c r="J148" s="42" t="str">
        <f>G!AU120</f>
        <v/>
      </c>
      <c r="K148" s="43" t="str">
        <f>IFERROR(IF(OR(H148="--",H148="rg",VLOOKUP(F!$B120,E!$B$1:'E'!$AK$300,12,FALSE)=1000000000,I148="-",I148=""),"",(HLOOKUP(SMALL(G!$Q$4:'G'!$Y$4,1),G!$Q$4:'G'!$Y$501,ROW(G!Q120)-3,FALSE))/VLOOKUP(F!$B120,E!$B$1:'E'!$AK$300,12,FALSE)*100),"")</f>
        <v/>
      </c>
      <c r="L148" s="43"/>
      <c r="M148" s="43" t="str">
        <f>G!AW120</f>
        <v/>
      </c>
      <c r="N148" s="43" t="str">
        <f>G!AV120</f>
        <v>--</v>
      </c>
      <c r="O148" s="42"/>
      <c r="P148" s="42" t="str">
        <f>G!AY120</f>
        <v/>
      </c>
      <c r="Q148" s="43" t="str">
        <f>G!AX120</f>
        <v>--</v>
      </c>
      <c r="R148" s="42" t="str">
        <f>G!AZ120</f>
        <v/>
      </c>
      <c r="S148" s="42" t="str">
        <f>G!BA120</f>
        <v/>
      </c>
      <c r="T148" s="43" t="str">
        <f>IFERROR(IF(OR(Q148="--",Q148="rg",VLOOKUP(F!$B120,E!$B$1:'E'!$AK$300,12,FALSE)=1000000000,R148="-",R148=""),"",(HLOOKUP(SMALL(G!$Q$4:'G'!$Y$4,4),G!$Q$4:'G'!$Y$501,ROW(G!Z120)-3,FALSE))/VLOOKUP(F!$B120,E!$B$1:'E'!$AK$300,12,FALSE)*100),"")</f>
        <v/>
      </c>
      <c r="U148" s="43"/>
      <c r="V148" s="43" t="str">
        <f>G!BC120</f>
        <v/>
      </c>
      <c r="W148" s="43" t="str">
        <f>G!BB120</f>
        <v>--</v>
      </c>
      <c r="X148" s="43"/>
      <c r="Y148" s="42" t="str">
        <f>G!BE120</f>
        <v/>
      </c>
      <c r="Z148" s="43" t="str">
        <f>G!BD120</f>
        <v>--</v>
      </c>
      <c r="AA148" s="42" t="str">
        <f>G!BF120</f>
        <v/>
      </c>
      <c r="AB148" s="42" t="str">
        <f>G!BG120</f>
        <v/>
      </c>
      <c r="AC148" s="43" t="str">
        <f>IFERROR(IF(OR(Z148="--",Z148="rg",VLOOKUP(F!$B120,E!$B$1:'E'!$AK$300,12,FALSE)=1000000000,AA148="-",AA148=""),"",(HLOOKUP(SMALL(G!$Q$4:'G'!$Y$4,7),G!$Q$4:'G'!$Y$501,ROW(G!AI120)-3,FALSE))/VLOOKUP(F!$B120,E!$B$1:'E'!$AK$300,12,FALSE)*100),"")</f>
        <v/>
      </c>
      <c r="AD148" s="43"/>
      <c r="AE148" s="34"/>
      <c r="AF148" s="34"/>
      <c r="AH148" s="72">
        <f t="shared" si="2"/>
        <v>1</v>
      </c>
      <c r="AJ148" s="34"/>
      <c r="AK148" s="34"/>
    </row>
    <row r="149" spans="1:37" s="72" customFormat="1" ht="9" hidden="1" customHeight="1" x14ac:dyDescent="0.15">
      <c r="A149" s="195" t="str">
        <f>F!A121</f>
        <v>Pentachloorbenzeen</v>
      </c>
      <c r="B149" s="195"/>
      <c r="C149" s="195"/>
      <c r="D149" s="44" t="str">
        <f>G!AQ121</f>
        <v/>
      </c>
      <c r="E149" s="43" t="str">
        <f>G!AP121</f>
        <v>--</v>
      </c>
      <c r="F149" s="42"/>
      <c r="G149" s="42" t="str">
        <f>G!AS121</f>
        <v/>
      </c>
      <c r="H149" s="43" t="str">
        <f>G!AR121</f>
        <v>--</v>
      </c>
      <c r="I149" s="42" t="str">
        <f>G!AT121</f>
        <v/>
      </c>
      <c r="J149" s="42" t="str">
        <f>G!AU121</f>
        <v/>
      </c>
      <c r="K149" s="43" t="str">
        <f>IFERROR(IF(OR(H149="--",H149="rg",VLOOKUP(F!$B121,E!$B$1:'E'!$AK$300,12,FALSE)=1000000000,I149="-",I149=""),"",(HLOOKUP(SMALL(G!$Q$4:'G'!$Y$4,1),G!$Q$4:'G'!$Y$501,ROW(G!Q121)-3,FALSE))/VLOOKUP(F!$B121,E!$B$1:'E'!$AK$300,12,FALSE)*100),"")</f>
        <v/>
      </c>
      <c r="L149" s="43"/>
      <c r="M149" s="43" t="str">
        <f>G!AW121</f>
        <v/>
      </c>
      <c r="N149" s="43" t="str">
        <f>G!AV121</f>
        <v>--</v>
      </c>
      <c r="O149" s="42"/>
      <c r="P149" s="42" t="str">
        <f>G!AY121</f>
        <v/>
      </c>
      <c r="Q149" s="43" t="str">
        <f>G!AX121</f>
        <v>--</v>
      </c>
      <c r="R149" s="42" t="str">
        <f>G!AZ121</f>
        <v/>
      </c>
      <c r="S149" s="42" t="str">
        <f>G!BA121</f>
        <v/>
      </c>
      <c r="T149" s="43" t="str">
        <f>IFERROR(IF(OR(Q149="--",Q149="rg",VLOOKUP(F!$B121,E!$B$1:'E'!$AK$300,12,FALSE)=1000000000,R149="-",R149=""),"",(HLOOKUP(SMALL(G!$Q$4:'G'!$Y$4,4),G!$Q$4:'G'!$Y$501,ROW(G!Z121)-3,FALSE))/VLOOKUP(F!$B121,E!$B$1:'E'!$AK$300,12,FALSE)*100),"")</f>
        <v/>
      </c>
      <c r="U149" s="43"/>
      <c r="V149" s="43" t="str">
        <f>G!BC121</f>
        <v/>
      </c>
      <c r="W149" s="43" t="str">
        <f>G!BB121</f>
        <v>--</v>
      </c>
      <c r="X149" s="43"/>
      <c r="Y149" s="42" t="str">
        <f>G!BE121</f>
        <v/>
      </c>
      <c r="Z149" s="43" t="str">
        <f>G!BD121</f>
        <v>--</v>
      </c>
      <c r="AA149" s="42" t="str">
        <f>G!BF121</f>
        <v/>
      </c>
      <c r="AB149" s="42" t="str">
        <f>G!BG121</f>
        <v/>
      </c>
      <c r="AC149" s="43" t="str">
        <f>IFERROR(IF(OR(Z149="--",Z149="rg",VLOOKUP(F!$B121,E!$B$1:'E'!$AK$300,12,FALSE)=1000000000,AA149="-",AA149=""),"",(HLOOKUP(SMALL(G!$Q$4:'G'!$Y$4,7),G!$Q$4:'G'!$Y$501,ROW(G!AI121)-3,FALSE))/VLOOKUP(F!$B121,E!$B$1:'E'!$AK$300,12,FALSE)*100),"")</f>
        <v/>
      </c>
      <c r="AD149" s="43"/>
      <c r="AE149" s="34"/>
      <c r="AF149" s="34"/>
      <c r="AH149" s="72">
        <f t="shared" si="2"/>
        <v>1</v>
      </c>
      <c r="AJ149" s="34"/>
      <c r="AK149" s="34"/>
    </row>
    <row r="150" spans="1:37" s="72" customFormat="1" ht="9" hidden="1" customHeight="1" x14ac:dyDescent="0.15">
      <c r="A150" s="195" t="str">
        <f>F!A122</f>
        <v>Hexachloorbenzeen</v>
      </c>
      <c r="B150" s="195"/>
      <c r="C150" s="195"/>
      <c r="D150" s="44" t="str">
        <f>G!AQ122</f>
        <v/>
      </c>
      <c r="E150" s="43" t="str">
        <f>G!AP122</f>
        <v>--</v>
      </c>
      <c r="F150" s="42"/>
      <c r="G150" s="42" t="str">
        <f>G!AS122</f>
        <v/>
      </c>
      <c r="H150" s="43" t="str">
        <f>G!AR122</f>
        <v>--</v>
      </c>
      <c r="I150" s="42" t="str">
        <f>G!AT122</f>
        <v/>
      </c>
      <c r="J150" s="42" t="str">
        <f>G!AU122</f>
        <v/>
      </c>
      <c r="K150" s="43" t="str">
        <f>IFERROR(IF(OR(H150="--",H150="rg",VLOOKUP(F!$B122,E!$B$1:'E'!$AK$300,12,FALSE)=1000000000,I150="-",I150=""),"",(HLOOKUP(SMALL(G!$Q$4:'G'!$Y$4,1),G!$Q$4:'G'!$Y$501,ROW(G!Q122)-3,FALSE))/VLOOKUP(F!$B122,E!$B$1:'E'!$AK$300,12,FALSE)*100),"")</f>
        <v/>
      </c>
      <c r="L150" s="43"/>
      <c r="M150" s="43" t="str">
        <f>G!AW122</f>
        <v/>
      </c>
      <c r="N150" s="43" t="str">
        <f>G!AV122</f>
        <v>--</v>
      </c>
      <c r="O150" s="42"/>
      <c r="P150" s="42" t="str">
        <f>G!AY122</f>
        <v/>
      </c>
      <c r="Q150" s="43" t="str">
        <f>G!AX122</f>
        <v>--</v>
      </c>
      <c r="R150" s="42" t="str">
        <f>G!AZ122</f>
        <v/>
      </c>
      <c r="S150" s="42" t="str">
        <f>G!BA122</f>
        <v/>
      </c>
      <c r="T150" s="43" t="str">
        <f>IFERROR(IF(OR(Q150="--",Q150="rg",VLOOKUP(F!$B122,E!$B$1:'E'!$AK$300,12,FALSE)=1000000000,R150="-",R150=""),"",(HLOOKUP(SMALL(G!$Q$4:'G'!$Y$4,4),G!$Q$4:'G'!$Y$501,ROW(G!Z122)-3,FALSE))/VLOOKUP(F!$B122,E!$B$1:'E'!$AK$300,12,FALSE)*100),"")</f>
        <v/>
      </c>
      <c r="U150" s="43"/>
      <c r="V150" s="43" t="str">
        <f>G!BC122</f>
        <v/>
      </c>
      <c r="W150" s="43" t="str">
        <f>G!BB122</f>
        <v>--</v>
      </c>
      <c r="X150" s="43"/>
      <c r="Y150" s="42" t="str">
        <f>G!BE122</f>
        <v/>
      </c>
      <c r="Z150" s="43" t="str">
        <f>G!BD122</f>
        <v>--</v>
      </c>
      <c r="AA150" s="42" t="str">
        <f>G!BF122</f>
        <v/>
      </c>
      <c r="AB150" s="42" t="str">
        <f>G!BG122</f>
        <v/>
      </c>
      <c r="AC150" s="43" t="str">
        <f>IFERROR(IF(OR(Z150="--",Z150="rg",VLOOKUP(F!$B122,E!$B$1:'E'!$AK$300,12,FALSE)=1000000000,AA150="-",AA150=""),"",(HLOOKUP(SMALL(G!$Q$4:'G'!$Y$4,7),G!$Q$4:'G'!$Y$501,ROW(G!AI122)-3,FALSE))/VLOOKUP(F!$B122,E!$B$1:'E'!$AK$300,12,FALSE)*100),"")</f>
        <v/>
      </c>
      <c r="AD150" s="43"/>
      <c r="AE150" s="34"/>
      <c r="AF150" s="34"/>
      <c r="AH150" s="72">
        <f t="shared" si="2"/>
        <v>1</v>
      </c>
      <c r="AJ150" s="34"/>
      <c r="AK150" s="34"/>
    </row>
    <row r="151" spans="1:37" s="72" customFormat="1" ht="9" hidden="1" customHeight="1" x14ac:dyDescent="0.15">
      <c r="A151" s="195" t="str">
        <f>F!A123</f>
        <v>Chloorbenzen (som)</v>
      </c>
      <c r="B151" s="195"/>
      <c r="C151" s="195"/>
      <c r="D151" s="44" t="str">
        <f>G!AQ123</f>
        <v/>
      </c>
      <c r="E151" s="43" t="str">
        <f>G!AP123</f>
        <v>--</v>
      </c>
      <c r="F151" s="42"/>
      <c r="G151" s="42" t="str">
        <f>G!AS123</f>
        <v/>
      </c>
      <c r="H151" s="43" t="str">
        <f>G!AR123</f>
        <v>--</v>
      </c>
      <c r="I151" s="42" t="str">
        <f>G!AT123</f>
        <v/>
      </c>
      <c r="J151" s="42" t="str">
        <f>G!AU123</f>
        <v/>
      </c>
      <c r="K151" s="43" t="str">
        <f>IFERROR(IF(OR(H151="--",H151="rg",VLOOKUP(F!$B123,E!$B$1:'E'!$AK$300,12,FALSE)=1000000000,I151="-",I151=""),"",(HLOOKUP(SMALL(G!$Q$4:'G'!$Y$4,1),G!$Q$4:'G'!$Y$501,ROW(G!Q123)-3,FALSE))/VLOOKUP(F!$B123,E!$B$1:'E'!$AK$300,12,FALSE)*100),"")</f>
        <v/>
      </c>
      <c r="L151" s="43"/>
      <c r="M151" s="43" t="str">
        <f>G!AW123</f>
        <v/>
      </c>
      <c r="N151" s="43" t="str">
        <f>G!AV123</f>
        <v>--</v>
      </c>
      <c r="O151" s="42"/>
      <c r="P151" s="42" t="str">
        <f>G!AY123</f>
        <v/>
      </c>
      <c r="Q151" s="43" t="str">
        <f>G!AX123</f>
        <v>--</v>
      </c>
      <c r="R151" s="42" t="str">
        <f>G!AZ123</f>
        <v/>
      </c>
      <c r="S151" s="42" t="str">
        <f>G!BA123</f>
        <v/>
      </c>
      <c r="T151" s="43" t="str">
        <f>IFERROR(IF(OR(Q151="--",Q151="rg",VLOOKUP(F!$B123,E!$B$1:'E'!$AK$300,12,FALSE)=1000000000,R151="-",R151=""),"",(HLOOKUP(SMALL(G!$Q$4:'G'!$Y$4,4),G!$Q$4:'G'!$Y$501,ROW(G!Z123)-3,FALSE))/VLOOKUP(F!$B123,E!$B$1:'E'!$AK$300,12,FALSE)*100),"")</f>
        <v/>
      </c>
      <c r="U151" s="43"/>
      <c r="V151" s="43" t="str">
        <f>G!BC123</f>
        <v/>
      </c>
      <c r="W151" s="43" t="str">
        <f>G!BB123</f>
        <v>--</v>
      </c>
      <c r="X151" s="43"/>
      <c r="Y151" s="42" t="str">
        <f>G!BE123</f>
        <v/>
      </c>
      <c r="Z151" s="43" t="str">
        <f>G!BD123</f>
        <v>--</v>
      </c>
      <c r="AA151" s="42" t="str">
        <f>G!BF123</f>
        <v/>
      </c>
      <c r="AB151" s="42" t="str">
        <f>G!BG123</f>
        <v/>
      </c>
      <c r="AC151" s="43" t="str">
        <f>IFERROR(IF(OR(Z151="--",Z151="rg",VLOOKUP(F!$B123,E!$B$1:'E'!$AK$300,12,FALSE)=1000000000,AA151="-",AA151=""),"",(HLOOKUP(SMALL(G!$Q$4:'G'!$Y$4,7),G!$Q$4:'G'!$Y$501,ROW(G!AI123)-3,FALSE))/VLOOKUP(F!$B123,E!$B$1:'E'!$AK$300,12,FALSE)*100),"")</f>
        <v/>
      </c>
      <c r="AD151" s="43"/>
      <c r="AE151" s="34"/>
      <c r="AF151" s="34"/>
      <c r="AH151" s="72">
        <f t="shared" si="2"/>
        <v>1</v>
      </c>
      <c r="AJ151" s="34"/>
      <c r="AK151" s="34"/>
    </row>
    <row r="152" spans="1:37" ht="3.95" hidden="1" customHeight="1" x14ac:dyDescent="0.15">
      <c r="A152" s="41"/>
      <c r="B152" s="41"/>
      <c r="C152" s="41"/>
      <c r="D152" s="44"/>
      <c r="E152" s="43"/>
      <c r="F152" s="42"/>
      <c r="G152" s="42"/>
      <c r="H152" s="43"/>
      <c r="I152" s="42"/>
      <c r="J152" s="42"/>
      <c r="K152" s="42"/>
      <c r="L152" s="43"/>
      <c r="M152" s="43"/>
      <c r="N152" s="42"/>
      <c r="O152" s="42"/>
      <c r="P152" s="43"/>
      <c r="Q152" s="42"/>
      <c r="R152" s="42"/>
      <c r="S152" s="42"/>
      <c r="T152" s="43"/>
      <c r="U152" s="43"/>
      <c r="V152" s="43"/>
      <c r="W152" s="42"/>
      <c r="X152" s="43"/>
      <c r="Y152" s="42"/>
      <c r="Z152" s="43"/>
      <c r="AA152" s="43"/>
      <c r="AC152" s="34"/>
      <c r="AD152" s="72"/>
      <c r="AF152" s="72"/>
      <c r="AG152" s="34"/>
      <c r="AH152" s="94">
        <f>AH153</f>
        <v>1</v>
      </c>
      <c r="AI152" s="34"/>
    </row>
    <row r="153" spans="1:37" ht="9" hidden="1" customHeight="1" x14ac:dyDescent="0.15">
      <c r="A153" s="198" t="str">
        <f>IF(COUNTIF(F!D122:D146,131)&gt;0,"Chloorfenolen (µg/kgds)","Chloorfenolen (mg/kgds)")</f>
        <v>Chloorfenolen (mg/kgds)</v>
      </c>
      <c r="B153" s="198"/>
      <c r="C153" s="198"/>
      <c r="D153" s="198"/>
      <c r="E153" s="198"/>
      <c r="F153" s="198"/>
      <c r="G153" s="198"/>
      <c r="H153" s="198"/>
      <c r="I153" s="198"/>
      <c r="J153" s="198"/>
      <c r="K153" s="198"/>
      <c r="L153" s="198"/>
      <c r="M153" s="198"/>
      <c r="N153" s="198"/>
      <c r="O153" s="198"/>
      <c r="P153" s="198"/>
      <c r="Q153" s="198"/>
      <c r="R153" s="198"/>
      <c r="S153" s="198"/>
      <c r="T153" s="198"/>
      <c r="U153" s="198"/>
      <c r="V153" s="198"/>
      <c r="W153" s="198"/>
      <c r="X153" s="198"/>
      <c r="Y153" s="198"/>
      <c r="Z153" s="198"/>
      <c r="AA153" s="198"/>
      <c r="AC153" s="34"/>
      <c r="AD153" s="72"/>
      <c r="AF153" s="72"/>
      <c r="AG153" s="34"/>
      <c r="AH153" s="94">
        <f>IF(COUNTIF(AH154:AH172,1)=COUNT(AH154:AH172),1,0)</f>
        <v>1</v>
      </c>
      <c r="AI153" s="34"/>
    </row>
    <row r="154" spans="1:37" s="72" customFormat="1" ht="9" hidden="1" customHeight="1" x14ac:dyDescent="0.15">
      <c r="A154" s="195" t="str">
        <f>F!A124</f>
        <v>2,3+2,4+2,5-Dichloorfenol</v>
      </c>
      <c r="B154" s="195"/>
      <c r="C154" s="195"/>
      <c r="D154" s="44" t="str">
        <f>G!AQ124</f>
        <v/>
      </c>
      <c r="E154" s="43" t="str">
        <f>G!AP124</f>
        <v>--</v>
      </c>
      <c r="F154" s="42"/>
      <c r="G154" s="42" t="str">
        <f>G!AS124</f>
        <v/>
      </c>
      <c r="H154" s="43" t="str">
        <f>G!AR124</f>
        <v>--</v>
      </c>
      <c r="I154" s="42" t="str">
        <f>G!AT124</f>
        <v/>
      </c>
      <c r="J154" s="42" t="str">
        <f>G!AU124</f>
        <v/>
      </c>
      <c r="K154" s="43" t="str">
        <f>IFERROR(IF(OR(H154="--",H154="rg",VLOOKUP(F!$B124,E!$B$1:'E'!$AK$300,12,FALSE)=1000000000,I154="-",I154=""),"",(HLOOKUP(SMALL(G!$Q$4:'G'!$Y$4,1),G!$Q$4:'G'!$Y$501,ROW(G!Q124)-3,FALSE))/VLOOKUP(F!$B124,E!$B$1:'E'!$AK$300,12,FALSE)*100),"")</f>
        <v/>
      </c>
      <c r="L154" s="43"/>
      <c r="M154" s="43" t="str">
        <f>G!AW124</f>
        <v/>
      </c>
      <c r="N154" s="43" t="str">
        <f>G!AV124</f>
        <v>--</v>
      </c>
      <c r="O154" s="42"/>
      <c r="P154" s="42" t="str">
        <f>G!AY124</f>
        <v/>
      </c>
      <c r="Q154" s="43" t="str">
        <f>G!AX124</f>
        <v>--</v>
      </c>
      <c r="R154" s="42" t="str">
        <f>G!AZ124</f>
        <v/>
      </c>
      <c r="S154" s="42" t="str">
        <f>G!BA124</f>
        <v/>
      </c>
      <c r="T154" s="43" t="str">
        <f>IFERROR(IF(OR(Q154="--",Q154="rg",VLOOKUP(F!$B124,E!$B$1:'E'!$AK$300,12,FALSE)=1000000000,R154="-",R154=""),"",(HLOOKUP(SMALL(G!$Q$4:'G'!$Y$4,4),G!$Q$4:'G'!$Y$501,ROW(G!Z124)-3,FALSE))/VLOOKUP(F!$B124,E!$B$1:'E'!$AK$300,12,FALSE)*100),"")</f>
        <v/>
      </c>
      <c r="U154" s="43"/>
      <c r="V154" s="43" t="str">
        <f>G!BC124</f>
        <v/>
      </c>
      <c r="W154" s="43" t="str">
        <f>G!BB124</f>
        <v>--</v>
      </c>
      <c r="X154" s="43"/>
      <c r="Y154" s="42" t="str">
        <f>G!BE124</f>
        <v/>
      </c>
      <c r="Z154" s="43" t="str">
        <f>G!BD124</f>
        <v>--</v>
      </c>
      <c r="AA154" s="42" t="str">
        <f>G!BF124</f>
        <v/>
      </c>
      <c r="AB154" s="42" t="str">
        <f>G!BG124</f>
        <v/>
      </c>
      <c r="AC154" s="43" t="str">
        <f>IFERROR(IF(OR(Z154="--",Z154="rg",VLOOKUP(F!$B124,E!$B$1:'E'!$AK$300,12,FALSE)=1000000000,AA154="-",AA154=""),"",(HLOOKUP(SMALL(G!$Q$4:'G'!$Y$4,7),G!$Q$4:'G'!$Y$501,ROW(G!AI124)-3,FALSE))/VLOOKUP(F!$B124,E!$B$1:'E'!$AK$300,12,FALSE)*100),"")</f>
        <v/>
      </c>
      <c r="AD154" s="43"/>
      <c r="AE154" s="34"/>
      <c r="AF154" s="34"/>
      <c r="AH154" s="72">
        <f t="shared" ref="AH154:AH217" si="3">IF(AND(E154="--",N154="--",W154="--"),1,0)</f>
        <v>1</v>
      </c>
      <c r="AJ154" s="34"/>
      <c r="AK154" s="34"/>
    </row>
    <row r="155" spans="1:37" s="72" customFormat="1" ht="9" hidden="1" customHeight="1" x14ac:dyDescent="0.15">
      <c r="A155" s="195" t="str">
        <f>F!A125</f>
        <v>2,3,4-trichloorfenol</v>
      </c>
      <c r="B155" s="195"/>
      <c r="C155" s="195"/>
      <c r="D155" s="44" t="str">
        <f>G!AQ125</f>
        <v/>
      </c>
      <c r="E155" s="43" t="str">
        <f>G!AP125</f>
        <v>--</v>
      </c>
      <c r="F155" s="42"/>
      <c r="G155" s="42" t="str">
        <f>G!AS125</f>
        <v/>
      </c>
      <c r="H155" s="43" t="str">
        <f>G!AR125</f>
        <v>--</v>
      </c>
      <c r="I155" s="42" t="str">
        <f>G!AT125</f>
        <v/>
      </c>
      <c r="J155" s="42" t="str">
        <f>G!AU125</f>
        <v/>
      </c>
      <c r="K155" s="43" t="str">
        <f>IFERROR(IF(OR(H155="--",H155="rg",VLOOKUP(F!$B125,E!$B$1:'E'!$AK$300,12,FALSE)=1000000000,I155="-",I155=""),"",(HLOOKUP(SMALL(G!$Q$4:'G'!$Y$4,1),G!$Q$4:'G'!$Y$501,ROW(G!Q125)-3,FALSE))/VLOOKUP(F!$B125,E!$B$1:'E'!$AK$300,12,FALSE)*100),"")</f>
        <v/>
      </c>
      <c r="L155" s="43"/>
      <c r="M155" s="43" t="str">
        <f>G!AW125</f>
        <v/>
      </c>
      <c r="N155" s="43" t="str">
        <f>G!AV125</f>
        <v>--</v>
      </c>
      <c r="O155" s="42"/>
      <c r="P155" s="42" t="str">
        <f>G!AY125</f>
        <v/>
      </c>
      <c r="Q155" s="43" t="str">
        <f>G!AX125</f>
        <v>--</v>
      </c>
      <c r="R155" s="42" t="str">
        <f>G!AZ125</f>
        <v/>
      </c>
      <c r="S155" s="42" t="str">
        <f>G!BA125</f>
        <v/>
      </c>
      <c r="T155" s="43" t="str">
        <f>IFERROR(IF(OR(Q155="--",Q155="rg",VLOOKUP(F!$B125,E!$B$1:'E'!$AK$300,12,FALSE)=1000000000,R155="-",R155=""),"",(HLOOKUP(SMALL(G!$Q$4:'G'!$Y$4,4),G!$Q$4:'G'!$Y$501,ROW(G!Z125)-3,FALSE))/VLOOKUP(F!$B125,E!$B$1:'E'!$AK$300,12,FALSE)*100),"")</f>
        <v/>
      </c>
      <c r="U155" s="43"/>
      <c r="V155" s="43" t="str">
        <f>G!BC125</f>
        <v/>
      </c>
      <c r="W155" s="43" t="str">
        <f>G!BB125</f>
        <v>--</v>
      </c>
      <c r="X155" s="43"/>
      <c r="Y155" s="42" t="str">
        <f>G!BE125</f>
        <v/>
      </c>
      <c r="Z155" s="43" t="str">
        <f>G!BD125</f>
        <v>--</v>
      </c>
      <c r="AA155" s="42" t="str">
        <f>G!BF125</f>
        <v/>
      </c>
      <c r="AB155" s="42" t="str">
        <f>G!BG125</f>
        <v/>
      </c>
      <c r="AC155" s="43" t="str">
        <f>IFERROR(IF(OR(Z155="--",Z155="rg",VLOOKUP(F!$B125,E!$B$1:'E'!$AK$300,12,FALSE)=1000000000,AA155="-",AA155=""),"",(HLOOKUP(SMALL(G!$Q$4:'G'!$Y$4,7),G!$Q$4:'G'!$Y$501,ROW(G!AI125)-3,FALSE))/VLOOKUP(F!$B125,E!$B$1:'E'!$AK$300,12,FALSE)*100),"")</f>
        <v/>
      </c>
      <c r="AD155" s="43"/>
      <c r="AE155" s="34"/>
      <c r="AF155" s="34"/>
      <c r="AH155" s="72">
        <f t="shared" si="3"/>
        <v>1</v>
      </c>
      <c r="AJ155" s="34"/>
      <c r="AK155" s="34"/>
    </row>
    <row r="156" spans="1:37" s="72" customFormat="1" ht="9" hidden="1" customHeight="1" x14ac:dyDescent="0.15">
      <c r="A156" s="195" t="str">
        <f>F!A126</f>
        <v>2,3,5-trichloorfenol</v>
      </c>
      <c r="B156" s="195"/>
      <c r="C156" s="195"/>
      <c r="D156" s="44" t="str">
        <f>G!AQ126</f>
        <v/>
      </c>
      <c r="E156" s="43" t="str">
        <f>G!AP126</f>
        <v>--</v>
      </c>
      <c r="F156" s="42"/>
      <c r="G156" s="42" t="str">
        <f>G!AS126</f>
        <v/>
      </c>
      <c r="H156" s="43" t="str">
        <f>G!AR126</f>
        <v>--</v>
      </c>
      <c r="I156" s="42" t="str">
        <f>G!AT126</f>
        <v/>
      </c>
      <c r="J156" s="42" t="str">
        <f>G!AU126</f>
        <v/>
      </c>
      <c r="K156" s="43" t="str">
        <f>IFERROR(IF(OR(H156="--",H156="rg",VLOOKUP(F!$B126,E!$B$1:'E'!$AK$300,12,FALSE)=1000000000,I156="-",I156=""),"",(HLOOKUP(SMALL(G!$Q$4:'G'!$Y$4,1),G!$Q$4:'G'!$Y$501,ROW(G!Q126)-3,FALSE))/VLOOKUP(F!$B126,E!$B$1:'E'!$AK$300,12,FALSE)*100),"")</f>
        <v/>
      </c>
      <c r="L156" s="43"/>
      <c r="M156" s="43" t="str">
        <f>G!AW126</f>
        <v/>
      </c>
      <c r="N156" s="43" t="str">
        <f>G!AV126</f>
        <v>--</v>
      </c>
      <c r="O156" s="42"/>
      <c r="P156" s="42" t="str">
        <f>G!AY126</f>
        <v/>
      </c>
      <c r="Q156" s="43" t="str">
        <f>G!AX126</f>
        <v>--</v>
      </c>
      <c r="R156" s="42" t="str">
        <f>G!AZ126</f>
        <v/>
      </c>
      <c r="S156" s="42" t="str">
        <f>G!BA126</f>
        <v/>
      </c>
      <c r="T156" s="43" t="str">
        <f>IFERROR(IF(OR(Q156="--",Q156="rg",VLOOKUP(F!$B126,E!$B$1:'E'!$AK$300,12,FALSE)=1000000000,R156="-",R156=""),"",(HLOOKUP(SMALL(G!$Q$4:'G'!$Y$4,4),G!$Q$4:'G'!$Y$501,ROW(G!Z126)-3,FALSE))/VLOOKUP(F!$B126,E!$B$1:'E'!$AK$300,12,FALSE)*100),"")</f>
        <v/>
      </c>
      <c r="U156" s="43"/>
      <c r="V156" s="43" t="str">
        <f>G!BC126</f>
        <v/>
      </c>
      <c r="W156" s="43" t="str">
        <f>G!BB126</f>
        <v>--</v>
      </c>
      <c r="X156" s="43"/>
      <c r="Y156" s="42" t="str">
        <f>G!BE126</f>
        <v/>
      </c>
      <c r="Z156" s="43" t="str">
        <f>G!BD126</f>
        <v>--</v>
      </c>
      <c r="AA156" s="42" t="str">
        <f>G!BF126</f>
        <v/>
      </c>
      <c r="AB156" s="42" t="str">
        <f>G!BG126</f>
        <v/>
      </c>
      <c r="AC156" s="43" t="str">
        <f>IFERROR(IF(OR(Z156="--",Z156="rg",VLOOKUP(F!$B126,E!$B$1:'E'!$AK$300,12,FALSE)=1000000000,AA156="-",AA156=""),"",(HLOOKUP(SMALL(G!$Q$4:'G'!$Y$4,7),G!$Q$4:'G'!$Y$501,ROW(G!AI126)-3,FALSE))/VLOOKUP(F!$B126,E!$B$1:'E'!$AK$300,12,FALSE)*100),"")</f>
        <v/>
      </c>
      <c r="AD156" s="43"/>
      <c r="AE156" s="34"/>
      <c r="AF156" s="34"/>
      <c r="AH156" s="72">
        <f t="shared" si="3"/>
        <v>1</v>
      </c>
      <c r="AJ156" s="34"/>
      <c r="AK156" s="34"/>
    </row>
    <row r="157" spans="1:37" s="72" customFormat="1" ht="9" hidden="1" customHeight="1" x14ac:dyDescent="0.15">
      <c r="A157" s="195" t="str">
        <f>F!A127</f>
        <v>2,3,6-trichloorfenol</v>
      </c>
      <c r="B157" s="195"/>
      <c r="C157" s="195"/>
      <c r="D157" s="44" t="str">
        <f>G!AQ127</f>
        <v/>
      </c>
      <c r="E157" s="43" t="str">
        <f>G!AP127</f>
        <v>--</v>
      </c>
      <c r="F157" s="42"/>
      <c r="G157" s="42" t="str">
        <f>G!AS127</f>
        <v/>
      </c>
      <c r="H157" s="43" t="str">
        <f>G!AR127</f>
        <v>--</v>
      </c>
      <c r="I157" s="42" t="str">
        <f>G!AT127</f>
        <v/>
      </c>
      <c r="J157" s="42" t="str">
        <f>G!AU127</f>
        <v/>
      </c>
      <c r="K157" s="43" t="str">
        <f>IFERROR(IF(OR(H157="--",H157="rg",VLOOKUP(F!$B127,E!$B$1:'E'!$AK$300,12,FALSE)=1000000000,I157="-",I157=""),"",(HLOOKUP(SMALL(G!$Q$4:'G'!$Y$4,1),G!$Q$4:'G'!$Y$501,ROW(G!Q127)-3,FALSE))/VLOOKUP(F!$B127,E!$B$1:'E'!$AK$300,12,FALSE)*100),"")</f>
        <v/>
      </c>
      <c r="L157" s="43"/>
      <c r="M157" s="43" t="str">
        <f>G!AW127</f>
        <v/>
      </c>
      <c r="N157" s="43" t="str">
        <f>G!AV127</f>
        <v>--</v>
      </c>
      <c r="O157" s="42"/>
      <c r="P157" s="42" t="str">
        <f>G!AY127</f>
        <v/>
      </c>
      <c r="Q157" s="43" t="str">
        <f>G!AX127</f>
        <v>--</v>
      </c>
      <c r="R157" s="42" t="str">
        <f>G!AZ127</f>
        <v/>
      </c>
      <c r="S157" s="42" t="str">
        <f>G!BA127</f>
        <v/>
      </c>
      <c r="T157" s="43" t="str">
        <f>IFERROR(IF(OR(Q157="--",Q157="rg",VLOOKUP(F!$B127,E!$B$1:'E'!$AK$300,12,FALSE)=1000000000,R157="-",R157=""),"",(HLOOKUP(SMALL(G!$Q$4:'G'!$Y$4,4),G!$Q$4:'G'!$Y$501,ROW(G!Z127)-3,FALSE))/VLOOKUP(F!$B127,E!$B$1:'E'!$AK$300,12,FALSE)*100),"")</f>
        <v/>
      </c>
      <c r="U157" s="43"/>
      <c r="V157" s="43" t="str">
        <f>G!BC127</f>
        <v/>
      </c>
      <c r="W157" s="43" t="str">
        <f>G!BB127</f>
        <v>--</v>
      </c>
      <c r="X157" s="43"/>
      <c r="Y157" s="42" t="str">
        <f>G!BE127</f>
        <v/>
      </c>
      <c r="Z157" s="43" t="str">
        <f>G!BD127</f>
        <v>--</v>
      </c>
      <c r="AA157" s="42" t="str">
        <f>G!BF127</f>
        <v/>
      </c>
      <c r="AB157" s="42" t="str">
        <f>G!BG127</f>
        <v/>
      </c>
      <c r="AC157" s="43" t="str">
        <f>IFERROR(IF(OR(Z157="--",Z157="rg",VLOOKUP(F!$B127,E!$B$1:'E'!$AK$300,12,FALSE)=1000000000,AA157="-",AA157=""),"",(HLOOKUP(SMALL(G!$Q$4:'G'!$Y$4,7),G!$Q$4:'G'!$Y$501,ROW(G!AI127)-3,FALSE))/VLOOKUP(F!$B127,E!$B$1:'E'!$AK$300,12,FALSE)*100),"")</f>
        <v/>
      </c>
      <c r="AD157" s="43"/>
      <c r="AE157" s="34"/>
      <c r="AF157" s="34"/>
      <c r="AH157" s="72">
        <f t="shared" si="3"/>
        <v>1</v>
      </c>
      <c r="AJ157" s="34"/>
      <c r="AK157" s="34"/>
    </row>
    <row r="158" spans="1:37" s="72" customFormat="1" ht="9" hidden="1" customHeight="1" x14ac:dyDescent="0.15">
      <c r="A158" s="195" t="str">
        <f>F!A128</f>
        <v>2,4,5-Trichloorfenol</v>
      </c>
      <c r="B158" s="195"/>
      <c r="C158" s="195"/>
      <c r="D158" s="44" t="str">
        <f>G!AQ128</f>
        <v/>
      </c>
      <c r="E158" s="43" t="str">
        <f>G!AP128</f>
        <v>--</v>
      </c>
      <c r="F158" s="42"/>
      <c r="G158" s="42" t="str">
        <f>G!AS128</f>
        <v/>
      </c>
      <c r="H158" s="43" t="str">
        <f>G!AR128</f>
        <v>--</v>
      </c>
      <c r="I158" s="42" t="str">
        <f>G!AT128</f>
        <v/>
      </c>
      <c r="J158" s="42" t="str">
        <f>G!AU128</f>
        <v/>
      </c>
      <c r="K158" s="43" t="str">
        <f>IFERROR(IF(OR(H158="--",H158="rg",VLOOKUP(F!$B128,E!$B$1:'E'!$AK$300,12,FALSE)=1000000000,I158="-",I158=""),"",(HLOOKUP(SMALL(G!$Q$4:'G'!$Y$4,1),G!$Q$4:'G'!$Y$501,ROW(G!Q128)-3,FALSE))/VLOOKUP(F!$B128,E!$B$1:'E'!$AK$300,12,FALSE)*100),"")</f>
        <v/>
      </c>
      <c r="L158" s="43"/>
      <c r="M158" s="43" t="str">
        <f>G!AW128</f>
        <v/>
      </c>
      <c r="N158" s="43" t="str">
        <f>G!AV128</f>
        <v>--</v>
      </c>
      <c r="O158" s="42"/>
      <c r="P158" s="42" t="str">
        <f>G!AY128</f>
        <v/>
      </c>
      <c r="Q158" s="43" t="str">
        <f>G!AX128</f>
        <v>--</v>
      </c>
      <c r="R158" s="42" t="str">
        <f>G!AZ128</f>
        <v/>
      </c>
      <c r="S158" s="42" t="str">
        <f>G!BA128</f>
        <v/>
      </c>
      <c r="T158" s="43" t="str">
        <f>IFERROR(IF(OR(Q158="--",Q158="rg",VLOOKUP(F!$B128,E!$B$1:'E'!$AK$300,12,FALSE)=1000000000,R158="-",R158=""),"",(HLOOKUP(SMALL(G!$Q$4:'G'!$Y$4,4),G!$Q$4:'G'!$Y$501,ROW(G!Z128)-3,FALSE))/VLOOKUP(F!$B128,E!$B$1:'E'!$AK$300,12,FALSE)*100),"")</f>
        <v/>
      </c>
      <c r="U158" s="43"/>
      <c r="V158" s="43" t="str">
        <f>G!BC128</f>
        <v/>
      </c>
      <c r="W158" s="43" t="str">
        <f>G!BB128</f>
        <v>--</v>
      </c>
      <c r="X158" s="43"/>
      <c r="Y158" s="42" t="str">
        <f>G!BE128</f>
        <v/>
      </c>
      <c r="Z158" s="43" t="str">
        <f>G!BD128</f>
        <v>--</v>
      </c>
      <c r="AA158" s="42" t="str">
        <f>G!BF128</f>
        <v/>
      </c>
      <c r="AB158" s="42" t="str">
        <f>G!BG128</f>
        <v/>
      </c>
      <c r="AC158" s="43" t="str">
        <f>IFERROR(IF(OR(Z158="--",Z158="rg",VLOOKUP(F!$B128,E!$B$1:'E'!$AK$300,12,FALSE)=1000000000,AA158="-",AA158=""),"",(HLOOKUP(SMALL(G!$Q$4:'G'!$Y$4,7),G!$Q$4:'G'!$Y$501,ROW(G!AI128)-3,FALSE))/VLOOKUP(F!$B128,E!$B$1:'E'!$AK$300,12,FALSE)*100),"")</f>
        <v/>
      </c>
      <c r="AD158" s="43"/>
      <c r="AE158" s="34"/>
      <c r="AF158" s="34"/>
      <c r="AH158" s="72">
        <f t="shared" si="3"/>
        <v>1</v>
      </c>
      <c r="AJ158" s="34"/>
      <c r="AK158" s="34"/>
    </row>
    <row r="159" spans="1:37" s="72" customFormat="1" ht="9" hidden="1" customHeight="1" x14ac:dyDescent="0.15">
      <c r="A159" s="195" t="str">
        <f>F!A129</f>
        <v>2,4,6-Trichloorfenol</v>
      </c>
      <c r="B159" s="195"/>
      <c r="C159" s="195"/>
      <c r="D159" s="44" t="str">
        <f>G!AQ129</f>
        <v/>
      </c>
      <c r="E159" s="43" t="str">
        <f>G!AP129</f>
        <v>--</v>
      </c>
      <c r="F159" s="42"/>
      <c r="G159" s="42" t="str">
        <f>G!AS129</f>
        <v/>
      </c>
      <c r="H159" s="43" t="str">
        <f>G!AR129</f>
        <v>--</v>
      </c>
      <c r="I159" s="42" t="str">
        <f>G!AT129</f>
        <v/>
      </c>
      <c r="J159" s="42" t="str">
        <f>G!AU129</f>
        <v/>
      </c>
      <c r="K159" s="43" t="str">
        <f>IFERROR(IF(OR(H159="--",H159="rg",VLOOKUP(F!$B129,E!$B$1:'E'!$AK$300,12,FALSE)=1000000000,I159="-",I159=""),"",(HLOOKUP(SMALL(G!$Q$4:'G'!$Y$4,1),G!$Q$4:'G'!$Y$501,ROW(G!Q129)-3,FALSE))/VLOOKUP(F!$B129,E!$B$1:'E'!$AK$300,12,FALSE)*100),"")</f>
        <v/>
      </c>
      <c r="L159" s="43"/>
      <c r="M159" s="43" t="str">
        <f>G!AW129</f>
        <v/>
      </c>
      <c r="N159" s="43" t="str">
        <f>G!AV129</f>
        <v>--</v>
      </c>
      <c r="O159" s="42"/>
      <c r="P159" s="42" t="str">
        <f>G!AY129</f>
        <v/>
      </c>
      <c r="Q159" s="43" t="str">
        <f>G!AX129</f>
        <v>--</v>
      </c>
      <c r="R159" s="42" t="str">
        <f>G!AZ129</f>
        <v/>
      </c>
      <c r="S159" s="42" t="str">
        <f>G!BA129</f>
        <v/>
      </c>
      <c r="T159" s="43" t="str">
        <f>IFERROR(IF(OR(Q159="--",Q159="rg",VLOOKUP(F!$B129,E!$B$1:'E'!$AK$300,12,FALSE)=1000000000,R159="-",R159=""),"",(HLOOKUP(SMALL(G!$Q$4:'G'!$Y$4,4),G!$Q$4:'G'!$Y$501,ROW(G!Z129)-3,FALSE))/VLOOKUP(F!$B129,E!$B$1:'E'!$AK$300,12,FALSE)*100),"")</f>
        <v/>
      </c>
      <c r="U159" s="43"/>
      <c r="V159" s="43" t="str">
        <f>G!BC129</f>
        <v/>
      </c>
      <c r="W159" s="43" t="str">
        <f>G!BB129</f>
        <v>--</v>
      </c>
      <c r="X159" s="43"/>
      <c r="Y159" s="42" t="str">
        <f>G!BE129</f>
        <v/>
      </c>
      <c r="Z159" s="43" t="str">
        <f>G!BD129</f>
        <v>--</v>
      </c>
      <c r="AA159" s="42" t="str">
        <f>G!BF129</f>
        <v/>
      </c>
      <c r="AB159" s="42" t="str">
        <f>G!BG129</f>
        <v/>
      </c>
      <c r="AC159" s="43" t="str">
        <f>IFERROR(IF(OR(Z159="--",Z159="rg",VLOOKUP(F!$B129,E!$B$1:'E'!$AK$300,12,FALSE)=1000000000,AA159="-",AA159=""),"",(HLOOKUP(SMALL(G!$Q$4:'G'!$Y$4,7),G!$Q$4:'G'!$Y$501,ROW(G!AI129)-3,FALSE))/VLOOKUP(F!$B129,E!$B$1:'E'!$AK$300,12,FALSE)*100),"")</f>
        <v/>
      </c>
      <c r="AD159" s="43"/>
      <c r="AE159" s="34"/>
      <c r="AF159" s="34"/>
      <c r="AH159" s="72">
        <f t="shared" si="3"/>
        <v>1</v>
      </c>
      <c r="AJ159" s="34"/>
      <c r="AK159" s="34"/>
    </row>
    <row r="160" spans="1:37" s="72" customFormat="1" ht="9" hidden="1" customHeight="1" x14ac:dyDescent="0.15">
      <c r="A160" s="195" t="str">
        <f>F!A130</f>
        <v>3,4,5-Trichloorfenol</v>
      </c>
      <c r="B160" s="195"/>
      <c r="C160" s="195"/>
      <c r="D160" s="44" t="str">
        <f>G!AQ130</f>
        <v/>
      </c>
      <c r="E160" s="43" t="str">
        <f>G!AP130</f>
        <v>--</v>
      </c>
      <c r="F160" s="42"/>
      <c r="G160" s="42" t="str">
        <f>G!AS130</f>
        <v/>
      </c>
      <c r="H160" s="43" t="str">
        <f>G!AR130</f>
        <v>--</v>
      </c>
      <c r="I160" s="42" t="str">
        <f>G!AT130</f>
        <v/>
      </c>
      <c r="J160" s="42" t="str">
        <f>G!AU130</f>
        <v/>
      </c>
      <c r="K160" s="43" t="str">
        <f>IFERROR(IF(OR(H160="--",H160="rg",VLOOKUP(F!$B130,E!$B$1:'E'!$AK$300,12,FALSE)=1000000000,I160="-",I160=""),"",(HLOOKUP(SMALL(G!$Q$4:'G'!$Y$4,1),G!$Q$4:'G'!$Y$501,ROW(G!Q130)-3,FALSE))/VLOOKUP(F!$B130,E!$B$1:'E'!$AK$300,12,FALSE)*100),"")</f>
        <v/>
      </c>
      <c r="L160" s="43"/>
      <c r="M160" s="43" t="str">
        <f>G!AW130</f>
        <v/>
      </c>
      <c r="N160" s="43" t="str">
        <f>G!AV130</f>
        <v>--</v>
      </c>
      <c r="O160" s="42"/>
      <c r="P160" s="42" t="str">
        <f>G!AY130</f>
        <v/>
      </c>
      <c r="Q160" s="43" t="str">
        <f>G!AX130</f>
        <v>--</v>
      </c>
      <c r="R160" s="42" t="str">
        <f>G!AZ130</f>
        <v/>
      </c>
      <c r="S160" s="42" t="str">
        <f>G!BA130</f>
        <v/>
      </c>
      <c r="T160" s="43" t="str">
        <f>IFERROR(IF(OR(Q160="--",Q160="rg",VLOOKUP(F!$B130,E!$B$1:'E'!$AK$300,12,FALSE)=1000000000,R160="-",R160=""),"",(HLOOKUP(SMALL(G!$Q$4:'G'!$Y$4,4),G!$Q$4:'G'!$Y$501,ROW(G!Z130)-3,FALSE))/VLOOKUP(F!$B130,E!$B$1:'E'!$AK$300,12,FALSE)*100),"")</f>
        <v/>
      </c>
      <c r="U160" s="43"/>
      <c r="V160" s="43" t="str">
        <f>G!BC130</f>
        <v/>
      </c>
      <c r="W160" s="43" t="str">
        <f>G!BB130</f>
        <v>--</v>
      </c>
      <c r="X160" s="43"/>
      <c r="Y160" s="42" t="str">
        <f>G!BE130</f>
        <v/>
      </c>
      <c r="Z160" s="43" t="str">
        <f>G!BD130</f>
        <v>--</v>
      </c>
      <c r="AA160" s="42" t="str">
        <f>G!BF130</f>
        <v/>
      </c>
      <c r="AB160" s="42" t="str">
        <f>G!BG130</f>
        <v/>
      </c>
      <c r="AC160" s="43" t="str">
        <f>IFERROR(IF(OR(Z160="--",Z160="rg",VLOOKUP(F!$B130,E!$B$1:'E'!$AK$300,12,FALSE)=1000000000,AA160="-",AA160=""),"",(HLOOKUP(SMALL(G!$Q$4:'G'!$Y$4,7),G!$Q$4:'G'!$Y$501,ROW(G!AI130)-3,FALSE))/VLOOKUP(F!$B130,E!$B$1:'E'!$AK$300,12,FALSE)*100),"")</f>
        <v/>
      </c>
      <c r="AD160" s="43"/>
      <c r="AE160" s="34"/>
      <c r="AF160" s="34"/>
      <c r="AH160" s="72">
        <f t="shared" si="3"/>
        <v>1</v>
      </c>
      <c r="AJ160" s="34"/>
      <c r="AK160" s="34"/>
    </row>
    <row r="161" spans="1:37" s="72" customFormat="1" ht="9" hidden="1" customHeight="1" x14ac:dyDescent="0.15">
      <c r="A161" s="195" t="str">
        <f>F!A131</f>
        <v>Trichloorfenolen (som)</v>
      </c>
      <c r="B161" s="195"/>
      <c r="C161" s="195"/>
      <c r="D161" s="44" t="str">
        <f>G!AQ131</f>
        <v/>
      </c>
      <c r="E161" s="43" t="str">
        <f>G!AP131</f>
        <v>--</v>
      </c>
      <c r="F161" s="42"/>
      <c r="G161" s="42" t="str">
        <f>G!AS131</f>
        <v/>
      </c>
      <c r="H161" s="43" t="str">
        <f>G!AR131</f>
        <v>--</v>
      </c>
      <c r="I161" s="42" t="str">
        <f>G!AT131</f>
        <v/>
      </c>
      <c r="J161" s="42" t="str">
        <f>G!AU131</f>
        <v/>
      </c>
      <c r="K161" s="43" t="str">
        <f>IFERROR(IF(OR(H161="--",H161="rg",VLOOKUP(F!$B131,E!$B$1:'E'!$AK$300,12,FALSE)=1000000000,I161="-",I161=""),"",(HLOOKUP(SMALL(G!$Q$4:'G'!$Y$4,1),G!$Q$4:'G'!$Y$501,ROW(G!Q131)-3,FALSE))/VLOOKUP(F!$B131,E!$B$1:'E'!$AK$300,12,FALSE)*100),"")</f>
        <v/>
      </c>
      <c r="L161" s="43"/>
      <c r="M161" s="43" t="str">
        <f>G!AW131</f>
        <v/>
      </c>
      <c r="N161" s="43" t="str">
        <f>G!AV131</f>
        <v>--</v>
      </c>
      <c r="O161" s="42"/>
      <c r="P161" s="42" t="str">
        <f>G!AY131</f>
        <v/>
      </c>
      <c r="Q161" s="43" t="str">
        <f>G!AX131</f>
        <v>--</v>
      </c>
      <c r="R161" s="42" t="str">
        <f>G!AZ131</f>
        <v/>
      </c>
      <c r="S161" s="42" t="str">
        <f>G!BA131</f>
        <v/>
      </c>
      <c r="T161" s="43" t="str">
        <f>IFERROR(IF(OR(Q161="--",Q161="rg",VLOOKUP(F!$B131,E!$B$1:'E'!$AK$300,12,FALSE)=1000000000,R161="-",R161=""),"",(HLOOKUP(SMALL(G!$Q$4:'G'!$Y$4,4),G!$Q$4:'G'!$Y$501,ROW(G!Z131)-3,FALSE))/VLOOKUP(F!$B131,E!$B$1:'E'!$AK$300,12,FALSE)*100),"")</f>
        <v/>
      </c>
      <c r="U161" s="43"/>
      <c r="V161" s="43" t="str">
        <f>G!BC131</f>
        <v/>
      </c>
      <c r="W161" s="43" t="str">
        <f>G!BB131</f>
        <v>--</v>
      </c>
      <c r="X161" s="43"/>
      <c r="Y161" s="42" t="str">
        <f>G!BE131</f>
        <v/>
      </c>
      <c r="Z161" s="43" t="str">
        <f>G!BD131</f>
        <v>--</v>
      </c>
      <c r="AA161" s="42" t="str">
        <f>G!BF131</f>
        <v/>
      </c>
      <c r="AB161" s="42" t="str">
        <f>G!BG131</f>
        <v/>
      </c>
      <c r="AC161" s="43" t="str">
        <f>IFERROR(IF(OR(Z161="--",Z161="rg",VLOOKUP(F!$B131,E!$B$1:'E'!$AK$300,12,FALSE)=1000000000,AA161="-",AA161=""),"",(HLOOKUP(SMALL(G!$Q$4:'G'!$Y$4,7),G!$Q$4:'G'!$Y$501,ROW(G!AI131)-3,FALSE))/VLOOKUP(F!$B131,E!$B$1:'E'!$AK$300,12,FALSE)*100),"")</f>
        <v/>
      </c>
      <c r="AD161" s="43"/>
      <c r="AE161" s="34"/>
      <c r="AF161" s="34"/>
      <c r="AH161" s="72">
        <f t="shared" si="3"/>
        <v>1</v>
      </c>
      <c r="AJ161" s="34"/>
      <c r="AK161" s="34"/>
    </row>
    <row r="162" spans="1:37" s="72" customFormat="1" ht="9" hidden="1" customHeight="1" x14ac:dyDescent="0.15">
      <c r="A162" s="195" t="str">
        <f>F!A132</f>
        <v>2-Chloorfenol</v>
      </c>
      <c r="B162" s="195"/>
      <c r="C162" s="195"/>
      <c r="D162" s="44" t="str">
        <f>G!AQ132</f>
        <v/>
      </c>
      <c r="E162" s="43" t="str">
        <f>G!AP132</f>
        <v>--</v>
      </c>
      <c r="F162" s="42"/>
      <c r="G162" s="42" t="str">
        <f>G!AS132</f>
        <v/>
      </c>
      <c r="H162" s="43" t="str">
        <f>G!AR132</f>
        <v>--</v>
      </c>
      <c r="I162" s="42" t="str">
        <f>G!AT132</f>
        <v/>
      </c>
      <c r="J162" s="42" t="str">
        <f>G!AU132</f>
        <v/>
      </c>
      <c r="K162" s="43" t="str">
        <f>IFERROR(IF(OR(H162="--",H162="rg",VLOOKUP(F!$B132,E!$B$1:'E'!$AK$300,12,FALSE)=1000000000,I162="-",I162=""),"",(HLOOKUP(SMALL(G!$Q$4:'G'!$Y$4,1),G!$Q$4:'G'!$Y$501,ROW(G!Q132)-3,FALSE))/VLOOKUP(F!$B132,E!$B$1:'E'!$AK$300,12,FALSE)*100),"")</f>
        <v/>
      </c>
      <c r="L162" s="43"/>
      <c r="M162" s="43" t="str">
        <f>G!AW132</f>
        <v/>
      </c>
      <c r="N162" s="43" t="str">
        <f>G!AV132</f>
        <v>--</v>
      </c>
      <c r="O162" s="42"/>
      <c r="P162" s="42" t="str">
        <f>G!AY132</f>
        <v/>
      </c>
      <c r="Q162" s="43" t="str">
        <f>G!AX132</f>
        <v>--</v>
      </c>
      <c r="R162" s="42" t="str">
        <f>G!AZ132</f>
        <v/>
      </c>
      <c r="S162" s="42" t="str">
        <f>G!BA132</f>
        <v/>
      </c>
      <c r="T162" s="43" t="str">
        <f>IFERROR(IF(OR(Q162="--",Q162="rg",VLOOKUP(F!$B132,E!$B$1:'E'!$AK$300,12,FALSE)=1000000000,R162="-",R162=""),"",(HLOOKUP(SMALL(G!$Q$4:'G'!$Y$4,4),G!$Q$4:'G'!$Y$501,ROW(G!Z132)-3,FALSE))/VLOOKUP(F!$B132,E!$B$1:'E'!$AK$300,12,FALSE)*100),"")</f>
        <v/>
      </c>
      <c r="U162" s="43"/>
      <c r="V162" s="43" t="str">
        <f>G!BC132</f>
        <v/>
      </c>
      <c r="W162" s="43" t="str">
        <f>G!BB132</f>
        <v>--</v>
      </c>
      <c r="X162" s="43"/>
      <c r="Y162" s="42" t="str">
        <f>G!BE132</f>
        <v/>
      </c>
      <c r="Z162" s="43" t="str">
        <f>G!BD132</f>
        <v>--</v>
      </c>
      <c r="AA162" s="42" t="str">
        <f>G!BF132</f>
        <v/>
      </c>
      <c r="AB162" s="42" t="str">
        <f>G!BG132</f>
        <v/>
      </c>
      <c r="AC162" s="43" t="str">
        <f>IFERROR(IF(OR(Z162="--",Z162="rg",VLOOKUP(F!$B132,E!$B$1:'E'!$AK$300,12,FALSE)=1000000000,AA162="-",AA162=""),"",(HLOOKUP(SMALL(G!$Q$4:'G'!$Y$4,7),G!$Q$4:'G'!$Y$501,ROW(G!AI132)-3,FALSE))/VLOOKUP(F!$B132,E!$B$1:'E'!$AK$300,12,FALSE)*100),"")</f>
        <v/>
      </c>
      <c r="AD162" s="43"/>
      <c r="AE162" s="34"/>
      <c r="AF162" s="34"/>
      <c r="AH162" s="72">
        <f t="shared" si="3"/>
        <v>1</v>
      </c>
      <c r="AJ162" s="34"/>
      <c r="AK162" s="34"/>
    </row>
    <row r="163" spans="1:37" s="72" customFormat="1" ht="9" hidden="1" customHeight="1" x14ac:dyDescent="0.15">
      <c r="A163" s="195" t="str">
        <f>F!A133</f>
        <v>4-Chloor-3-methylfenol</v>
      </c>
      <c r="B163" s="195"/>
      <c r="C163" s="195"/>
      <c r="D163" s="44" t="str">
        <f>G!AQ133</f>
        <v/>
      </c>
      <c r="E163" s="43" t="str">
        <f>G!AP133</f>
        <v>--</v>
      </c>
      <c r="F163" s="42"/>
      <c r="G163" s="42" t="str">
        <f>G!AS133</f>
        <v/>
      </c>
      <c r="H163" s="43" t="str">
        <f>G!AR133</f>
        <v>--</v>
      </c>
      <c r="I163" s="42" t="str">
        <f>G!AT133</f>
        <v/>
      </c>
      <c r="J163" s="42" t="str">
        <f>G!AU133</f>
        <v/>
      </c>
      <c r="K163" s="43" t="str">
        <f>IFERROR(IF(OR(H163="--",H163="rg",VLOOKUP(F!$B133,E!$B$1:'E'!$AK$300,12,FALSE)=1000000000,I163="-",I163=""),"",(HLOOKUP(SMALL(G!$Q$4:'G'!$Y$4,1),G!$Q$4:'G'!$Y$501,ROW(G!Q133)-3,FALSE))/VLOOKUP(F!$B133,E!$B$1:'E'!$AK$300,12,FALSE)*100),"")</f>
        <v/>
      </c>
      <c r="L163" s="43"/>
      <c r="M163" s="43" t="str">
        <f>G!AW133</f>
        <v/>
      </c>
      <c r="N163" s="43" t="str">
        <f>G!AV133</f>
        <v>--</v>
      </c>
      <c r="O163" s="42"/>
      <c r="P163" s="42" t="str">
        <f>G!AY133</f>
        <v/>
      </c>
      <c r="Q163" s="43" t="str">
        <f>G!AX133</f>
        <v>--</v>
      </c>
      <c r="R163" s="42" t="str">
        <f>G!AZ133</f>
        <v/>
      </c>
      <c r="S163" s="42" t="str">
        <f>G!BA133</f>
        <v/>
      </c>
      <c r="T163" s="43" t="str">
        <f>IFERROR(IF(OR(Q163="--",Q163="rg",VLOOKUP(F!$B133,E!$B$1:'E'!$AK$300,12,FALSE)=1000000000,R163="-",R163=""),"",(HLOOKUP(SMALL(G!$Q$4:'G'!$Y$4,4),G!$Q$4:'G'!$Y$501,ROW(G!Z133)-3,FALSE))/VLOOKUP(F!$B133,E!$B$1:'E'!$AK$300,12,FALSE)*100),"")</f>
        <v/>
      </c>
      <c r="U163" s="43"/>
      <c r="V163" s="43" t="str">
        <f>G!BC133</f>
        <v/>
      </c>
      <c r="W163" s="43" t="str">
        <f>G!BB133</f>
        <v>--</v>
      </c>
      <c r="X163" s="43"/>
      <c r="Y163" s="42" t="str">
        <f>G!BE133</f>
        <v/>
      </c>
      <c r="Z163" s="43" t="str">
        <f>G!BD133</f>
        <v>--</v>
      </c>
      <c r="AA163" s="42" t="str">
        <f>G!BF133</f>
        <v/>
      </c>
      <c r="AB163" s="42" t="str">
        <f>G!BG133</f>
        <v/>
      </c>
      <c r="AC163" s="43" t="str">
        <f>IFERROR(IF(OR(Z163="--",Z163="rg",VLOOKUP(F!$B133,E!$B$1:'E'!$AK$300,12,FALSE)=1000000000,AA163="-",AA163=""),"",(HLOOKUP(SMALL(G!$Q$4:'G'!$Y$4,7),G!$Q$4:'G'!$Y$501,ROW(G!AI133)-3,FALSE))/VLOOKUP(F!$B133,E!$B$1:'E'!$AK$300,12,FALSE)*100),"")</f>
        <v/>
      </c>
      <c r="AD163" s="43"/>
      <c r="AE163" s="34"/>
      <c r="AF163" s="34"/>
      <c r="AH163" s="72">
        <f t="shared" si="3"/>
        <v>1</v>
      </c>
      <c r="AJ163" s="34"/>
      <c r="AK163" s="34"/>
    </row>
    <row r="164" spans="1:37" s="72" customFormat="1" ht="9" hidden="1" customHeight="1" x14ac:dyDescent="0.15">
      <c r="A164" s="195" t="str">
        <f>F!A134</f>
        <v>4-Chloor-2-methylfenol</v>
      </c>
      <c r="B164" s="195"/>
      <c r="C164" s="195"/>
      <c r="D164" s="44" t="str">
        <f>G!AQ134</f>
        <v/>
      </c>
      <c r="E164" s="43" t="str">
        <f>G!AP134</f>
        <v>--</v>
      </c>
      <c r="F164" s="42"/>
      <c r="G164" s="42" t="str">
        <f>G!AS134</f>
        <v/>
      </c>
      <c r="H164" s="43" t="str">
        <f>G!AR134</f>
        <v>--</v>
      </c>
      <c r="I164" s="42" t="str">
        <f>G!AT134</f>
        <v/>
      </c>
      <c r="J164" s="42" t="str">
        <f>G!AU134</f>
        <v/>
      </c>
      <c r="K164" s="43" t="str">
        <f>IFERROR(IF(OR(H164="--",H164="rg",VLOOKUP(F!$B134,E!$B$1:'E'!$AK$300,12,FALSE)=1000000000,I164="-",I164=""),"",(HLOOKUP(SMALL(G!$Q$4:'G'!$Y$4,1),G!$Q$4:'G'!$Y$501,ROW(G!Q134)-3,FALSE))/VLOOKUP(F!$B134,E!$B$1:'E'!$AK$300,12,FALSE)*100),"")</f>
        <v/>
      </c>
      <c r="L164" s="43"/>
      <c r="M164" s="43" t="str">
        <f>G!AW134</f>
        <v/>
      </c>
      <c r="N164" s="43" t="str">
        <f>G!AV134</f>
        <v>--</v>
      </c>
      <c r="O164" s="42"/>
      <c r="P164" s="42" t="str">
        <f>G!AY134</f>
        <v/>
      </c>
      <c r="Q164" s="43" t="str">
        <f>G!AX134</f>
        <v>--</v>
      </c>
      <c r="R164" s="42" t="str">
        <f>G!AZ134</f>
        <v/>
      </c>
      <c r="S164" s="42" t="str">
        <f>G!BA134</f>
        <v/>
      </c>
      <c r="T164" s="43" t="str">
        <f>IFERROR(IF(OR(Q164="--",Q164="rg",VLOOKUP(F!$B134,E!$B$1:'E'!$AK$300,12,FALSE)=1000000000,R164="-",R164=""),"",(HLOOKUP(SMALL(G!$Q$4:'G'!$Y$4,4),G!$Q$4:'G'!$Y$501,ROW(G!Z134)-3,FALSE))/VLOOKUP(F!$B134,E!$B$1:'E'!$AK$300,12,FALSE)*100),"")</f>
        <v/>
      </c>
      <c r="U164" s="43"/>
      <c r="V164" s="43" t="str">
        <f>G!BC134</f>
        <v/>
      </c>
      <c r="W164" s="43" t="str">
        <f>G!BB134</f>
        <v>--</v>
      </c>
      <c r="X164" s="43"/>
      <c r="Y164" s="42" t="str">
        <f>G!BE134</f>
        <v/>
      </c>
      <c r="Z164" s="43" t="str">
        <f>G!BD134</f>
        <v>--</v>
      </c>
      <c r="AA164" s="42" t="str">
        <f>G!BF134</f>
        <v/>
      </c>
      <c r="AB164" s="42" t="str">
        <f>G!BG134</f>
        <v/>
      </c>
      <c r="AC164" s="43" t="str">
        <f>IFERROR(IF(OR(Z164="--",Z164="rg",VLOOKUP(F!$B134,E!$B$1:'E'!$AK$300,12,FALSE)=1000000000,AA164="-",AA164=""),"",(HLOOKUP(SMALL(G!$Q$4:'G'!$Y$4,7),G!$Q$4:'G'!$Y$501,ROW(G!AI134)-3,FALSE))/VLOOKUP(F!$B134,E!$B$1:'E'!$AK$300,12,FALSE)*100),"")</f>
        <v/>
      </c>
      <c r="AD164" s="43"/>
      <c r="AE164" s="34"/>
      <c r="AF164" s="34"/>
      <c r="AH164" s="72">
        <f t="shared" si="3"/>
        <v>1</v>
      </c>
      <c r="AJ164" s="34"/>
      <c r="AK164" s="34"/>
    </row>
    <row r="165" spans="1:37" s="72" customFormat="1" ht="9" hidden="1" customHeight="1" x14ac:dyDescent="0.15">
      <c r="A165" s="195" t="str">
        <f>F!A135</f>
        <v>4-Chloormethyfenolen (som)</v>
      </c>
      <c r="B165" s="195"/>
      <c r="C165" s="195"/>
      <c r="D165" s="44" t="str">
        <f>G!AQ135</f>
        <v/>
      </c>
      <c r="E165" s="43" t="str">
        <f>G!AP135</f>
        <v>--</v>
      </c>
      <c r="F165" s="42"/>
      <c r="G165" s="42" t="str">
        <f>G!AS135</f>
        <v/>
      </c>
      <c r="H165" s="43" t="str">
        <f>G!AR135</f>
        <v>--</v>
      </c>
      <c r="I165" s="42" t="str">
        <f>G!AT135</f>
        <v/>
      </c>
      <c r="J165" s="42" t="str">
        <f>G!AU135</f>
        <v/>
      </c>
      <c r="K165" s="43" t="str">
        <f>IFERROR(IF(OR(H165="--",H165="rg",VLOOKUP(F!$B135,E!$B$1:'E'!$AK$300,12,FALSE)=1000000000,I165="-",I165=""),"",(HLOOKUP(SMALL(G!$Q$4:'G'!$Y$4,1),G!$Q$4:'G'!$Y$501,ROW(G!Q135)-3,FALSE))/VLOOKUP(F!$B135,E!$B$1:'E'!$AK$300,12,FALSE)*100),"")</f>
        <v/>
      </c>
      <c r="L165" s="43"/>
      <c r="M165" s="43" t="str">
        <f>G!AW135</f>
        <v/>
      </c>
      <c r="N165" s="43" t="str">
        <f>G!AV135</f>
        <v>--</v>
      </c>
      <c r="O165" s="42"/>
      <c r="P165" s="42" t="str">
        <f>G!AY135</f>
        <v/>
      </c>
      <c r="Q165" s="43" t="str">
        <f>G!AX135</f>
        <v>--</v>
      </c>
      <c r="R165" s="42" t="str">
        <f>G!AZ135</f>
        <v/>
      </c>
      <c r="S165" s="42" t="str">
        <f>G!BA135</f>
        <v/>
      </c>
      <c r="T165" s="43" t="str">
        <f>IFERROR(IF(OR(Q165="--",Q165="rg",VLOOKUP(F!$B135,E!$B$1:'E'!$AK$300,12,FALSE)=1000000000,R165="-",R165=""),"",(HLOOKUP(SMALL(G!$Q$4:'G'!$Y$4,4),G!$Q$4:'G'!$Y$501,ROW(G!Z135)-3,FALSE))/VLOOKUP(F!$B135,E!$B$1:'E'!$AK$300,12,FALSE)*100),"")</f>
        <v/>
      </c>
      <c r="U165" s="43"/>
      <c r="V165" s="43" t="str">
        <f>G!BC135</f>
        <v/>
      </c>
      <c r="W165" s="43" t="str">
        <f>G!BB135</f>
        <v>--</v>
      </c>
      <c r="X165" s="43"/>
      <c r="Y165" s="42" t="str">
        <f>G!BE135</f>
        <v/>
      </c>
      <c r="Z165" s="43" t="str">
        <f>G!BD135</f>
        <v>--</v>
      </c>
      <c r="AA165" s="42" t="str">
        <f>G!BF135</f>
        <v/>
      </c>
      <c r="AB165" s="42" t="str">
        <f>G!BG135</f>
        <v/>
      </c>
      <c r="AC165" s="43" t="str">
        <f>IFERROR(IF(OR(Z165="--",Z165="rg",VLOOKUP(F!$B135,E!$B$1:'E'!$AK$300,12,FALSE)=1000000000,AA165="-",AA165=""),"",(HLOOKUP(SMALL(G!$Q$4:'G'!$Y$4,7),G!$Q$4:'G'!$Y$501,ROW(G!AI135)-3,FALSE))/VLOOKUP(F!$B135,E!$B$1:'E'!$AK$300,12,FALSE)*100),"")</f>
        <v/>
      </c>
      <c r="AD165" s="43"/>
      <c r="AE165" s="34"/>
      <c r="AF165" s="34"/>
      <c r="AH165" s="72">
        <f t="shared" si="3"/>
        <v>1</v>
      </c>
      <c r="AJ165" s="34"/>
      <c r="AK165" s="34"/>
    </row>
    <row r="166" spans="1:37" s="72" customFormat="1" ht="9" hidden="1" customHeight="1" x14ac:dyDescent="0.15">
      <c r="A166" s="195" t="str">
        <f>F!A136</f>
        <v>2,3-dichloorfenol</v>
      </c>
      <c r="B166" s="195"/>
      <c r="C166" s="195"/>
      <c r="D166" s="44" t="str">
        <f>G!AQ136</f>
        <v/>
      </c>
      <c r="E166" s="43" t="str">
        <f>G!AP136</f>
        <v>--</v>
      </c>
      <c r="F166" s="42"/>
      <c r="G166" s="42" t="str">
        <f>G!AS136</f>
        <v/>
      </c>
      <c r="H166" s="43" t="str">
        <f>G!AR136</f>
        <v>--</v>
      </c>
      <c r="I166" s="42" t="str">
        <f>G!AT136</f>
        <v/>
      </c>
      <c r="J166" s="42" t="str">
        <f>G!AU136</f>
        <v/>
      </c>
      <c r="K166" s="43" t="str">
        <f>IFERROR(IF(OR(H166="--",H166="rg",VLOOKUP(F!$B136,E!$B$1:'E'!$AK$300,12,FALSE)=1000000000,I166="-",I166=""),"",(HLOOKUP(SMALL(G!$Q$4:'G'!$Y$4,1),G!$Q$4:'G'!$Y$501,ROW(G!Q136)-3,FALSE))/VLOOKUP(F!$B136,E!$B$1:'E'!$AK$300,12,FALSE)*100),"")</f>
        <v/>
      </c>
      <c r="L166" s="43"/>
      <c r="M166" s="43" t="str">
        <f>G!AW136</f>
        <v/>
      </c>
      <c r="N166" s="43" t="str">
        <f>G!AV136</f>
        <v>--</v>
      </c>
      <c r="O166" s="42"/>
      <c r="P166" s="42" t="str">
        <f>G!AY136</f>
        <v/>
      </c>
      <c r="Q166" s="43" t="str">
        <f>G!AX136</f>
        <v>--</v>
      </c>
      <c r="R166" s="42" t="str">
        <f>G!AZ136</f>
        <v/>
      </c>
      <c r="S166" s="42" t="str">
        <f>G!BA136</f>
        <v/>
      </c>
      <c r="T166" s="43" t="str">
        <f>IFERROR(IF(OR(Q166="--",Q166="rg",VLOOKUP(F!$B136,E!$B$1:'E'!$AK$300,12,FALSE)=1000000000,R166="-",R166=""),"",(HLOOKUP(SMALL(G!$Q$4:'G'!$Y$4,4),G!$Q$4:'G'!$Y$501,ROW(G!Z136)-3,FALSE))/VLOOKUP(F!$B136,E!$B$1:'E'!$AK$300,12,FALSE)*100),"")</f>
        <v/>
      </c>
      <c r="U166" s="43"/>
      <c r="V166" s="43" t="str">
        <f>G!BC136</f>
        <v/>
      </c>
      <c r="W166" s="43" t="str">
        <f>G!BB136</f>
        <v>--</v>
      </c>
      <c r="X166" s="43"/>
      <c r="Y166" s="42" t="str">
        <f>G!BE136</f>
        <v/>
      </c>
      <c r="Z166" s="43" t="str">
        <f>G!BD136</f>
        <v>--</v>
      </c>
      <c r="AA166" s="42" t="str">
        <f>G!BF136</f>
        <v/>
      </c>
      <c r="AB166" s="42" t="str">
        <f>G!BG136</f>
        <v/>
      </c>
      <c r="AC166" s="43" t="str">
        <f>IFERROR(IF(OR(Z166="--",Z166="rg",VLOOKUP(F!$B136,E!$B$1:'E'!$AK$300,12,FALSE)=1000000000,AA166="-",AA166=""),"",(HLOOKUP(SMALL(G!$Q$4:'G'!$Y$4,7),G!$Q$4:'G'!$Y$501,ROW(G!AI136)-3,FALSE))/VLOOKUP(F!$B136,E!$B$1:'E'!$AK$300,12,FALSE)*100),"")</f>
        <v/>
      </c>
      <c r="AD166" s="43"/>
      <c r="AE166" s="34"/>
      <c r="AF166" s="34"/>
      <c r="AH166" s="72">
        <f t="shared" si="3"/>
        <v>1</v>
      </c>
      <c r="AJ166" s="34"/>
      <c r="AK166" s="34"/>
    </row>
    <row r="167" spans="1:37" s="72" customFormat="1" ht="9" hidden="1" customHeight="1" x14ac:dyDescent="0.15">
      <c r="A167" s="195" t="str">
        <f>F!A137</f>
        <v>2,4-dichloorfenol</v>
      </c>
      <c r="B167" s="195"/>
      <c r="C167" s="195"/>
      <c r="D167" s="44" t="str">
        <f>G!AQ137</f>
        <v/>
      </c>
      <c r="E167" s="43" t="str">
        <f>G!AP137</f>
        <v>--</v>
      </c>
      <c r="F167" s="42"/>
      <c r="G167" s="42" t="str">
        <f>G!AS137</f>
        <v/>
      </c>
      <c r="H167" s="43" t="str">
        <f>G!AR137</f>
        <v>--</v>
      </c>
      <c r="I167" s="42" t="str">
        <f>G!AT137</f>
        <v/>
      </c>
      <c r="J167" s="42" t="str">
        <f>G!AU137</f>
        <v/>
      </c>
      <c r="K167" s="43" t="str">
        <f>IFERROR(IF(OR(H167="--",H167="rg",VLOOKUP(F!$B137,E!$B$1:'E'!$AK$300,12,FALSE)=1000000000,I167="-",I167=""),"",(HLOOKUP(SMALL(G!$Q$4:'G'!$Y$4,1),G!$Q$4:'G'!$Y$501,ROW(G!Q137)-3,FALSE))/VLOOKUP(F!$B137,E!$B$1:'E'!$AK$300,12,FALSE)*100),"")</f>
        <v/>
      </c>
      <c r="L167" s="43"/>
      <c r="M167" s="43" t="str">
        <f>G!AW137</f>
        <v/>
      </c>
      <c r="N167" s="43" t="str">
        <f>G!AV137</f>
        <v>--</v>
      </c>
      <c r="O167" s="42"/>
      <c r="P167" s="42" t="str">
        <f>G!AY137</f>
        <v/>
      </c>
      <c r="Q167" s="43" t="str">
        <f>G!AX137</f>
        <v>--</v>
      </c>
      <c r="R167" s="42" t="str">
        <f>G!AZ137</f>
        <v/>
      </c>
      <c r="S167" s="42" t="str">
        <f>G!BA137</f>
        <v/>
      </c>
      <c r="T167" s="43" t="str">
        <f>IFERROR(IF(OR(Q167="--",Q167="rg",VLOOKUP(F!$B137,E!$B$1:'E'!$AK$300,12,FALSE)=1000000000,R167="-",R167=""),"",(HLOOKUP(SMALL(G!$Q$4:'G'!$Y$4,4),G!$Q$4:'G'!$Y$501,ROW(G!Z137)-3,FALSE))/VLOOKUP(F!$B137,E!$B$1:'E'!$AK$300,12,FALSE)*100),"")</f>
        <v/>
      </c>
      <c r="U167" s="43"/>
      <c r="V167" s="43" t="str">
        <f>G!BC137</f>
        <v/>
      </c>
      <c r="W167" s="43" t="str">
        <f>G!BB137</f>
        <v>--</v>
      </c>
      <c r="X167" s="43"/>
      <c r="Y167" s="42" t="str">
        <f>G!BE137</f>
        <v/>
      </c>
      <c r="Z167" s="43" t="str">
        <f>G!BD137</f>
        <v>--</v>
      </c>
      <c r="AA167" s="42" t="str">
        <f>G!BF137</f>
        <v/>
      </c>
      <c r="AB167" s="42" t="str">
        <f>G!BG137</f>
        <v/>
      </c>
      <c r="AC167" s="43" t="str">
        <f>IFERROR(IF(OR(Z167="--",Z167="rg",VLOOKUP(F!$B137,E!$B$1:'E'!$AK$300,12,FALSE)=1000000000,AA167="-",AA167=""),"",(HLOOKUP(SMALL(G!$Q$4:'G'!$Y$4,7),G!$Q$4:'G'!$Y$501,ROW(G!AI137)-3,FALSE))/VLOOKUP(F!$B137,E!$B$1:'E'!$AK$300,12,FALSE)*100),"")</f>
        <v/>
      </c>
      <c r="AD167" s="43"/>
      <c r="AE167" s="34"/>
      <c r="AF167" s="34"/>
      <c r="AH167" s="72">
        <f t="shared" si="3"/>
        <v>1</v>
      </c>
      <c r="AJ167" s="34"/>
      <c r="AK167" s="34"/>
    </row>
    <row r="168" spans="1:37" s="72" customFormat="1" ht="9" hidden="1" customHeight="1" x14ac:dyDescent="0.15">
      <c r="A168" s="195" t="str">
        <f>F!A138</f>
        <v>2,5-dichloorfenol</v>
      </c>
      <c r="B168" s="195"/>
      <c r="C168" s="195"/>
      <c r="D168" s="44" t="str">
        <f>G!AQ138</f>
        <v/>
      </c>
      <c r="E168" s="43" t="str">
        <f>G!AP138</f>
        <v>--</v>
      </c>
      <c r="F168" s="42"/>
      <c r="G168" s="42" t="str">
        <f>G!AS138</f>
        <v/>
      </c>
      <c r="H168" s="43" t="str">
        <f>G!AR138</f>
        <v>--</v>
      </c>
      <c r="I168" s="42" t="str">
        <f>G!AT138</f>
        <v/>
      </c>
      <c r="J168" s="42" t="str">
        <f>G!AU138</f>
        <v/>
      </c>
      <c r="K168" s="43" t="str">
        <f>IFERROR(IF(OR(H168="--",H168="rg",VLOOKUP(F!$B138,E!$B$1:'E'!$AK$300,12,FALSE)=1000000000,I168="-",I168=""),"",(HLOOKUP(SMALL(G!$Q$4:'G'!$Y$4,1),G!$Q$4:'G'!$Y$501,ROW(G!Q138)-3,FALSE))/VLOOKUP(F!$B138,E!$B$1:'E'!$AK$300,12,FALSE)*100),"")</f>
        <v/>
      </c>
      <c r="L168" s="43"/>
      <c r="M168" s="43" t="str">
        <f>G!AW138</f>
        <v/>
      </c>
      <c r="N168" s="43" t="str">
        <f>G!AV138</f>
        <v>--</v>
      </c>
      <c r="O168" s="42"/>
      <c r="P168" s="42" t="str">
        <f>G!AY138</f>
        <v/>
      </c>
      <c r="Q168" s="43" t="str">
        <f>G!AX138</f>
        <v>--</v>
      </c>
      <c r="R168" s="42" t="str">
        <f>G!AZ138</f>
        <v/>
      </c>
      <c r="S168" s="42" t="str">
        <f>G!BA138</f>
        <v/>
      </c>
      <c r="T168" s="43" t="str">
        <f>IFERROR(IF(OR(Q168="--",Q168="rg",VLOOKUP(F!$B138,E!$B$1:'E'!$AK$300,12,FALSE)=1000000000,R168="-",R168=""),"",(HLOOKUP(SMALL(G!$Q$4:'G'!$Y$4,4),G!$Q$4:'G'!$Y$501,ROW(G!Z138)-3,FALSE))/VLOOKUP(F!$B138,E!$B$1:'E'!$AK$300,12,FALSE)*100),"")</f>
        <v/>
      </c>
      <c r="U168" s="43"/>
      <c r="V168" s="43" t="str">
        <f>G!BC138</f>
        <v/>
      </c>
      <c r="W168" s="43" t="str">
        <f>G!BB138</f>
        <v>--</v>
      </c>
      <c r="X168" s="43"/>
      <c r="Y168" s="42" t="str">
        <f>G!BE138</f>
        <v/>
      </c>
      <c r="Z168" s="43" t="str">
        <f>G!BD138</f>
        <v>--</v>
      </c>
      <c r="AA168" s="42" t="str">
        <f>G!BF138</f>
        <v/>
      </c>
      <c r="AB168" s="42" t="str">
        <f>G!BG138</f>
        <v/>
      </c>
      <c r="AC168" s="43" t="str">
        <f>IFERROR(IF(OR(Z168="--",Z168="rg",VLOOKUP(F!$B138,E!$B$1:'E'!$AK$300,12,FALSE)=1000000000,AA168="-",AA168=""),"",(HLOOKUP(SMALL(G!$Q$4:'G'!$Y$4,7),G!$Q$4:'G'!$Y$501,ROW(G!AI138)-3,FALSE))/VLOOKUP(F!$B138,E!$B$1:'E'!$AK$300,12,FALSE)*100),"")</f>
        <v/>
      </c>
      <c r="AD168" s="43"/>
      <c r="AE168" s="34"/>
      <c r="AF168" s="34"/>
      <c r="AH168" s="72">
        <f t="shared" si="3"/>
        <v>1</v>
      </c>
      <c r="AJ168" s="34"/>
      <c r="AK168" s="34"/>
    </row>
    <row r="169" spans="1:37" s="72" customFormat="1" ht="9" hidden="1" customHeight="1" x14ac:dyDescent="0.15">
      <c r="A169" s="195" t="str">
        <f>F!A139</f>
        <v>2,6-dichloorfenol</v>
      </c>
      <c r="B169" s="195"/>
      <c r="C169" s="195"/>
      <c r="D169" s="44" t="str">
        <f>G!AQ139</f>
        <v/>
      </c>
      <c r="E169" s="43" t="str">
        <f>G!AP139</f>
        <v>--</v>
      </c>
      <c r="F169" s="42"/>
      <c r="G169" s="42" t="str">
        <f>G!AS139</f>
        <v/>
      </c>
      <c r="H169" s="43" t="str">
        <f>G!AR139</f>
        <v>--</v>
      </c>
      <c r="I169" s="42" t="str">
        <f>G!AT139</f>
        <v/>
      </c>
      <c r="J169" s="42" t="str">
        <f>G!AU139</f>
        <v/>
      </c>
      <c r="K169" s="43" t="str">
        <f>IFERROR(IF(OR(H169="--",H169="rg",VLOOKUP(F!$B139,E!$B$1:'E'!$AK$300,12,FALSE)=1000000000,I169="-",I169=""),"",(HLOOKUP(SMALL(G!$Q$4:'G'!$Y$4,1),G!$Q$4:'G'!$Y$501,ROW(G!Q139)-3,FALSE))/VLOOKUP(F!$B139,E!$B$1:'E'!$AK$300,12,FALSE)*100),"")</f>
        <v/>
      </c>
      <c r="L169" s="43"/>
      <c r="M169" s="43" t="str">
        <f>G!AW139</f>
        <v/>
      </c>
      <c r="N169" s="43" t="str">
        <f>G!AV139</f>
        <v>--</v>
      </c>
      <c r="O169" s="42"/>
      <c r="P169" s="42" t="str">
        <f>G!AY139</f>
        <v/>
      </c>
      <c r="Q169" s="43" t="str">
        <f>G!AX139</f>
        <v>--</v>
      </c>
      <c r="R169" s="42" t="str">
        <f>G!AZ139</f>
        <v/>
      </c>
      <c r="S169" s="42" t="str">
        <f>G!BA139</f>
        <v/>
      </c>
      <c r="T169" s="43" t="str">
        <f>IFERROR(IF(OR(Q169="--",Q169="rg",VLOOKUP(F!$B139,E!$B$1:'E'!$AK$300,12,FALSE)=1000000000,R169="-",R169=""),"",(HLOOKUP(SMALL(G!$Q$4:'G'!$Y$4,4),G!$Q$4:'G'!$Y$501,ROW(G!Z139)-3,FALSE))/VLOOKUP(F!$B139,E!$B$1:'E'!$AK$300,12,FALSE)*100),"")</f>
        <v/>
      </c>
      <c r="U169" s="43"/>
      <c r="V169" s="43" t="str">
        <f>G!BC139</f>
        <v/>
      </c>
      <c r="W169" s="43" t="str">
        <f>G!BB139</f>
        <v>--</v>
      </c>
      <c r="X169" s="43"/>
      <c r="Y169" s="42" t="str">
        <f>G!BE139</f>
        <v/>
      </c>
      <c r="Z169" s="43" t="str">
        <f>G!BD139</f>
        <v>--</v>
      </c>
      <c r="AA169" s="42" t="str">
        <f>G!BF139</f>
        <v/>
      </c>
      <c r="AB169" s="42" t="str">
        <f>G!BG139</f>
        <v/>
      </c>
      <c r="AC169" s="43" t="str">
        <f>IFERROR(IF(OR(Z169="--",Z169="rg",VLOOKUP(F!$B139,E!$B$1:'E'!$AK$300,12,FALSE)=1000000000,AA169="-",AA169=""),"",(HLOOKUP(SMALL(G!$Q$4:'G'!$Y$4,7),G!$Q$4:'G'!$Y$501,ROW(G!AI139)-3,FALSE))/VLOOKUP(F!$B139,E!$B$1:'E'!$AK$300,12,FALSE)*100),"")</f>
        <v/>
      </c>
      <c r="AD169" s="43"/>
      <c r="AE169" s="34"/>
      <c r="AF169" s="34"/>
      <c r="AH169" s="72">
        <f t="shared" si="3"/>
        <v>1</v>
      </c>
      <c r="AJ169" s="34"/>
      <c r="AK169" s="34"/>
    </row>
    <row r="170" spans="1:37" s="72" customFormat="1" ht="9" hidden="1" customHeight="1" x14ac:dyDescent="0.15">
      <c r="A170" s="195" t="str">
        <f>F!A140</f>
        <v>3,4-dichloorfenol</v>
      </c>
      <c r="B170" s="195"/>
      <c r="C170" s="195"/>
      <c r="D170" s="44" t="str">
        <f>G!AQ140</f>
        <v/>
      </c>
      <c r="E170" s="43" t="str">
        <f>G!AP140</f>
        <v>--</v>
      </c>
      <c r="F170" s="42"/>
      <c r="G170" s="42" t="str">
        <f>G!AS140</f>
        <v/>
      </c>
      <c r="H170" s="43" t="str">
        <f>G!AR140</f>
        <v>--</v>
      </c>
      <c r="I170" s="42" t="str">
        <f>G!AT140</f>
        <v/>
      </c>
      <c r="J170" s="42" t="str">
        <f>G!AU140</f>
        <v/>
      </c>
      <c r="K170" s="43" t="str">
        <f>IFERROR(IF(OR(H170="--",H170="rg",VLOOKUP(F!$B140,E!$B$1:'E'!$AK$300,12,FALSE)=1000000000,I170="-",I170=""),"",(HLOOKUP(SMALL(G!$Q$4:'G'!$Y$4,1),G!$Q$4:'G'!$Y$501,ROW(G!Q140)-3,FALSE))/VLOOKUP(F!$B140,E!$B$1:'E'!$AK$300,12,FALSE)*100),"")</f>
        <v/>
      </c>
      <c r="L170" s="43"/>
      <c r="M170" s="43" t="str">
        <f>G!AW140</f>
        <v/>
      </c>
      <c r="N170" s="43" t="str">
        <f>G!AV140</f>
        <v>--</v>
      </c>
      <c r="O170" s="42"/>
      <c r="P170" s="42" t="str">
        <f>G!AY140</f>
        <v/>
      </c>
      <c r="Q170" s="43" t="str">
        <f>G!AX140</f>
        <v>--</v>
      </c>
      <c r="R170" s="42" t="str">
        <f>G!AZ140</f>
        <v/>
      </c>
      <c r="S170" s="42" t="str">
        <f>G!BA140</f>
        <v/>
      </c>
      <c r="T170" s="43" t="str">
        <f>IFERROR(IF(OR(Q170="--",Q170="rg",VLOOKUP(F!$B140,E!$B$1:'E'!$AK$300,12,FALSE)=1000000000,R170="-",R170=""),"",(HLOOKUP(SMALL(G!$Q$4:'G'!$Y$4,4),G!$Q$4:'G'!$Y$501,ROW(G!Z140)-3,FALSE))/VLOOKUP(F!$B140,E!$B$1:'E'!$AK$300,12,FALSE)*100),"")</f>
        <v/>
      </c>
      <c r="U170" s="43"/>
      <c r="V170" s="43" t="str">
        <f>G!BC140</f>
        <v/>
      </c>
      <c r="W170" s="43" t="str">
        <f>G!BB140</f>
        <v>--</v>
      </c>
      <c r="X170" s="43"/>
      <c r="Y170" s="42" t="str">
        <f>G!BE140</f>
        <v/>
      </c>
      <c r="Z170" s="43" t="str">
        <f>G!BD140</f>
        <v>--</v>
      </c>
      <c r="AA170" s="42" t="str">
        <f>G!BF140</f>
        <v/>
      </c>
      <c r="AB170" s="42" t="str">
        <f>G!BG140</f>
        <v/>
      </c>
      <c r="AC170" s="43" t="str">
        <f>IFERROR(IF(OR(Z170="--",Z170="rg",VLOOKUP(F!$B140,E!$B$1:'E'!$AK$300,12,FALSE)=1000000000,AA170="-",AA170=""),"",(HLOOKUP(SMALL(G!$Q$4:'G'!$Y$4,7),G!$Q$4:'G'!$Y$501,ROW(G!AI140)-3,FALSE))/VLOOKUP(F!$B140,E!$B$1:'E'!$AK$300,12,FALSE)*100),"")</f>
        <v/>
      </c>
      <c r="AD170" s="43"/>
      <c r="AE170" s="34"/>
      <c r="AF170" s="34"/>
      <c r="AH170" s="72">
        <f t="shared" si="3"/>
        <v>1</v>
      </c>
      <c r="AJ170" s="34"/>
      <c r="AK170" s="34"/>
    </row>
    <row r="171" spans="1:37" s="72" customFormat="1" ht="9" hidden="1" customHeight="1" x14ac:dyDescent="0.15">
      <c r="A171" s="195" t="str">
        <f>F!A141</f>
        <v>3,5-dichloorfenol</v>
      </c>
      <c r="B171" s="195"/>
      <c r="C171" s="195"/>
      <c r="D171" s="44" t="str">
        <f>G!AQ141</f>
        <v/>
      </c>
      <c r="E171" s="43" t="str">
        <f>G!AP141</f>
        <v>--</v>
      </c>
      <c r="F171" s="42"/>
      <c r="G171" s="42" t="str">
        <f>G!AS141</f>
        <v/>
      </c>
      <c r="H171" s="43" t="str">
        <f>G!AR141</f>
        <v>--</v>
      </c>
      <c r="I171" s="42" t="str">
        <f>G!AT141</f>
        <v/>
      </c>
      <c r="J171" s="42" t="str">
        <f>G!AU141</f>
        <v/>
      </c>
      <c r="K171" s="43" t="str">
        <f>IFERROR(IF(OR(H171="--",H171="rg",VLOOKUP(F!$B141,E!$B$1:'E'!$AK$300,12,FALSE)=1000000000,I171="-",I171=""),"",(HLOOKUP(SMALL(G!$Q$4:'G'!$Y$4,1),G!$Q$4:'G'!$Y$501,ROW(G!Q141)-3,FALSE))/VLOOKUP(F!$B141,E!$B$1:'E'!$AK$300,12,FALSE)*100),"")</f>
        <v/>
      </c>
      <c r="L171" s="43"/>
      <c r="M171" s="43" t="str">
        <f>G!AW141</f>
        <v/>
      </c>
      <c r="N171" s="43" t="str">
        <f>G!AV141</f>
        <v>--</v>
      </c>
      <c r="O171" s="42"/>
      <c r="P171" s="42" t="str">
        <f>G!AY141</f>
        <v/>
      </c>
      <c r="Q171" s="43" t="str">
        <f>G!AX141</f>
        <v>--</v>
      </c>
      <c r="R171" s="42" t="str">
        <f>G!AZ141</f>
        <v/>
      </c>
      <c r="S171" s="42" t="str">
        <f>G!BA141</f>
        <v/>
      </c>
      <c r="T171" s="43" t="str">
        <f>IFERROR(IF(OR(Q171="--",Q171="rg",VLOOKUP(F!$B141,E!$B$1:'E'!$AK$300,12,FALSE)=1000000000,R171="-",R171=""),"",(HLOOKUP(SMALL(G!$Q$4:'G'!$Y$4,4),G!$Q$4:'G'!$Y$501,ROW(G!Z141)-3,FALSE))/VLOOKUP(F!$B141,E!$B$1:'E'!$AK$300,12,FALSE)*100),"")</f>
        <v/>
      </c>
      <c r="U171" s="43"/>
      <c r="V171" s="43" t="str">
        <f>G!BC141</f>
        <v/>
      </c>
      <c r="W171" s="43" t="str">
        <f>G!BB141</f>
        <v>--</v>
      </c>
      <c r="X171" s="43"/>
      <c r="Y171" s="42" t="str">
        <f>G!BE141</f>
        <v/>
      </c>
      <c r="Z171" s="43" t="str">
        <f>G!BD141</f>
        <v>--</v>
      </c>
      <c r="AA171" s="42" t="str">
        <f>G!BF141</f>
        <v/>
      </c>
      <c r="AB171" s="42" t="str">
        <f>G!BG141</f>
        <v/>
      </c>
      <c r="AC171" s="43" t="str">
        <f>IFERROR(IF(OR(Z171="--",Z171="rg",VLOOKUP(F!$B141,E!$B$1:'E'!$AK$300,12,FALSE)=1000000000,AA171="-",AA171=""),"",(HLOOKUP(SMALL(G!$Q$4:'G'!$Y$4,7),G!$Q$4:'G'!$Y$501,ROW(G!AI141)-3,FALSE))/VLOOKUP(F!$B141,E!$B$1:'E'!$AK$300,12,FALSE)*100),"")</f>
        <v/>
      </c>
      <c r="AD171" s="43"/>
      <c r="AE171" s="34"/>
      <c r="AF171" s="34"/>
      <c r="AH171" s="72">
        <f t="shared" si="3"/>
        <v>1</v>
      </c>
      <c r="AJ171" s="34"/>
      <c r="AK171" s="34"/>
    </row>
    <row r="172" spans="1:37" s="72" customFormat="1" ht="9" hidden="1" customHeight="1" x14ac:dyDescent="0.15">
      <c r="A172" s="195" t="str">
        <f>F!A142</f>
        <v>Dichloorfenolen (som)</v>
      </c>
      <c r="B172" s="195"/>
      <c r="C172" s="195"/>
      <c r="D172" s="44" t="str">
        <f>G!AQ142</f>
        <v/>
      </c>
      <c r="E172" s="43" t="str">
        <f>G!AP142</f>
        <v>--</v>
      </c>
      <c r="F172" s="42"/>
      <c r="G172" s="42" t="str">
        <f>G!AS142</f>
        <v/>
      </c>
      <c r="H172" s="43" t="str">
        <f>G!AR142</f>
        <v>--</v>
      </c>
      <c r="I172" s="42" t="str">
        <f>G!AT142</f>
        <v/>
      </c>
      <c r="J172" s="42" t="str">
        <f>G!AU142</f>
        <v/>
      </c>
      <c r="K172" s="43" t="str">
        <f>IFERROR(IF(OR(H172="--",H172="rg",VLOOKUP(F!$B142,E!$B$1:'E'!$AK$300,12,FALSE)=1000000000,I172="-",I172=""),"",(HLOOKUP(SMALL(G!$Q$4:'G'!$Y$4,1),G!$Q$4:'G'!$Y$501,ROW(G!Q142)-3,FALSE))/VLOOKUP(F!$B142,E!$B$1:'E'!$AK$300,12,FALSE)*100),"")</f>
        <v/>
      </c>
      <c r="L172" s="43"/>
      <c r="M172" s="43" t="str">
        <f>G!AW142</f>
        <v/>
      </c>
      <c r="N172" s="43" t="str">
        <f>G!AV142</f>
        <v>--</v>
      </c>
      <c r="O172" s="42"/>
      <c r="P172" s="42" t="str">
        <f>G!AY142</f>
        <v/>
      </c>
      <c r="Q172" s="43" t="str">
        <f>G!AX142</f>
        <v>--</v>
      </c>
      <c r="R172" s="42" t="str">
        <f>G!AZ142</f>
        <v/>
      </c>
      <c r="S172" s="42" t="str">
        <f>G!BA142</f>
        <v/>
      </c>
      <c r="T172" s="43" t="str">
        <f>IFERROR(IF(OR(Q172="--",Q172="rg",VLOOKUP(F!$B142,E!$B$1:'E'!$AK$300,12,FALSE)=1000000000,R172="-",R172=""),"",(HLOOKUP(SMALL(G!$Q$4:'G'!$Y$4,4),G!$Q$4:'G'!$Y$501,ROW(G!Z142)-3,FALSE))/VLOOKUP(F!$B142,E!$B$1:'E'!$AK$300,12,FALSE)*100),"")</f>
        <v/>
      </c>
      <c r="U172" s="43"/>
      <c r="V172" s="43" t="str">
        <f>G!BC142</f>
        <v/>
      </c>
      <c r="W172" s="43" t="str">
        <f>G!BB142</f>
        <v>--</v>
      </c>
      <c r="X172" s="43"/>
      <c r="Y172" s="42" t="str">
        <f>G!BE142</f>
        <v/>
      </c>
      <c r="Z172" s="43" t="str">
        <f>G!BD142</f>
        <v>--</v>
      </c>
      <c r="AA172" s="42" t="str">
        <f>G!BF142</f>
        <v/>
      </c>
      <c r="AB172" s="42" t="str">
        <f>G!BG142</f>
        <v/>
      </c>
      <c r="AC172" s="43" t="str">
        <f>IFERROR(IF(OR(Z172="--",Z172="rg",VLOOKUP(F!$B142,E!$B$1:'E'!$AK$300,12,FALSE)=1000000000,AA172="-",AA172=""),"",(HLOOKUP(SMALL(G!$Q$4:'G'!$Y$4,7),G!$Q$4:'G'!$Y$501,ROW(G!AI142)-3,FALSE))/VLOOKUP(F!$B142,E!$B$1:'E'!$AK$300,12,FALSE)*100),"")</f>
        <v/>
      </c>
      <c r="AD172" s="43"/>
      <c r="AE172" s="34"/>
      <c r="AF172" s="34"/>
      <c r="AH172" s="72">
        <f t="shared" si="3"/>
        <v>1</v>
      </c>
      <c r="AJ172" s="34"/>
      <c r="AK172" s="34"/>
    </row>
    <row r="173" spans="1:37" ht="3.95" hidden="1" customHeight="1" x14ac:dyDescent="0.15">
      <c r="A173" s="41"/>
      <c r="B173" s="41"/>
      <c r="C173" s="41"/>
      <c r="D173" s="44"/>
      <c r="E173" s="43"/>
      <c r="F173" s="42"/>
      <c r="G173" s="42"/>
      <c r="H173" s="43"/>
      <c r="I173" s="42"/>
      <c r="J173" s="42"/>
      <c r="K173" s="42"/>
      <c r="L173" s="43"/>
      <c r="M173" s="43"/>
      <c r="N173" s="42"/>
      <c r="O173" s="42"/>
      <c r="P173" s="43"/>
      <c r="Q173" s="42"/>
      <c r="R173" s="42"/>
      <c r="S173" s="42"/>
      <c r="T173" s="43"/>
      <c r="U173" s="43"/>
      <c r="V173" s="43"/>
      <c r="W173" s="42"/>
      <c r="X173" s="43"/>
      <c r="Y173" s="42"/>
      <c r="Z173" s="43"/>
      <c r="AA173" s="43"/>
      <c r="AC173" s="34"/>
      <c r="AD173" s="72"/>
      <c r="AF173" s="72"/>
      <c r="AG173" s="34"/>
      <c r="AH173" s="94">
        <f>AH174</f>
        <v>1</v>
      </c>
      <c r="AI173" s="34"/>
    </row>
    <row r="174" spans="1:37" ht="9" hidden="1" customHeight="1" x14ac:dyDescent="0.15">
      <c r="A174" s="198" t="str">
        <f>IF(COUNTIF(F!D141:D180,131)&gt;0,"Chloorbestrijdingsmiddelen (µg/kgds)","Chloorbestrijdingsmiddelen (mg/kgds)")</f>
        <v>Chloorbestrijdingsmiddelen (mg/kgds)</v>
      </c>
      <c r="B174" s="198"/>
      <c r="C174" s="198"/>
      <c r="D174" s="198"/>
      <c r="E174" s="198"/>
      <c r="F174" s="198"/>
      <c r="G174" s="198"/>
      <c r="H174" s="198"/>
      <c r="I174" s="198"/>
      <c r="J174" s="198"/>
      <c r="K174" s="198"/>
      <c r="L174" s="198"/>
      <c r="M174" s="198"/>
      <c r="N174" s="198"/>
      <c r="O174" s="198"/>
      <c r="P174" s="198"/>
      <c r="Q174" s="198"/>
      <c r="R174" s="198"/>
      <c r="S174" s="198"/>
      <c r="T174" s="198"/>
      <c r="U174" s="198"/>
      <c r="V174" s="198"/>
      <c r="W174" s="198"/>
      <c r="X174" s="198"/>
      <c r="Y174" s="198"/>
      <c r="Z174" s="198"/>
      <c r="AA174" s="198"/>
      <c r="AC174" s="34"/>
      <c r="AD174" s="72"/>
      <c r="AF174" s="72"/>
      <c r="AG174" s="34"/>
      <c r="AH174" s="94">
        <f>IF(COUNTIF(AH175:AH220,1)=COUNT(AH175:AH220),1,0)</f>
        <v>1</v>
      </c>
      <c r="AI174" s="34"/>
    </row>
    <row r="175" spans="1:37" s="72" customFormat="1" ht="9" hidden="1" customHeight="1" x14ac:dyDescent="0.15">
      <c r="A175" s="195" t="str">
        <f>F!A143</f>
        <v>2,3,4,5-tetrachloorfenol</v>
      </c>
      <c r="B175" s="195"/>
      <c r="C175" s="195"/>
      <c r="D175" s="44" t="str">
        <f>G!AQ143</f>
        <v/>
      </c>
      <c r="E175" s="43" t="str">
        <f>G!AP143</f>
        <v>--</v>
      </c>
      <c r="F175" s="42"/>
      <c r="G175" s="42" t="str">
        <f>G!AS143</f>
        <v/>
      </c>
      <c r="H175" s="43" t="str">
        <f>G!AR143</f>
        <v>--</v>
      </c>
      <c r="I175" s="42" t="str">
        <f>G!AT143</f>
        <v/>
      </c>
      <c r="J175" s="42" t="str">
        <f>G!AU143</f>
        <v/>
      </c>
      <c r="K175" s="43" t="str">
        <f>IFERROR(IF(OR(H175="--",H175="rg",VLOOKUP(F!$B143,E!$B$1:'E'!$AK$300,12,FALSE)=1000000000,I175="-",I175=""),"",(HLOOKUP(SMALL(G!$Q$4:'G'!$Y$4,1),G!$Q$4:'G'!$Y$501,ROW(G!Q143)-3,FALSE))/VLOOKUP(F!$B143,E!$B$1:'E'!$AK$300,12,FALSE)*100),"")</f>
        <v/>
      </c>
      <c r="L175" s="43"/>
      <c r="M175" s="43" t="str">
        <f>G!AW143</f>
        <v/>
      </c>
      <c r="N175" s="43" t="str">
        <f>G!AV143</f>
        <v>--</v>
      </c>
      <c r="O175" s="42"/>
      <c r="P175" s="42" t="str">
        <f>G!AY143</f>
        <v/>
      </c>
      <c r="Q175" s="43" t="str">
        <f>G!AX143</f>
        <v>--</v>
      </c>
      <c r="R175" s="42" t="str">
        <f>G!AZ143</f>
        <v/>
      </c>
      <c r="S175" s="42" t="str">
        <f>G!BA143</f>
        <v/>
      </c>
      <c r="T175" s="43" t="str">
        <f>IFERROR(IF(OR(Q175="--",Q175="rg",VLOOKUP(F!$B143,E!$B$1:'E'!$AK$300,12,FALSE)=1000000000,R175="-",R175=""),"",(HLOOKUP(SMALL(G!$Q$4:'G'!$Y$4,4),G!$Q$4:'G'!$Y$501,ROW(G!Z143)-3,FALSE))/VLOOKUP(F!$B143,E!$B$1:'E'!$AK$300,12,FALSE)*100),"")</f>
        <v/>
      </c>
      <c r="U175" s="43"/>
      <c r="V175" s="43" t="str">
        <f>G!BC143</f>
        <v/>
      </c>
      <c r="W175" s="43" t="str">
        <f>G!BB143</f>
        <v>--</v>
      </c>
      <c r="X175" s="43"/>
      <c r="Y175" s="42" t="str">
        <f>G!BE143</f>
        <v/>
      </c>
      <c r="Z175" s="43" t="str">
        <f>G!BD143</f>
        <v>--</v>
      </c>
      <c r="AA175" s="42" t="str">
        <f>G!BF143</f>
        <v/>
      </c>
      <c r="AB175" s="42" t="str">
        <f>G!BG143</f>
        <v/>
      </c>
      <c r="AC175" s="43" t="str">
        <f>IFERROR(IF(OR(Z175="--",Z175="rg",VLOOKUP(F!$B143,E!$B$1:'E'!$AK$300,12,FALSE)=1000000000,AA175="-",AA175=""),"",(HLOOKUP(SMALL(G!$Q$4:'G'!$Y$4,7),G!$Q$4:'G'!$Y$501,ROW(G!AI143)-3,FALSE))/VLOOKUP(F!$B143,E!$B$1:'E'!$AK$300,12,FALSE)*100),"")</f>
        <v/>
      </c>
      <c r="AD175" s="43"/>
      <c r="AE175" s="34"/>
      <c r="AF175" s="34"/>
      <c r="AH175" s="72">
        <f t="shared" si="3"/>
        <v>1</v>
      </c>
      <c r="AJ175" s="34"/>
      <c r="AK175" s="34"/>
    </row>
    <row r="176" spans="1:37" s="72" customFormat="1" ht="9" hidden="1" customHeight="1" x14ac:dyDescent="0.15">
      <c r="A176" s="195" t="str">
        <f>F!A144</f>
        <v>2,3,4,6-tetrachloorfenol</v>
      </c>
      <c r="B176" s="195"/>
      <c r="C176" s="195"/>
      <c r="D176" s="44" t="str">
        <f>G!AQ144</f>
        <v/>
      </c>
      <c r="E176" s="43" t="str">
        <f>G!AP144</f>
        <v>--</v>
      </c>
      <c r="F176" s="42"/>
      <c r="G176" s="42" t="str">
        <f>G!AS144</f>
        <v/>
      </c>
      <c r="H176" s="43" t="str">
        <f>G!AR144</f>
        <v>--</v>
      </c>
      <c r="I176" s="42" t="str">
        <f>G!AT144</f>
        <v/>
      </c>
      <c r="J176" s="42" t="str">
        <f>G!AU144</f>
        <v/>
      </c>
      <c r="K176" s="43" t="str">
        <f>IFERROR(IF(OR(H176="--",H176="rg",VLOOKUP(F!$B144,E!$B$1:'E'!$AK$300,12,FALSE)=1000000000,I176="-",I176=""),"",(HLOOKUP(SMALL(G!$Q$4:'G'!$Y$4,1),G!$Q$4:'G'!$Y$501,ROW(G!Q144)-3,FALSE))/VLOOKUP(F!$B144,E!$B$1:'E'!$AK$300,12,FALSE)*100),"")</f>
        <v/>
      </c>
      <c r="L176" s="43"/>
      <c r="M176" s="43" t="str">
        <f>G!AW144</f>
        <v/>
      </c>
      <c r="N176" s="43" t="str">
        <f>G!AV144</f>
        <v>--</v>
      </c>
      <c r="O176" s="42"/>
      <c r="P176" s="42" t="str">
        <f>G!AY144</f>
        <v/>
      </c>
      <c r="Q176" s="43" t="str">
        <f>G!AX144</f>
        <v>--</v>
      </c>
      <c r="R176" s="42" t="str">
        <f>G!AZ144</f>
        <v/>
      </c>
      <c r="S176" s="42" t="str">
        <f>G!BA144</f>
        <v/>
      </c>
      <c r="T176" s="43" t="str">
        <f>IFERROR(IF(OR(Q176="--",Q176="rg",VLOOKUP(F!$B144,E!$B$1:'E'!$AK$300,12,FALSE)=1000000000,R176="-",R176=""),"",(HLOOKUP(SMALL(G!$Q$4:'G'!$Y$4,4),G!$Q$4:'G'!$Y$501,ROW(G!Z144)-3,FALSE))/VLOOKUP(F!$B144,E!$B$1:'E'!$AK$300,12,FALSE)*100),"")</f>
        <v/>
      </c>
      <c r="U176" s="43"/>
      <c r="V176" s="43" t="str">
        <f>G!BC144</f>
        <v/>
      </c>
      <c r="W176" s="43" t="str">
        <f>G!BB144</f>
        <v>--</v>
      </c>
      <c r="X176" s="43"/>
      <c r="Y176" s="42" t="str">
        <f>G!BE144</f>
        <v/>
      </c>
      <c r="Z176" s="43" t="str">
        <f>G!BD144</f>
        <v>--</v>
      </c>
      <c r="AA176" s="42" t="str">
        <f>G!BF144</f>
        <v/>
      </c>
      <c r="AB176" s="42" t="str">
        <f>G!BG144</f>
        <v/>
      </c>
      <c r="AC176" s="43" t="str">
        <f>IFERROR(IF(OR(Z176="--",Z176="rg",VLOOKUP(F!$B144,E!$B$1:'E'!$AK$300,12,FALSE)=1000000000,AA176="-",AA176=""),"",(HLOOKUP(SMALL(G!$Q$4:'G'!$Y$4,7),G!$Q$4:'G'!$Y$501,ROW(G!AI144)-3,FALSE))/VLOOKUP(F!$B144,E!$B$1:'E'!$AK$300,12,FALSE)*100),"")</f>
        <v/>
      </c>
      <c r="AD176" s="43"/>
      <c r="AE176" s="34"/>
      <c r="AF176" s="34"/>
      <c r="AH176" s="72">
        <f t="shared" si="3"/>
        <v>1</v>
      </c>
      <c r="AJ176" s="34"/>
      <c r="AK176" s="34"/>
    </row>
    <row r="177" spans="1:37" s="72" customFormat="1" ht="9" hidden="1" customHeight="1" x14ac:dyDescent="0.15">
      <c r="A177" s="195" t="str">
        <f>F!A145</f>
        <v>2,3,5,6-tetrachloorfenol</v>
      </c>
      <c r="B177" s="195"/>
      <c r="C177" s="195"/>
      <c r="D177" s="44" t="str">
        <f>G!AQ145</f>
        <v/>
      </c>
      <c r="E177" s="43" t="str">
        <f>G!AP145</f>
        <v>--</v>
      </c>
      <c r="F177" s="42"/>
      <c r="G177" s="42" t="str">
        <f>G!AS145</f>
        <v/>
      </c>
      <c r="H177" s="43" t="str">
        <f>G!AR145</f>
        <v>--</v>
      </c>
      <c r="I177" s="42" t="str">
        <f>G!AT145</f>
        <v/>
      </c>
      <c r="J177" s="42" t="str">
        <f>G!AU145</f>
        <v/>
      </c>
      <c r="K177" s="43" t="str">
        <f>IFERROR(IF(OR(H177="--",H177="rg",VLOOKUP(F!$B145,E!$B$1:'E'!$AK$300,12,FALSE)=1000000000,I177="-",I177=""),"",(HLOOKUP(SMALL(G!$Q$4:'G'!$Y$4,1),G!$Q$4:'G'!$Y$501,ROW(G!Q145)-3,FALSE))/VLOOKUP(F!$B145,E!$B$1:'E'!$AK$300,12,FALSE)*100),"")</f>
        <v/>
      </c>
      <c r="L177" s="43"/>
      <c r="M177" s="43" t="str">
        <f>G!AW145</f>
        <v/>
      </c>
      <c r="N177" s="43" t="str">
        <f>G!AV145</f>
        <v>--</v>
      </c>
      <c r="O177" s="42"/>
      <c r="P177" s="42" t="str">
        <f>G!AY145</f>
        <v/>
      </c>
      <c r="Q177" s="43" t="str">
        <f>G!AX145</f>
        <v>--</v>
      </c>
      <c r="R177" s="42" t="str">
        <f>G!AZ145</f>
        <v/>
      </c>
      <c r="S177" s="42" t="str">
        <f>G!BA145</f>
        <v/>
      </c>
      <c r="T177" s="43" t="str">
        <f>IFERROR(IF(OR(Q177="--",Q177="rg",VLOOKUP(F!$B145,E!$B$1:'E'!$AK$300,12,FALSE)=1000000000,R177="-",R177=""),"",(HLOOKUP(SMALL(G!$Q$4:'G'!$Y$4,4),G!$Q$4:'G'!$Y$501,ROW(G!Z145)-3,FALSE))/VLOOKUP(F!$B145,E!$B$1:'E'!$AK$300,12,FALSE)*100),"")</f>
        <v/>
      </c>
      <c r="U177" s="43"/>
      <c r="V177" s="43" t="str">
        <f>G!BC145</f>
        <v/>
      </c>
      <c r="W177" s="43" t="str">
        <f>G!BB145</f>
        <v>--</v>
      </c>
      <c r="X177" s="43"/>
      <c r="Y177" s="42" t="str">
        <f>G!BE145</f>
        <v/>
      </c>
      <c r="Z177" s="43" t="str">
        <f>G!BD145</f>
        <v>--</v>
      </c>
      <c r="AA177" s="42" t="str">
        <f>G!BF145</f>
        <v/>
      </c>
      <c r="AB177" s="42" t="str">
        <f>G!BG145</f>
        <v/>
      </c>
      <c r="AC177" s="43" t="str">
        <f>IFERROR(IF(OR(Z177="--",Z177="rg",VLOOKUP(F!$B145,E!$B$1:'E'!$AK$300,12,FALSE)=1000000000,AA177="-",AA177=""),"",(HLOOKUP(SMALL(G!$Q$4:'G'!$Y$4,7),G!$Q$4:'G'!$Y$501,ROW(G!AI145)-3,FALSE))/VLOOKUP(F!$B145,E!$B$1:'E'!$AK$300,12,FALSE)*100),"")</f>
        <v/>
      </c>
      <c r="AD177" s="43"/>
      <c r="AE177" s="34"/>
      <c r="AF177" s="34"/>
      <c r="AH177" s="72">
        <f t="shared" si="3"/>
        <v>1</v>
      </c>
      <c r="AJ177" s="34"/>
      <c r="AK177" s="34"/>
    </row>
    <row r="178" spans="1:37" s="72" customFormat="1" ht="9" hidden="1" customHeight="1" x14ac:dyDescent="0.15">
      <c r="A178" s="195" t="str">
        <f>F!A146</f>
        <v>Tetrachloorfenolen (som)</v>
      </c>
      <c r="B178" s="195"/>
      <c r="C178" s="195"/>
      <c r="D178" s="44" t="str">
        <f>G!AQ146</f>
        <v/>
      </c>
      <c r="E178" s="43" t="str">
        <f>G!AP146</f>
        <v>--</v>
      </c>
      <c r="F178" s="42"/>
      <c r="G178" s="42" t="str">
        <f>G!AS146</f>
        <v/>
      </c>
      <c r="H178" s="43" t="str">
        <f>G!AR146</f>
        <v>--</v>
      </c>
      <c r="I178" s="42" t="str">
        <f>G!AT146</f>
        <v/>
      </c>
      <c r="J178" s="42" t="str">
        <f>G!AU146</f>
        <v/>
      </c>
      <c r="K178" s="43" t="str">
        <f>IFERROR(IF(OR(H178="--",H178="rg",VLOOKUP(F!$B146,E!$B$1:'E'!$AK$300,12,FALSE)=1000000000,I178="-",I178=""),"",(HLOOKUP(SMALL(G!$Q$4:'G'!$Y$4,1),G!$Q$4:'G'!$Y$501,ROW(G!Q146)-3,FALSE))/VLOOKUP(F!$B146,E!$B$1:'E'!$AK$300,12,FALSE)*100),"")</f>
        <v/>
      </c>
      <c r="L178" s="43"/>
      <c r="M178" s="43" t="str">
        <f>G!AW146</f>
        <v/>
      </c>
      <c r="N178" s="43" t="str">
        <f>G!AV146</f>
        <v>--</v>
      </c>
      <c r="O178" s="42"/>
      <c r="P178" s="42" t="str">
        <f>G!AY146</f>
        <v/>
      </c>
      <c r="Q178" s="43" t="str">
        <f>G!AX146</f>
        <v>--</v>
      </c>
      <c r="R178" s="42" t="str">
        <f>G!AZ146</f>
        <v/>
      </c>
      <c r="S178" s="42" t="str">
        <f>G!BA146</f>
        <v/>
      </c>
      <c r="T178" s="43" t="str">
        <f>IFERROR(IF(OR(Q178="--",Q178="rg",VLOOKUP(F!$B146,E!$B$1:'E'!$AK$300,12,FALSE)=1000000000,R178="-",R178=""),"",(HLOOKUP(SMALL(G!$Q$4:'G'!$Y$4,4),G!$Q$4:'G'!$Y$501,ROW(G!Z146)-3,FALSE))/VLOOKUP(F!$B146,E!$B$1:'E'!$AK$300,12,FALSE)*100),"")</f>
        <v/>
      </c>
      <c r="U178" s="43"/>
      <c r="V178" s="43" t="str">
        <f>G!BC146</f>
        <v/>
      </c>
      <c r="W178" s="43" t="str">
        <f>G!BB146</f>
        <v>--</v>
      </c>
      <c r="X178" s="43"/>
      <c r="Y178" s="42" t="str">
        <f>G!BE146</f>
        <v/>
      </c>
      <c r="Z178" s="43" t="str">
        <f>G!BD146</f>
        <v>--</v>
      </c>
      <c r="AA178" s="42" t="str">
        <f>G!BF146</f>
        <v/>
      </c>
      <c r="AB178" s="42" t="str">
        <f>G!BG146</f>
        <v/>
      </c>
      <c r="AC178" s="43" t="str">
        <f>IFERROR(IF(OR(Z178="--",Z178="rg",VLOOKUP(F!$B146,E!$B$1:'E'!$AK$300,12,FALSE)=1000000000,AA178="-",AA178=""),"",(HLOOKUP(SMALL(G!$Q$4:'G'!$Y$4,7),G!$Q$4:'G'!$Y$501,ROW(G!AI146)-3,FALSE))/VLOOKUP(F!$B146,E!$B$1:'E'!$AK$300,12,FALSE)*100),"")</f>
        <v/>
      </c>
      <c r="AD178" s="43"/>
      <c r="AE178" s="34"/>
      <c r="AF178" s="34"/>
      <c r="AH178" s="72">
        <f t="shared" si="3"/>
        <v>1</v>
      </c>
      <c r="AJ178" s="34"/>
      <c r="AK178" s="34"/>
    </row>
    <row r="179" spans="1:37" s="72" customFormat="1" ht="9" hidden="1" customHeight="1" x14ac:dyDescent="0.15">
      <c r="A179" s="195" t="str">
        <f>F!A147</f>
        <v>Pentachloorfenol</v>
      </c>
      <c r="B179" s="195"/>
      <c r="C179" s="195"/>
      <c r="D179" s="44" t="str">
        <f>G!AQ147</f>
        <v/>
      </c>
      <c r="E179" s="43" t="str">
        <f>G!AP147</f>
        <v>--</v>
      </c>
      <c r="F179" s="42"/>
      <c r="G179" s="42" t="str">
        <f>G!AS147</f>
        <v/>
      </c>
      <c r="H179" s="43" t="str">
        <f>G!AR147</f>
        <v>--</v>
      </c>
      <c r="I179" s="42" t="str">
        <f>G!AT147</f>
        <v/>
      </c>
      <c r="J179" s="42" t="str">
        <f>G!AU147</f>
        <v/>
      </c>
      <c r="K179" s="43" t="str">
        <f>IFERROR(IF(OR(H179="--",H179="rg",VLOOKUP(F!$B147,E!$B$1:'E'!$AK$300,12,FALSE)=1000000000,I179="-",I179=""),"",(HLOOKUP(SMALL(G!$Q$4:'G'!$Y$4,1),G!$Q$4:'G'!$Y$501,ROW(G!Q147)-3,FALSE))/VLOOKUP(F!$B147,E!$B$1:'E'!$AK$300,12,FALSE)*100),"")</f>
        <v/>
      </c>
      <c r="L179" s="43"/>
      <c r="M179" s="43" t="str">
        <f>G!AW147</f>
        <v/>
      </c>
      <c r="N179" s="43" t="str">
        <f>G!AV147</f>
        <v>--</v>
      </c>
      <c r="O179" s="42"/>
      <c r="P179" s="42" t="str">
        <f>G!AY147</f>
        <v/>
      </c>
      <c r="Q179" s="43" t="str">
        <f>G!AX147</f>
        <v>--</v>
      </c>
      <c r="R179" s="42" t="str">
        <f>G!AZ147</f>
        <v/>
      </c>
      <c r="S179" s="42" t="str">
        <f>G!BA147</f>
        <v/>
      </c>
      <c r="T179" s="43" t="str">
        <f>IFERROR(IF(OR(Q179="--",Q179="rg",VLOOKUP(F!$B147,E!$B$1:'E'!$AK$300,12,FALSE)=1000000000,R179="-",R179=""),"",(HLOOKUP(SMALL(G!$Q$4:'G'!$Y$4,4),G!$Q$4:'G'!$Y$501,ROW(G!Z147)-3,FALSE))/VLOOKUP(F!$B147,E!$B$1:'E'!$AK$300,12,FALSE)*100),"")</f>
        <v/>
      </c>
      <c r="U179" s="43"/>
      <c r="V179" s="43" t="str">
        <f>G!BC147</f>
        <v/>
      </c>
      <c r="W179" s="43" t="str">
        <f>G!BB147</f>
        <v>--</v>
      </c>
      <c r="X179" s="43"/>
      <c r="Y179" s="42" t="str">
        <f>G!BE147</f>
        <v/>
      </c>
      <c r="Z179" s="43" t="str">
        <f>G!BD147</f>
        <v>--</v>
      </c>
      <c r="AA179" s="42" t="str">
        <f>G!BF147</f>
        <v/>
      </c>
      <c r="AB179" s="42" t="str">
        <f>G!BG147</f>
        <v/>
      </c>
      <c r="AC179" s="43" t="str">
        <f>IFERROR(IF(OR(Z179="--",Z179="rg",VLOOKUP(F!$B147,E!$B$1:'E'!$AK$300,12,FALSE)=1000000000,AA179="-",AA179=""),"",(HLOOKUP(SMALL(G!$Q$4:'G'!$Y$4,7),G!$Q$4:'G'!$Y$501,ROW(G!AI147)-3,FALSE))/VLOOKUP(F!$B147,E!$B$1:'E'!$AK$300,12,FALSE)*100),"")</f>
        <v/>
      </c>
      <c r="AD179" s="43"/>
      <c r="AE179" s="34"/>
      <c r="AF179" s="34"/>
      <c r="AH179" s="72">
        <f t="shared" si="3"/>
        <v>1</v>
      </c>
      <c r="AJ179" s="34"/>
      <c r="AK179" s="34"/>
    </row>
    <row r="180" spans="1:37" s="72" customFormat="1" ht="9" hidden="1" customHeight="1" x14ac:dyDescent="0.15">
      <c r="A180" s="195" t="str">
        <f>F!A148</f>
        <v>Chloorfenolen (som)</v>
      </c>
      <c r="B180" s="195"/>
      <c r="C180" s="195"/>
      <c r="D180" s="44" t="str">
        <f>G!AQ148</f>
        <v/>
      </c>
      <c r="E180" s="43" t="str">
        <f>G!AP148</f>
        <v>--</v>
      </c>
      <c r="F180" s="42"/>
      <c r="G180" s="42" t="str">
        <f>G!AS148</f>
        <v/>
      </c>
      <c r="H180" s="43" t="str">
        <f>G!AR148</f>
        <v>--</v>
      </c>
      <c r="I180" s="42" t="str">
        <f>G!AT148</f>
        <v/>
      </c>
      <c r="J180" s="42" t="str">
        <f>G!AU148</f>
        <v/>
      </c>
      <c r="K180" s="43" t="str">
        <f>IFERROR(IF(OR(H180="--",H180="rg",VLOOKUP(F!$B148,E!$B$1:'E'!$AK$300,12,FALSE)=1000000000,I180="-",I180=""),"",(HLOOKUP(SMALL(G!$Q$4:'G'!$Y$4,1),G!$Q$4:'G'!$Y$501,ROW(G!Q148)-3,FALSE))/VLOOKUP(F!$B148,E!$B$1:'E'!$AK$300,12,FALSE)*100),"")</f>
        <v/>
      </c>
      <c r="L180" s="43"/>
      <c r="M180" s="43" t="str">
        <f>G!AW148</f>
        <v/>
      </c>
      <c r="N180" s="43" t="str">
        <f>G!AV148</f>
        <v>--</v>
      </c>
      <c r="O180" s="42"/>
      <c r="P180" s="42" t="str">
        <f>G!AY148</f>
        <v/>
      </c>
      <c r="Q180" s="43" t="str">
        <f>G!AX148</f>
        <v>--</v>
      </c>
      <c r="R180" s="42" t="str">
        <f>G!AZ148</f>
        <v/>
      </c>
      <c r="S180" s="42" t="str">
        <f>G!BA148</f>
        <v/>
      </c>
      <c r="T180" s="43" t="str">
        <f>IFERROR(IF(OR(Q180="--",Q180="rg",VLOOKUP(F!$B148,E!$B$1:'E'!$AK$300,12,FALSE)=1000000000,R180="-",R180=""),"",(HLOOKUP(SMALL(G!$Q$4:'G'!$Y$4,4),G!$Q$4:'G'!$Y$501,ROW(G!Z148)-3,FALSE))/VLOOKUP(F!$B148,E!$B$1:'E'!$AK$300,12,FALSE)*100),"")</f>
        <v/>
      </c>
      <c r="U180" s="43"/>
      <c r="V180" s="43" t="str">
        <f>G!BC148</f>
        <v/>
      </c>
      <c r="W180" s="43" t="str">
        <f>G!BB148</f>
        <v>--</v>
      </c>
      <c r="X180" s="43"/>
      <c r="Y180" s="42" t="str">
        <f>G!BE148</f>
        <v/>
      </c>
      <c r="Z180" s="43" t="str">
        <f>G!BD148</f>
        <v>--</v>
      </c>
      <c r="AA180" s="42" t="str">
        <f>G!BF148</f>
        <v/>
      </c>
      <c r="AB180" s="42" t="str">
        <f>G!BG148</f>
        <v/>
      </c>
      <c r="AC180" s="43" t="str">
        <f>IFERROR(IF(OR(Z180="--",Z180="rg",VLOOKUP(F!$B148,E!$B$1:'E'!$AK$300,12,FALSE)=1000000000,AA180="-",AA180=""),"",(HLOOKUP(SMALL(G!$Q$4:'G'!$Y$4,7),G!$Q$4:'G'!$Y$501,ROW(G!AI148)-3,FALSE))/VLOOKUP(F!$B148,E!$B$1:'E'!$AK$300,12,FALSE)*100),"")</f>
        <v/>
      </c>
      <c r="AD180" s="43"/>
      <c r="AE180" s="34"/>
      <c r="AF180" s="34"/>
      <c r="AH180" s="72">
        <f t="shared" si="3"/>
        <v>1</v>
      </c>
      <c r="AJ180" s="34"/>
      <c r="AK180" s="34"/>
    </row>
    <row r="181" spans="1:37" s="72" customFormat="1" ht="9" hidden="1" customHeight="1" x14ac:dyDescent="0.15">
      <c r="A181" s="195" t="str">
        <f>F!A149</f>
        <v>o,p-DDT</v>
      </c>
      <c r="B181" s="195"/>
      <c r="C181" s="195"/>
      <c r="D181" s="44" t="str">
        <f>G!AQ149</f>
        <v/>
      </c>
      <c r="E181" s="43" t="str">
        <f>G!AP149</f>
        <v>--</v>
      </c>
      <c r="F181" s="42"/>
      <c r="G181" s="42" t="str">
        <f>G!AS149</f>
        <v/>
      </c>
      <c r="H181" s="43" t="str">
        <f>G!AR149</f>
        <v>--</v>
      </c>
      <c r="I181" s="42" t="str">
        <f>G!AT149</f>
        <v/>
      </c>
      <c r="J181" s="42" t="str">
        <f>G!AU149</f>
        <v/>
      </c>
      <c r="K181" s="43" t="str">
        <f>IFERROR(IF(OR(H181="--",H181="rg",VLOOKUP(F!$B149,E!$B$1:'E'!$AK$300,12,FALSE)=1000000000,I181="-",I181=""),"",(HLOOKUP(SMALL(G!$Q$4:'G'!$Y$4,1),G!$Q$4:'G'!$Y$501,ROW(G!Q149)-3,FALSE))/VLOOKUP(F!$B149,E!$B$1:'E'!$AK$300,12,FALSE)*100),"")</f>
        <v/>
      </c>
      <c r="L181" s="43"/>
      <c r="M181" s="43" t="str">
        <f>G!AW149</f>
        <v/>
      </c>
      <c r="N181" s="43" t="str">
        <f>G!AV149</f>
        <v>--</v>
      </c>
      <c r="O181" s="42"/>
      <c r="P181" s="42" t="str">
        <f>G!AY149</f>
        <v/>
      </c>
      <c r="Q181" s="43" t="str">
        <f>G!AX149</f>
        <v>--</v>
      </c>
      <c r="R181" s="42" t="str">
        <f>G!AZ149</f>
        <v/>
      </c>
      <c r="S181" s="42" t="str">
        <f>G!BA149</f>
        <v/>
      </c>
      <c r="T181" s="43" t="str">
        <f>IFERROR(IF(OR(Q181="--",Q181="rg",VLOOKUP(F!$B149,E!$B$1:'E'!$AK$300,12,FALSE)=1000000000,R181="-",R181=""),"",(HLOOKUP(SMALL(G!$Q$4:'G'!$Y$4,4),G!$Q$4:'G'!$Y$501,ROW(G!Z149)-3,FALSE))/VLOOKUP(F!$B149,E!$B$1:'E'!$AK$300,12,FALSE)*100),"")</f>
        <v/>
      </c>
      <c r="U181" s="43"/>
      <c r="V181" s="43" t="str">
        <f>G!BC149</f>
        <v/>
      </c>
      <c r="W181" s="43" t="str">
        <f>G!BB149</f>
        <v>--</v>
      </c>
      <c r="X181" s="43"/>
      <c r="Y181" s="42" t="str">
        <f>G!BE149</f>
        <v/>
      </c>
      <c r="Z181" s="43" t="str">
        <f>G!BD149</f>
        <v>--</v>
      </c>
      <c r="AA181" s="42" t="str">
        <f>G!BF149</f>
        <v/>
      </c>
      <c r="AB181" s="42" t="str">
        <f>G!BG149</f>
        <v/>
      </c>
      <c r="AC181" s="43" t="str">
        <f>IFERROR(IF(OR(Z181="--",Z181="rg",VLOOKUP(F!$B149,E!$B$1:'E'!$AK$300,12,FALSE)=1000000000,AA181="-",AA181=""),"",(HLOOKUP(SMALL(G!$Q$4:'G'!$Y$4,7),G!$Q$4:'G'!$Y$501,ROW(G!AI149)-3,FALSE))/VLOOKUP(F!$B149,E!$B$1:'E'!$AK$300,12,FALSE)*100),"")</f>
        <v/>
      </c>
      <c r="AD181" s="43"/>
      <c r="AE181" s="34"/>
      <c r="AF181" s="34"/>
      <c r="AH181" s="72">
        <f t="shared" si="3"/>
        <v>1</v>
      </c>
      <c r="AJ181" s="34"/>
      <c r="AK181" s="34"/>
    </row>
    <row r="182" spans="1:37" s="72" customFormat="1" ht="9" hidden="1" customHeight="1" x14ac:dyDescent="0.15">
      <c r="A182" s="195" t="str">
        <f>F!A150</f>
        <v>p,p-DDT</v>
      </c>
      <c r="B182" s="195"/>
      <c r="C182" s="195"/>
      <c r="D182" s="44" t="str">
        <f>G!AQ150</f>
        <v/>
      </c>
      <c r="E182" s="43" t="str">
        <f>G!AP150</f>
        <v>--</v>
      </c>
      <c r="F182" s="42"/>
      <c r="G182" s="42" t="str">
        <f>G!AS150</f>
        <v/>
      </c>
      <c r="H182" s="43" t="str">
        <f>G!AR150</f>
        <v>--</v>
      </c>
      <c r="I182" s="42" t="str">
        <f>G!AT150</f>
        <v/>
      </c>
      <c r="J182" s="42" t="str">
        <f>G!AU150</f>
        <v/>
      </c>
      <c r="K182" s="43" t="str">
        <f>IFERROR(IF(OR(H182="--",H182="rg",VLOOKUP(F!$B150,E!$B$1:'E'!$AK$300,12,FALSE)=1000000000,I182="-",I182=""),"",(HLOOKUP(SMALL(G!$Q$4:'G'!$Y$4,1),G!$Q$4:'G'!$Y$501,ROW(G!Q150)-3,FALSE))/VLOOKUP(F!$B150,E!$B$1:'E'!$AK$300,12,FALSE)*100),"")</f>
        <v/>
      </c>
      <c r="L182" s="43"/>
      <c r="M182" s="43" t="str">
        <f>G!AW150</f>
        <v/>
      </c>
      <c r="N182" s="43" t="str">
        <f>G!AV150</f>
        <v>--</v>
      </c>
      <c r="O182" s="42"/>
      <c r="P182" s="42" t="str">
        <f>G!AY150</f>
        <v/>
      </c>
      <c r="Q182" s="43" t="str">
        <f>G!AX150</f>
        <v>--</v>
      </c>
      <c r="R182" s="42" t="str">
        <f>G!AZ150</f>
        <v/>
      </c>
      <c r="S182" s="42" t="str">
        <f>G!BA150</f>
        <v/>
      </c>
      <c r="T182" s="43" t="str">
        <f>IFERROR(IF(OR(Q182="--",Q182="rg",VLOOKUP(F!$B150,E!$B$1:'E'!$AK$300,12,FALSE)=1000000000,R182="-",R182=""),"",(HLOOKUP(SMALL(G!$Q$4:'G'!$Y$4,4),G!$Q$4:'G'!$Y$501,ROW(G!Z150)-3,FALSE))/VLOOKUP(F!$B150,E!$B$1:'E'!$AK$300,12,FALSE)*100),"")</f>
        <v/>
      </c>
      <c r="U182" s="43"/>
      <c r="V182" s="43" t="str">
        <f>G!BC150</f>
        <v/>
      </c>
      <c r="W182" s="43" t="str">
        <f>G!BB150</f>
        <v>--</v>
      </c>
      <c r="X182" s="43"/>
      <c r="Y182" s="42" t="str">
        <f>G!BE150</f>
        <v/>
      </c>
      <c r="Z182" s="43" t="str">
        <f>G!BD150</f>
        <v>--</v>
      </c>
      <c r="AA182" s="42" t="str">
        <f>G!BF150</f>
        <v/>
      </c>
      <c r="AB182" s="42" t="str">
        <f>G!BG150</f>
        <v/>
      </c>
      <c r="AC182" s="43" t="str">
        <f>IFERROR(IF(OR(Z182="--",Z182="rg",VLOOKUP(F!$B150,E!$B$1:'E'!$AK$300,12,FALSE)=1000000000,AA182="-",AA182=""),"",(HLOOKUP(SMALL(G!$Q$4:'G'!$Y$4,7),G!$Q$4:'G'!$Y$501,ROW(G!AI150)-3,FALSE))/VLOOKUP(F!$B150,E!$B$1:'E'!$AK$300,12,FALSE)*100),"")</f>
        <v/>
      </c>
      <c r="AD182" s="43"/>
      <c r="AE182" s="34"/>
      <c r="AF182" s="34"/>
      <c r="AH182" s="72">
        <f t="shared" si="3"/>
        <v>1</v>
      </c>
      <c r="AJ182" s="34"/>
      <c r="AK182" s="34"/>
    </row>
    <row r="183" spans="1:37" s="72" customFormat="1" ht="9" hidden="1" customHeight="1" x14ac:dyDescent="0.15">
      <c r="A183" s="195" t="str">
        <f>F!A151</f>
        <v>Som DDT</v>
      </c>
      <c r="B183" s="195"/>
      <c r="C183" s="195"/>
      <c r="D183" s="44" t="str">
        <f>G!AQ151</f>
        <v/>
      </c>
      <c r="E183" s="43" t="str">
        <f>G!AP151</f>
        <v>--</v>
      </c>
      <c r="F183" s="42"/>
      <c r="G183" s="42" t="str">
        <f>G!AS151</f>
        <v/>
      </c>
      <c r="H183" s="43" t="str">
        <f>G!AR151</f>
        <v>--</v>
      </c>
      <c r="I183" s="42" t="str">
        <f>G!AT151</f>
        <v/>
      </c>
      <c r="J183" s="42" t="str">
        <f>G!AU151</f>
        <v/>
      </c>
      <c r="K183" s="43" t="str">
        <f>IFERROR(IF(OR(H183="--",H183="rg",VLOOKUP(F!$B151,E!$B$1:'E'!$AK$300,12,FALSE)=1000000000,I183="-",I183=""),"",(HLOOKUP(SMALL(G!$Q$4:'G'!$Y$4,1),G!$Q$4:'G'!$Y$501,ROW(G!Q151)-3,FALSE))/VLOOKUP(F!$B151,E!$B$1:'E'!$AK$300,12,FALSE)*100),"")</f>
        <v/>
      </c>
      <c r="L183" s="43"/>
      <c r="M183" s="43" t="str">
        <f>G!AW151</f>
        <v/>
      </c>
      <c r="N183" s="43" t="str">
        <f>G!AV151</f>
        <v>--</v>
      </c>
      <c r="O183" s="42"/>
      <c r="P183" s="42" t="str">
        <f>G!AY151</f>
        <v/>
      </c>
      <c r="Q183" s="43" t="str">
        <f>G!AX151</f>
        <v>--</v>
      </c>
      <c r="R183" s="42" t="str">
        <f>G!AZ151</f>
        <v/>
      </c>
      <c r="S183" s="42" t="str">
        <f>G!BA151</f>
        <v/>
      </c>
      <c r="T183" s="43" t="str">
        <f>IFERROR(IF(OR(Q183="--",Q183="rg",VLOOKUP(F!$B151,E!$B$1:'E'!$AK$300,12,FALSE)=1000000000,R183="-",R183=""),"",(HLOOKUP(SMALL(G!$Q$4:'G'!$Y$4,4),G!$Q$4:'G'!$Y$501,ROW(G!Z151)-3,FALSE))/VLOOKUP(F!$B151,E!$B$1:'E'!$AK$300,12,FALSE)*100),"")</f>
        <v/>
      </c>
      <c r="U183" s="43"/>
      <c r="V183" s="43" t="str">
        <f>G!BC151</f>
        <v/>
      </c>
      <c r="W183" s="43" t="str">
        <f>G!BB151</f>
        <v>--</v>
      </c>
      <c r="X183" s="43"/>
      <c r="Y183" s="42" t="str">
        <f>G!BE151</f>
        <v/>
      </c>
      <c r="Z183" s="43" t="str">
        <f>G!BD151</f>
        <v>--</v>
      </c>
      <c r="AA183" s="42" t="str">
        <f>G!BF151</f>
        <v/>
      </c>
      <c r="AB183" s="42" t="str">
        <f>G!BG151</f>
        <v/>
      </c>
      <c r="AC183" s="43" t="str">
        <f>IFERROR(IF(OR(Z183="--",Z183="rg",VLOOKUP(F!$B151,E!$B$1:'E'!$AK$300,12,FALSE)=1000000000,AA183="-",AA183=""),"",(HLOOKUP(SMALL(G!$Q$4:'G'!$Y$4,7),G!$Q$4:'G'!$Y$501,ROW(G!AI151)-3,FALSE))/VLOOKUP(F!$B151,E!$B$1:'E'!$AK$300,12,FALSE)*100),"")</f>
        <v/>
      </c>
      <c r="AD183" s="43"/>
      <c r="AE183" s="34"/>
      <c r="AF183" s="34"/>
      <c r="AH183" s="72">
        <f t="shared" si="3"/>
        <v>1</v>
      </c>
      <c r="AJ183" s="34"/>
      <c r="AK183" s="34"/>
    </row>
    <row r="184" spans="1:37" s="72" customFormat="1" ht="9" hidden="1" customHeight="1" x14ac:dyDescent="0.15">
      <c r="A184" s="195" t="str">
        <f>F!A152</f>
        <v>o,p-DDD</v>
      </c>
      <c r="B184" s="195"/>
      <c r="C184" s="195"/>
      <c r="D184" s="44" t="str">
        <f>G!AQ152</f>
        <v/>
      </c>
      <c r="E184" s="43" t="str">
        <f>G!AP152</f>
        <v>--</v>
      </c>
      <c r="F184" s="42"/>
      <c r="G184" s="42" t="str">
        <f>G!AS152</f>
        <v/>
      </c>
      <c r="H184" s="43" t="str">
        <f>G!AR152</f>
        <v>--</v>
      </c>
      <c r="I184" s="42" t="str">
        <f>G!AT152</f>
        <v/>
      </c>
      <c r="J184" s="42" t="str">
        <f>G!AU152</f>
        <v/>
      </c>
      <c r="K184" s="43" t="str">
        <f>IFERROR(IF(OR(H184="--",H184="rg",VLOOKUP(F!$B152,E!$B$1:'E'!$AK$300,12,FALSE)=1000000000,I184="-",I184=""),"",(HLOOKUP(SMALL(G!$Q$4:'G'!$Y$4,1),G!$Q$4:'G'!$Y$501,ROW(G!Q152)-3,FALSE))/VLOOKUP(F!$B152,E!$B$1:'E'!$AK$300,12,FALSE)*100),"")</f>
        <v/>
      </c>
      <c r="L184" s="43"/>
      <c r="M184" s="43" t="str">
        <f>G!AW152</f>
        <v/>
      </c>
      <c r="N184" s="43" t="str">
        <f>G!AV152</f>
        <v>--</v>
      </c>
      <c r="O184" s="42"/>
      <c r="P184" s="42" t="str">
        <f>G!AY152</f>
        <v/>
      </c>
      <c r="Q184" s="43" t="str">
        <f>G!AX152</f>
        <v>--</v>
      </c>
      <c r="R184" s="42" t="str">
        <f>G!AZ152</f>
        <v/>
      </c>
      <c r="S184" s="42" t="str">
        <f>G!BA152</f>
        <v/>
      </c>
      <c r="T184" s="43" t="str">
        <f>IFERROR(IF(OR(Q184="--",Q184="rg",VLOOKUP(F!$B152,E!$B$1:'E'!$AK$300,12,FALSE)=1000000000,R184="-",R184=""),"",(HLOOKUP(SMALL(G!$Q$4:'G'!$Y$4,4),G!$Q$4:'G'!$Y$501,ROW(G!Z152)-3,FALSE))/VLOOKUP(F!$B152,E!$B$1:'E'!$AK$300,12,FALSE)*100),"")</f>
        <v/>
      </c>
      <c r="U184" s="43"/>
      <c r="V184" s="43" t="str">
        <f>G!BC152</f>
        <v/>
      </c>
      <c r="W184" s="43" t="str">
        <f>G!BB152</f>
        <v>--</v>
      </c>
      <c r="X184" s="43"/>
      <c r="Y184" s="42" t="str">
        <f>G!BE152</f>
        <v/>
      </c>
      <c r="Z184" s="43" t="str">
        <f>G!BD152</f>
        <v>--</v>
      </c>
      <c r="AA184" s="42" t="str">
        <f>G!BF152</f>
        <v/>
      </c>
      <c r="AB184" s="42" t="str">
        <f>G!BG152</f>
        <v/>
      </c>
      <c r="AC184" s="43" t="str">
        <f>IFERROR(IF(OR(Z184="--",Z184="rg",VLOOKUP(F!$B152,E!$B$1:'E'!$AK$300,12,FALSE)=1000000000,AA184="-",AA184=""),"",(HLOOKUP(SMALL(G!$Q$4:'G'!$Y$4,7),G!$Q$4:'G'!$Y$501,ROW(G!AI152)-3,FALSE))/VLOOKUP(F!$B152,E!$B$1:'E'!$AK$300,12,FALSE)*100),"")</f>
        <v/>
      </c>
      <c r="AD184" s="43"/>
      <c r="AE184" s="34"/>
      <c r="AF184" s="34"/>
      <c r="AH184" s="72">
        <f t="shared" si="3"/>
        <v>1</v>
      </c>
      <c r="AJ184" s="34"/>
      <c r="AK184" s="34"/>
    </row>
    <row r="185" spans="1:37" s="72" customFormat="1" ht="9" hidden="1" customHeight="1" x14ac:dyDescent="0.15">
      <c r="A185" s="195" t="str">
        <f>F!A153</f>
        <v>p,p-DDD</v>
      </c>
      <c r="B185" s="195"/>
      <c r="C185" s="195"/>
      <c r="D185" s="44" t="str">
        <f>G!AQ153</f>
        <v/>
      </c>
      <c r="E185" s="43" t="str">
        <f>G!AP153</f>
        <v>--</v>
      </c>
      <c r="F185" s="42"/>
      <c r="G185" s="42" t="str">
        <f>G!AS153</f>
        <v/>
      </c>
      <c r="H185" s="43" t="str">
        <f>G!AR153</f>
        <v>--</v>
      </c>
      <c r="I185" s="42" t="str">
        <f>G!AT153</f>
        <v/>
      </c>
      <c r="J185" s="42" t="str">
        <f>G!AU153</f>
        <v/>
      </c>
      <c r="K185" s="43" t="str">
        <f>IFERROR(IF(OR(H185="--",H185="rg",VLOOKUP(F!$B153,E!$B$1:'E'!$AK$300,12,FALSE)=1000000000,I185="-",I185=""),"",(HLOOKUP(SMALL(G!$Q$4:'G'!$Y$4,1),G!$Q$4:'G'!$Y$501,ROW(G!Q153)-3,FALSE))/VLOOKUP(F!$B153,E!$B$1:'E'!$AK$300,12,FALSE)*100),"")</f>
        <v/>
      </c>
      <c r="L185" s="43"/>
      <c r="M185" s="43" t="str">
        <f>G!AW153</f>
        <v/>
      </c>
      <c r="N185" s="43" t="str">
        <f>G!AV153</f>
        <v>--</v>
      </c>
      <c r="O185" s="42"/>
      <c r="P185" s="42" t="str">
        <f>G!AY153</f>
        <v/>
      </c>
      <c r="Q185" s="43" t="str">
        <f>G!AX153</f>
        <v>--</v>
      </c>
      <c r="R185" s="42" t="str">
        <f>G!AZ153</f>
        <v/>
      </c>
      <c r="S185" s="42" t="str">
        <f>G!BA153</f>
        <v/>
      </c>
      <c r="T185" s="43" t="str">
        <f>IFERROR(IF(OR(Q185="--",Q185="rg",VLOOKUP(F!$B153,E!$B$1:'E'!$AK$300,12,FALSE)=1000000000,R185="-",R185=""),"",(HLOOKUP(SMALL(G!$Q$4:'G'!$Y$4,4),G!$Q$4:'G'!$Y$501,ROW(G!Z153)-3,FALSE))/VLOOKUP(F!$B153,E!$B$1:'E'!$AK$300,12,FALSE)*100),"")</f>
        <v/>
      </c>
      <c r="U185" s="43"/>
      <c r="V185" s="43" t="str">
        <f>G!BC153</f>
        <v/>
      </c>
      <c r="W185" s="43" t="str">
        <f>G!BB153</f>
        <v>--</v>
      </c>
      <c r="X185" s="43"/>
      <c r="Y185" s="42" t="str">
        <f>G!BE153</f>
        <v/>
      </c>
      <c r="Z185" s="43" t="str">
        <f>G!BD153</f>
        <v>--</v>
      </c>
      <c r="AA185" s="42" t="str">
        <f>G!BF153</f>
        <v/>
      </c>
      <c r="AB185" s="42" t="str">
        <f>G!BG153</f>
        <v/>
      </c>
      <c r="AC185" s="43" t="str">
        <f>IFERROR(IF(OR(Z185="--",Z185="rg",VLOOKUP(F!$B153,E!$B$1:'E'!$AK$300,12,FALSE)=1000000000,AA185="-",AA185=""),"",(HLOOKUP(SMALL(G!$Q$4:'G'!$Y$4,7),G!$Q$4:'G'!$Y$501,ROW(G!AI153)-3,FALSE))/VLOOKUP(F!$B153,E!$B$1:'E'!$AK$300,12,FALSE)*100),"")</f>
        <v/>
      </c>
      <c r="AD185" s="43"/>
      <c r="AE185" s="34"/>
      <c r="AF185" s="34"/>
      <c r="AH185" s="72">
        <f t="shared" si="3"/>
        <v>1</v>
      </c>
      <c r="AJ185" s="34"/>
      <c r="AK185" s="34"/>
    </row>
    <row r="186" spans="1:37" s="72" customFormat="1" ht="9" hidden="1" customHeight="1" x14ac:dyDescent="0.15">
      <c r="A186" s="195" t="str">
        <f>F!A154</f>
        <v>Som DDD</v>
      </c>
      <c r="B186" s="195"/>
      <c r="C186" s="195"/>
      <c r="D186" s="44" t="str">
        <f>G!AQ154</f>
        <v/>
      </c>
      <c r="E186" s="43" t="str">
        <f>G!AP154</f>
        <v>--</v>
      </c>
      <c r="F186" s="42"/>
      <c r="G186" s="42" t="str">
        <f>G!AS154</f>
        <v/>
      </c>
      <c r="H186" s="43" t="str">
        <f>G!AR154</f>
        <v>--</v>
      </c>
      <c r="I186" s="42" t="str">
        <f>G!AT154</f>
        <v/>
      </c>
      <c r="J186" s="42" t="str">
        <f>G!AU154</f>
        <v/>
      </c>
      <c r="K186" s="43" t="str">
        <f>IFERROR(IF(OR(H186="--",H186="rg",VLOOKUP(F!$B154,E!$B$1:'E'!$AK$300,12,FALSE)=1000000000,I186="-",I186=""),"",(HLOOKUP(SMALL(G!$Q$4:'G'!$Y$4,1),G!$Q$4:'G'!$Y$501,ROW(G!Q154)-3,FALSE))/VLOOKUP(F!$B154,E!$B$1:'E'!$AK$300,12,FALSE)*100),"")</f>
        <v/>
      </c>
      <c r="L186" s="43"/>
      <c r="M186" s="43" t="str">
        <f>G!AW154</f>
        <v/>
      </c>
      <c r="N186" s="43" t="str">
        <f>G!AV154</f>
        <v>--</v>
      </c>
      <c r="O186" s="42"/>
      <c r="P186" s="42" t="str">
        <f>G!AY154</f>
        <v/>
      </c>
      <c r="Q186" s="43" t="str">
        <f>G!AX154</f>
        <v>--</v>
      </c>
      <c r="R186" s="42" t="str">
        <f>G!AZ154</f>
        <v/>
      </c>
      <c r="S186" s="42" t="str">
        <f>G!BA154</f>
        <v/>
      </c>
      <c r="T186" s="43" t="str">
        <f>IFERROR(IF(OR(Q186="--",Q186="rg",VLOOKUP(F!$B154,E!$B$1:'E'!$AK$300,12,FALSE)=1000000000,R186="-",R186=""),"",(HLOOKUP(SMALL(G!$Q$4:'G'!$Y$4,4),G!$Q$4:'G'!$Y$501,ROW(G!Z154)-3,FALSE))/VLOOKUP(F!$B154,E!$B$1:'E'!$AK$300,12,FALSE)*100),"")</f>
        <v/>
      </c>
      <c r="U186" s="43"/>
      <c r="V186" s="43" t="str">
        <f>G!BC154</f>
        <v/>
      </c>
      <c r="W186" s="43" t="str">
        <f>G!BB154</f>
        <v>--</v>
      </c>
      <c r="X186" s="43"/>
      <c r="Y186" s="42" t="str">
        <f>G!BE154</f>
        <v/>
      </c>
      <c r="Z186" s="43" t="str">
        <f>G!BD154</f>
        <v>--</v>
      </c>
      <c r="AA186" s="42" t="str">
        <f>G!BF154</f>
        <v/>
      </c>
      <c r="AB186" s="42" t="str">
        <f>G!BG154</f>
        <v/>
      </c>
      <c r="AC186" s="43" t="str">
        <f>IFERROR(IF(OR(Z186="--",Z186="rg",VLOOKUP(F!$B154,E!$B$1:'E'!$AK$300,12,FALSE)=1000000000,AA186="-",AA186=""),"",(HLOOKUP(SMALL(G!$Q$4:'G'!$Y$4,7),G!$Q$4:'G'!$Y$501,ROW(G!AI154)-3,FALSE))/VLOOKUP(F!$B154,E!$B$1:'E'!$AK$300,12,FALSE)*100),"")</f>
        <v/>
      </c>
      <c r="AD186" s="43"/>
      <c r="AE186" s="34"/>
      <c r="AF186" s="34"/>
      <c r="AH186" s="72">
        <f t="shared" si="3"/>
        <v>1</v>
      </c>
      <c r="AJ186" s="34"/>
      <c r="AK186" s="34"/>
    </row>
    <row r="187" spans="1:37" s="72" customFormat="1" ht="9" hidden="1" customHeight="1" x14ac:dyDescent="0.15">
      <c r="A187" s="195" t="str">
        <f>F!A155</f>
        <v>o,p-DDE</v>
      </c>
      <c r="B187" s="195"/>
      <c r="C187" s="195"/>
      <c r="D187" s="44" t="str">
        <f>G!AQ155</f>
        <v/>
      </c>
      <c r="E187" s="43" t="str">
        <f>G!AP155</f>
        <v>--</v>
      </c>
      <c r="F187" s="42"/>
      <c r="G187" s="42" t="str">
        <f>G!AS155</f>
        <v/>
      </c>
      <c r="H187" s="43" t="str">
        <f>G!AR155</f>
        <v>--</v>
      </c>
      <c r="I187" s="42" t="str">
        <f>G!AT155</f>
        <v/>
      </c>
      <c r="J187" s="42" t="str">
        <f>G!AU155</f>
        <v/>
      </c>
      <c r="K187" s="43" t="str">
        <f>IFERROR(IF(OR(H187="--",H187="rg",VLOOKUP(F!$B155,E!$B$1:'E'!$AK$300,12,FALSE)=1000000000,I187="-",I187=""),"",(HLOOKUP(SMALL(G!$Q$4:'G'!$Y$4,1),G!$Q$4:'G'!$Y$501,ROW(G!Q155)-3,FALSE))/VLOOKUP(F!$B155,E!$B$1:'E'!$AK$300,12,FALSE)*100),"")</f>
        <v/>
      </c>
      <c r="L187" s="43"/>
      <c r="M187" s="43" t="str">
        <f>G!AW155</f>
        <v/>
      </c>
      <c r="N187" s="43" t="str">
        <f>G!AV155</f>
        <v>--</v>
      </c>
      <c r="O187" s="42"/>
      <c r="P187" s="42" t="str">
        <f>G!AY155</f>
        <v/>
      </c>
      <c r="Q187" s="43" t="str">
        <f>G!AX155</f>
        <v>--</v>
      </c>
      <c r="R187" s="42" t="str">
        <f>G!AZ155</f>
        <v/>
      </c>
      <c r="S187" s="42" t="str">
        <f>G!BA155</f>
        <v/>
      </c>
      <c r="T187" s="43" t="str">
        <f>IFERROR(IF(OR(Q187="--",Q187="rg",VLOOKUP(F!$B155,E!$B$1:'E'!$AK$300,12,FALSE)=1000000000,R187="-",R187=""),"",(HLOOKUP(SMALL(G!$Q$4:'G'!$Y$4,4),G!$Q$4:'G'!$Y$501,ROW(G!Z155)-3,FALSE))/VLOOKUP(F!$B155,E!$B$1:'E'!$AK$300,12,FALSE)*100),"")</f>
        <v/>
      </c>
      <c r="U187" s="43"/>
      <c r="V187" s="43" t="str">
        <f>G!BC155</f>
        <v/>
      </c>
      <c r="W187" s="43" t="str">
        <f>G!BB155</f>
        <v>--</v>
      </c>
      <c r="X187" s="43"/>
      <c r="Y187" s="42" t="str">
        <f>G!BE155</f>
        <v/>
      </c>
      <c r="Z187" s="43" t="str">
        <f>G!BD155</f>
        <v>--</v>
      </c>
      <c r="AA187" s="42" t="str">
        <f>G!BF155</f>
        <v/>
      </c>
      <c r="AB187" s="42" t="str">
        <f>G!BG155</f>
        <v/>
      </c>
      <c r="AC187" s="43" t="str">
        <f>IFERROR(IF(OR(Z187="--",Z187="rg",VLOOKUP(F!$B155,E!$B$1:'E'!$AK$300,12,FALSE)=1000000000,AA187="-",AA187=""),"",(HLOOKUP(SMALL(G!$Q$4:'G'!$Y$4,7),G!$Q$4:'G'!$Y$501,ROW(G!AI155)-3,FALSE))/VLOOKUP(F!$B155,E!$B$1:'E'!$AK$300,12,FALSE)*100),"")</f>
        <v/>
      </c>
      <c r="AD187" s="43"/>
      <c r="AE187" s="34"/>
      <c r="AF187" s="34"/>
      <c r="AH187" s="72">
        <f t="shared" si="3"/>
        <v>1</v>
      </c>
      <c r="AJ187" s="34"/>
      <c r="AK187" s="34"/>
    </row>
    <row r="188" spans="1:37" s="72" customFormat="1" ht="9" hidden="1" customHeight="1" x14ac:dyDescent="0.15">
      <c r="A188" s="195" t="str">
        <f>F!A156</f>
        <v>p,p-DDE</v>
      </c>
      <c r="B188" s="195"/>
      <c r="C188" s="195"/>
      <c r="D188" s="44" t="str">
        <f>G!AQ156</f>
        <v/>
      </c>
      <c r="E188" s="43" t="str">
        <f>G!AP156</f>
        <v>--</v>
      </c>
      <c r="F188" s="42"/>
      <c r="G188" s="42" t="str">
        <f>G!AS156</f>
        <v/>
      </c>
      <c r="H188" s="43" t="str">
        <f>G!AR156</f>
        <v>--</v>
      </c>
      <c r="I188" s="42" t="str">
        <f>G!AT156</f>
        <v/>
      </c>
      <c r="J188" s="42" t="str">
        <f>G!AU156</f>
        <v/>
      </c>
      <c r="K188" s="43" t="str">
        <f>IFERROR(IF(OR(H188="--",H188="rg",VLOOKUP(F!$B156,E!$B$1:'E'!$AK$300,12,FALSE)=1000000000,I188="-",I188=""),"",(HLOOKUP(SMALL(G!$Q$4:'G'!$Y$4,1),G!$Q$4:'G'!$Y$501,ROW(G!Q156)-3,FALSE))/VLOOKUP(F!$B156,E!$B$1:'E'!$AK$300,12,FALSE)*100),"")</f>
        <v/>
      </c>
      <c r="L188" s="43"/>
      <c r="M188" s="43" t="str">
        <f>G!AW156</f>
        <v/>
      </c>
      <c r="N188" s="43" t="str">
        <f>G!AV156</f>
        <v>--</v>
      </c>
      <c r="O188" s="42"/>
      <c r="P188" s="42" t="str">
        <f>G!AY156</f>
        <v/>
      </c>
      <c r="Q188" s="43" t="str">
        <f>G!AX156</f>
        <v>--</v>
      </c>
      <c r="R188" s="42" t="str">
        <f>G!AZ156</f>
        <v/>
      </c>
      <c r="S188" s="42" t="str">
        <f>G!BA156</f>
        <v/>
      </c>
      <c r="T188" s="43" t="str">
        <f>IFERROR(IF(OR(Q188="--",Q188="rg",VLOOKUP(F!$B156,E!$B$1:'E'!$AK$300,12,FALSE)=1000000000,R188="-",R188=""),"",(HLOOKUP(SMALL(G!$Q$4:'G'!$Y$4,4),G!$Q$4:'G'!$Y$501,ROW(G!Z156)-3,FALSE))/VLOOKUP(F!$B156,E!$B$1:'E'!$AK$300,12,FALSE)*100),"")</f>
        <v/>
      </c>
      <c r="U188" s="43"/>
      <c r="V188" s="43" t="str">
        <f>G!BC156</f>
        <v/>
      </c>
      <c r="W188" s="43" t="str">
        <f>G!BB156</f>
        <v>--</v>
      </c>
      <c r="X188" s="43"/>
      <c r="Y188" s="42" t="str">
        <f>G!BE156</f>
        <v/>
      </c>
      <c r="Z188" s="43" t="str">
        <f>G!BD156</f>
        <v>--</v>
      </c>
      <c r="AA188" s="42" t="str">
        <f>G!BF156</f>
        <v/>
      </c>
      <c r="AB188" s="42" t="str">
        <f>G!BG156</f>
        <v/>
      </c>
      <c r="AC188" s="43" t="str">
        <f>IFERROR(IF(OR(Z188="--",Z188="rg",VLOOKUP(F!$B156,E!$B$1:'E'!$AK$300,12,FALSE)=1000000000,AA188="-",AA188=""),"",(HLOOKUP(SMALL(G!$Q$4:'G'!$Y$4,7),G!$Q$4:'G'!$Y$501,ROW(G!AI156)-3,FALSE))/VLOOKUP(F!$B156,E!$B$1:'E'!$AK$300,12,FALSE)*100),"")</f>
        <v/>
      </c>
      <c r="AD188" s="43"/>
      <c r="AE188" s="34"/>
      <c r="AF188" s="34"/>
      <c r="AH188" s="72">
        <f t="shared" si="3"/>
        <v>1</v>
      </c>
      <c r="AJ188" s="34"/>
      <c r="AK188" s="34"/>
    </row>
    <row r="189" spans="1:37" s="72" customFormat="1" ht="9" hidden="1" customHeight="1" x14ac:dyDescent="0.15">
      <c r="A189" s="195" t="str">
        <f>F!A157</f>
        <v>Som DDE</v>
      </c>
      <c r="B189" s="195"/>
      <c r="C189" s="195"/>
      <c r="D189" s="44" t="str">
        <f>G!AQ157</f>
        <v/>
      </c>
      <c r="E189" s="43" t="str">
        <f>G!AP157</f>
        <v>--</v>
      </c>
      <c r="F189" s="42"/>
      <c r="G189" s="42" t="str">
        <f>G!AS157</f>
        <v/>
      </c>
      <c r="H189" s="43" t="str">
        <f>G!AR157</f>
        <v>--</v>
      </c>
      <c r="I189" s="42" t="str">
        <f>G!AT157</f>
        <v/>
      </c>
      <c r="J189" s="42" t="str">
        <f>G!AU157</f>
        <v/>
      </c>
      <c r="K189" s="43" t="str">
        <f>IFERROR(IF(OR(H189="--",H189="rg",VLOOKUP(F!$B157,E!$B$1:'E'!$AK$300,12,FALSE)=1000000000,I189="-",I189=""),"",(HLOOKUP(SMALL(G!$Q$4:'G'!$Y$4,1),G!$Q$4:'G'!$Y$501,ROW(G!Q157)-3,FALSE))/VLOOKUP(F!$B157,E!$B$1:'E'!$AK$300,12,FALSE)*100),"")</f>
        <v/>
      </c>
      <c r="L189" s="43"/>
      <c r="M189" s="43" t="str">
        <f>G!AW157</f>
        <v/>
      </c>
      <c r="N189" s="43" t="str">
        <f>G!AV157</f>
        <v>--</v>
      </c>
      <c r="O189" s="42"/>
      <c r="P189" s="42" t="str">
        <f>G!AY157</f>
        <v/>
      </c>
      <c r="Q189" s="43" t="str">
        <f>G!AX157</f>
        <v>--</v>
      </c>
      <c r="R189" s="42" t="str">
        <f>G!AZ157</f>
        <v/>
      </c>
      <c r="S189" s="42" t="str">
        <f>G!BA157</f>
        <v/>
      </c>
      <c r="T189" s="43" t="str">
        <f>IFERROR(IF(OR(Q189="--",Q189="rg",VLOOKUP(F!$B157,E!$B$1:'E'!$AK$300,12,FALSE)=1000000000,R189="-",R189=""),"",(HLOOKUP(SMALL(G!$Q$4:'G'!$Y$4,4),G!$Q$4:'G'!$Y$501,ROW(G!Z157)-3,FALSE))/VLOOKUP(F!$B157,E!$B$1:'E'!$AK$300,12,FALSE)*100),"")</f>
        <v/>
      </c>
      <c r="U189" s="43"/>
      <c r="V189" s="43" t="str">
        <f>G!BC157</f>
        <v/>
      </c>
      <c r="W189" s="43" t="str">
        <f>G!BB157</f>
        <v>--</v>
      </c>
      <c r="X189" s="43"/>
      <c r="Y189" s="42" t="str">
        <f>G!BE157</f>
        <v/>
      </c>
      <c r="Z189" s="43" t="str">
        <f>G!BD157</f>
        <v>--</v>
      </c>
      <c r="AA189" s="42" t="str">
        <f>G!BF157</f>
        <v/>
      </c>
      <c r="AB189" s="42" t="str">
        <f>G!BG157</f>
        <v/>
      </c>
      <c r="AC189" s="43" t="str">
        <f>IFERROR(IF(OR(Z189="--",Z189="rg",VLOOKUP(F!$B157,E!$B$1:'E'!$AK$300,12,FALSE)=1000000000,AA189="-",AA189=""),"",(HLOOKUP(SMALL(G!$Q$4:'G'!$Y$4,7),G!$Q$4:'G'!$Y$501,ROW(G!AI157)-3,FALSE))/VLOOKUP(F!$B157,E!$B$1:'E'!$AK$300,12,FALSE)*100),"")</f>
        <v/>
      </c>
      <c r="AD189" s="43"/>
      <c r="AE189" s="34"/>
      <c r="AF189" s="34"/>
      <c r="AH189" s="72">
        <f t="shared" si="3"/>
        <v>1</v>
      </c>
      <c r="AJ189" s="34"/>
      <c r="AK189" s="34"/>
    </row>
    <row r="190" spans="1:37" s="72" customFormat="1" ht="9" hidden="1" customHeight="1" x14ac:dyDescent="0.15">
      <c r="A190" s="195" t="str">
        <f>F!A158</f>
        <v>Som DDT,DDE,DDD</v>
      </c>
      <c r="B190" s="195"/>
      <c r="C190" s="195"/>
      <c r="D190" s="44" t="str">
        <f>G!AQ158</f>
        <v/>
      </c>
      <c r="E190" s="43" t="str">
        <f>G!AP158</f>
        <v>--</v>
      </c>
      <c r="F190" s="42"/>
      <c r="G190" s="42" t="str">
        <f>G!AS158</f>
        <v/>
      </c>
      <c r="H190" s="43" t="str">
        <f>G!AR158</f>
        <v>--</v>
      </c>
      <c r="I190" s="42" t="str">
        <f>G!AT158</f>
        <v/>
      </c>
      <c r="J190" s="42" t="str">
        <f>G!AU158</f>
        <v/>
      </c>
      <c r="K190" s="43" t="str">
        <f>IFERROR(IF(OR(H190="--",H190="rg",VLOOKUP(F!$B158,E!$B$1:'E'!$AK$300,12,FALSE)=1000000000,I190="-",I190=""),"",(HLOOKUP(SMALL(G!$Q$4:'G'!$Y$4,1),G!$Q$4:'G'!$Y$501,ROW(G!Q158)-3,FALSE))/VLOOKUP(F!$B158,E!$B$1:'E'!$AK$300,12,FALSE)*100),"")</f>
        <v/>
      </c>
      <c r="L190" s="43"/>
      <c r="M190" s="43" t="str">
        <f>G!AW158</f>
        <v/>
      </c>
      <c r="N190" s="43" t="str">
        <f>G!AV158</f>
        <v>--</v>
      </c>
      <c r="O190" s="42"/>
      <c r="P190" s="42" t="str">
        <f>G!AY158</f>
        <v/>
      </c>
      <c r="Q190" s="43" t="str">
        <f>G!AX158</f>
        <v>--</v>
      </c>
      <c r="R190" s="42" t="str">
        <f>G!AZ158</f>
        <v/>
      </c>
      <c r="S190" s="42" t="str">
        <f>G!BA158</f>
        <v/>
      </c>
      <c r="T190" s="43" t="str">
        <f>IFERROR(IF(OR(Q190="--",Q190="rg",VLOOKUP(F!$B158,E!$B$1:'E'!$AK$300,12,FALSE)=1000000000,R190="-",R190=""),"",(HLOOKUP(SMALL(G!$Q$4:'G'!$Y$4,4),G!$Q$4:'G'!$Y$501,ROW(G!Z158)-3,FALSE))/VLOOKUP(F!$B158,E!$B$1:'E'!$AK$300,12,FALSE)*100),"")</f>
        <v/>
      </c>
      <c r="U190" s="43"/>
      <c r="V190" s="43" t="str">
        <f>G!BC158</f>
        <v/>
      </c>
      <c r="W190" s="43" t="str">
        <f>G!BB158</f>
        <v>--</v>
      </c>
      <c r="X190" s="43"/>
      <c r="Y190" s="42" t="str">
        <f>G!BE158</f>
        <v/>
      </c>
      <c r="Z190" s="43" t="str">
        <f>G!BD158</f>
        <v>--</v>
      </c>
      <c r="AA190" s="42" t="str">
        <f>G!BF158</f>
        <v/>
      </c>
      <c r="AB190" s="42" t="str">
        <f>G!BG158</f>
        <v/>
      </c>
      <c r="AC190" s="43" t="str">
        <f>IFERROR(IF(OR(Z190="--",Z190="rg",VLOOKUP(F!$B158,E!$B$1:'E'!$AK$300,12,FALSE)=1000000000,AA190="-",AA190=""),"",(HLOOKUP(SMALL(G!$Q$4:'G'!$Y$4,7),G!$Q$4:'G'!$Y$501,ROW(G!AI158)-3,FALSE))/VLOOKUP(F!$B158,E!$B$1:'E'!$AK$300,12,FALSE)*100),"")</f>
        <v/>
      </c>
      <c r="AD190" s="43"/>
      <c r="AE190" s="34"/>
      <c r="AF190" s="34"/>
      <c r="AH190" s="72">
        <f t="shared" si="3"/>
        <v>1</v>
      </c>
      <c r="AJ190" s="34"/>
      <c r="AK190" s="34"/>
    </row>
    <row r="191" spans="1:37" s="72" customFormat="1" ht="9" hidden="1" customHeight="1" x14ac:dyDescent="0.15">
      <c r="A191" s="195" t="str">
        <f>F!A159</f>
        <v>Aldrin</v>
      </c>
      <c r="B191" s="195"/>
      <c r="C191" s="195"/>
      <c r="D191" s="44" t="str">
        <f>G!AQ159</f>
        <v/>
      </c>
      <c r="E191" s="43" t="str">
        <f>G!AP159</f>
        <v>--</v>
      </c>
      <c r="F191" s="42"/>
      <c r="G191" s="42" t="str">
        <f>G!AS159</f>
        <v/>
      </c>
      <c r="H191" s="43" t="str">
        <f>G!AR159</f>
        <v>--</v>
      </c>
      <c r="I191" s="42" t="str">
        <f>G!AT159</f>
        <v/>
      </c>
      <c r="J191" s="42" t="str">
        <f>G!AU159</f>
        <v/>
      </c>
      <c r="K191" s="43" t="str">
        <f>IFERROR(IF(OR(H191="--",H191="rg",VLOOKUP(F!$B159,E!$B$1:'E'!$AK$300,12,FALSE)=1000000000,I191="-",I191=""),"",(HLOOKUP(SMALL(G!$Q$4:'G'!$Y$4,1),G!$Q$4:'G'!$Y$501,ROW(G!Q159)-3,FALSE))/VLOOKUP(F!$B159,E!$B$1:'E'!$AK$300,12,FALSE)*100),"")</f>
        <v/>
      </c>
      <c r="L191" s="43"/>
      <c r="M191" s="43" t="str">
        <f>G!AW159</f>
        <v/>
      </c>
      <c r="N191" s="43" t="str">
        <f>G!AV159</f>
        <v>--</v>
      </c>
      <c r="O191" s="42"/>
      <c r="P191" s="42" t="str">
        <f>G!AY159</f>
        <v/>
      </c>
      <c r="Q191" s="43" t="str">
        <f>G!AX159</f>
        <v>--</v>
      </c>
      <c r="R191" s="42" t="str">
        <f>G!AZ159</f>
        <v/>
      </c>
      <c r="S191" s="42" t="str">
        <f>G!BA159</f>
        <v/>
      </c>
      <c r="T191" s="43" t="str">
        <f>IFERROR(IF(OR(Q191="--",Q191="rg",VLOOKUP(F!$B159,E!$B$1:'E'!$AK$300,12,FALSE)=1000000000,R191="-",R191=""),"",(HLOOKUP(SMALL(G!$Q$4:'G'!$Y$4,4),G!$Q$4:'G'!$Y$501,ROW(G!Z159)-3,FALSE))/VLOOKUP(F!$B159,E!$B$1:'E'!$AK$300,12,FALSE)*100),"")</f>
        <v/>
      </c>
      <c r="U191" s="43"/>
      <c r="V191" s="43" t="str">
        <f>G!BC159</f>
        <v/>
      </c>
      <c r="W191" s="43" t="str">
        <f>G!BB159</f>
        <v>--</v>
      </c>
      <c r="X191" s="43"/>
      <c r="Y191" s="42" t="str">
        <f>G!BE159</f>
        <v/>
      </c>
      <c r="Z191" s="43" t="str">
        <f>G!BD159</f>
        <v>--</v>
      </c>
      <c r="AA191" s="42" t="str">
        <f>G!BF159</f>
        <v/>
      </c>
      <c r="AB191" s="42" t="str">
        <f>G!BG159</f>
        <v/>
      </c>
      <c r="AC191" s="43" t="str">
        <f>IFERROR(IF(OR(Z191="--",Z191="rg",VLOOKUP(F!$B159,E!$B$1:'E'!$AK$300,12,FALSE)=1000000000,AA191="-",AA191=""),"",(HLOOKUP(SMALL(G!$Q$4:'G'!$Y$4,7),G!$Q$4:'G'!$Y$501,ROW(G!AI159)-3,FALSE))/VLOOKUP(F!$B159,E!$B$1:'E'!$AK$300,12,FALSE)*100),"")</f>
        <v/>
      </c>
      <c r="AD191" s="43"/>
      <c r="AE191" s="34"/>
      <c r="AF191" s="34"/>
      <c r="AH191" s="72">
        <f t="shared" si="3"/>
        <v>1</v>
      </c>
      <c r="AJ191" s="34"/>
      <c r="AK191" s="34"/>
    </row>
    <row r="192" spans="1:37" s="72" customFormat="1" ht="9" hidden="1" customHeight="1" x14ac:dyDescent="0.15">
      <c r="A192" s="195" t="str">
        <f>F!A160</f>
        <v>Dieldrin</v>
      </c>
      <c r="B192" s="195"/>
      <c r="C192" s="195"/>
      <c r="D192" s="44" t="str">
        <f>G!AQ160</f>
        <v/>
      </c>
      <c r="E192" s="43" t="str">
        <f>G!AP160</f>
        <v>--</v>
      </c>
      <c r="F192" s="42"/>
      <c r="G192" s="42" t="str">
        <f>G!AS160</f>
        <v/>
      </c>
      <c r="H192" s="43" t="str">
        <f>G!AR160</f>
        <v>--</v>
      </c>
      <c r="I192" s="42" t="str">
        <f>G!AT160</f>
        <v/>
      </c>
      <c r="J192" s="42" t="str">
        <f>G!AU160</f>
        <v/>
      </c>
      <c r="K192" s="43" t="str">
        <f>IFERROR(IF(OR(H192="--",H192="rg",VLOOKUP(F!$B160,E!$B$1:'E'!$AK$300,12,FALSE)=1000000000,I192="-",I192=""),"",(HLOOKUP(SMALL(G!$Q$4:'G'!$Y$4,1),G!$Q$4:'G'!$Y$501,ROW(G!Q160)-3,FALSE))/VLOOKUP(F!$B160,E!$B$1:'E'!$AK$300,12,FALSE)*100),"")</f>
        <v/>
      </c>
      <c r="L192" s="43"/>
      <c r="M192" s="43" t="str">
        <f>G!AW160</f>
        <v/>
      </c>
      <c r="N192" s="43" t="str">
        <f>G!AV160</f>
        <v>--</v>
      </c>
      <c r="O192" s="42"/>
      <c r="P192" s="42" t="str">
        <f>G!AY160</f>
        <v/>
      </c>
      <c r="Q192" s="43" t="str">
        <f>G!AX160</f>
        <v>--</v>
      </c>
      <c r="R192" s="42" t="str">
        <f>G!AZ160</f>
        <v/>
      </c>
      <c r="S192" s="42" t="str">
        <f>G!BA160</f>
        <v/>
      </c>
      <c r="T192" s="43" t="str">
        <f>IFERROR(IF(OR(Q192="--",Q192="rg",VLOOKUP(F!$B160,E!$B$1:'E'!$AK$300,12,FALSE)=1000000000,R192="-",R192=""),"",(HLOOKUP(SMALL(G!$Q$4:'G'!$Y$4,4),G!$Q$4:'G'!$Y$501,ROW(G!Z160)-3,FALSE))/VLOOKUP(F!$B160,E!$B$1:'E'!$AK$300,12,FALSE)*100),"")</f>
        <v/>
      </c>
      <c r="U192" s="43"/>
      <c r="V192" s="43" t="str">
        <f>G!BC160</f>
        <v/>
      </c>
      <c r="W192" s="43" t="str">
        <f>G!BB160</f>
        <v>--</v>
      </c>
      <c r="X192" s="43"/>
      <c r="Y192" s="42" t="str">
        <f>G!BE160</f>
        <v/>
      </c>
      <c r="Z192" s="43" t="str">
        <f>G!BD160</f>
        <v>--</v>
      </c>
      <c r="AA192" s="42" t="str">
        <f>G!BF160</f>
        <v/>
      </c>
      <c r="AB192" s="42" t="str">
        <f>G!BG160</f>
        <v/>
      </c>
      <c r="AC192" s="43" t="str">
        <f>IFERROR(IF(OR(Z192="--",Z192="rg",VLOOKUP(F!$B160,E!$B$1:'E'!$AK$300,12,FALSE)=1000000000,AA192="-",AA192=""),"",(HLOOKUP(SMALL(G!$Q$4:'G'!$Y$4,7),G!$Q$4:'G'!$Y$501,ROW(G!AI160)-3,FALSE))/VLOOKUP(F!$B160,E!$B$1:'E'!$AK$300,12,FALSE)*100),"")</f>
        <v/>
      </c>
      <c r="AD192" s="43"/>
      <c r="AE192" s="34"/>
      <c r="AF192" s="34"/>
      <c r="AH192" s="72">
        <f t="shared" si="3"/>
        <v>1</v>
      </c>
      <c r="AJ192" s="34"/>
      <c r="AK192" s="34"/>
    </row>
    <row r="193" spans="1:37" s="72" customFormat="1" ht="9" hidden="1" customHeight="1" x14ac:dyDescent="0.15">
      <c r="A193" s="195" t="str">
        <f>F!A161</f>
        <v>Endrin</v>
      </c>
      <c r="B193" s="195"/>
      <c r="C193" s="195"/>
      <c r="D193" s="44" t="str">
        <f>G!AQ161</f>
        <v/>
      </c>
      <c r="E193" s="43" t="str">
        <f>G!AP161</f>
        <v>--</v>
      </c>
      <c r="F193" s="42"/>
      <c r="G193" s="42" t="str">
        <f>G!AS161</f>
        <v/>
      </c>
      <c r="H193" s="43" t="str">
        <f>G!AR161</f>
        <v>--</v>
      </c>
      <c r="I193" s="42" t="str">
        <f>G!AT161</f>
        <v/>
      </c>
      <c r="J193" s="42" t="str">
        <f>G!AU161</f>
        <v/>
      </c>
      <c r="K193" s="43" t="str">
        <f>IFERROR(IF(OR(H193="--",H193="rg",VLOOKUP(F!$B161,E!$B$1:'E'!$AK$300,12,FALSE)=1000000000,I193="-",I193=""),"",(HLOOKUP(SMALL(G!$Q$4:'G'!$Y$4,1),G!$Q$4:'G'!$Y$501,ROW(G!Q161)-3,FALSE))/VLOOKUP(F!$B161,E!$B$1:'E'!$AK$300,12,FALSE)*100),"")</f>
        <v/>
      </c>
      <c r="L193" s="43"/>
      <c r="M193" s="43" t="str">
        <f>G!AW161</f>
        <v/>
      </c>
      <c r="N193" s="43" t="str">
        <f>G!AV161</f>
        <v>--</v>
      </c>
      <c r="O193" s="42"/>
      <c r="P193" s="42" t="str">
        <f>G!AY161</f>
        <v/>
      </c>
      <c r="Q193" s="43" t="str">
        <f>G!AX161</f>
        <v>--</v>
      </c>
      <c r="R193" s="42" t="str">
        <f>G!AZ161</f>
        <v/>
      </c>
      <c r="S193" s="42" t="str">
        <f>G!BA161</f>
        <v/>
      </c>
      <c r="T193" s="43" t="str">
        <f>IFERROR(IF(OR(Q193="--",Q193="rg",VLOOKUP(F!$B161,E!$B$1:'E'!$AK$300,12,FALSE)=1000000000,R193="-",R193=""),"",(HLOOKUP(SMALL(G!$Q$4:'G'!$Y$4,4),G!$Q$4:'G'!$Y$501,ROW(G!Z161)-3,FALSE))/VLOOKUP(F!$B161,E!$B$1:'E'!$AK$300,12,FALSE)*100),"")</f>
        <v/>
      </c>
      <c r="U193" s="43"/>
      <c r="V193" s="43" t="str">
        <f>G!BC161</f>
        <v/>
      </c>
      <c r="W193" s="43" t="str">
        <f>G!BB161</f>
        <v>--</v>
      </c>
      <c r="X193" s="43"/>
      <c r="Y193" s="42" t="str">
        <f>G!BE161</f>
        <v/>
      </c>
      <c r="Z193" s="43" t="str">
        <f>G!BD161</f>
        <v>--</v>
      </c>
      <c r="AA193" s="42" t="str">
        <f>G!BF161</f>
        <v/>
      </c>
      <c r="AB193" s="42" t="str">
        <f>G!BG161</f>
        <v/>
      </c>
      <c r="AC193" s="43" t="str">
        <f>IFERROR(IF(OR(Z193="--",Z193="rg",VLOOKUP(F!$B161,E!$B$1:'E'!$AK$300,12,FALSE)=1000000000,AA193="-",AA193=""),"",(HLOOKUP(SMALL(G!$Q$4:'G'!$Y$4,7),G!$Q$4:'G'!$Y$501,ROW(G!AI161)-3,FALSE))/VLOOKUP(F!$B161,E!$B$1:'E'!$AK$300,12,FALSE)*100),"")</f>
        <v/>
      </c>
      <c r="AD193" s="43"/>
      <c r="AE193" s="34"/>
      <c r="AF193" s="34"/>
      <c r="AH193" s="72">
        <f t="shared" si="3"/>
        <v>1</v>
      </c>
      <c r="AJ193" s="34"/>
      <c r="AK193" s="34"/>
    </row>
    <row r="194" spans="1:37" s="72" customFormat="1" ht="9" hidden="1" customHeight="1" x14ac:dyDescent="0.15">
      <c r="A194" s="195" t="str">
        <f>F!A162</f>
        <v>Som aldrin,dieldrin,endrin</v>
      </c>
      <c r="B194" s="195"/>
      <c r="C194" s="195"/>
      <c r="D194" s="44" t="str">
        <f>G!AQ162</f>
        <v/>
      </c>
      <c r="E194" s="43" t="str">
        <f>G!AP162</f>
        <v>--</v>
      </c>
      <c r="F194" s="42"/>
      <c r="G194" s="42" t="str">
        <f>G!AS162</f>
        <v/>
      </c>
      <c r="H194" s="43" t="str">
        <f>G!AR162</f>
        <v>--</v>
      </c>
      <c r="I194" s="42" t="str">
        <f>G!AT162</f>
        <v/>
      </c>
      <c r="J194" s="42" t="str">
        <f>G!AU162</f>
        <v/>
      </c>
      <c r="K194" s="43" t="str">
        <f>IFERROR(IF(OR(H194="--",H194="rg",VLOOKUP(F!$B162,E!$B$1:'E'!$AK$300,12,FALSE)=1000000000,I194="-",I194=""),"",(HLOOKUP(SMALL(G!$Q$4:'G'!$Y$4,1),G!$Q$4:'G'!$Y$501,ROW(G!Q162)-3,FALSE))/VLOOKUP(F!$B162,E!$B$1:'E'!$AK$300,12,FALSE)*100),"")</f>
        <v/>
      </c>
      <c r="L194" s="43"/>
      <c r="M194" s="43" t="str">
        <f>G!AW162</f>
        <v/>
      </c>
      <c r="N194" s="43" t="str">
        <f>G!AV162</f>
        <v>--</v>
      </c>
      <c r="O194" s="42"/>
      <c r="P194" s="42" t="str">
        <f>G!AY162</f>
        <v/>
      </c>
      <c r="Q194" s="43" t="str">
        <f>G!AX162</f>
        <v>--</v>
      </c>
      <c r="R194" s="42" t="str">
        <f>G!AZ162</f>
        <v/>
      </c>
      <c r="S194" s="42" t="str">
        <f>G!BA162</f>
        <v/>
      </c>
      <c r="T194" s="43" t="str">
        <f>IFERROR(IF(OR(Q194="--",Q194="rg",VLOOKUP(F!$B162,E!$B$1:'E'!$AK$300,12,FALSE)=1000000000,R194="-",R194=""),"",(HLOOKUP(SMALL(G!$Q$4:'G'!$Y$4,4),G!$Q$4:'G'!$Y$501,ROW(G!Z162)-3,FALSE))/VLOOKUP(F!$B162,E!$B$1:'E'!$AK$300,12,FALSE)*100),"")</f>
        <v/>
      </c>
      <c r="U194" s="43"/>
      <c r="V194" s="43" t="str">
        <f>G!BC162</f>
        <v/>
      </c>
      <c r="W194" s="43" t="str">
        <f>G!BB162</f>
        <v>--</v>
      </c>
      <c r="X194" s="43"/>
      <c r="Y194" s="42" t="str">
        <f>G!BE162</f>
        <v/>
      </c>
      <c r="Z194" s="43" t="str">
        <f>G!BD162</f>
        <v>--</v>
      </c>
      <c r="AA194" s="42" t="str">
        <f>G!BF162</f>
        <v/>
      </c>
      <c r="AB194" s="42" t="str">
        <f>G!BG162</f>
        <v/>
      </c>
      <c r="AC194" s="43" t="str">
        <f>IFERROR(IF(OR(Z194="--",Z194="rg",VLOOKUP(F!$B162,E!$B$1:'E'!$AK$300,12,FALSE)=1000000000,AA194="-",AA194=""),"",(HLOOKUP(SMALL(G!$Q$4:'G'!$Y$4,7),G!$Q$4:'G'!$Y$501,ROW(G!AI162)-3,FALSE))/VLOOKUP(F!$B162,E!$B$1:'E'!$AK$300,12,FALSE)*100),"")</f>
        <v/>
      </c>
      <c r="AD194" s="43"/>
      <c r="AE194" s="34"/>
      <c r="AF194" s="34"/>
      <c r="AH194" s="72">
        <f t="shared" si="3"/>
        <v>1</v>
      </c>
      <c r="AJ194" s="34"/>
      <c r="AK194" s="34"/>
    </row>
    <row r="195" spans="1:37" s="72" customFormat="1" ht="9" hidden="1" customHeight="1" x14ac:dyDescent="0.15">
      <c r="A195" s="195" t="str">
        <f>F!A163</f>
        <v>Isodrin</v>
      </c>
      <c r="B195" s="195"/>
      <c r="C195" s="195"/>
      <c r="D195" s="44" t="str">
        <f>G!AQ163</f>
        <v/>
      </c>
      <c r="E195" s="43" t="str">
        <f>G!AP163</f>
        <v>--</v>
      </c>
      <c r="F195" s="42"/>
      <c r="G195" s="42" t="str">
        <f>G!AS163</f>
        <v/>
      </c>
      <c r="H195" s="43" t="str">
        <f>G!AR163</f>
        <v>--</v>
      </c>
      <c r="I195" s="42" t="str">
        <f>G!AT163</f>
        <v/>
      </c>
      <c r="J195" s="42" t="str">
        <f>G!AU163</f>
        <v/>
      </c>
      <c r="K195" s="43" t="str">
        <f>IFERROR(IF(OR(H195="--",H195="rg",VLOOKUP(F!$B163,E!$B$1:'E'!$AK$300,12,FALSE)=1000000000,I195="-",I195=""),"",(HLOOKUP(SMALL(G!$Q$4:'G'!$Y$4,1),G!$Q$4:'G'!$Y$501,ROW(G!Q163)-3,FALSE))/VLOOKUP(F!$B163,E!$B$1:'E'!$AK$300,12,FALSE)*100),"")</f>
        <v/>
      </c>
      <c r="L195" s="43"/>
      <c r="M195" s="43" t="str">
        <f>G!AW163</f>
        <v/>
      </c>
      <c r="N195" s="43" t="str">
        <f>G!AV163</f>
        <v>--</v>
      </c>
      <c r="O195" s="42"/>
      <c r="P195" s="42" t="str">
        <f>G!AY163</f>
        <v/>
      </c>
      <c r="Q195" s="43" t="str">
        <f>G!AX163</f>
        <v>--</v>
      </c>
      <c r="R195" s="42" t="str">
        <f>G!AZ163</f>
        <v/>
      </c>
      <c r="S195" s="42" t="str">
        <f>G!BA163</f>
        <v/>
      </c>
      <c r="T195" s="43" t="str">
        <f>IFERROR(IF(OR(Q195="--",Q195="rg",VLOOKUP(F!$B163,E!$B$1:'E'!$AK$300,12,FALSE)=1000000000,R195="-",R195=""),"",(HLOOKUP(SMALL(G!$Q$4:'G'!$Y$4,4),G!$Q$4:'G'!$Y$501,ROW(G!Z163)-3,FALSE))/VLOOKUP(F!$B163,E!$B$1:'E'!$AK$300,12,FALSE)*100),"")</f>
        <v/>
      </c>
      <c r="U195" s="43"/>
      <c r="V195" s="43" t="str">
        <f>G!BC163</f>
        <v/>
      </c>
      <c r="W195" s="43" t="str">
        <f>G!BB163</f>
        <v>--</v>
      </c>
      <c r="X195" s="43"/>
      <c r="Y195" s="42" t="str">
        <f>G!BE163</f>
        <v/>
      </c>
      <c r="Z195" s="43" t="str">
        <f>G!BD163</f>
        <v>--</v>
      </c>
      <c r="AA195" s="42" t="str">
        <f>G!BF163</f>
        <v/>
      </c>
      <c r="AB195" s="42" t="str">
        <f>G!BG163</f>
        <v/>
      </c>
      <c r="AC195" s="43" t="str">
        <f>IFERROR(IF(OR(Z195="--",Z195="rg",VLOOKUP(F!$B163,E!$B$1:'E'!$AK$300,12,FALSE)=1000000000,AA195="-",AA195=""),"",(HLOOKUP(SMALL(G!$Q$4:'G'!$Y$4,7),G!$Q$4:'G'!$Y$501,ROW(G!AI163)-3,FALSE))/VLOOKUP(F!$B163,E!$B$1:'E'!$AK$300,12,FALSE)*100),"")</f>
        <v/>
      </c>
      <c r="AD195" s="43"/>
      <c r="AE195" s="34"/>
      <c r="AF195" s="34"/>
      <c r="AH195" s="72">
        <f t="shared" si="3"/>
        <v>1</v>
      </c>
      <c r="AJ195" s="34"/>
      <c r="AK195" s="34"/>
    </row>
    <row r="196" spans="1:37" s="72" customFormat="1" ht="9" hidden="1" customHeight="1" x14ac:dyDescent="0.15">
      <c r="A196" s="195" t="str">
        <f>F!A164</f>
        <v>Telodrin</v>
      </c>
      <c r="B196" s="195"/>
      <c r="C196" s="195"/>
      <c r="D196" s="44" t="str">
        <f>G!AQ164</f>
        <v/>
      </c>
      <c r="E196" s="43" t="str">
        <f>G!AP164</f>
        <v>--</v>
      </c>
      <c r="F196" s="42"/>
      <c r="G196" s="42" t="str">
        <f>G!AS164</f>
        <v/>
      </c>
      <c r="H196" s="43" t="str">
        <f>G!AR164</f>
        <v>--</v>
      </c>
      <c r="I196" s="42" t="str">
        <f>G!AT164</f>
        <v/>
      </c>
      <c r="J196" s="42" t="str">
        <f>G!AU164</f>
        <v/>
      </c>
      <c r="K196" s="43" t="str">
        <f>IFERROR(IF(OR(H196="--",H196="rg",VLOOKUP(F!$B164,E!$B$1:'E'!$AK$300,12,FALSE)=1000000000,I196="-",I196=""),"",(HLOOKUP(SMALL(G!$Q$4:'G'!$Y$4,1),G!$Q$4:'G'!$Y$501,ROW(G!Q164)-3,FALSE))/VLOOKUP(F!$B164,E!$B$1:'E'!$AK$300,12,FALSE)*100),"")</f>
        <v/>
      </c>
      <c r="L196" s="43"/>
      <c r="M196" s="43" t="str">
        <f>G!AW164</f>
        <v/>
      </c>
      <c r="N196" s="43" t="str">
        <f>G!AV164</f>
        <v>--</v>
      </c>
      <c r="O196" s="42"/>
      <c r="P196" s="42" t="str">
        <f>G!AY164</f>
        <v/>
      </c>
      <c r="Q196" s="43" t="str">
        <f>G!AX164</f>
        <v>--</v>
      </c>
      <c r="R196" s="42" t="str">
        <f>G!AZ164</f>
        <v/>
      </c>
      <c r="S196" s="42" t="str">
        <f>G!BA164</f>
        <v/>
      </c>
      <c r="T196" s="43" t="str">
        <f>IFERROR(IF(OR(Q196="--",Q196="rg",VLOOKUP(F!$B164,E!$B$1:'E'!$AK$300,12,FALSE)=1000000000,R196="-",R196=""),"",(HLOOKUP(SMALL(G!$Q$4:'G'!$Y$4,4),G!$Q$4:'G'!$Y$501,ROW(G!Z164)-3,FALSE))/VLOOKUP(F!$B164,E!$B$1:'E'!$AK$300,12,FALSE)*100),"")</f>
        <v/>
      </c>
      <c r="U196" s="43"/>
      <c r="V196" s="43" t="str">
        <f>G!BC164</f>
        <v/>
      </c>
      <c r="W196" s="43" t="str">
        <f>G!BB164</f>
        <v>--</v>
      </c>
      <c r="X196" s="43"/>
      <c r="Y196" s="42" t="str">
        <f>G!BE164</f>
        <v/>
      </c>
      <c r="Z196" s="43" t="str">
        <f>G!BD164</f>
        <v>--</v>
      </c>
      <c r="AA196" s="42" t="str">
        <f>G!BF164</f>
        <v/>
      </c>
      <c r="AB196" s="42" t="str">
        <f>G!BG164</f>
        <v/>
      </c>
      <c r="AC196" s="43" t="str">
        <f>IFERROR(IF(OR(Z196="--",Z196="rg",VLOOKUP(F!$B164,E!$B$1:'E'!$AK$300,12,FALSE)=1000000000,AA196="-",AA196=""),"",(HLOOKUP(SMALL(G!$Q$4:'G'!$Y$4,7),G!$Q$4:'G'!$Y$501,ROW(G!AI164)-3,FALSE))/VLOOKUP(F!$B164,E!$B$1:'E'!$AK$300,12,FALSE)*100),"")</f>
        <v/>
      </c>
      <c r="AD196" s="43"/>
      <c r="AE196" s="34"/>
      <c r="AF196" s="34"/>
      <c r="AH196" s="72">
        <f t="shared" si="3"/>
        <v>1</v>
      </c>
      <c r="AJ196" s="34"/>
      <c r="AK196" s="34"/>
    </row>
    <row r="197" spans="1:37" s="72" customFormat="1" ht="9" hidden="1" customHeight="1" x14ac:dyDescent="0.15">
      <c r="A197" s="195" t="str">
        <f>F!A165</f>
        <v>Alpha-HCH</v>
      </c>
      <c r="B197" s="195"/>
      <c r="C197" s="195"/>
      <c r="D197" s="44" t="str">
        <f>G!AQ165</f>
        <v/>
      </c>
      <c r="E197" s="43" t="str">
        <f>G!AP165</f>
        <v>--</v>
      </c>
      <c r="F197" s="42"/>
      <c r="G197" s="42" t="str">
        <f>G!AS165</f>
        <v/>
      </c>
      <c r="H197" s="43" t="str">
        <f>G!AR165</f>
        <v>--</v>
      </c>
      <c r="I197" s="42" t="str">
        <f>G!AT165</f>
        <v/>
      </c>
      <c r="J197" s="42" t="str">
        <f>G!AU165</f>
        <v/>
      </c>
      <c r="K197" s="43" t="str">
        <f>IFERROR(IF(OR(H197="--",H197="rg",VLOOKUP(F!$B165,E!$B$1:'E'!$AK$300,12,FALSE)=1000000000,I197="-",I197=""),"",(HLOOKUP(SMALL(G!$Q$4:'G'!$Y$4,1),G!$Q$4:'G'!$Y$501,ROW(G!Q165)-3,FALSE))/VLOOKUP(F!$B165,E!$B$1:'E'!$AK$300,12,FALSE)*100),"")</f>
        <v/>
      </c>
      <c r="L197" s="43"/>
      <c r="M197" s="43" t="str">
        <f>G!AW165</f>
        <v/>
      </c>
      <c r="N197" s="43" t="str">
        <f>G!AV165</f>
        <v>--</v>
      </c>
      <c r="O197" s="42"/>
      <c r="P197" s="42" t="str">
        <f>G!AY165</f>
        <v/>
      </c>
      <c r="Q197" s="43" t="str">
        <f>G!AX165</f>
        <v>--</v>
      </c>
      <c r="R197" s="42" t="str">
        <f>G!AZ165</f>
        <v/>
      </c>
      <c r="S197" s="42" t="str">
        <f>G!BA165</f>
        <v/>
      </c>
      <c r="T197" s="43" t="str">
        <f>IFERROR(IF(OR(Q197="--",Q197="rg",VLOOKUP(F!$B165,E!$B$1:'E'!$AK$300,12,FALSE)=1000000000,R197="-",R197=""),"",(HLOOKUP(SMALL(G!$Q$4:'G'!$Y$4,4),G!$Q$4:'G'!$Y$501,ROW(G!Z165)-3,FALSE))/VLOOKUP(F!$B165,E!$B$1:'E'!$AK$300,12,FALSE)*100),"")</f>
        <v/>
      </c>
      <c r="U197" s="43"/>
      <c r="V197" s="43" t="str">
        <f>G!BC165</f>
        <v/>
      </c>
      <c r="W197" s="43" t="str">
        <f>G!BB165</f>
        <v>--</v>
      </c>
      <c r="X197" s="43"/>
      <c r="Y197" s="42" t="str">
        <f>G!BE165</f>
        <v/>
      </c>
      <c r="Z197" s="43" t="str">
        <f>G!BD165</f>
        <v>--</v>
      </c>
      <c r="AA197" s="42" t="str">
        <f>G!BF165</f>
        <v/>
      </c>
      <c r="AB197" s="42" t="str">
        <f>G!BG165</f>
        <v/>
      </c>
      <c r="AC197" s="43" t="str">
        <f>IFERROR(IF(OR(Z197="--",Z197="rg",VLOOKUP(F!$B165,E!$B$1:'E'!$AK$300,12,FALSE)=1000000000,AA197="-",AA197=""),"",(HLOOKUP(SMALL(G!$Q$4:'G'!$Y$4,7),G!$Q$4:'G'!$Y$501,ROW(G!AI165)-3,FALSE))/VLOOKUP(F!$B165,E!$B$1:'E'!$AK$300,12,FALSE)*100),"")</f>
        <v/>
      </c>
      <c r="AD197" s="43"/>
      <c r="AE197" s="34"/>
      <c r="AF197" s="34"/>
      <c r="AH197" s="72">
        <f t="shared" si="3"/>
        <v>1</v>
      </c>
      <c r="AJ197" s="34"/>
      <c r="AK197" s="34"/>
    </row>
    <row r="198" spans="1:37" s="72" customFormat="1" ht="9" hidden="1" customHeight="1" x14ac:dyDescent="0.15">
      <c r="A198" s="195" t="str">
        <f>F!A166</f>
        <v>Beta-HCH</v>
      </c>
      <c r="B198" s="195"/>
      <c r="C198" s="195"/>
      <c r="D198" s="44" t="str">
        <f>G!AQ166</f>
        <v/>
      </c>
      <c r="E198" s="43" t="str">
        <f>G!AP166</f>
        <v>--</v>
      </c>
      <c r="F198" s="42"/>
      <c r="G198" s="42" t="str">
        <f>G!AS166</f>
        <v/>
      </c>
      <c r="H198" s="43" t="str">
        <f>G!AR166</f>
        <v>--</v>
      </c>
      <c r="I198" s="42" t="str">
        <f>G!AT166</f>
        <v/>
      </c>
      <c r="J198" s="42" t="str">
        <f>G!AU166</f>
        <v/>
      </c>
      <c r="K198" s="43" t="str">
        <f>IFERROR(IF(OR(H198="--",H198="rg",VLOOKUP(F!$B166,E!$B$1:'E'!$AK$300,12,FALSE)=1000000000,I198="-",I198=""),"",(HLOOKUP(SMALL(G!$Q$4:'G'!$Y$4,1),G!$Q$4:'G'!$Y$501,ROW(G!Q166)-3,FALSE))/VLOOKUP(F!$B166,E!$B$1:'E'!$AK$300,12,FALSE)*100),"")</f>
        <v/>
      </c>
      <c r="L198" s="43"/>
      <c r="M198" s="43" t="str">
        <f>G!AW166</f>
        <v/>
      </c>
      <c r="N198" s="43" t="str">
        <f>G!AV166</f>
        <v>--</v>
      </c>
      <c r="O198" s="42"/>
      <c r="P198" s="42" t="str">
        <f>G!AY166</f>
        <v/>
      </c>
      <c r="Q198" s="43" t="str">
        <f>G!AX166</f>
        <v>--</v>
      </c>
      <c r="R198" s="42" t="str">
        <f>G!AZ166</f>
        <v/>
      </c>
      <c r="S198" s="42" t="str">
        <f>G!BA166</f>
        <v/>
      </c>
      <c r="T198" s="43" t="str">
        <f>IFERROR(IF(OR(Q198="--",Q198="rg",VLOOKUP(F!$B166,E!$B$1:'E'!$AK$300,12,FALSE)=1000000000,R198="-",R198=""),"",(HLOOKUP(SMALL(G!$Q$4:'G'!$Y$4,4),G!$Q$4:'G'!$Y$501,ROW(G!Z166)-3,FALSE))/VLOOKUP(F!$B166,E!$B$1:'E'!$AK$300,12,FALSE)*100),"")</f>
        <v/>
      </c>
      <c r="U198" s="43"/>
      <c r="V198" s="43" t="str">
        <f>G!BC166</f>
        <v/>
      </c>
      <c r="W198" s="43" t="str">
        <f>G!BB166</f>
        <v>--</v>
      </c>
      <c r="X198" s="43"/>
      <c r="Y198" s="42" t="str">
        <f>G!BE166</f>
        <v/>
      </c>
      <c r="Z198" s="43" t="str">
        <f>G!BD166</f>
        <v>--</v>
      </c>
      <c r="AA198" s="42" t="str">
        <f>G!BF166</f>
        <v/>
      </c>
      <c r="AB198" s="42" t="str">
        <f>G!BG166</f>
        <v/>
      </c>
      <c r="AC198" s="43" t="str">
        <f>IFERROR(IF(OR(Z198="--",Z198="rg",VLOOKUP(F!$B166,E!$B$1:'E'!$AK$300,12,FALSE)=1000000000,AA198="-",AA198=""),"",(HLOOKUP(SMALL(G!$Q$4:'G'!$Y$4,7),G!$Q$4:'G'!$Y$501,ROW(G!AI166)-3,FALSE))/VLOOKUP(F!$B166,E!$B$1:'E'!$AK$300,12,FALSE)*100),"")</f>
        <v/>
      </c>
      <c r="AD198" s="43"/>
      <c r="AE198" s="34"/>
      <c r="AF198" s="34"/>
      <c r="AH198" s="72">
        <f t="shared" si="3"/>
        <v>1</v>
      </c>
      <c r="AJ198" s="34"/>
      <c r="AK198" s="34"/>
    </row>
    <row r="199" spans="1:37" s="72" customFormat="1" ht="9" hidden="1" customHeight="1" x14ac:dyDescent="0.15">
      <c r="A199" s="195" t="str">
        <f>F!A167</f>
        <v>Gamma-HCH</v>
      </c>
      <c r="B199" s="195"/>
      <c r="C199" s="195"/>
      <c r="D199" s="44" t="str">
        <f>G!AQ167</f>
        <v/>
      </c>
      <c r="E199" s="43" t="str">
        <f>G!AP167</f>
        <v>--</v>
      </c>
      <c r="F199" s="42"/>
      <c r="G199" s="42" t="str">
        <f>G!AS167</f>
        <v/>
      </c>
      <c r="H199" s="43" t="str">
        <f>G!AR167</f>
        <v>--</v>
      </c>
      <c r="I199" s="42" t="str">
        <f>G!AT167</f>
        <v/>
      </c>
      <c r="J199" s="42" t="str">
        <f>G!AU167</f>
        <v/>
      </c>
      <c r="K199" s="43" t="str">
        <f>IFERROR(IF(OR(H199="--",H199="rg",VLOOKUP(F!$B167,E!$B$1:'E'!$AK$300,12,FALSE)=1000000000,I199="-",I199=""),"",(HLOOKUP(SMALL(G!$Q$4:'G'!$Y$4,1),G!$Q$4:'G'!$Y$501,ROW(G!Q167)-3,FALSE))/VLOOKUP(F!$B167,E!$B$1:'E'!$AK$300,12,FALSE)*100),"")</f>
        <v/>
      </c>
      <c r="L199" s="43"/>
      <c r="M199" s="43" t="str">
        <f>G!AW167</f>
        <v/>
      </c>
      <c r="N199" s="43" t="str">
        <f>G!AV167</f>
        <v>--</v>
      </c>
      <c r="O199" s="42"/>
      <c r="P199" s="42" t="str">
        <f>G!AY167</f>
        <v/>
      </c>
      <c r="Q199" s="43" t="str">
        <f>G!AX167</f>
        <v>--</v>
      </c>
      <c r="R199" s="42" t="str">
        <f>G!AZ167</f>
        <v/>
      </c>
      <c r="S199" s="42" t="str">
        <f>G!BA167</f>
        <v/>
      </c>
      <c r="T199" s="43" t="str">
        <f>IFERROR(IF(OR(Q199="--",Q199="rg",VLOOKUP(F!$B167,E!$B$1:'E'!$AK$300,12,FALSE)=1000000000,R199="-",R199=""),"",(HLOOKUP(SMALL(G!$Q$4:'G'!$Y$4,4),G!$Q$4:'G'!$Y$501,ROW(G!Z167)-3,FALSE))/VLOOKUP(F!$B167,E!$B$1:'E'!$AK$300,12,FALSE)*100),"")</f>
        <v/>
      </c>
      <c r="U199" s="43"/>
      <c r="V199" s="43" t="str">
        <f>G!BC167</f>
        <v/>
      </c>
      <c r="W199" s="43" t="str">
        <f>G!BB167</f>
        <v>--</v>
      </c>
      <c r="X199" s="43"/>
      <c r="Y199" s="42" t="str">
        <f>G!BE167</f>
        <v/>
      </c>
      <c r="Z199" s="43" t="str">
        <f>G!BD167</f>
        <v>--</v>
      </c>
      <c r="AA199" s="42" t="str">
        <f>G!BF167</f>
        <v/>
      </c>
      <c r="AB199" s="42" t="str">
        <f>G!BG167</f>
        <v/>
      </c>
      <c r="AC199" s="43" t="str">
        <f>IFERROR(IF(OR(Z199="--",Z199="rg",VLOOKUP(F!$B167,E!$B$1:'E'!$AK$300,12,FALSE)=1000000000,AA199="-",AA199=""),"",(HLOOKUP(SMALL(G!$Q$4:'G'!$Y$4,7),G!$Q$4:'G'!$Y$501,ROW(G!AI167)-3,FALSE))/VLOOKUP(F!$B167,E!$B$1:'E'!$AK$300,12,FALSE)*100),"")</f>
        <v/>
      </c>
      <c r="AD199" s="43"/>
      <c r="AE199" s="34"/>
      <c r="AF199" s="34"/>
      <c r="AH199" s="72">
        <f t="shared" si="3"/>
        <v>1</v>
      </c>
      <c r="AJ199" s="34"/>
      <c r="AK199" s="34"/>
    </row>
    <row r="200" spans="1:37" s="72" customFormat="1" ht="9" hidden="1" customHeight="1" x14ac:dyDescent="0.15">
      <c r="A200" s="195" t="str">
        <f>F!A168</f>
        <v>Delta-HCH</v>
      </c>
      <c r="B200" s="195"/>
      <c r="C200" s="195"/>
      <c r="D200" s="44" t="str">
        <f>G!AQ168</f>
        <v/>
      </c>
      <c r="E200" s="43" t="str">
        <f>G!AP168</f>
        <v>--</v>
      </c>
      <c r="F200" s="42"/>
      <c r="G200" s="42" t="str">
        <f>G!AS168</f>
        <v/>
      </c>
      <c r="H200" s="43" t="str">
        <f>G!AR168</f>
        <v>--</v>
      </c>
      <c r="I200" s="42" t="str">
        <f>G!AT168</f>
        <v/>
      </c>
      <c r="J200" s="42" t="str">
        <f>G!AU168</f>
        <v/>
      </c>
      <c r="K200" s="43" t="str">
        <f>IFERROR(IF(OR(H200="--",H200="rg",VLOOKUP(F!$B168,E!$B$1:'E'!$AK$300,12,FALSE)=1000000000,I200="-",I200=""),"",(HLOOKUP(SMALL(G!$Q$4:'G'!$Y$4,1),G!$Q$4:'G'!$Y$501,ROW(G!Q168)-3,FALSE))/VLOOKUP(F!$B168,E!$B$1:'E'!$AK$300,12,FALSE)*100),"")</f>
        <v/>
      </c>
      <c r="L200" s="43"/>
      <c r="M200" s="43" t="str">
        <f>G!AW168</f>
        <v/>
      </c>
      <c r="N200" s="43" t="str">
        <f>G!AV168</f>
        <v>--</v>
      </c>
      <c r="O200" s="42"/>
      <c r="P200" s="42" t="str">
        <f>G!AY168</f>
        <v/>
      </c>
      <c r="Q200" s="43" t="str">
        <f>G!AX168</f>
        <v>--</v>
      </c>
      <c r="R200" s="42" t="str">
        <f>G!AZ168</f>
        <v/>
      </c>
      <c r="S200" s="42" t="str">
        <f>G!BA168</f>
        <v/>
      </c>
      <c r="T200" s="43" t="str">
        <f>IFERROR(IF(OR(Q200="--",Q200="rg",VLOOKUP(F!$B168,E!$B$1:'E'!$AK$300,12,FALSE)=1000000000,R200="-",R200=""),"",(HLOOKUP(SMALL(G!$Q$4:'G'!$Y$4,4),G!$Q$4:'G'!$Y$501,ROW(G!Z168)-3,FALSE))/VLOOKUP(F!$B168,E!$B$1:'E'!$AK$300,12,FALSE)*100),"")</f>
        <v/>
      </c>
      <c r="U200" s="43"/>
      <c r="V200" s="43" t="str">
        <f>G!BC168</f>
        <v/>
      </c>
      <c r="W200" s="43" t="str">
        <f>G!BB168</f>
        <v>--</v>
      </c>
      <c r="X200" s="43"/>
      <c r="Y200" s="42" t="str">
        <f>G!BE168</f>
        <v/>
      </c>
      <c r="Z200" s="43" t="str">
        <f>G!BD168</f>
        <v>--</v>
      </c>
      <c r="AA200" s="42" t="str">
        <f>G!BF168</f>
        <v/>
      </c>
      <c r="AB200" s="42" t="str">
        <f>G!BG168</f>
        <v/>
      </c>
      <c r="AC200" s="43" t="str">
        <f>IFERROR(IF(OR(Z200="--",Z200="rg",VLOOKUP(F!$B168,E!$B$1:'E'!$AK$300,12,FALSE)=1000000000,AA200="-",AA200=""),"",(HLOOKUP(SMALL(G!$Q$4:'G'!$Y$4,7),G!$Q$4:'G'!$Y$501,ROW(G!AI168)-3,FALSE))/VLOOKUP(F!$B168,E!$B$1:'E'!$AK$300,12,FALSE)*100),"")</f>
        <v/>
      </c>
      <c r="AD200" s="43"/>
      <c r="AE200" s="34"/>
      <c r="AF200" s="34"/>
      <c r="AH200" s="72">
        <f t="shared" si="3"/>
        <v>1</v>
      </c>
      <c r="AJ200" s="34"/>
      <c r="AK200" s="34"/>
    </row>
    <row r="201" spans="1:37" s="72" customFormat="1" ht="9" hidden="1" customHeight="1" x14ac:dyDescent="0.15">
      <c r="A201" s="195" t="str">
        <f>F!A169</f>
        <v>Som a-b-c-d HCH</v>
      </c>
      <c r="B201" s="195"/>
      <c r="C201" s="195"/>
      <c r="D201" s="44" t="str">
        <f>G!AQ169</f>
        <v/>
      </c>
      <c r="E201" s="43" t="str">
        <f>G!AP169</f>
        <v>--</v>
      </c>
      <c r="F201" s="42"/>
      <c r="G201" s="42" t="str">
        <f>G!AS169</f>
        <v/>
      </c>
      <c r="H201" s="43" t="str">
        <f>G!AR169</f>
        <v>--</v>
      </c>
      <c r="I201" s="42" t="str">
        <f>G!AT169</f>
        <v/>
      </c>
      <c r="J201" s="42" t="str">
        <f>G!AU169</f>
        <v/>
      </c>
      <c r="K201" s="43" t="str">
        <f>IFERROR(IF(OR(H201="--",H201="rg",VLOOKUP(F!$B169,E!$B$1:'E'!$AK$300,12,FALSE)=1000000000,I201="-",I201=""),"",(HLOOKUP(SMALL(G!$Q$4:'G'!$Y$4,1),G!$Q$4:'G'!$Y$501,ROW(G!Q169)-3,FALSE))/VLOOKUP(F!$B169,E!$B$1:'E'!$AK$300,12,FALSE)*100),"")</f>
        <v/>
      </c>
      <c r="L201" s="43"/>
      <c r="M201" s="43" t="str">
        <f>G!AW169</f>
        <v/>
      </c>
      <c r="N201" s="43" t="str">
        <f>G!AV169</f>
        <v>--</v>
      </c>
      <c r="O201" s="42"/>
      <c r="P201" s="42" t="str">
        <f>G!AY169</f>
        <v/>
      </c>
      <c r="Q201" s="43" t="str">
        <f>G!AX169</f>
        <v>--</v>
      </c>
      <c r="R201" s="42" t="str">
        <f>G!AZ169</f>
        <v/>
      </c>
      <c r="S201" s="42" t="str">
        <f>G!BA169</f>
        <v/>
      </c>
      <c r="T201" s="43" t="str">
        <f>IFERROR(IF(OR(Q201="--",Q201="rg",VLOOKUP(F!$B169,E!$B$1:'E'!$AK$300,12,FALSE)=1000000000,R201="-",R201=""),"",(HLOOKUP(SMALL(G!$Q$4:'G'!$Y$4,4),G!$Q$4:'G'!$Y$501,ROW(G!Z169)-3,FALSE))/VLOOKUP(F!$B169,E!$B$1:'E'!$AK$300,12,FALSE)*100),"")</f>
        <v/>
      </c>
      <c r="U201" s="43"/>
      <c r="V201" s="43" t="str">
        <f>G!BC169</f>
        <v/>
      </c>
      <c r="W201" s="43" t="str">
        <f>G!BB169</f>
        <v>--</v>
      </c>
      <c r="X201" s="43"/>
      <c r="Y201" s="42" t="str">
        <f>G!BE169</f>
        <v/>
      </c>
      <c r="Z201" s="43" t="str">
        <f>G!BD169</f>
        <v>--</v>
      </c>
      <c r="AA201" s="42" t="str">
        <f>G!BF169</f>
        <v/>
      </c>
      <c r="AB201" s="42" t="str">
        <f>G!BG169</f>
        <v/>
      </c>
      <c r="AC201" s="43" t="str">
        <f>IFERROR(IF(OR(Z201="--",Z201="rg",VLOOKUP(F!$B169,E!$B$1:'E'!$AK$300,12,FALSE)=1000000000,AA201="-",AA201=""),"",(HLOOKUP(SMALL(G!$Q$4:'G'!$Y$4,7),G!$Q$4:'G'!$Y$501,ROW(G!AI169)-3,FALSE))/VLOOKUP(F!$B169,E!$B$1:'E'!$AK$300,12,FALSE)*100),"")</f>
        <v/>
      </c>
      <c r="AD201" s="43"/>
      <c r="AE201" s="34"/>
      <c r="AF201" s="34"/>
      <c r="AH201" s="72">
        <f t="shared" si="3"/>
        <v>1</v>
      </c>
      <c r="AJ201" s="34"/>
      <c r="AK201" s="34"/>
    </row>
    <row r="202" spans="1:37" s="72" customFormat="1" ht="9" hidden="1" customHeight="1" x14ac:dyDescent="0.15">
      <c r="A202" s="195" t="str">
        <f>F!A170</f>
        <v>Heptachloor</v>
      </c>
      <c r="B202" s="195"/>
      <c r="C202" s="195"/>
      <c r="D202" s="44" t="str">
        <f>G!AQ170</f>
        <v/>
      </c>
      <c r="E202" s="43" t="str">
        <f>G!AP170</f>
        <v>--</v>
      </c>
      <c r="F202" s="42"/>
      <c r="G202" s="42" t="str">
        <f>G!AS170</f>
        <v/>
      </c>
      <c r="H202" s="43" t="str">
        <f>G!AR170</f>
        <v>--</v>
      </c>
      <c r="I202" s="42" t="str">
        <f>G!AT170</f>
        <v/>
      </c>
      <c r="J202" s="42" t="str">
        <f>G!AU170</f>
        <v/>
      </c>
      <c r="K202" s="43" t="str">
        <f>IFERROR(IF(OR(H202="--",H202="rg",VLOOKUP(F!$B170,E!$B$1:'E'!$AK$300,12,FALSE)=1000000000,I202="-",I202=""),"",(HLOOKUP(SMALL(G!$Q$4:'G'!$Y$4,1),G!$Q$4:'G'!$Y$501,ROW(G!Q170)-3,FALSE))/VLOOKUP(F!$B170,E!$B$1:'E'!$AK$300,12,FALSE)*100),"")</f>
        <v/>
      </c>
      <c r="L202" s="43"/>
      <c r="M202" s="43" t="str">
        <f>G!AW170</f>
        <v/>
      </c>
      <c r="N202" s="43" t="str">
        <f>G!AV170</f>
        <v>--</v>
      </c>
      <c r="O202" s="42"/>
      <c r="P202" s="42" t="str">
        <f>G!AY170</f>
        <v/>
      </c>
      <c r="Q202" s="43" t="str">
        <f>G!AX170</f>
        <v>--</v>
      </c>
      <c r="R202" s="42" t="str">
        <f>G!AZ170</f>
        <v/>
      </c>
      <c r="S202" s="42" t="str">
        <f>G!BA170</f>
        <v/>
      </c>
      <c r="T202" s="43" t="str">
        <f>IFERROR(IF(OR(Q202="--",Q202="rg",VLOOKUP(F!$B170,E!$B$1:'E'!$AK$300,12,FALSE)=1000000000,R202="-",R202=""),"",(HLOOKUP(SMALL(G!$Q$4:'G'!$Y$4,4),G!$Q$4:'G'!$Y$501,ROW(G!Z170)-3,FALSE))/VLOOKUP(F!$B170,E!$B$1:'E'!$AK$300,12,FALSE)*100),"")</f>
        <v/>
      </c>
      <c r="U202" s="43"/>
      <c r="V202" s="43" t="str">
        <f>G!BC170</f>
        <v/>
      </c>
      <c r="W202" s="43" t="str">
        <f>G!BB170</f>
        <v>--</v>
      </c>
      <c r="X202" s="43"/>
      <c r="Y202" s="42" t="str">
        <f>G!BE170</f>
        <v/>
      </c>
      <c r="Z202" s="43" t="str">
        <f>G!BD170</f>
        <v>--</v>
      </c>
      <c r="AA202" s="42" t="str">
        <f>G!BF170</f>
        <v/>
      </c>
      <c r="AB202" s="42" t="str">
        <f>G!BG170</f>
        <v/>
      </c>
      <c r="AC202" s="43" t="str">
        <f>IFERROR(IF(OR(Z202="--",Z202="rg",VLOOKUP(F!$B170,E!$B$1:'E'!$AK$300,12,FALSE)=1000000000,AA202="-",AA202=""),"",(HLOOKUP(SMALL(G!$Q$4:'G'!$Y$4,7),G!$Q$4:'G'!$Y$501,ROW(G!AI170)-3,FALSE))/VLOOKUP(F!$B170,E!$B$1:'E'!$AK$300,12,FALSE)*100),"")</f>
        <v/>
      </c>
      <c r="AD202" s="43"/>
      <c r="AE202" s="34"/>
      <c r="AF202" s="34"/>
      <c r="AH202" s="72">
        <f t="shared" si="3"/>
        <v>1</v>
      </c>
      <c r="AJ202" s="34"/>
      <c r="AK202" s="34"/>
    </row>
    <row r="203" spans="1:37" s="72" customFormat="1" ht="9" hidden="1" customHeight="1" x14ac:dyDescent="0.15">
      <c r="A203" s="195" t="str">
        <f>F!A171</f>
        <v>Cis-heptachloorepoxide</v>
      </c>
      <c r="B203" s="195"/>
      <c r="C203" s="195"/>
      <c r="D203" s="44" t="str">
        <f>G!AQ171</f>
        <v/>
      </c>
      <c r="E203" s="43" t="str">
        <f>G!AP171</f>
        <v>--</v>
      </c>
      <c r="F203" s="42"/>
      <c r="G203" s="42" t="str">
        <f>G!AS171</f>
        <v/>
      </c>
      <c r="H203" s="43" t="str">
        <f>G!AR171</f>
        <v>--</v>
      </c>
      <c r="I203" s="42" t="str">
        <f>G!AT171</f>
        <v/>
      </c>
      <c r="J203" s="42" t="str">
        <f>G!AU171</f>
        <v/>
      </c>
      <c r="K203" s="43" t="str">
        <f>IFERROR(IF(OR(H203="--",H203="rg",VLOOKUP(F!$B171,E!$B$1:'E'!$AK$300,12,FALSE)=1000000000,I203="-",I203=""),"",(HLOOKUP(SMALL(G!$Q$4:'G'!$Y$4,1),G!$Q$4:'G'!$Y$501,ROW(G!Q171)-3,FALSE))/VLOOKUP(F!$B171,E!$B$1:'E'!$AK$300,12,FALSE)*100),"")</f>
        <v/>
      </c>
      <c r="L203" s="43"/>
      <c r="M203" s="43" t="str">
        <f>G!AW171</f>
        <v/>
      </c>
      <c r="N203" s="43" t="str">
        <f>G!AV171</f>
        <v>--</v>
      </c>
      <c r="O203" s="42"/>
      <c r="P203" s="42" t="str">
        <f>G!AY171</f>
        <v/>
      </c>
      <c r="Q203" s="43" t="str">
        <f>G!AX171</f>
        <v>--</v>
      </c>
      <c r="R203" s="42" t="str">
        <f>G!AZ171</f>
        <v/>
      </c>
      <c r="S203" s="42" t="str">
        <f>G!BA171</f>
        <v/>
      </c>
      <c r="T203" s="43" t="str">
        <f>IFERROR(IF(OR(Q203="--",Q203="rg",VLOOKUP(F!$B171,E!$B$1:'E'!$AK$300,12,FALSE)=1000000000,R203="-",R203=""),"",(HLOOKUP(SMALL(G!$Q$4:'G'!$Y$4,4),G!$Q$4:'G'!$Y$501,ROW(G!Z171)-3,FALSE))/VLOOKUP(F!$B171,E!$B$1:'E'!$AK$300,12,FALSE)*100),"")</f>
        <v/>
      </c>
      <c r="U203" s="43"/>
      <c r="V203" s="43" t="str">
        <f>G!BC171</f>
        <v/>
      </c>
      <c r="W203" s="43" t="str">
        <f>G!BB171</f>
        <v>--</v>
      </c>
      <c r="X203" s="43"/>
      <c r="Y203" s="42" t="str">
        <f>G!BE171</f>
        <v/>
      </c>
      <c r="Z203" s="43" t="str">
        <f>G!BD171</f>
        <v>--</v>
      </c>
      <c r="AA203" s="42" t="str">
        <f>G!BF171</f>
        <v/>
      </c>
      <c r="AB203" s="42" t="str">
        <f>G!BG171</f>
        <v/>
      </c>
      <c r="AC203" s="43" t="str">
        <f>IFERROR(IF(OR(Z203="--",Z203="rg",VLOOKUP(F!$B171,E!$B$1:'E'!$AK$300,12,FALSE)=1000000000,AA203="-",AA203=""),"",(HLOOKUP(SMALL(G!$Q$4:'G'!$Y$4,7),G!$Q$4:'G'!$Y$501,ROW(G!AI171)-3,FALSE))/VLOOKUP(F!$B171,E!$B$1:'E'!$AK$300,12,FALSE)*100),"")</f>
        <v/>
      </c>
      <c r="AD203" s="43"/>
      <c r="AE203" s="34"/>
      <c r="AF203" s="34"/>
      <c r="AH203" s="72">
        <f t="shared" si="3"/>
        <v>1</v>
      </c>
      <c r="AJ203" s="34"/>
      <c r="AK203" s="34"/>
    </row>
    <row r="204" spans="1:37" s="72" customFormat="1" ht="9" hidden="1" customHeight="1" x14ac:dyDescent="0.15">
      <c r="A204" s="195" t="str">
        <f>F!A172</f>
        <v>Trans-heptachloorepoxide</v>
      </c>
      <c r="B204" s="195"/>
      <c r="C204" s="195"/>
      <c r="D204" s="44" t="str">
        <f>G!AQ172</f>
        <v/>
      </c>
      <c r="E204" s="43" t="str">
        <f>G!AP172</f>
        <v>--</v>
      </c>
      <c r="F204" s="42"/>
      <c r="G204" s="42" t="str">
        <f>G!AS172</f>
        <v/>
      </c>
      <c r="H204" s="43" t="str">
        <f>G!AR172</f>
        <v>--</v>
      </c>
      <c r="I204" s="42" t="str">
        <f>G!AT172</f>
        <v/>
      </c>
      <c r="J204" s="42" t="str">
        <f>G!AU172</f>
        <v/>
      </c>
      <c r="K204" s="43" t="str">
        <f>IFERROR(IF(OR(H204="--",H204="rg",VLOOKUP(F!$B172,E!$B$1:'E'!$AK$300,12,FALSE)=1000000000,I204="-",I204=""),"",(HLOOKUP(SMALL(G!$Q$4:'G'!$Y$4,1),G!$Q$4:'G'!$Y$501,ROW(G!Q172)-3,FALSE))/VLOOKUP(F!$B172,E!$B$1:'E'!$AK$300,12,FALSE)*100),"")</f>
        <v/>
      </c>
      <c r="L204" s="43"/>
      <c r="M204" s="43" t="str">
        <f>G!AW172</f>
        <v/>
      </c>
      <c r="N204" s="43" t="str">
        <f>G!AV172</f>
        <v>--</v>
      </c>
      <c r="O204" s="42"/>
      <c r="P204" s="42" t="str">
        <f>G!AY172</f>
        <v/>
      </c>
      <c r="Q204" s="43" t="str">
        <f>G!AX172</f>
        <v>--</v>
      </c>
      <c r="R204" s="42" t="str">
        <f>G!AZ172</f>
        <v/>
      </c>
      <c r="S204" s="42" t="str">
        <f>G!BA172</f>
        <v/>
      </c>
      <c r="T204" s="43" t="str">
        <f>IFERROR(IF(OR(Q204="--",Q204="rg",VLOOKUP(F!$B172,E!$B$1:'E'!$AK$300,12,FALSE)=1000000000,R204="-",R204=""),"",(HLOOKUP(SMALL(G!$Q$4:'G'!$Y$4,4),G!$Q$4:'G'!$Y$501,ROW(G!Z172)-3,FALSE))/VLOOKUP(F!$B172,E!$B$1:'E'!$AK$300,12,FALSE)*100),"")</f>
        <v/>
      </c>
      <c r="U204" s="43"/>
      <c r="V204" s="43" t="str">
        <f>G!BC172</f>
        <v/>
      </c>
      <c r="W204" s="43" t="str">
        <f>G!BB172</f>
        <v>--</v>
      </c>
      <c r="X204" s="43"/>
      <c r="Y204" s="42" t="str">
        <f>G!BE172</f>
        <v/>
      </c>
      <c r="Z204" s="43" t="str">
        <f>G!BD172</f>
        <v>--</v>
      </c>
      <c r="AA204" s="42" t="str">
        <f>G!BF172</f>
        <v/>
      </c>
      <c r="AB204" s="42" t="str">
        <f>G!BG172</f>
        <v/>
      </c>
      <c r="AC204" s="43" t="str">
        <f>IFERROR(IF(OR(Z204="--",Z204="rg",VLOOKUP(F!$B172,E!$B$1:'E'!$AK$300,12,FALSE)=1000000000,AA204="-",AA204=""),"",(HLOOKUP(SMALL(G!$Q$4:'G'!$Y$4,7),G!$Q$4:'G'!$Y$501,ROW(G!AI172)-3,FALSE))/VLOOKUP(F!$B172,E!$B$1:'E'!$AK$300,12,FALSE)*100),"")</f>
        <v/>
      </c>
      <c r="AD204" s="43"/>
      <c r="AE204" s="34"/>
      <c r="AF204" s="34"/>
      <c r="AH204" s="72">
        <f t="shared" si="3"/>
        <v>1</v>
      </c>
      <c r="AJ204" s="34"/>
      <c r="AK204" s="34"/>
    </row>
    <row r="205" spans="1:37" s="72" customFormat="1" ht="9" hidden="1" customHeight="1" x14ac:dyDescent="0.15">
      <c r="A205" s="195" t="str">
        <f>F!A173</f>
        <v>Som heptachloorepoxide</v>
      </c>
      <c r="B205" s="195"/>
      <c r="C205" s="195"/>
      <c r="D205" s="44" t="str">
        <f>G!AQ173</f>
        <v/>
      </c>
      <c r="E205" s="43" t="str">
        <f>G!AP173</f>
        <v>--</v>
      </c>
      <c r="F205" s="42"/>
      <c r="G205" s="42" t="str">
        <f>G!AS173</f>
        <v/>
      </c>
      <c r="H205" s="43" t="str">
        <f>G!AR173</f>
        <v>--</v>
      </c>
      <c r="I205" s="42" t="str">
        <f>G!AT173</f>
        <v/>
      </c>
      <c r="J205" s="42" t="str">
        <f>G!AU173</f>
        <v/>
      </c>
      <c r="K205" s="43" t="str">
        <f>IFERROR(IF(OR(H205="--",H205="rg",VLOOKUP(F!$B173,E!$B$1:'E'!$AK$300,12,FALSE)=1000000000,I205="-",I205=""),"",(HLOOKUP(SMALL(G!$Q$4:'G'!$Y$4,1),G!$Q$4:'G'!$Y$501,ROW(G!Q173)-3,FALSE))/VLOOKUP(F!$B173,E!$B$1:'E'!$AK$300,12,FALSE)*100),"")</f>
        <v/>
      </c>
      <c r="L205" s="43"/>
      <c r="M205" s="43" t="str">
        <f>G!AW173</f>
        <v/>
      </c>
      <c r="N205" s="43" t="str">
        <f>G!AV173</f>
        <v>--</v>
      </c>
      <c r="O205" s="42"/>
      <c r="P205" s="42" t="str">
        <f>G!AY173</f>
        <v/>
      </c>
      <c r="Q205" s="43" t="str">
        <f>G!AX173</f>
        <v>--</v>
      </c>
      <c r="R205" s="42" t="str">
        <f>G!AZ173</f>
        <v/>
      </c>
      <c r="S205" s="42" t="str">
        <f>G!BA173</f>
        <v/>
      </c>
      <c r="T205" s="43" t="str">
        <f>IFERROR(IF(OR(Q205="--",Q205="rg",VLOOKUP(F!$B173,E!$B$1:'E'!$AK$300,12,FALSE)=1000000000,R205="-",R205=""),"",(HLOOKUP(SMALL(G!$Q$4:'G'!$Y$4,4),G!$Q$4:'G'!$Y$501,ROW(G!Z173)-3,FALSE))/VLOOKUP(F!$B173,E!$B$1:'E'!$AK$300,12,FALSE)*100),"")</f>
        <v/>
      </c>
      <c r="U205" s="43"/>
      <c r="V205" s="43" t="str">
        <f>G!BC173</f>
        <v/>
      </c>
      <c r="W205" s="43" t="str">
        <f>G!BB173</f>
        <v>--</v>
      </c>
      <c r="X205" s="43"/>
      <c r="Y205" s="42" t="str">
        <f>G!BE173</f>
        <v/>
      </c>
      <c r="Z205" s="43" t="str">
        <f>G!BD173</f>
        <v>--</v>
      </c>
      <c r="AA205" s="42" t="str">
        <f>G!BF173</f>
        <v/>
      </c>
      <c r="AB205" s="42" t="str">
        <f>G!BG173</f>
        <v/>
      </c>
      <c r="AC205" s="43" t="str">
        <f>IFERROR(IF(OR(Z205="--",Z205="rg",VLOOKUP(F!$B173,E!$B$1:'E'!$AK$300,12,FALSE)=1000000000,AA205="-",AA205=""),"",(HLOOKUP(SMALL(G!$Q$4:'G'!$Y$4,7),G!$Q$4:'G'!$Y$501,ROW(G!AI173)-3,FALSE))/VLOOKUP(F!$B173,E!$B$1:'E'!$AK$300,12,FALSE)*100),"")</f>
        <v/>
      </c>
      <c r="AD205" s="43"/>
      <c r="AE205" s="34"/>
      <c r="AF205" s="34"/>
      <c r="AH205" s="72">
        <f t="shared" si="3"/>
        <v>1</v>
      </c>
      <c r="AJ205" s="34"/>
      <c r="AK205" s="34"/>
    </row>
    <row r="206" spans="1:37" s="72" customFormat="1" ht="9" hidden="1" customHeight="1" x14ac:dyDescent="0.15">
      <c r="A206" s="195" t="str">
        <f>F!A174</f>
        <v>Alpha-endosulfan</v>
      </c>
      <c r="B206" s="195"/>
      <c r="C206" s="195"/>
      <c r="D206" s="44" t="str">
        <f>G!AQ174</f>
        <v/>
      </c>
      <c r="E206" s="43" t="str">
        <f>G!AP174</f>
        <v>--</v>
      </c>
      <c r="F206" s="42"/>
      <c r="G206" s="42" t="str">
        <f>G!AS174</f>
        <v/>
      </c>
      <c r="H206" s="43" t="str">
        <f>G!AR174</f>
        <v>--</v>
      </c>
      <c r="I206" s="42" t="str">
        <f>G!AT174</f>
        <v/>
      </c>
      <c r="J206" s="42" t="str">
        <f>G!AU174</f>
        <v/>
      </c>
      <c r="K206" s="43" t="str">
        <f>IFERROR(IF(OR(H206="--",H206="rg",VLOOKUP(F!$B174,E!$B$1:'E'!$AK$300,12,FALSE)=1000000000,I206="-",I206=""),"",(HLOOKUP(SMALL(G!$Q$4:'G'!$Y$4,1),G!$Q$4:'G'!$Y$501,ROW(G!Q174)-3,FALSE))/VLOOKUP(F!$B174,E!$B$1:'E'!$AK$300,12,FALSE)*100),"")</f>
        <v/>
      </c>
      <c r="L206" s="43"/>
      <c r="M206" s="43" t="str">
        <f>G!AW174</f>
        <v/>
      </c>
      <c r="N206" s="43" t="str">
        <f>G!AV174</f>
        <v>--</v>
      </c>
      <c r="O206" s="42"/>
      <c r="P206" s="42" t="str">
        <f>G!AY174</f>
        <v/>
      </c>
      <c r="Q206" s="43" t="str">
        <f>G!AX174</f>
        <v>--</v>
      </c>
      <c r="R206" s="42" t="str">
        <f>G!AZ174</f>
        <v/>
      </c>
      <c r="S206" s="42" t="str">
        <f>G!BA174</f>
        <v/>
      </c>
      <c r="T206" s="43" t="str">
        <f>IFERROR(IF(OR(Q206="--",Q206="rg",VLOOKUP(F!$B174,E!$B$1:'E'!$AK$300,12,FALSE)=1000000000,R206="-",R206=""),"",(HLOOKUP(SMALL(G!$Q$4:'G'!$Y$4,4),G!$Q$4:'G'!$Y$501,ROW(G!Z174)-3,FALSE))/VLOOKUP(F!$B174,E!$B$1:'E'!$AK$300,12,FALSE)*100),"")</f>
        <v/>
      </c>
      <c r="U206" s="43"/>
      <c r="V206" s="43" t="str">
        <f>G!BC174</f>
        <v/>
      </c>
      <c r="W206" s="43" t="str">
        <f>G!BB174</f>
        <v>--</v>
      </c>
      <c r="X206" s="43"/>
      <c r="Y206" s="42" t="str">
        <f>G!BE174</f>
        <v/>
      </c>
      <c r="Z206" s="43" t="str">
        <f>G!BD174</f>
        <v>--</v>
      </c>
      <c r="AA206" s="42" t="str">
        <f>G!BF174</f>
        <v/>
      </c>
      <c r="AB206" s="42" t="str">
        <f>G!BG174</f>
        <v/>
      </c>
      <c r="AC206" s="43" t="str">
        <f>IFERROR(IF(OR(Z206="--",Z206="rg",VLOOKUP(F!$B174,E!$B$1:'E'!$AK$300,12,FALSE)=1000000000,AA206="-",AA206=""),"",(HLOOKUP(SMALL(G!$Q$4:'G'!$Y$4,7),G!$Q$4:'G'!$Y$501,ROW(G!AI174)-3,FALSE))/VLOOKUP(F!$B174,E!$B$1:'E'!$AK$300,12,FALSE)*100),"")</f>
        <v/>
      </c>
      <c r="AD206" s="43"/>
      <c r="AE206" s="34"/>
      <c r="AF206" s="34"/>
      <c r="AH206" s="72">
        <f t="shared" si="3"/>
        <v>1</v>
      </c>
      <c r="AJ206" s="34"/>
      <c r="AK206" s="34"/>
    </row>
    <row r="207" spans="1:37" s="72" customFormat="1" ht="9" hidden="1" customHeight="1" x14ac:dyDescent="0.15">
      <c r="A207" s="195" t="str">
        <f>F!A175</f>
        <v>Hexachloorbutadieen</v>
      </c>
      <c r="B207" s="195"/>
      <c r="C207" s="195"/>
      <c r="D207" s="44" t="str">
        <f>G!AQ175</f>
        <v/>
      </c>
      <c r="E207" s="43" t="str">
        <f>G!AP175</f>
        <v>--</v>
      </c>
      <c r="F207" s="42"/>
      <c r="G207" s="42" t="str">
        <f>G!AS175</f>
        <v/>
      </c>
      <c r="H207" s="43" t="str">
        <f>G!AR175</f>
        <v>--</v>
      </c>
      <c r="I207" s="42" t="str">
        <f>G!AT175</f>
        <v/>
      </c>
      <c r="J207" s="42" t="str">
        <f>G!AU175</f>
        <v/>
      </c>
      <c r="K207" s="43" t="str">
        <f>IFERROR(IF(OR(H207="--",H207="rg",VLOOKUP(F!$B175,E!$B$1:'E'!$AK$300,12,FALSE)=1000000000,I207="-",I207=""),"",(HLOOKUP(SMALL(G!$Q$4:'G'!$Y$4,1),G!$Q$4:'G'!$Y$501,ROW(G!Q175)-3,FALSE))/VLOOKUP(F!$B175,E!$B$1:'E'!$AK$300,12,FALSE)*100),"")</f>
        <v/>
      </c>
      <c r="L207" s="43"/>
      <c r="M207" s="43" t="str">
        <f>G!AW175</f>
        <v/>
      </c>
      <c r="N207" s="43" t="str">
        <f>G!AV175</f>
        <v>--</v>
      </c>
      <c r="O207" s="42"/>
      <c r="P207" s="42" t="str">
        <f>G!AY175</f>
        <v/>
      </c>
      <c r="Q207" s="43" t="str">
        <f>G!AX175</f>
        <v>--</v>
      </c>
      <c r="R207" s="42" t="str">
        <f>G!AZ175</f>
        <v/>
      </c>
      <c r="S207" s="42" t="str">
        <f>G!BA175</f>
        <v/>
      </c>
      <c r="T207" s="43" t="str">
        <f>IFERROR(IF(OR(Q207="--",Q207="rg",VLOOKUP(F!$B175,E!$B$1:'E'!$AK$300,12,FALSE)=1000000000,R207="-",R207=""),"",(HLOOKUP(SMALL(G!$Q$4:'G'!$Y$4,4),G!$Q$4:'G'!$Y$501,ROW(G!Z175)-3,FALSE))/VLOOKUP(F!$B175,E!$B$1:'E'!$AK$300,12,FALSE)*100),"")</f>
        <v/>
      </c>
      <c r="U207" s="43"/>
      <c r="V207" s="43" t="str">
        <f>G!BC175</f>
        <v/>
      </c>
      <c r="W207" s="43" t="str">
        <f>G!BB175</f>
        <v>--</v>
      </c>
      <c r="X207" s="43"/>
      <c r="Y207" s="42" t="str">
        <f>G!BE175</f>
        <v/>
      </c>
      <c r="Z207" s="43" t="str">
        <f>G!BD175</f>
        <v>--</v>
      </c>
      <c r="AA207" s="42" t="str">
        <f>G!BF175</f>
        <v/>
      </c>
      <c r="AB207" s="42" t="str">
        <f>G!BG175</f>
        <v/>
      </c>
      <c r="AC207" s="43" t="str">
        <f>IFERROR(IF(OR(Z207="--",Z207="rg",VLOOKUP(F!$B175,E!$B$1:'E'!$AK$300,12,FALSE)=1000000000,AA207="-",AA207=""),"",(HLOOKUP(SMALL(G!$Q$4:'G'!$Y$4,7),G!$Q$4:'G'!$Y$501,ROW(G!AI175)-3,FALSE))/VLOOKUP(F!$B175,E!$B$1:'E'!$AK$300,12,FALSE)*100),"")</f>
        <v/>
      </c>
      <c r="AD207" s="43"/>
      <c r="AE207" s="34"/>
      <c r="AF207" s="34"/>
      <c r="AH207" s="72">
        <f t="shared" si="3"/>
        <v>1</v>
      </c>
      <c r="AJ207" s="34"/>
      <c r="AK207" s="34"/>
    </row>
    <row r="208" spans="1:37" s="72" customFormat="1" ht="9" hidden="1" customHeight="1" x14ac:dyDescent="0.15">
      <c r="A208" s="195" t="str">
        <f>F!A176</f>
        <v>Trans-chloordaan</v>
      </c>
      <c r="B208" s="195"/>
      <c r="C208" s="195"/>
      <c r="D208" s="44" t="str">
        <f>G!AQ176</f>
        <v/>
      </c>
      <c r="E208" s="43" t="str">
        <f>G!AP176</f>
        <v>--</v>
      </c>
      <c r="F208" s="42"/>
      <c r="G208" s="42" t="str">
        <f>G!AS176</f>
        <v/>
      </c>
      <c r="H208" s="43" t="str">
        <f>G!AR176</f>
        <v>--</v>
      </c>
      <c r="I208" s="42" t="str">
        <f>G!AT176</f>
        <v/>
      </c>
      <c r="J208" s="42" t="str">
        <f>G!AU176</f>
        <v/>
      </c>
      <c r="K208" s="43" t="str">
        <f>IFERROR(IF(OR(H208="--",H208="rg",VLOOKUP(F!$B176,E!$B$1:'E'!$AK$300,12,FALSE)=1000000000,I208="-",I208=""),"",(HLOOKUP(SMALL(G!$Q$4:'G'!$Y$4,1),G!$Q$4:'G'!$Y$501,ROW(G!Q176)-3,FALSE))/VLOOKUP(F!$B176,E!$B$1:'E'!$AK$300,12,FALSE)*100),"")</f>
        <v/>
      </c>
      <c r="L208" s="43"/>
      <c r="M208" s="43" t="str">
        <f>G!AW176</f>
        <v/>
      </c>
      <c r="N208" s="43" t="str">
        <f>G!AV176</f>
        <v>--</v>
      </c>
      <c r="O208" s="42"/>
      <c r="P208" s="42" t="str">
        <f>G!AY176</f>
        <v/>
      </c>
      <c r="Q208" s="43" t="str">
        <f>G!AX176</f>
        <v>--</v>
      </c>
      <c r="R208" s="42" t="str">
        <f>G!AZ176</f>
        <v/>
      </c>
      <c r="S208" s="42" t="str">
        <f>G!BA176</f>
        <v/>
      </c>
      <c r="T208" s="43" t="str">
        <f>IFERROR(IF(OR(Q208="--",Q208="rg",VLOOKUP(F!$B176,E!$B$1:'E'!$AK$300,12,FALSE)=1000000000,R208="-",R208=""),"",(HLOOKUP(SMALL(G!$Q$4:'G'!$Y$4,4),G!$Q$4:'G'!$Y$501,ROW(G!Z176)-3,FALSE))/VLOOKUP(F!$B176,E!$B$1:'E'!$AK$300,12,FALSE)*100),"")</f>
        <v/>
      </c>
      <c r="U208" s="43"/>
      <c r="V208" s="43" t="str">
        <f>G!BC176</f>
        <v/>
      </c>
      <c r="W208" s="43" t="str">
        <f>G!BB176</f>
        <v>--</v>
      </c>
      <c r="X208" s="43"/>
      <c r="Y208" s="42" t="str">
        <f>G!BE176</f>
        <v/>
      </c>
      <c r="Z208" s="43" t="str">
        <f>G!BD176</f>
        <v>--</v>
      </c>
      <c r="AA208" s="42" t="str">
        <f>G!BF176</f>
        <v/>
      </c>
      <c r="AB208" s="42" t="str">
        <f>G!BG176</f>
        <v/>
      </c>
      <c r="AC208" s="43" t="str">
        <f>IFERROR(IF(OR(Z208="--",Z208="rg",VLOOKUP(F!$B176,E!$B$1:'E'!$AK$300,12,FALSE)=1000000000,AA208="-",AA208=""),"",(HLOOKUP(SMALL(G!$Q$4:'G'!$Y$4,7),G!$Q$4:'G'!$Y$501,ROW(G!AI176)-3,FALSE))/VLOOKUP(F!$B176,E!$B$1:'E'!$AK$300,12,FALSE)*100),"")</f>
        <v/>
      </c>
      <c r="AD208" s="43"/>
      <c r="AE208" s="34"/>
      <c r="AF208" s="34"/>
      <c r="AH208" s="72">
        <f t="shared" si="3"/>
        <v>1</v>
      </c>
      <c r="AJ208" s="34"/>
      <c r="AK208" s="34"/>
    </row>
    <row r="209" spans="1:37" s="72" customFormat="1" ht="9" hidden="1" customHeight="1" x14ac:dyDescent="0.15">
      <c r="A209" s="195" t="str">
        <f>F!A177</f>
        <v>Cis-chloordaan</v>
      </c>
      <c r="B209" s="195"/>
      <c r="C209" s="195"/>
      <c r="D209" s="44" t="str">
        <f>G!AQ177</f>
        <v/>
      </c>
      <c r="E209" s="43" t="str">
        <f>G!AP177</f>
        <v>--</v>
      </c>
      <c r="F209" s="42"/>
      <c r="G209" s="42" t="str">
        <f>G!AS177</f>
        <v/>
      </c>
      <c r="H209" s="43" t="str">
        <f>G!AR177</f>
        <v>--</v>
      </c>
      <c r="I209" s="42" t="str">
        <f>G!AT177</f>
        <v/>
      </c>
      <c r="J209" s="42" t="str">
        <f>G!AU177</f>
        <v/>
      </c>
      <c r="K209" s="43" t="str">
        <f>IFERROR(IF(OR(H209="--",H209="rg",VLOOKUP(F!$B177,E!$B$1:'E'!$AK$300,12,FALSE)=1000000000,I209="-",I209=""),"",(HLOOKUP(SMALL(G!$Q$4:'G'!$Y$4,1),G!$Q$4:'G'!$Y$501,ROW(G!Q177)-3,FALSE))/VLOOKUP(F!$B177,E!$B$1:'E'!$AK$300,12,FALSE)*100),"")</f>
        <v/>
      </c>
      <c r="L209" s="43"/>
      <c r="M209" s="43" t="str">
        <f>G!AW177</f>
        <v/>
      </c>
      <c r="N209" s="43" t="str">
        <f>G!AV177</f>
        <v>--</v>
      </c>
      <c r="O209" s="42"/>
      <c r="P209" s="42" t="str">
        <f>G!AY177</f>
        <v/>
      </c>
      <c r="Q209" s="43" t="str">
        <f>G!AX177</f>
        <v>--</v>
      </c>
      <c r="R209" s="42" t="str">
        <f>G!AZ177</f>
        <v/>
      </c>
      <c r="S209" s="42" t="str">
        <f>G!BA177</f>
        <v/>
      </c>
      <c r="T209" s="43" t="str">
        <f>IFERROR(IF(OR(Q209="--",Q209="rg",VLOOKUP(F!$B177,E!$B$1:'E'!$AK$300,12,FALSE)=1000000000,R209="-",R209=""),"",(HLOOKUP(SMALL(G!$Q$4:'G'!$Y$4,4),G!$Q$4:'G'!$Y$501,ROW(G!Z177)-3,FALSE))/VLOOKUP(F!$B177,E!$B$1:'E'!$AK$300,12,FALSE)*100),"")</f>
        <v/>
      </c>
      <c r="U209" s="43"/>
      <c r="V209" s="43" t="str">
        <f>G!BC177</f>
        <v/>
      </c>
      <c r="W209" s="43" t="str">
        <f>G!BB177</f>
        <v>--</v>
      </c>
      <c r="X209" s="43"/>
      <c r="Y209" s="42" t="str">
        <f>G!BE177</f>
        <v/>
      </c>
      <c r="Z209" s="43" t="str">
        <f>G!BD177</f>
        <v>--</v>
      </c>
      <c r="AA209" s="42" t="str">
        <f>G!BF177</f>
        <v/>
      </c>
      <c r="AB209" s="42" t="str">
        <f>G!BG177</f>
        <v/>
      </c>
      <c r="AC209" s="43" t="str">
        <f>IFERROR(IF(OR(Z209="--",Z209="rg",VLOOKUP(F!$B177,E!$B$1:'E'!$AK$300,12,FALSE)=1000000000,AA209="-",AA209=""),"",(HLOOKUP(SMALL(G!$Q$4:'G'!$Y$4,7),G!$Q$4:'G'!$Y$501,ROW(G!AI177)-3,FALSE))/VLOOKUP(F!$B177,E!$B$1:'E'!$AK$300,12,FALSE)*100),"")</f>
        <v/>
      </c>
      <c r="AD209" s="43"/>
      <c r="AE209" s="34"/>
      <c r="AF209" s="34"/>
      <c r="AH209" s="72">
        <f t="shared" si="3"/>
        <v>1</v>
      </c>
      <c r="AJ209" s="34"/>
      <c r="AK209" s="34"/>
    </row>
    <row r="210" spans="1:37" s="72" customFormat="1" ht="9" hidden="1" customHeight="1" x14ac:dyDescent="0.15">
      <c r="A210" s="195" t="str">
        <f>F!A178</f>
        <v>Som chloordaan</v>
      </c>
      <c r="B210" s="195"/>
      <c r="C210" s="195"/>
      <c r="D210" s="44" t="str">
        <f>G!AQ178</f>
        <v/>
      </c>
      <c r="E210" s="43" t="str">
        <f>G!AP178</f>
        <v>--</v>
      </c>
      <c r="F210" s="42"/>
      <c r="G210" s="42" t="str">
        <f>G!AS178</f>
        <v/>
      </c>
      <c r="H210" s="43" t="str">
        <f>G!AR178</f>
        <v>--</v>
      </c>
      <c r="I210" s="42" t="str">
        <f>G!AT178</f>
        <v/>
      </c>
      <c r="J210" s="42" t="str">
        <f>G!AU178</f>
        <v/>
      </c>
      <c r="K210" s="43" t="str">
        <f>IFERROR(IF(OR(H210="--",H210="rg",VLOOKUP(F!$B178,E!$B$1:'E'!$AK$300,12,FALSE)=1000000000,I210="-",I210=""),"",(HLOOKUP(SMALL(G!$Q$4:'G'!$Y$4,1),G!$Q$4:'G'!$Y$501,ROW(G!Q178)-3,FALSE))/VLOOKUP(F!$B178,E!$B$1:'E'!$AK$300,12,FALSE)*100),"")</f>
        <v/>
      </c>
      <c r="L210" s="43"/>
      <c r="M210" s="43" t="str">
        <f>G!AW178</f>
        <v/>
      </c>
      <c r="N210" s="43" t="str">
        <f>G!AV178</f>
        <v>--</v>
      </c>
      <c r="O210" s="42"/>
      <c r="P210" s="42" t="str">
        <f>G!AY178</f>
        <v/>
      </c>
      <c r="Q210" s="43" t="str">
        <f>G!AX178</f>
        <v>--</v>
      </c>
      <c r="R210" s="42" t="str">
        <f>G!AZ178</f>
        <v/>
      </c>
      <c r="S210" s="42" t="str">
        <f>G!BA178</f>
        <v/>
      </c>
      <c r="T210" s="43" t="str">
        <f>IFERROR(IF(OR(Q210="--",Q210="rg",VLOOKUP(F!$B178,E!$B$1:'E'!$AK$300,12,FALSE)=1000000000,R210="-",R210=""),"",(HLOOKUP(SMALL(G!$Q$4:'G'!$Y$4,4),G!$Q$4:'G'!$Y$501,ROW(G!Z178)-3,FALSE))/VLOOKUP(F!$B178,E!$B$1:'E'!$AK$300,12,FALSE)*100),"")</f>
        <v/>
      </c>
      <c r="U210" s="43"/>
      <c r="V210" s="43" t="str">
        <f>G!BC178</f>
        <v/>
      </c>
      <c r="W210" s="43" t="str">
        <f>G!BB178</f>
        <v>--</v>
      </c>
      <c r="X210" s="43"/>
      <c r="Y210" s="42" t="str">
        <f>G!BE178</f>
        <v/>
      </c>
      <c r="Z210" s="43" t="str">
        <f>G!BD178</f>
        <v>--</v>
      </c>
      <c r="AA210" s="42" t="str">
        <f>G!BF178</f>
        <v/>
      </c>
      <c r="AB210" s="42" t="str">
        <f>G!BG178</f>
        <v/>
      </c>
      <c r="AC210" s="43" t="str">
        <f>IFERROR(IF(OR(Z210="--",Z210="rg",VLOOKUP(F!$B178,E!$B$1:'E'!$AK$300,12,FALSE)=1000000000,AA210="-",AA210=""),"",(HLOOKUP(SMALL(G!$Q$4:'G'!$Y$4,7),G!$Q$4:'G'!$Y$501,ROW(G!AI178)-3,FALSE))/VLOOKUP(F!$B178,E!$B$1:'E'!$AK$300,12,FALSE)*100),"")</f>
        <v/>
      </c>
      <c r="AD210" s="43"/>
      <c r="AE210" s="34"/>
      <c r="AF210" s="34"/>
      <c r="AH210" s="72">
        <f t="shared" si="3"/>
        <v>1</v>
      </c>
      <c r="AJ210" s="34"/>
      <c r="AK210" s="34"/>
    </row>
    <row r="211" spans="1:37" s="72" customFormat="1" ht="9" hidden="1" customHeight="1" x14ac:dyDescent="0.15">
      <c r="A211" s="195" t="str">
        <f>F!A179</f>
        <v>Som OCB landbodem</v>
      </c>
      <c r="B211" s="195"/>
      <c r="C211" s="195"/>
      <c r="D211" s="44" t="str">
        <f>G!AQ179</f>
        <v/>
      </c>
      <c r="E211" s="43" t="str">
        <f>G!AP179</f>
        <v>--</v>
      </c>
      <c r="F211" s="42"/>
      <c r="G211" s="42" t="str">
        <f>G!AS179</f>
        <v/>
      </c>
      <c r="H211" s="43" t="str">
        <f>G!AR179</f>
        <v>--</v>
      </c>
      <c r="I211" s="42" t="str">
        <f>G!AT179</f>
        <v/>
      </c>
      <c r="J211" s="42" t="str">
        <f>G!AU179</f>
        <v/>
      </c>
      <c r="K211" s="43" t="str">
        <f>IFERROR(IF(OR(H211="--",H211="rg",VLOOKUP(F!$B179,E!$B$1:'E'!$AK$300,12,FALSE)=1000000000,I211="-",I211=""),"",(HLOOKUP(SMALL(G!$Q$4:'G'!$Y$4,1),G!$Q$4:'G'!$Y$501,ROW(G!Q179)-3,FALSE))/VLOOKUP(F!$B179,E!$B$1:'E'!$AK$300,12,FALSE)*100),"")</f>
        <v/>
      </c>
      <c r="L211" s="43"/>
      <c r="M211" s="43" t="str">
        <f>G!AW179</f>
        <v/>
      </c>
      <c r="N211" s="43" t="str">
        <f>G!AV179</f>
        <v>--</v>
      </c>
      <c r="O211" s="42"/>
      <c r="P211" s="42" t="str">
        <f>G!AY179</f>
        <v/>
      </c>
      <c r="Q211" s="43" t="str">
        <f>G!AX179</f>
        <v>--</v>
      </c>
      <c r="R211" s="42" t="str">
        <f>G!AZ179</f>
        <v/>
      </c>
      <c r="S211" s="42" t="str">
        <f>G!BA179</f>
        <v/>
      </c>
      <c r="T211" s="43" t="str">
        <f>IFERROR(IF(OR(Q211="--",Q211="rg",VLOOKUP(F!$B179,E!$B$1:'E'!$AK$300,12,FALSE)=1000000000,R211="-",R211=""),"",(HLOOKUP(SMALL(G!$Q$4:'G'!$Y$4,4),G!$Q$4:'G'!$Y$501,ROW(G!Z179)-3,FALSE))/VLOOKUP(F!$B179,E!$B$1:'E'!$AK$300,12,FALSE)*100),"")</f>
        <v/>
      </c>
      <c r="U211" s="43"/>
      <c r="V211" s="43" t="str">
        <f>G!BC179</f>
        <v/>
      </c>
      <c r="W211" s="43" t="str">
        <f>G!BB179</f>
        <v>--</v>
      </c>
      <c r="X211" s="43"/>
      <c r="Y211" s="42" t="str">
        <f>G!BE179</f>
        <v/>
      </c>
      <c r="Z211" s="43" t="str">
        <f>G!BD179</f>
        <v>--</v>
      </c>
      <c r="AA211" s="42" t="str">
        <f>G!BF179</f>
        <v/>
      </c>
      <c r="AB211" s="42" t="str">
        <f>G!BG179</f>
        <v/>
      </c>
      <c r="AC211" s="43" t="str">
        <f>IFERROR(IF(OR(Z211="--",Z211="rg",VLOOKUP(F!$B179,E!$B$1:'E'!$AK$300,12,FALSE)=1000000000,AA211="-",AA211=""),"",(HLOOKUP(SMALL(G!$Q$4:'G'!$Y$4,7),G!$Q$4:'G'!$Y$501,ROW(G!AI179)-3,FALSE))/VLOOKUP(F!$B179,E!$B$1:'E'!$AK$300,12,FALSE)*100),"")</f>
        <v/>
      </c>
      <c r="AD211" s="43"/>
      <c r="AE211" s="34"/>
      <c r="AF211" s="34"/>
      <c r="AH211" s="72">
        <f t="shared" si="3"/>
        <v>1</v>
      </c>
      <c r="AJ211" s="34"/>
      <c r="AK211" s="34"/>
    </row>
    <row r="212" spans="1:37" s="72" customFormat="1" ht="9" hidden="1" customHeight="1" x14ac:dyDescent="0.15">
      <c r="A212" s="195" t="str">
        <f>F!A180</f>
        <v>Chloorthalonil</v>
      </c>
      <c r="B212" s="195"/>
      <c r="C212" s="195"/>
      <c r="D212" s="44" t="str">
        <f>G!AQ180</f>
        <v/>
      </c>
      <c r="E212" s="43" t="str">
        <f>G!AP180</f>
        <v>--</v>
      </c>
      <c r="F212" s="42"/>
      <c r="G212" s="42" t="str">
        <f>G!AS180</f>
        <v/>
      </c>
      <c r="H212" s="43" t="str">
        <f>G!AR180</f>
        <v>--</v>
      </c>
      <c r="I212" s="42" t="str">
        <f>G!AT180</f>
        <v/>
      </c>
      <c r="J212" s="42" t="str">
        <f>G!AU180</f>
        <v/>
      </c>
      <c r="K212" s="43" t="str">
        <f>IFERROR(IF(OR(H212="--",H212="rg",VLOOKUP(F!$B180,E!$B$1:'E'!$AK$300,12,FALSE)=1000000000,I212="-",I212=""),"",(HLOOKUP(SMALL(G!$Q$4:'G'!$Y$4,1),G!$Q$4:'G'!$Y$501,ROW(G!Q180)-3,FALSE))/VLOOKUP(F!$B180,E!$B$1:'E'!$AK$300,12,FALSE)*100),"")</f>
        <v/>
      </c>
      <c r="L212" s="43"/>
      <c r="M212" s="43" t="str">
        <f>G!AW180</f>
        <v/>
      </c>
      <c r="N212" s="43" t="str">
        <f>G!AV180</f>
        <v>--</v>
      </c>
      <c r="O212" s="42"/>
      <c r="P212" s="42" t="str">
        <f>G!AY180</f>
        <v/>
      </c>
      <c r="Q212" s="43" t="str">
        <f>G!AX180</f>
        <v>--</v>
      </c>
      <c r="R212" s="42" t="str">
        <f>G!AZ180</f>
        <v/>
      </c>
      <c r="S212" s="42" t="str">
        <f>G!BA180</f>
        <v/>
      </c>
      <c r="T212" s="43" t="str">
        <f>IFERROR(IF(OR(Q212="--",Q212="rg",VLOOKUP(F!$B180,E!$B$1:'E'!$AK$300,12,FALSE)=1000000000,R212="-",R212=""),"",(HLOOKUP(SMALL(G!$Q$4:'G'!$Y$4,4),G!$Q$4:'G'!$Y$501,ROW(G!Z180)-3,FALSE))/VLOOKUP(F!$B180,E!$B$1:'E'!$AK$300,12,FALSE)*100),"")</f>
        <v/>
      </c>
      <c r="U212" s="43"/>
      <c r="V212" s="43" t="str">
        <f>G!BC180</f>
        <v/>
      </c>
      <c r="W212" s="43" t="str">
        <f>G!BB180</f>
        <v>--</v>
      </c>
      <c r="X212" s="43"/>
      <c r="Y212" s="42" t="str">
        <f>G!BE180</f>
        <v/>
      </c>
      <c r="Z212" s="43" t="str">
        <f>G!BD180</f>
        <v>--</v>
      </c>
      <c r="AA212" s="42" t="str">
        <f>G!BF180</f>
        <v/>
      </c>
      <c r="AB212" s="42" t="str">
        <f>G!BG180</f>
        <v/>
      </c>
      <c r="AC212" s="43" t="str">
        <f>IFERROR(IF(OR(Z212="--",Z212="rg",VLOOKUP(F!$B180,E!$B$1:'E'!$AK$300,12,FALSE)=1000000000,AA212="-",AA212=""),"",(HLOOKUP(SMALL(G!$Q$4:'G'!$Y$4,7),G!$Q$4:'G'!$Y$501,ROW(G!AI180)-3,FALSE))/VLOOKUP(F!$B180,E!$B$1:'E'!$AK$300,12,FALSE)*100),"")</f>
        <v/>
      </c>
      <c r="AD212" s="43"/>
      <c r="AE212" s="34"/>
      <c r="AF212" s="34"/>
      <c r="AH212" s="72">
        <f t="shared" si="3"/>
        <v>1</v>
      </c>
      <c r="AJ212" s="34"/>
      <c r="AK212" s="34"/>
    </row>
    <row r="213" spans="1:37" s="72" customFormat="1" ht="9" hidden="1" customHeight="1" x14ac:dyDescent="0.15">
      <c r="A213" s="195" t="str">
        <f>F!A181</f>
        <v>Beta-endolsulfan</v>
      </c>
      <c r="B213" s="195"/>
      <c r="C213" s="195"/>
      <c r="D213" s="44" t="str">
        <f>G!AQ181</f>
        <v/>
      </c>
      <c r="E213" s="43" t="str">
        <f>G!AP181</f>
        <v>--</v>
      </c>
      <c r="F213" s="42"/>
      <c r="G213" s="42" t="str">
        <f>G!AS181</f>
        <v/>
      </c>
      <c r="H213" s="43" t="str">
        <f>G!AR181</f>
        <v>--</v>
      </c>
      <c r="I213" s="42" t="str">
        <f>G!AT181</f>
        <v/>
      </c>
      <c r="J213" s="42" t="str">
        <f>G!AU181</f>
        <v/>
      </c>
      <c r="K213" s="43" t="str">
        <f>IFERROR(IF(OR(H213="--",H213="rg",VLOOKUP(F!$B181,E!$B$1:'E'!$AK$300,12,FALSE)=1000000000,I213="-",I213=""),"",(HLOOKUP(SMALL(G!$Q$4:'G'!$Y$4,1),G!$Q$4:'G'!$Y$501,ROW(G!Q181)-3,FALSE))/VLOOKUP(F!$B181,E!$B$1:'E'!$AK$300,12,FALSE)*100),"")</f>
        <v/>
      </c>
      <c r="L213" s="43"/>
      <c r="M213" s="43" t="str">
        <f>G!AW181</f>
        <v/>
      </c>
      <c r="N213" s="43" t="str">
        <f>G!AV181</f>
        <v>--</v>
      </c>
      <c r="O213" s="42"/>
      <c r="P213" s="42" t="str">
        <f>G!AY181</f>
        <v/>
      </c>
      <c r="Q213" s="43" t="str">
        <f>G!AX181</f>
        <v>--</v>
      </c>
      <c r="R213" s="42" t="str">
        <f>G!AZ181</f>
        <v/>
      </c>
      <c r="S213" s="42" t="str">
        <f>G!BA181</f>
        <v/>
      </c>
      <c r="T213" s="43" t="str">
        <f>IFERROR(IF(OR(Q213="--",Q213="rg",VLOOKUP(F!$B181,E!$B$1:'E'!$AK$300,12,FALSE)=1000000000,R213="-",R213=""),"",(HLOOKUP(SMALL(G!$Q$4:'G'!$Y$4,4),G!$Q$4:'G'!$Y$501,ROW(G!Z181)-3,FALSE))/VLOOKUP(F!$B181,E!$B$1:'E'!$AK$300,12,FALSE)*100),"")</f>
        <v/>
      </c>
      <c r="U213" s="43"/>
      <c r="V213" s="43" t="str">
        <f>G!BC181</f>
        <v/>
      </c>
      <c r="W213" s="43" t="str">
        <f>G!BB181</f>
        <v>--</v>
      </c>
      <c r="X213" s="43"/>
      <c r="Y213" s="42" t="str">
        <f>G!BE181</f>
        <v/>
      </c>
      <c r="Z213" s="43" t="str">
        <f>G!BD181</f>
        <v>--</v>
      </c>
      <c r="AA213" s="42" t="str">
        <f>G!BF181</f>
        <v/>
      </c>
      <c r="AB213" s="42" t="str">
        <f>G!BG181</f>
        <v/>
      </c>
      <c r="AC213" s="43" t="str">
        <f>IFERROR(IF(OR(Z213="--",Z213="rg",VLOOKUP(F!$B181,E!$B$1:'E'!$AK$300,12,FALSE)=1000000000,AA213="-",AA213=""),"",(HLOOKUP(SMALL(G!$Q$4:'G'!$Y$4,7),G!$Q$4:'G'!$Y$501,ROW(G!AI181)-3,FALSE))/VLOOKUP(F!$B181,E!$B$1:'E'!$AK$300,12,FALSE)*100),"")</f>
        <v/>
      </c>
      <c r="AD213" s="43"/>
      <c r="AE213" s="34"/>
      <c r="AF213" s="34"/>
      <c r="AH213" s="72">
        <f t="shared" si="3"/>
        <v>1</v>
      </c>
      <c r="AJ213" s="34"/>
      <c r="AK213" s="34"/>
    </row>
    <row r="214" spans="1:37" s="72" customFormat="1" ht="9" hidden="1" customHeight="1" x14ac:dyDescent="0.15">
      <c r="A214" s="195" t="str">
        <f>F!A182</f>
        <v>Endosulfansulfaat</v>
      </c>
      <c r="B214" s="195"/>
      <c r="C214" s="195"/>
      <c r="D214" s="44" t="str">
        <f>G!AQ182</f>
        <v/>
      </c>
      <c r="E214" s="43" t="str">
        <f>G!AP182</f>
        <v>--</v>
      </c>
      <c r="F214" s="42"/>
      <c r="G214" s="42" t="str">
        <f>G!AS182</f>
        <v/>
      </c>
      <c r="H214" s="43" t="str">
        <f>G!AR182</f>
        <v>--</v>
      </c>
      <c r="I214" s="42" t="str">
        <f>G!AT182</f>
        <v/>
      </c>
      <c r="J214" s="42" t="str">
        <f>G!AU182</f>
        <v/>
      </c>
      <c r="K214" s="43" t="str">
        <f>IFERROR(IF(OR(H214="--",H214="rg",VLOOKUP(F!$B182,E!$B$1:'E'!$AK$300,12,FALSE)=1000000000,I214="-",I214=""),"",(HLOOKUP(SMALL(G!$Q$4:'G'!$Y$4,1),G!$Q$4:'G'!$Y$501,ROW(G!Q182)-3,FALSE))/VLOOKUP(F!$B182,E!$B$1:'E'!$AK$300,12,FALSE)*100),"")</f>
        <v/>
      </c>
      <c r="L214" s="43"/>
      <c r="M214" s="43" t="str">
        <f>G!AW182</f>
        <v/>
      </c>
      <c r="N214" s="43" t="str">
        <f>G!AV182</f>
        <v>--</v>
      </c>
      <c r="O214" s="42"/>
      <c r="P214" s="42" t="str">
        <f>G!AY182</f>
        <v/>
      </c>
      <c r="Q214" s="43" t="str">
        <f>G!AX182</f>
        <v>--</v>
      </c>
      <c r="R214" s="42" t="str">
        <f>G!AZ182</f>
        <v/>
      </c>
      <c r="S214" s="42" t="str">
        <f>G!BA182</f>
        <v/>
      </c>
      <c r="T214" s="43" t="str">
        <f>IFERROR(IF(OR(Q214="--",Q214="rg",VLOOKUP(F!$B182,E!$B$1:'E'!$AK$300,12,FALSE)=1000000000,R214="-",R214=""),"",(HLOOKUP(SMALL(G!$Q$4:'G'!$Y$4,4),G!$Q$4:'G'!$Y$501,ROW(G!Z182)-3,FALSE))/VLOOKUP(F!$B182,E!$B$1:'E'!$AK$300,12,FALSE)*100),"")</f>
        <v/>
      </c>
      <c r="U214" s="43"/>
      <c r="V214" s="43" t="str">
        <f>G!BC182</f>
        <v/>
      </c>
      <c r="W214" s="43" t="str">
        <f>G!BB182</f>
        <v>--</v>
      </c>
      <c r="X214" s="43"/>
      <c r="Y214" s="42" t="str">
        <f>G!BE182</f>
        <v/>
      </c>
      <c r="Z214" s="43" t="str">
        <f>G!BD182</f>
        <v>--</v>
      </c>
      <c r="AA214" s="42" t="str">
        <f>G!BF182</f>
        <v/>
      </c>
      <c r="AB214" s="42" t="str">
        <f>G!BG182</f>
        <v/>
      </c>
      <c r="AC214" s="43" t="str">
        <f>IFERROR(IF(OR(Z214="--",Z214="rg",VLOOKUP(F!$B182,E!$B$1:'E'!$AK$300,12,FALSE)=1000000000,AA214="-",AA214=""),"",(HLOOKUP(SMALL(G!$Q$4:'G'!$Y$4,7),G!$Q$4:'G'!$Y$501,ROW(G!AI182)-3,FALSE))/VLOOKUP(F!$B182,E!$B$1:'E'!$AK$300,12,FALSE)*100),"")</f>
        <v/>
      </c>
      <c r="AD214" s="43"/>
      <c r="AE214" s="34"/>
      <c r="AF214" s="34"/>
      <c r="AH214" s="72">
        <f t="shared" si="3"/>
        <v>1</v>
      </c>
      <c r="AJ214" s="34"/>
      <c r="AK214" s="34"/>
    </row>
    <row r="215" spans="1:37" s="72" customFormat="1" ht="9" hidden="1" customHeight="1" x14ac:dyDescent="0.15">
      <c r="A215" s="195" t="str">
        <f>F!A183</f>
        <v>Som endosulfan</v>
      </c>
      <c r="B215" s="195"/>
      <c r="C215" s="195"/>
      <c r="D215" s="44" t="str">
        <f>G!AQ183</f>
        <v/>
      </c>
      <c r="E215" s="43" t="str">
        <f>G!AP183</f>
        <v>--</v>
      </c>
      <c r="F215" s="42"/>
      <c r="G215" s="42" t="str">
        <f>G!AS183</f>
        <v/>
      </c>
      <c r="H215" s="43" t="str">
        <f>G!AR183</f>
        <v>--</v>
      </c>
      <c r="I215" s="42" t="str">
        <f>G!AT183</f>
        <v/>
      </c>
      <c r="J215" s="42" t="str">
        <f>G!AU183</f>
        <v/>
      </c>
      <c r="K215" s="43" t="str">
        <f>IFERROR(IF(OR(H215="--",H215="rg",VLOOKUP(F!$B183,E!$B$1:'E'!$AK$300,12,FALSE)=1000000000,I215="-",I215=""),"",(HLOOKUP(SMALL(G!$Q$4:'G'!$Y$4,1),G!$Q$4:'G'!$Y$501,ROW(G!Q183)-3,FALSE))/VLOOKUP(F!$B183,E!$B$1:'E'!$AK$300,12,FALSE)*100),"")</f>
        <v/>
      </c>
      <c r="L215" s="43"/>
      <c r="M215" s="43" t="str">
        <f>G!AW183</f>
        <v/>
      </c>
      <c r="N215" s="43" t="str">
        <f>G!AV183</f>
        <v>--</v>
      </c>
      <c r="O215" s="42"/>
      <c r="P215" s="42" t="str">
        <f>G!AY183</f>
        <v/>
      </c>
      <c r="Q215" s="43" t="str">
        <f>G!AX183</f>
        <v>--</v>
      </c>
      <c r="R215" s="42" t="str">
        <f>G!AZ183</f>
        <v/>
      </c>
      <c r="S215" s="42" t="str">
        <f>G!BA183</f>
        <v/>
      </c>
      <c r="T215" s="43" t="str">
        <f>IFERROR(IF(OR(Q215="--",Q215="rg",VLOOKUP(F!$B183,E!$B$1:'E'!$AK$300,12,FALSE)=1000000000,R215="-",R215=""),"",(HLOOKUP(SMALL(G!$Q$4:'G'!$Y$4,4),G!$Q$4:'G'!$Y$501,ROW(G!Z183)-3,FALSE))/VLOOKUP(F!$B183,E!$B$1:'E'!$AK$300,12,FALSE)*100),"")</f>
        <v/>
      </c>
      <c r="U215" s="43"/>
      <c r="V215" s="43" t="str">
        <f>G!BC183</f>
        <v/>
      </c>
      <c r="W215" s="43" t="str">
        <f>G!BB183</f>
        <v>--</v>
      </c>
      <c r="X215" s="43"/>
      <c r="Y215" s="42" t="str">
        <f>G!BE183</f>
        <v/>
      </c>
      <c r="Z215" s="43" t="str">
        <f>G!BD183</f>
        <v>--</v>
      </c>
      <c r="AA215" s="42" t="str">
        <f>G!BF183</f>
        <v/>
      </c>
      <c r="AB215" s="42" t="str">
        <f>G!BG183</f>
        <v/>
      </c>
      <c r="AC215" s="43" t="str">
        <f>IFERROR(IF(OR(Z215="--",Z215="rg",VLOOKUP(F!$B183,E!$B$1:'E'!$AK$300,12,FALSE)=1000000000,AA215="-",AA215=""),"",(HLOOKUP(SMALL(G!$Q$4:'G'!$Y$4,7),G!$Q$4:'G'!$Y$501,ROW(G!AI183)-3,FALSE))/VLOOKUP(F!$B183,E!$B$1:'E'!$AK$300,12,FALSE)*100),"")</f>
        <v/>
      </c>
      <c r="AD215" s="43"/>
      <c r="AE215" s="34"/>
      <c r="AF215" s="34"/>
      <c r="AH215" s="72">
        <f t="shared" si="3"/>
        <v>1</v>
      </c>
      <c r="AJ215" s="34"/>
      <c r="AK215" s="34"/>
    </row>
    <row r="216" spans="1:37" s="72" customFormat="1" ht="9" hidden="1" customHeight="1" x14ac:dyDescent="0.15">
      <c r="A216" s="195" t="str">
        <f>F!A184</f>
        <v>Hexachloorethaan</v>
      </c>
      <c r="B216" s="195"/>
      <c r="C216" s="195"/>
      <c r="D216" s="44" t="str">
        <f>G!AQ184</f>
        <v/>
      </c>
      <c r="E216" s="43" t="str">
        <f>G!AP184</f>
        <v>--</v>
      </c>
      <c r="F216" s="42"/>
      <c r="G216" s="42" t="str">
        <f>G!AS184</f>
        <v/>
      </c>
      <c r="H216" s="43" t="str">
        <f>G!AR184</f>
        <v>--</v>
      </c>
      <c r="I216" s="42" t="str">
        <f>G!AT184</f>
        <v/>
      </c>
      <c r="J216" s="42" t="str">
        <f>G!AU184</f>
        <v/>
      </c>
      <c r="K216" s="43" t="str">
        <f>IFERROR(IF(OR(H216="--",H216="rg",VLOOKUP(F!$B184,E!$B$1:'E'!$AK$300,12,FALSE)=1000000000,I216="-",I216=""),"",(HLOOKUP(SMALL(G!$Q$4:'G'!$Y$4,1),G!$Q$4:'G'!$Y$501,ROW(G!Q184)-3,FALSE))/VLOOKUP(F!$B184,E!$B$1:'E'!$AK$300,12,FALSE)*100),"")</f>
        <v/>
      </c>
      <c r="L216" s="43"/>
      <c r="M216" s="43" t="str">
        <f>G!AW184</f>
        <v/>
      </c>
      <c r="N216" s="43" t="str">
        <f>G!AV184</f>
        <v>--</v>
      </c>
      <c r="O216" s="42"/>
      <c r="P216" s="42" t="str">
        <f>G!AY184</f>
        <v/>
      </c>
      <c r="Q216" s="43" t="str">
        <f>G!AX184</f>
        <v>--</v>
      </c>
      <c r="R216" s="42" t="str">
        <f>G!AZ184</f>
        <v/>
      </c>
      <c r="S216" s="42" t="str">
        <f>G!BA184</f>
        <v/>
      </c>
      <c r="T216" s="43" t="str">
        <f>IFERROR(IF(OR(Q216="--",Q216="rg",VLOOKUP(F!$B184,E!$B$1:'E'!$AK$300,12,FALSE)=1000000000,R216="-",R216=""),"",(HLOOKUP(SMALL(G!$Q$4:'G'!$Y$4,4),G!$Q$4:'G'!$Y$501,ROW(G!Z184)-3,FALSE))/VLOOKUP(F!$B184,E!$B$1:'E'!$AK$300,12,FALSE)*100),"")</f>
        <v/>
      </c>
      <c r="U216" s="43"/>
      <c r="V216" s="43" t="str">
        <f>G!BC184</f>
        <v/>
      </c>
      <c r="W216" s="43" t="str">
        <f>G!BB184</f>
        <v>--</v>
      </c>
      <c r="X216" s="43"/>
      <c r="Y216" s="42" t="str">
        <f>G!BE184</f>
        <v/>
      </c>
      <c r="Z216" s="43" t="str">
        <f>G!BD184</f>
        <v>--</v>
      </c>
      <c r="AA216" s="42" t="str">
        <f>G!BF184</f>
        <v/>
      </c>
      <c r="AB216" s="42" t="str">
        <f>G!BG184</f>
        <v/>
      </c>
      <c r="AC216" s="43" t="str">
        <f>IFERROR(IF(OR(Z216="--",Z216="rg",VLOOKUP(F!$B184,E!$B$1:'E'!$AK$300,12,FALSE)=1000000000,AA216="-",AA216=""),"",(HLOOKUP(SMALL(G!$Q$4:'G'!$Y$4,7),G!$Q$4:'G'!$Y$501,ROW(G!AI184)-3,FALSE))/VLOOKUP(F!$B184,E!$B$1:'E'!$AK$300,12,FALSE)*100),"")</f>
        <v/>
      </c>
      <c r="AD216" s="43"/>
      <c r="AE216" s="34"/>
      <c r="AF216" s="34"/>
      <c r="AH216" s="72">
        <f t="shared" si="3"/>
        <v>1</v>
      </c>
      <c r="AJ216" s="34"/>
      <c r="AK216" s="34"/>
    </row>
    <row r="217" spans="1:37" s="72" customFormat="1" ht="9" hidden="1" customHeight="1" x14ac:dyDescent="0.15">
      <c r="A217" s="195" t="str">
        <f>F!A185</f>
        <v>Quintozeen</v>
      </c>
      <c r="B217" s="195"/>
      <c r="C217" s="195"/>
      <c r="D217" s="44" t="str">
        <f>G!AQ185</f>
        <v/>
      </c>
      <c r="E217" s="43" t="str">
        <f>G!AP185</f>
        <v>--</v>
      </c>
      <c r="F217" s="42"/>
      <c r="G217" s="42" t="str">
        <f>G!AS185</f>
        <v/>
      </c>
      <c r="H217" s="43" t="str">
        <f>G!AR185</f>
        <v>--</v>
      </c>
      <c r="I217" s="42" t="str">
        <f>G!AT185</f>
        <v/>
      </c>
      <c r="J217" s="42" t="str">
        <f>G!AU185</f>
        <v/>
      </c>
      <c r="K217" s="43" t="str">
        <f>IFERROR(IF(OR(H217="--",H217="rg",VLOOKUP(F!$B185,E!$B$1:'E'!$AK$300,12,FALSE)=1000000000,I217="-",I217=""),"",(HLOOKUP(SMALL(G!$Q$4:'G'!$Y$4,1),G!$Q$4:'G'!$Y$501,ROW(G!Q185)-3,FALSE))/VLOOKUP(F!$B185,E!$B$1:'E'!$AK$300,12,FALSE)*100),"")</f>
        <v/>
      </c>
      <c r="L217" s="43"/>
      <c r="M217" s="43" t="str">
        <f>G!AW185</f>
        <v/>
      </c>
      <c r="N217" s="43" t="str">
        <f>G!AV185</f>
        <v>--</v>
      </c>
      <c r="O217" s="42"/>
      <c r="P217" s="42" t="str">
        <f>G!AY185</f>
        <v/>
      </c>
      <c r="Q217" s="43" t="str">
        <f>G!AX185</f>
        <v>--</v>
      </c>
      <c r="R217" s="42" t="str">
        <f>G!AZ185</f>
        <v/>
      </c>
      <c r="S217" s="42" t="str">
        <f>G!BA185</f>
        <v/>
      </c>
      <c r="T217" s="43" t="str">
        <f>IFERROR(IF(OR(Q217="--",Q217="rg",VLOOKUP(F!$B185,E!$B$1:'E'!$AK$300,12,FALSE)=1000000000,R217="-",R217=""),"",(HLOOKUP(SMALL(G!$Q$4:'G'!$Y$4,4),G!$Q$4:'G'!$Y$501,ROW(G!Z185)-3,FALSE))/VLOOKUP(F!$B185,E!$B$1:'E'!$AK$300,12,FALSE)*100),"")</f>
        <v/>
      </c>
      <c r="U217" s="43"/>
      <c r="V217" s="43" t="str">
        <f>G!BC185</f>
        <v/>
      </c>
      <c r="W217" s="43" t="str">
        <f>G!BB185</f>
        <v>--</v>
      </c>
      <c r="X217" s="43"/>
      <c r="Y217" s="42" t="str">
        <f>G!BE185</f>
        <v/>
      </c>
      <c r="Z217" s="43" t="str">
        <f>G!BD185</f>
        <v>--</v>
      </c>
      <c r="AA217" s="42" t="str">
        <f>G!BF185</f>
        <v/>
      </c>
      <c r="AB217" s="42" t="str">
        <f>G!BG185</f>
        <v/>
      </c>
      <c r="AC217" s="43" t="str">
        <f>IFERROR(IF(OR(Z217="--",Z217="rg",VLOOKUP(F!$B185,E!$B$1:'E'!$AK$300,12,FALSE)=1000000000,AA217="-",AA217=""),"",(HLOOKUP(SMALL(G!$Q$4:'G'!$Y$4,7),G!$Q$4:'G'!$Y$501,ROW(G!AI185)-3,FALSE))/VLOOKUP(F!$B185,E!$B$1:'E'!$AK$300,12,FALSE)*100),"")</f>
        <v/>
      </c>
      <c r="AD217" s="43"/>
      <c r="AE217" s="34"/>
      <c r="AF217" s="34"/>
      <c r="AH217" s="72">
        <f t="shared" si="3"/>
        <v>1</v>
      </c>
      <c r="AJ217" s="34"/>
      <c r="AK217" s="34"/>
    </row>
    <row r="218" spans="1:37" s="72" customFormat="1" ht="9" hidden="1" customHeight="1" x14ac:dyDescent="0.15">
      <c r="A218" s="195" t="str">
        <f>F!A186</f>
        <v>Tecnazeen</v>
      </c>
      <c r="B218" s="195"/>
      <c r="C218" s="195"/>
      <c r="D218" s="44" t="str">
        <f>G!AQ186</f>
        <v/>
      </c>
      <c r="E218" s="43" t="str">
        <f>G!AP186</f>
        <v>--</v>
      </c>
      <c r="F218" s="42"/>
      <c r="G218" s="42" t="str">
        <f>G!AS186</f>
        <v/>
      </c>
      <c r="H218" s="43" t="str">
        <f>G!AR186</f>
        <v>--</v>
      </c>
      <c r="I218" s="42" t="str">
        <f>G!AT186</f>
        <v/>
      </c>
      <c r="J218" s="42" t="str">
        <f>G!AU186</f>
        <v/>
      </c>
      <c r="K218" s="43" t="str">
        <f>IFERROR(IF(OR(H218="--",H218="rg",VLOOKUP(F!$B186,E!$B$1:'E'!$AK$300,12,FALSE)=1000000000,I218="-",I218=""),"",(HLOOKUP(SMALL(G!$Q$4:'G'!$Y$4,1),G!$Q$4:'G'!$Y$501,ROW(G!Q186)-3,FALSE))/VLOOKUP(F!$B186,E!$B$1:'E'!$AK$300,12,FALSE)*100),"")</f>
        <v/>
      </c>
      <c r="L218" s="43"/>
      <c r="M218" s="43" t="str">
        <f>G!AW186</f>
        <v/>
      </c>
      <c r="N218" s="43" t="str">
        <f>G!AV186</f>
        <v>--</v>
      </c>
      <c r="O218" s="42"/>
      <c r="P218" s="42" t="str">
        <f>G!AY186</f>
        <v/>
      </c>
      <c r="Q218" s="43" t="str">
        <f>G!AX186</f>
        <v>--</v>
      </c>
      <c r="R218" s="42" t="str">
        <f>G!AZ186</f>
        <v/>
      </c>
      <c r="S218" s="42" t="str">
        <f>G!BA186</f>
        <v/>
      </c>
      <c r="T218" s="43" t="str">
        <f>IFERROR(IF(OR(Q218="--",Q218="rg",VLOOKUP(F!$B186,E!$B$1:'E'!$AK$300,12,FALSE)=1000000000,R218="-",R218=""),"",(HLOOKUP(SMALL(G!$Q$4:'G'!$Y$4,4),G!$Q$4:'G'!$Y$501,ROW(G!Z186)-3,FALSE))/VLOOKUP(F!$B186,E!$B$1:'E'!$AK$300,12,FALSE)*100),"")</f>
        <v/>
      </c>
      <c r="U218" s="43"/>
      <c r="V218" s="43" t="str">
        <f>G!BC186</f>
        <v/>
      </c>
      <c r="W218" s="43" t="str">
        <f>G!BB186</f>
        <v>--</v>
      </c>
      <c r="X218" s="43"/>
      <c r="Y218" s="42" t="str">
        <f>G!BE186</f>
        <v/>
      </c>
      <c r="Z218" s="43" t="str">
        <f>G!BD186</f>
        <v>--</v>
      </c>
      <c r="AA218" s="42" t="str">
        <f>G!BF186</f>
        <v/>
      </c>
      <c r="AB218" s="42" t="str">
        <f>G!BG186</f>
        <v/>
      </c>
      <c r="AC218" s="43" t="str">
        <f>IFERROR(IF(OR(Z218="--",Z218="rg",VLOOKUP(F!$B186,E!$B$1:'E'!$AK$300,12,FALSE)=1000000000,AA218="-",AA218=""),"",(HLOOKUP(SMALL(G!$Q$4:'G'!$Y$4,7),G!$Q$4:'G'!$Y$501,ROW(G!AI186)-3,FALSE))/VLOOKUP(F!$B186,E!$B$1:'E'!$AK$300,12,FALSE)*100),"")</f>
        <v/>
      </c>
      <c r="AD218" s="43"/>
      <c r="AE218" s="34"/>
      <c r="AF218" s="34"/>
      <c r="AH218" s="72">
        <f t="shared" ref="AH218:AH267" si="4">IF(AND(E218="--",N218="--",W218="--"),1,0)</f>
        <v>1</v>
      </c>
      <c r="AJ218" s="34"/>
      <c r="AK218" s="34"/>
    </row>
    <row r="219" spans="1:37" s="72" customFormat="1" ht="9" hidden="1" customHeight="1" x14ac:dyDescent="0.15">
      <c r="A219" s="195" t="str">
        <f>F!A187</f>
        <v>Triallaat</v>
      </c>
      <c r="B219" s="195"/>
      <c r="C219" s="195"/>
      <c r="D219" s="44" t="str">
        <f>G!AQ187</f>
        <v/>
      </c>
      <c r="E219" s="43" t="str">
        <f>G!AP187</f>
        <v>--</v>
      </c>
      <c r="F219" s="42"/>
      <c r="G219" s="42" t="str">
        <f>G!AS187</f>
        <v/>
      </c>
      <c r="H219" s="43" t="str">
        <f>G!AR187</f>
        <v>--</v>
      </c>
      <c r="I219" s="42" t="str">
        <f>G!AT187</f>
        <v/>
      </c>
      <c r="J219" s="42" t="str">
        <f>G!AU187</f>
        <v/>
      </c>
      <c r="K219" s="43" t="str">
        <f>IFERROR(IF(OR(H219="--",H219="rg",VLOOKUP(F!$B187,E!$B$1:'E'!$AK$300,12,FALSE)=1000000000,I219="-",I219=""),"",(HLOOKUP(SMALL(G!$Q$4:'G'!$Y$4,1),G!$Q$4:'G'!$Y$501,ROW(G!Q187)-3,FALSE))/VLOOKUP(F!$B187,E!$B$1:'E'!$AK$300,12,FALSE)*100),"")</f>
        <v/>
      </c>
      <c r="L219" s="43"/>
      <c r="M219" s="43" t="str">
        <f>G!AW187</f>
        <v/>
      </c>
      <c r="N219" s="43" t="str">
        <f>G!AV187</f>
        <v>--</v>
      </c>
      <c r="O219" s="42"/>
      <c r="P219" s="42" t="str">
        <f>G!AY187</f>
        <v/>
      </c>
      <c r="Q219" s="43" t="str">
        <f>G!AX187</f>
        <v>--</v>
      </c>
      <c r="R219" s="42" t="str">
        <f>G!AZ187</f>
        <v/>
      </c>
      <c r="S219" s="42" t="str">
        <f>G!BA187</f>
        <v/>
      </c>
      <c r="T219" s="43" t="str">
        <f>IFERROR(IF(OR(Q219="--",Q219="rg",VLOOKUP(F!$B187,E!$B$1:'E'!$AK$300,12,FALSE)=1000000000,R219="-",R219=""),"",(HLOOKUP(SMALL(G!$Q$4:'G'!$Y$4,4),G!$Q$4:'G'!$Y$501,ROW(G!Z187)-3,FALSE))/VLOOKUP(F!$B187,E!$B$1:'E'!$AK$300,12,FALSE)*100),"")</f>
        <v/>
      </c>
      <c r="U219" s="43"/>
      <c r="V219" s="43" t="str">
        <f>G!BC187</f>
        <v/>
      </c>
      <c r="W219" s="43" t="str">
        <f>G!BB187</f>
        <v>--</v>
      </c>
      <c r="X219" s="43"/>
      <c r="Y219" s="42" t="str">
        <f>G!BE187</f>
        <v/>
      </c>
      <c r="Z219" s="43" t="str">
        <f>G!BD187</f>
        <v>--</v>
      </c>
      <c r="AA219" s="42" t="str">
        <f>G!BF187</f>
        <v/>
      </c>
      <c r="AB219" s="42" t="str">
        <f>G!BG187</f>
        <v/>
      </c>
      <c r="AC219" s="43" t="str">
        <f>IFERROR(IF(OR(Z219="--",Z219="rg",VLOOKUP(F!$B187,E!$B$1:'E'!$AK$300,12,FALSE)=1000000000,AA219="-",AA219=""),"",(HLOOKUP(SMALL(G!$Q$4:'G'!$Y$4,7),G!$Q$4:'G'!$Y$501,ROW(G!AI187)-3,FALSE))/VLOOKUP(F!$B187,E!$B$1:'E'!$AK$300,12,FALSE)*100),"")</f>
        <v/>
      </c>
      <c r="AD219" s="43"/>
      <c r="AE219" s="34"/>
      <c r="AF219" s="34"/>
      <c r="AH219" s="72">
        <f t="shared" si="4"/>
        <v>1</v>
      </c>
      <c r="AJ219" s="34"/>
      <c r="AK219" s="34"/>
    </row>
    <row r="220" spans="1:37" s="72" customFormat="1" ht="9" hidden="1" customHeight="1" x14ac:dyDescent="0.15">
      <c r="A220" s="195" t="str">
        <f>F!A188</f>
        <v>p,p-Methoxychloor</v>
      </c>
      <c r="B220" s="195"/>
      <c r="C220" s="195"/>
      <c r="D220" s="44" t="str">
        <f>G!AQ188</f>
        <v/>
      </c>
      <c r="E220" s="43" t="str">
        <f>G!AP188</f>
        <v>--</v>
      </c>
      <c r="F220" s="42"/>
      <c r="G220" s="42" t="str">
        <f>G!AS188</f>
        <v/>
      </c>
      <c r="H220" s="43" t="str">
        <f>G!AR188</f>
        <v>--</v>
      </c>
      <c r="I220" s="42" t="str">
        <f>G!AT188</f>
        <v/>
      </c>
      <c r="J220" s="42" t="str">
        <f>G!AU188</f>
        <v/>
      </c>
      <c r="K220" s="43" t="str">
        <f>IFERROR(IF(OR(H220="--",H220="rg",VLOOKUP(F!$B188,E!$B$1:'E'!$AK$300,12,FALSE)=1000000000,I220="-",I220=""),"",(HLOOKUP(SMALL(G!$Q$4:'G'!$Y$4,1),G!$Q$4:'G'!$Y$501,ROW(G!Q188)-3,FALSE))/VLOOKUP(F!$B188,E!$B$1:'E'!$AK$300,12,FALSE)*100),"")</f>
        <v/>
      </c>
      <c r="L220" s="43"/>
      <c r="M220" s="43" t="str">
        <f>G!AW188</f>
        <v/>
      </c>
      <c r="N220" s="43" t="str">
        <f>G!AV188</f>
        <v>--</v>
      </c>
      <c r="O220" s="42"/>
      <c r="P220" s="42" t="str">
        <f>G!AY188</f>
        <v/>
      </c>
      <c r="Q220" s="43" t="str">
        <f>G!AX188</f>
        <v>--</v>
      </c>
      <c r="R220" s="42" t="str">
        <f>G!AZ188</f>
        <v/>
      </c>
      <c r="S220" s="42" t="str">
        <f>G!BA188</f>
        <v/>
      </c>
      <c r="T220" s="43" t="str">
        <f>IFERROR(IF(OR(Q220="--",Q220="rg",VLOOKUP(F!$B188,E!$B$1:'E'!$AK$300,12,FALSE)=1000000000,R220="-",R220=""),"",(HLOOKUP(SMALL(G!$Q$4:'G'!$Y$4,4),G!$Q$4:'G'!$Y$501,ROW(G!Z188)-3,FALSE))/VLOOKUP(F!$B188,E!$B$1:'E'!$AK$300,12,FALSE)*100),"")</f>
        <v/>
      </c>
      <c r="U220" s="43"/>
      <c r="V220" s="43" t="str">
        <f>G!BC188</f>
        <v/>
      </c>
      <c r="W220" s="43" t="str">
        <f>G!BB188</f>
        <v>--</v>
      </c>
      <c r="X220" s="43"/>
      <c r="Y220" s="42" t="str">
        <f>G!BE188</f>
        <v/>
      </c>
      <c r="Z220" s="43" t="str">
        <f>G!BD188</f>
        <v>--</v>
      </c>
      <c r="AA220" s="42" t="str">
        <f>G!BF188</f>
        <v/>
      </c>
      <c r="AB220" s="42" t="str">
        <f>G!BG188</f>
        <v/>
      </c>
      <c r="AC220" s="43" t="str">
        <f>IFERROR(IF(OR(Z220="--",Z220="rg",VLOOKUP(F!$B188,E!$B$1:'E'!$AK$300,12,FALSE)=1000000000,AA220="-",AA220=""),"",(HLOOKUP(SMALL(G!$Q$4:'G'!$Y$4,7),G!$Q$4:'G'!$Y$501,ROW(G!AI188)-3,FALSE))/VLOOKUP(F!$B188,E!$B$1:'E'!$AK$300,12,FALSE)*100),"")</f>
        <v/>
      </c>
      <c r="AD220" s="43"/>
      <c r="AE220" s="34"/>
      <c r="AF220" s="34"/>
      <c r="AH220" s="72">
        <f t="shared" si="4"/>
        <v>1</v>
      </c>
      <c r="AJ220" s="34"/>
      <c r="AK220" s="34"/>
    </row>
    <row r="221" spans="1:37" ht="3.95" hidden="1" customHeight="1" x14ac:dyDescent="0.15">
      <c r="A221" s="41"/>
      <c r="B221" s="41"/>
      <c r="C221" s="41"/>
      <c r="D221" s="44"/>
      <c r="E221" s="43"/>
      <c r="F221" s="42"/>
      <c r="G221" s="42"/>
      <c r="H221" s="43"/>
      <c r="I221" s="42"/>
      <c r="J221" s="42"/>
      <c r="K221" s="42"/>
      <c r="L221" s="43"/>
      <c r="M221" s="43"/>
      <c r="N221" s="42"/>
      <c r="O221" s="42"/>
      <c r="P221" s="43"/>
      <c r="Q221" s="42"/>
      <c r="R221" s="42"/>
      <c r="S221" s="42"/>
      <c r="T221" s="43"/>
      <c r="U221" s="43"/>
      <c r="V221" s="43"/>
      <c r="W221" s="42"/>
      <c r="X221" s="43"/>
      <c r="Y221" s="42"/>
      <c r="Z221" s="43"/>
      <c r="AA221" s="43"/>
      <c r="AC221" s="34"/>
      <c r="AD221" s="72"/>
      <c r="AF221" s="72"/>
      <c r="AG221" s="34"/>
      <c r="AH221" s="94">
        <f>AH222</f>
        <v>1</v>
      </c>
      <c r="AI221" s="34"/>
    </row>
    <row r="222" spans="1:37" ht="9" hidden="1" customHeight="1" x14ac:dyDescent="0.15">
      <c r="A222" s="198" t="str">
        <f>IF(COUNTIF(F!D187:D210,131)&gt;0,"Fosforbestrijdingsmiddelen (µg/kgds)","Fosforbestrijdingsmiddelen (mg/kgds)")</f>
        <v>Fosforbestrijdingsmiddelen (mg/kgds)</v>
      </c>
      <c r="B222" s="198"/>
      <c r="C222" s="198"/>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C222" s="34"/>
      <c r="AD222" s="72"/>
      <c r="AF222" s="72"/>
      <c r="AG222" s="34"/>
      <c r="AH222" s="94">
        <f>IF(COUNTIF(AH223:AH246,1)=COUNT(AH223:AH246),1,0)</f>
        <v>1</v>
      </c>
      <c r="AI222" s="34"/>
    </row>
    <row r="223" spans="1:37" s="72" customFormat="1" ht="9" hidden="1" customHeight="1" x14ac:dyDescent="0.15">
      <c r="A223" s="195" t="str">
        <f>F!A189</f>
        <v>Azinfos-ethyl</v>
      </c>
      <c r="B223" s="195"/>
      <c r="C223" s="195"/>
      <c r="D223" s="44" t="str">
        <f>G!AQ189</f>
        <v/>
      </c>
      <c r="E223" s="43" t="str">
        <f>G!AP189</f>
        <v>--</v>
      </c>
      <c r="F223" s="42"/>
      <c r="G223" s="42" t="str">
        <f>G!AS189</f>
        <v/>
      </c>
      <c r="H223" s="43" t="str">
        <f>G!AR189</f>
        <v>--</v>
      </c>
      <c r="I223" s="42" t="str">
        <f>G!AT189</f>
        <v/>
      </c>
      <c r="J223" s="42" t="str">
        <f>G!AU189</f>
        <v/>
      </c>
      <c r="K223" s="43" t="str">
        <f>IFERROR(IF(OR(H223="--",H223="rg",VLOOKUP(F!$B189,E!$B$1:'E'!$AK$300,12,FALSE)=1000000000,I223="-",I223=""),"",(HLOOKUP(SMALL(G!$Q$4:'G'!$Y$4,1),G!$Q$4:'G'!$Y$501,ROW(G!Q189)-3,FALSE))/VLOOKUP(F!$B189,E!$B$1:'E'!$AK$300,12,FALSE)*100),"")</f>
        <v/>
      </c>
      <c r="L223" s="43"/>
      <c r="M223" s="43" t="str">
        <f>G!AW189</f>
        <v/>
      </c>
      <c r="N223" s="43" t="str">
        <f>G!AV189</f>
        <v>--</v>
      </c>
      <c r="O223" s="42"/>
      <c r="P223" s="42" t="str">
        <f>G!AY189</f>
        <v/>
      </c>
      <c r="Q223" s="43" t="str">
        <f>G!AX189</f>
        <v>--</v>
      </c>
      <c r="R223" s="42" t="str">
        <f>G!AZ189</f>
        <v/>
      </c>
      <c r="S223" s="42" t="str">
        <f>G!BA189</f>
        <v/>
      </c>
      <c r="T223" s="43" t="str">
        <f>IFERROR(IF(OR(Q223="--",Q223="rg",VLOOKUP(F!$B189,E!$B$1:'E'!$AK$300,12,FALSE)=1000000000,R223="-",R223=""),"",(HLOOKUP(SMALL(G!$Q$4:'G'!$Y$4,4),G!$Q$4:'G'!$Y$501,ROW(G!Z189)-3,FALSE))/VLOOKUP(F!$B189,E!$B$1:'E'!$AK$300,12,FALSE)*100),"")</f>
        <v/>
      </c>
      <c r="U223" s="43"/>
      <c r="V223" s="43" t="str">
        <f>G!BC189</f>
        <v/>
      </c>
      <c r="W223" s="43" t="str">
        <f>G!BB189</f>
        <v>--</v>
      </c>
      <c r="X223" s="43"/>
      <c r="Y223" s="42" t="str">
        <f>G!BE189</f>
        <v/>
      </c>
      <c r="Z223" s="43" t="str">
        <f>G!BD189</f>
        <v>--</v>
      </c>
      <c r="AA223" s="42" t="str">
        <f>G!BF189</f>
        <v/>
      </c>
      <c r="AB223" s="42" t="str">
        <f>G!BG189</f>
        <v/>
      </c>
      <c r="AC223" s="43" t="str">
        <f>IFERROR(IF(OR(Z223="--",Z223="rg",VLOOKUP(F!$B189,E!$B$1:'E'!$AK$300,12,FALSE)=1000000000,AA223="-",AA223=""),"",(HLOOKUP(SMALL(G!$Q$4:'G'!$Y$4,7),G!$Q$4:'G'!$Y$501,ROW(G!AI189)-3,FALSE))/VLOOKUP(F!$B189,E!$B$1:'E'!$AK$300,12,FALSE)*100),"")</f>
        <v/>
      </c>
      <c r="AD223" s="43"/>
      <c r="AE223" s="34"/>
      <c r="AF223" s="34"/>
      <c r="AH223" s="72">
        <f t="shared" si="4"/>
        <v>1</v>
      </c>
      <c r="AJ223" s="34"/>
      <c r="AK223" s="34"/>
    </row>
    <row r="224" spans="1:37" s="72" customFormat="1" ht="9" hidden="1" customHeight="1" x14ac:dyDescent="0.15">
      <c r="A224" s="195" t="str">
        <f>F!A190</f>
        <v>Azinfos-methyl</v>
      </c>
      <c r="B224" s="195"/>
      <c r="C224" s="195"/>
      <c r="D224" s="44" t="str">
        <f>G!AQ190</f>
        <v/>
      </c>
      <c r="E224" s="43" t="str">
        <f>G!AP190</f>
        <v>--</v>
      </c>
      <c r="F224" s="42"/>
      <c r="G224" s="42" t="str">
        <f>G!AS190</f>
        <v/>
      </c>
      <c r="H224" s="43" t="str">
        <f>G!AR190</f>
        <v>--</v>
      </c>
      <c r="I224" s="42" t="str">
        <f>G!AT190</f>
        <v/>
      </c>
      <c r="J224" s="42" t="str">
        <f>G!AU190</f>
        <v/>
      </c>
      <c r="K224" s="43" t="str">
        <f>IFERROR(IF(OR(H224="--",H224="rg",VLOOKUP(F!$B190,E!$B$1:'E'!$AK$300,12,FALSE)=1000000000,I224="-",I224=""),"",(HLOOKUP(SMALL(G!$Q$4:'G'!$Y$4,1),G!$Q$4:'G'!$Y$501,ROW(G!Q190)-3,FALSE))/VLOOKUP(F!$B190,E!$B$1:'E'!$AK$300,12,FALSE)*100),"")</f>
        <v/>
      </c>
      <c r="L224" s="43"/>
      <c r="M224" s="43" t="str">
        <f>G!AW190</f>
        <v/>
      </c>
      <c r="N224" s="43" t="str">
        <f>G!AV190</f>
        <v>--</v>
      </c>
      <c r="O224" s="42"/>
      <c r="P224" s="42" t="str">
        <f>G!AY190</f>
        <v/>
      </c>
      <c r="Q224" s="43" t="str">
        <f>G!AX190</f>
        <v>--</v>
      </c>
      <c r="R224" s="42" t="str">
        <f>G!AZ190</f>
        <v/>
      </c>
      <c r="S224" s="42" t="str">
        <f>G!BA190</f>
        <v/>
      </c>
      <c r="T224" s="43" t="str">
        <f>IFERROR(IF(OR(Q224="--",Q224="rg",VLOOKUP(F!$B190,E!$B$1:'E'!$AK$300,12,FALSE)=1000000000,R224="-",R224=""),"",(HLOOKUP(SMALL(G!$Q$4:'G'!$Y$4,4),G!$Q$4:'G'!$Y$501,ROW(G!Z190)-3,FALSE))/VLOOKUP(F!$B190,E!$B$1:'E'!$AK$300,12,FALSE)*100),"")</f>
        <v/>
      </c>
      <c r="U224" s="43"/>
      <c r="V224" s="43" t="str">
        <f>G!BC190</f>
        <v/>
      </c>
      <c r="W224" s="43" t="str">
        <f>G!BB190</f>
        <v>--</v>
      </c>
      <c r="X224" s="43"/>
      <c r="Y224" s="42" t="str">
        <f>G!BE190</f>
        <v/>
      </c>
      <c r="Z224" s="43" t="str">
        <f>G!BD190</f>
        <v>--</v>
      </c>
      <c r="AA224" s="42" t="str">
        <f>G!BF190</f>
        <v/>
      </c>
      <c r="AB224" s="42" t="str">
        <f>G!BG190</f>
        <v/>
      </c>
      <c r="AC224" s="43" t="str">
        <f>IFERROR(IF(OR(Z224="--",Z224="rg",VLOOKUP(F!$B190,E!$B$1:'E'!$AK$300,12,FALSE)=1000000000,AA224="-",AA224=""),"",(HLOOKUP(SMALL(G!$Q$4:'G'!$Y$4,7),G!$Q$4:'G'!$Y$501,ROW(G!AI190)-3,FALSE))/VLOOKUP(F!$B190,E!$B$1:'E'!$AK$300,12,FALSE)*100),"")</f>
        <v/>
      </c>
      <c r="AD224" s="43"/>
      <c r="AE224" s="34"/>
      <c r="AF224" s="34"/>
      <c r="AH224" s="72">
        <f t="shared" si="4"/>
        <v>1</v>
      </c>
      <c r="AJ224" s="34"/>
      <c r="AK224" s="34"/>
    </row>
    <row r="225" spans="1:37" s="72" customFormat="1" ht="9" hidden="1" customHeight="1" x14ac:dyDescent="0.15">
      <c r="A225" s="195" t="str">
        <f>F!A191</f>
        <v>Carbofenothion</v>
      </c>
      <c r="B225" s="195"/>
      <c r="C225" s="195"/>
      <c r="D225" s="44" t="str">
        <f>G!AQ191</f>
        <v/>
      </c>
      <c r="E225" s="43" t="str">
        <f>G!AP191</f>
        <v>--</v>
      </c>
      <c r="F225" s="42"/>
      <c r="G225" s="42" t="str">
        <f>G!AS191</f>
        <v/>
      </c>
      <c r="H225" s="43" t="str">
        <f>G!AR191</f>
        <v>--</v>
      </c>
      <c r="I225" s="42" t="str">
        <f>G!AT191</f>
        <v/>
      </c>
      <c r="J225" s="42" t="str">
        <f>G!AU191</f>
        <v/>
      </c>
      <c r="K225" s="43" t="str">
        <f>IFERROR(IF(OR(H225="--",H225="rg",VLOOKUP(F!$B191,E!$B$1:'E'!$AK$300,12,FALSE)=1000000000,I225="-",I225=""),"",(HLOOKUP(SMALL(G!$Q$4:'G'!$Y$4,1),G!$Q$4:'G'!$Y$501,ROW(G!Q191)-3,FALSE))/VLOOKUP(F!$B191,E!$B$1:'E'!$AK$300,12,FALSE)*100),"")</f>
        <v/>
      </c>
      <c r="L225" s="43"/>
      <c r="M225" s="43" t="str">
        <f>G!AW191</f>
        <v/>
      </c>
      <c r="N225" s="43" t="str">
        <f>G!AV191</f>
        <v>--</v>
      </c>
      <c r="O225" s="42"/>
      <c r="P225" s="42" t="str">
        <f>G!AY191</f>
        <v/>
      </c>
      <c r="Q225" s="43" t="str">
        <f>G!AX191</f>
        <v>--</v>
      </c>
      <c r="R225" s="42" t="str">
        <f>G!AZ191</f>
        <v/>
      </c>
      <c r="S225" s="42" t="str">
        <f>G!BA191</f>
        <v/>
      </c>
      <c r="T225" s="43" t="str">
        <f>IFERROR(IF(OR(Q225="--",Q225="rg",VLOOKUP(F!$B191,E!$B$1:'E'!$AK$300,12,FALSE)=1000000000,R225="-",R225=""),"",(HLOOKUP(SMALL(G!$Q$4:'G'!$Y$4,4),G!$Q$4:'G'!$Y$501,ROW(G!Z191)-3,FALSE))/VLOOKUP(F!$B191,E!$B$1:'E'!$AK$300,12,FALSE)*100),"")</f>
        <v/>
      </c>
      <c r="U225" s="43"/>
      <c r="V225" s="43" t="str">
        <f>G!BC191</f>
        <v/>
      </c>
      <c r="W225" s="43" t="str">
        <f>G!BB191</f>
        <v>--</v>
      </c>
      <c r="X225" s="43"/>
      <c r="Y225" s="42" t="str">
        <f>G!BE191</f>
        <v/>
      </c>
      <c r="Z225" s="43" t="str">
        <f>G!BD191</f>
        <v>--</v>
      </c>
      <c r="AA225" s="42" t="str">
        <f>G!BF191</f>
        <v/>
      </c>
      <c r="AB225" s="42" t="str">
        <f>G!BG191</f>
        <v/>
      </c>
      <c r="AC225" s="43" t="str">
        <f>IFERROR(IF(OR(Z225="--",Z225="rg",VLOOKUP(F!$B191,E!$B$1:'E'!$AK$300,12,FALSE)=1000000000,AA225="-",AA225=""),"",(HLOOKUP(SMALL(G!$Q$4:'G'!$Y$4,7),G!$Q$4:'G'!$Y$501,ROW(G!AI191)-3,FALSE))/VLOOKUP(F!$B191,E!$B$1:'E'!$AK$300,12,FALSE)*100),"")</f>
        <v/>
      </c>
      <c r="AD225" s="43"/>
      <c r="AE225" s="34"/>
      <c r="AF225" s="34"/>
      <c r="AH225" s="72">
        <f t="shared" si="4"/>
        <v>1</v>
      </c>
      <c r="AJ225" s="34"/>
      <c r="AK225" s="34"/>
    </row>
    <row r="226" spans="1:37" s="72" customFormat="1" ht="9" hidden="1" customHeight="1" x14ac:dyDescent="0.15">
      <c r="A226" s="195" t="str">
        <f>F!A192</f>
        <v>Chloorfenvinfos A</v>
      </c>
      <c r="B226" s="195"/>
      <c r="C226" s="195"/>
      <c r="D226" s="44" t="str">
        <f>G!AQ192</f>
        <v/>
      </c>
      <c r="E226" s="43" t="str">
        <f>G!AP192</f>
        <v>--</v>
      </c>
      <c r="F226" s="42"/>
      <c r="G226" s="42" t="str">
        <f>G!AS192</f>
        <v/>
      </c>
      <c r="H226" s="43" t="str">
        <f>G!AR192</f>
        <v>--</v>
      </c>
      <c r="I226" s="42" t="str">
        <f>G!AT192</f>
        <v/>
      </c>
      <c r="J226" s="42" t="str">
        <f>G!AU192</f>
        <v/>
      </c>
      <c r="K226" s="43" t="str">
        <f>IFERROR(IF(OR(H226="--",H226="rg",VLOOKUP(F!$B192,E!$B$1:'E'!$AK$300,12,FALSE)=1000000000,I226="-",I226=""),"",(HLOOKUP(SMALL(G!$Q$4:'G'!$Y$4,1),G!$Q$4:'G'!$Y$501,ROW(G!Q192)-3,FALSE))/VLOOKUP(F!$B192,E!$B$1:'E'!$AK$300,12,FALSE)*100),"")</f>
        <v/>
      </c>
      <c r="L226" s="43"/>
      <c r="M226" s="43" t="str">
        <f>G!AW192</f>
        <v/>
      </c>
      <c r="N226" s="43" t="str">
        <f>G!AV192</f>
        <v>--</v>
      </c>
      <c r="O226" s="42"/>
      <c r="P226" s="42" t="str">
        <f>G!AY192</f>
        <v/>
      </c>
      <c r="Q226" s="43" t="str">
        <f>G!AX192</f>
        <v>--</v>
      </c>
      <c r="R226" s="42" t="str">
        <f>G!AZ192</f>
        <v/>
      </c>
      <c r="S226" s="42" t="str">
        <f>G!BA192</f>
        <v/>
      </c>
      <c r="T226" s="43" t="str">
        <f>IFERROR(IF(OR(Q226="--",Q226="rg",VLOOKUP(F!$B192,E!$B$1:'E'!$AK$300,12,FALSE)=1000000000,R226="-",R226=""),"",(HLOOKUP(SMALL(G!$Q$4:'G'!$Y$4,4),G!$Q$4:'G'!$Y$501,ROW(G!Z192)-3,FALSE))/VLOOKUP(F!$B192,E!$B$1:'E'!$AK$300,12,FALSE)*100),"")</f>
        <v/>
      </c>
      <c r="U226" s="43"/>
      <c r="V226" s="43" t="str">
        <f>G!BC192</f>
        <v/>
      </c>
      <c r="W226" s="43" t="str">
        <f>G!BB192</f>
        <v>--</v>
      </c>
      <c r="X226" s="43"/>
      <c r="Y226" s="42" t="str">
        <f>G!BE192</f>
        <v/>
      </c>
      <c r="Z226" s="43" t="str">
        <f>G!BD192</f>
        <v>--</v>
      </c>
      <c r="AA226" s="42" t="str">
        <f>G!BF192</f>
        <v/>
      </c>
      <c r="AB226" s="42" t="str">
        <f>G!BG192</f>
        <v/>
      </c>
      <c r="AC226" s="43" t="str">
        <f>IFERROR(IF(OR(Z226="--",Z226="rg",VLOOKUP(F!$B192,E!$B$1:'E'!$AK$300,12,FALSE)=1000000000,AA226="-",AA226=""),"",(HLOOKUP(SMALL(G!$Q$4:'G'!$Y$4,7),G!$Q$4:'G'!$Y$501,ROW(G!AI192)-3,FALSE))/VLOOKUP(F!$B192,E!$B$1:'E'!$AK$300,12,FALSE)*100),"")</f>
        <v/>
      </c>
      <c r="AD226" s="43"/>
      <c r="AE226" s="34"/>
      <c r="AF226" s="34"/>
      <c r="AH226" s="72">
        <f t="shared" si="4"/>
        <v>1</v>
      </c>
      <c r="AJ226" s="34"/>
      <c r="AK226" s="34"/>
    </row>
    <row r="227" spans="1:37" s="72" customFormat="1" ht="9" hidden="1" customHeight="1" x14ac:dyDescent="0.15">
      <c r="A227" s="195" t="str">
        <f>F!A193</f>
        <v>Chloorfenvinfos B</v>
      </c>
      <c r="B227" s="195"/>
      <c r="C227" s="195"/>
      <c r="D227" s="44" t="str">
        <f>G!AQ193</f>
        <v/>
      </c>
      <c r="E227" s="43" t="str">
        <f>G!AP193</f>
        <v>--</v>
      </c>
      <c r="F227" s="42"/>
      <c r="G227" s="42" t="str">
        <f>G!AS193</f>
        <v/>
      </c>
      <c r="H227" s="43" t="str">
        <f>G!AR193</f>
        <v>--</v>
      </c>
      <c r="I227" s="42" t="str">
        <f>G!AT193</f>
        <v/>
      </c>
      <c r="J227" s="42" t="str">
        <f>G!AU193</f>
        <v/>
      </c>
      <c r="K227" s="43" t="str">
        <f>IFERROR(IF(OR(H227="--",H227="rg",VLOOKUP(F!$B193,E!$B$1:'E'!$AK$300,12,FALSE)=1000000000,I227="-",I227=""),"",(HLOOKUP(SMALL(G!$Q$4:'G'!$Y$4,1),G!$Q$4:'G'!$Y$501,ROW(G!Q193)-3,FALSE))/VLOOKUP(F!$B193,E!$B$1:'E'!$AK$300,12,FALSE)*100),"")</f>
        <v/>
      </c>
      <c r="L227" s="43"/>
      <c r="M227" s="43" t="str">
        <f>G!AW193</f>
        <v/>
      </c>
      <c r="N227" s="43" t="str">
        <f>G!AV193</f>
        <v>--</v>
      </c>
      <c r="O227" s="42"/>
      <c r="P227" s="42" t="str">
        <f>G!AY193</f>
        <v/>
      </c>
      <c r="Q227" s="43" t="str">
        <f>G!AX193</f>
        <v>--</v>
      </c>
      <c r="R227" s="42" t="str">
        <f>G!AZ193</f>
        <v/>
      </c>
      <c r="S227" s="42" t="str">
        <f>G!BA193</f>
        <v/>
      </c>
      <c r="T227" s="43" t="str">
        <f>IFERROR(IF(OR(Q227="--",Q227="rg",VLOOKUP(F!$B193,E!$B$1:'E'!$AK$300,12,FALSE)=1000000000,R227="-",R227=""),"",(HLOOKUP(SMALL(G!$Q$4:'G'!$Y$4,4),G!$Q$4:'G'!$Y$501,ROW(G!Z193)-3,FALSE))/VLOOKUP(F!$B193,E!$B$1:'E'!$AK$300,12,FALSE)*100),"")</f>
        <v/>
      </c>
      <c r="U227" s="43"/>
      <c r="V227" s="43" t="str">
        <f>G!BC193</f>
        <v/>
      </c>
      <c r="W227" s="43" t="str">
        <f>G!BB193</f>
        <v>--</v>
      </c>
      <c r="X227" s="43"/>
      <c r="Y227" s="42" t="str">
        <f>G!BE193</f>
        <v/>
      </c>
      <c r="Z227" s="43" t="str">
        <f>G!BD193</f>
        <v>--</v>
      </c>
      <c r="AA227" s="42" t="str">
        <f>G!BF193</f>
        <v/>
      </c>
      <c r="AB227" s="42" t="str">
        <f>G!BG193</f>
        <v/>
      </c>
      <c r="AC227" s="43" t="str">
        <f>IFERROR(IF(OR(Z227="--",Z227="rg",VLOOKUP(F!$B193,E!$B$1:'E'!$AK$300,12,FALSE)=1000000000,AA227="-",AA227=""),"",(HLOOKUP(SMALL(G!$Q$4:'G'!$Y$4,7),G!$Q$4:'G'!$Y$501,ROW(G!AI193)-3,FALSE))/VLOOKUP(F!$B193,E!$B$1:'E'!$AK$300,12,FALSE)*100),"")</f>
        <v/>
      </c>
      <c r="AD227" s="43"/>
      <c r="AE227" s="34"/>
      <c r="AF227" s="34"/>
      <c r="AH227" s="72">
        <f t="shared" si="4"/>
        <v>1</v>
      </c>
      <c r="AJ227" s="34"/>
      <c r="AK227" s="34"/>
    </row>
    <row r="228" spans="1:37" s="72" customFormat="1" ht="9" hidden="1" customHeight="1" x14ac:dyDescent="0.15">
      <c r="A228" s="195" t="str">
        <f>F!A194</f>
        <v>Chlorfenvinfos (som)</v>
      </c>
      <c r="B228" s="195"/>
      <c r="C228" s="195"/>
      <c r="D228" s="44" t="str">
        <f>G!AQ194</f>
        <v/>
      </c>
      <c r="E228" s="43" t="str">
        <f>G!AP194</f>
        <v>--</v>
      </c>
      <c r="F228" s="42"/>
      <c r="G228" s="42" t="str">
        <f>G!AS194</f>
        <v/>
      </c>
      <c r="H228" s="43" t="str">
        <f>G!AR194</f>
        <v>--</v>
      </c>
      <c r="I228" s="42" t="str">
        <f>G!AT194</f>
        <v/>
      </c>
      <c r="J228" s="42" t="str">
        <f>G!AU194</f>
        <v/>
      </c>
      <c r="K228" s="43" t="str">
        <f>IFERROR(IF(OR(H228="--",H228="rg",VLOOKUP(F!$B194,E!$B$1:'E'!$AK$300,12,FALSE)=1000000000,I228="-",I228=""),"",(HLOOKUP(SMALL(G!$Q$4:'G'!$Y$4,1),G!$Q$4:'G'!$Y$501,ROW(G!Q194)-3,FALSE))/VLOOKUP(F!$B194,E!$B$1:'E'!$AK$300,12,FALSE)*100),"")</f>
        <v/>
      </c>
      <c r="L228" s="43"/>
      <c r="M228" s="43" t="str">
        <f>G!AW194</f>
        <v/>
      </c>
      <c r="N228" s="43" t="str">
        <f>G!AV194</f>
        <v>--</v>
      </c>
      <c r="O228" s="42"/>
      <c r="P228" s="42" t="str">
        <f>G!AY194</f>
        <v/>
      </c>
      <c r="Q228" s="43" t="str">
        <f>G!AX194</f>
        <v>--</v>
      </c>
      <c r="R228" s="42" t="str">
        <f>G!AZ194</f>
        <v/>
      </c>
      <c r="S228" s="42" t="str">
        <f>G!BA194</f>
        <v/>
      </c>
      <c r="T228" s="43" t="str">
        <f>IFERROR(IF(OR(Q228="--",Q228="rg",VLOOKUP(F!$B194,E!$B$1:'E'!$AK$300,12,FALSE)=1000000000,R228="-",R228=""),"",(HLOOKUP(SMALL(G!$Q$4:'G'!$Y$4,4),G!$Q$4:'G'!$Y$501,ROW(G!Z194)-3,FALSE))/VLOOKUP(F!$B194,E!$B$1:'E'!$AK$300,12,FALSE)*100),"")</f>
        <v/>
      </c>
      <c r="U228" s="43"/>
      <c r="V228" s="43" t="str">
        <f>G!BC194</f>
        <v/>
      </c>
      <c r="W228" s="43" t="str">
        <f>G!BB194</f>
        <v>--</v>
      </c>
      <c r="X228" s="43"/>
      <c r="Y228" s="42" t="str">
        <f>G!BE194</f>
        <v/>
      </c>
      <c r="Z228" s="43" t="str">
        <f>G!BD194</f>
        <v>--</v>
      </c>
      <c r="AA228" s="42" t="str">
        <f>G!BF194</f>
        <v/>
      </c>
      <c r="AB228" s="42" t="str">
        <f>G!BG194</f>
        <v/>
      </c>
      <c r="AC228" s="43" t="str">
        <f>IFERROR(IF(OR(Z228="--",Z228="rg",VLOOKUP(F!$B194,E!$B$1:'E'!$AK$300,12,FALSE)=1000000000,AA228="-",AA228=""),"",(HLOOKUP(SMALL(G!$Q$4:'G'!$Y$4,7),G!$Q$4:'G'!$Y$501,ROW(G!AI194)-3,FALSE))/VLOOKUP(F!$B194,E!$B$1:'E'!$AK$300,12,FALSE)*100),"")</f>
        <v/>
      </c>
      <c r="AD228" s="43"/>
      <c r="AE228" s="34"/>
      <c r="AF228" s="34"/>
      <c r="AH228" s="72">
        <f t="shared" si="4"/>
        <v>1</v>
      </c>
      <c r="AJ228" s="34"/>
      <c r="AK228" s="34"/>
    </row>
    <row r="229" spans="1:37" s="72" customFormat="1" ht="9" hidden="1" customHeight="1" x14ac:dyDescent="0.15">
      <c r="A229" s="195" t="str">
        <f>F!A195</f>
        <v>Chloorpyrifos-ethyl</v>
      </c>
      <c r="B229" s="195"/>
      <c r="C229" s="195"/>
      <c r="D229" s="44" t="str">
        <f>G!AQ195</f>
        <v/>
      </c>
      <c r="E229" s="43" t="str">
        <f>G!AP195</f>
        <v>--</v>
      </c>
      <c r="F229" s="42"/>
      <c r="G229" s="42" t="str">
        <f>G!AS195</f>
        <v/>
      </c>
      <c r="H229" s="43" t="str">
        <f>G!AR195</f>
        <v>--</v>
      </c>
      <c r="I229" s="42" t="str">
        <f>G!AT195</f>
        <v/>
      </c>
      <c r="J229" s="42" t="str">
        <f>G!AU195</f>
        <v/>
      </c>
      <c r="K229" s="43" t="str">
        <f>IFERROR(IF(OR(H229="--",H229="rg",VLOOKUP(F!$B195,E!$B$1:'E'!$AK$300,12,FALSE)=1000000000,I229="-",I229=""),"",(HLOOKUP(SMALL(G!$Q$4:'G'!$Y$4,1),G!$Q$4:'G'!$Y$501,ROW(G!Q195)-3,FALSE))/VLOOKUP(F!$B195,E!$B$1:'E'!$AK$300,12,FALSE)*100),"")</f>
        <v/>
      </c>
      <c r="L229" s="43"/>
      <c r="M229" s="43" t="str">
        <f>G!AW195</f>
        <v/>
      </c>
      <c r="N229" s="43" t="str">
        <f>G!AV195</f>
        <v>--</v>
      </c>
      <c r="O229" s="42"/>
      <c r="P229" s="42" t="str">
        <f>G!AY195</f>
        <v/>
      </c>
      <c r="Q229" s="43" t="str">
        <f>G!AX195</f>
        <v>--</v>
      </c>
      <c r="R229" s="42" t="str">
        <f>G!AZ195</f>
        <v/>
      </c>
      <c r="S229" s="42" t="str">
        <f>G!BA195</f>
        <v/>
      </c>
      <c r="T229" s="43" t="str">
        <f>IFERROR(IF(OR(Q229="--",Q229="rg",VLOOKUP(F!$B195,E!$B$1:'E'!$AK$300,12,FALSE)=1000000000,R229="-",R229=""),"",(HLOOKUP(SMALL(G!$Q$4:'G'!$Y$4,4),G!$Q$4:'G'!$Y$501,ROW(G!Z195)-3,FALSE))/VLOOKUP(F!$B195,E!$B$1:'E'!$AK$300,12,FALSE)*100),"")</f>
        <v/>
      </c>
      <c r="U229" s="43"/>
      <c r="V229" s="43" t="str">
        <f>G!BC195</f>
        <v/>
      </c>
      <c r="W229" s="43" t="str">
        <f>G!BB195</f>
        <v>--</v>
      </c>
      <c r="X229" s="43"/>
      <c r="Y229" s="42" t="str">
        <f>G!BE195</f>
        <v/>
      </c>
      <c r="Z229" s="43" t="str">
        <f>G!BD195</f>
        <v>--</v>
      </c>
      <c r="AA229" s="42" t="str">
        <f>G!BF195</f>
        <v/>
      </c>
      <c r="AB229" s="42" t="str">
        <f>G!BG195</f>
        <v/>
      </c>
      <c r="AC229" s="43" t="str">
        <f>IFERROR(IF(OR(Z229="--",Z229="rg",VLOOKUP(F!$B195,E!$B$1:'E'!$AK$300,12,FALSE)=1000000000,AA229="-",AA229=""),"",(HLOOKUP(SMALL(G!$Q$4:'G'!$Y$4,7),G!$Q$4:'G'!$Y$501,ROW(G!AI195)-3,FALSE))/VLOOKUP(F!$B195,E!$B$1:'E'!$AK$300,12,FALSE)*100),"")</f>
        <v/>
      </c>
      <c r="AD229" s="43"/>
      <c r="AE229" s="34"/>
      <c r="AF229" s="34"/>
      <c r="AH229" s="72">
        <f t="shared" si="4"/>
        <v>1</v>
      </c>
      <c r="AJ229" s="34"/>
      <c r="AK229" s="34"/>
    </row>
    <row r="230" spans="1:37" s="72" customFormat="1" ht="9" hidden="1" customHeight="1" x14ac:dyDescent="0.15">
      <c r="A230" s="195" t="str">
        <f>F!A196</f>
        <v>Chloorpyrifos-methyl</v>
      </c>
      <c r="B230" s="195"/>
      <c r="C230" s="195"/>
      <c r="D230" s="44" t="str">
        <f>G!AQ196</f>
        <v/>
      </c>
      <c r="E230" s="43" t="str">
        <f>G!AP196</f>
        <v>--</v>
      </c>
      <c r="F230" s="42"/>
      <c r="G230" s="42" t="str">
        <f>G!AS196</f>
        <v/>
      </c>
      <c r="H230" s="43" t="str">
        <f>G!AR196</f>
        <v>--</v>
      </c>
      <c r="I230" s="42" t="str">
        <f>G!AT196</f>
        <v/>
      </c>
      <c r="J230" s="42" t="str">
        <f>G!AU196</f>
        <v/>
      </c>
      <c r="K230" s="43" t="str">
        <f>IFERROR(IF(OR(H230="--",H230="rg",VLOOKUP(F!$B196,E!$B$1:'E'!$AK$300,12,FALSE)=1000000000,I230="-",I230=""),"",(HLOOKUP(SMALL(G!$Q$4:'G'!$Y$4,1),G!$Q$4:'G'!$Y$501,ROW(G!Q196)-3,FALSE))/VLOOKUP(F!$B196,E!$B$1:'E'!$AK$300,12,FALSE)*100),"")</f>
        <v/>
      </c>
      <c r="L230" s="43"/>
      <c r="M230" s="43" t="str">
        <f>G!AW196</f>
        <v/>
      </c>
      <c r="N230" s="43" t="str">
        <f>G!AV196</f>
        <v>--</v>
      </c>
      <c r="O230" s="42"/>
      <c r="P230" s="42" t="str">
        <f>G!AY196</f>
        <v/>
      </c>
      <c r="Q230" s="43" t="str">
        <f>G!AX196</f>
        <v>--</v>
      </c>
      <c r="R230" s="42" t="str">
        <f>G!AZ196</f>
        <v/>
      </c>
      <c r="S230" s="42" t="str">
        <f>G!BA196</f>
        <v/>
      </c>
      <c r="T230" s="43" t="str">
        <f>IFERROR(IF(OR(Q230="--",Q230="rg",VLOOKUP(F!$B196,E!$B$1:'E'!$AK$300,12,FALSE)=1000000000,R230="-",R230=""),"",(HLOOKUP(SMALL(G!$Q$4:'G'!$Y$4,4),G!$Q$4:'G'!$Y$501,ROW(G!Z196)-3,FALSE))/VLOOKUP(F!$B196,E!$B$1:'E'!$AK$300,12,FALSE)*100),"")</f>
        <v/>
      </c>
      <c r="U230" s="43"/>
      <c r="V230" s="43" t="str">
        <f>G!BC196</f>
        <v/>
      </c>
      <c r="W230" s="43" t="str">
        <f>G!BB196</f>
        <v>--</v>
      </c>
      <c r="X230" s="43"/>
      <c r="Y230" s="42" t="str">
        <f>G!BE196</f>
        <v/>
      </c>
      <c r="Z230" s="43" t="str">
        <f>G!BD196</f>
        <v>--</v>
      </c>
      <c r="AA230" s="42" t="str">
        <f>G!BF196</f>
        <v/>
      </c>
      <c r="AB230" s="42" t="str">
        <f>G!BG196</f>
        <v/>
      </c>
      <c r="AC230" s="43" t="str">
        <f>IFERROR(IF(OR(Z230="--",Z230="rg",VLOOKUP(F!$B196,E!$B$1:'E'!$AK$300,12,FALSE)=1000000000,AA230="-",AA230=""),"",(HLOOKUP(SMALL(G!$Q$4:'G'!$Y$4,7),G!$Q$4:'G'!$Y$501,ROW(G!AI196)-3,FALSE))/VLOOKUP(F!$B196,E!$B$1:'E'!$AK$300,12,FALSE)*100),"")</f>
        <v/>
      </c>
      <c r="AD230" s="43"/>
      <c r="AE230" s="34"/>
      <c r="AF230" s="34"/>
      <c r="AH230" s="72">
        <f t="shared" si="4"/>
        <v>1</v>
      </c>
      <c r="AJ230" s="34"/>
      <c r="AK230" s="34"/>
    </row>
    <row r="231" spans="1:37" s="72" customFormat="1" ht="9" hidden="1" customHeight="1" x14ac:dyDescent="0.15">
      <c r="A231" s="195" t="str">
        <f>F!A197</f>
        <v>Diazinon</v>
      </c>
      <c r="B231" s="195"/>
      <c r="C231" s="195"/>
      <c r="D231" s="44" t="str">
        <f>G!AQ197</f>
        <v/>
      </c>
      <c r="E231" s="43" t="str">
        <f>G!AP197</f>
        <v>--</v>
      </c>
      <c r="F231" s="42"/>
      <c r="G231" s="42" t="str">
        <f>G!AS197</f>
        <v/>
      </c>
      <c r="H231" s="43" t="str">
        <f>G!AR197</f>
        <v>--</v>
      </c>
      <c r="I231" s="42" t="str">
        <f>G!AT197</f>
        <v/>
      </c>
      <c r="J231" s="42" t="str">
        <f>G!AU197</f>
        <v/>
      </c>
      <c r="K231" s="43" t="str">
        <f>IFERROR(IF(OR(H231="--",H231="rg",VLOOKUP(F!$B197,E!$B$1:'E'!$AK$300,12,FALSE)=1000000000,I231="-",I231=""),"",(HLOOKUP(SMALL(G!$Q$4:'G'!$Y$4,1),G!$Q$4:'G'!$Y$501,ROW(G!Q197)-3,FALSE))/VLOOKUP(F!$B197,E!$B$1:'E'!$AK$300,12,FALSE)*100),"")</f>
        <v/>
      </c>
      <c r="L231" s="43"/>
      <c r="M231" s="43" t="str">
        <f>G!AW197</f>
        <v/>
      </c>
      <c r="N231" s="43" t="str">
        <f>G!AV197</f>
        <v>--</v>
      </c>
      <c r="O231" s="42"/>
      <c r="P231" s="42" t="str">
        <f>G!AY197</f>
        <v/>
      </c>
      <c r="Q231" s="43" t="str">
        <f>G!AX197</f>
        <v>--</v>
      </c>
      <c r="R231" s="42" t="str">
        <f>G!AZ197</f>
        <v/>
      </c>
      <c r="S231" s="42" t="str">
        <f>G!BA197</f>
        <v/>
      </c>
      <c r="T231" s="43" t="str">
        <f>IFERROR(IF(OR(Q231="--",Q231="rg",VLOOKUP(F!$B197,E!$B$1:'E'!$AK$300,12,FALSE)=1000000000,R231="-",R231=""),"",(HLOOKUP(SMALL(G!$Q$4:'G'!$Y$4,4),G!$Q$4:'G'!$Y$501,ROW(G!Z197)-3,FALSE))/VLOOKUP(F!$B197,E!$B$1:'E'!$AK$300,12,FALSE)*100),"")</f>
        <v/>
      </c>
      <c r="U231" s="43"/>
      <c r="V231" s="43" t="str">
        <f>G!BC197</f>
        <v/>
      </c>
      <c r="W231" s="43" t="str">
        <f>G!BB197</f>
        <v>--</v>
      </c>
      <c r="X231" s="43"/>
      <c r="Y231" s="42" t="str">
        <f>G!BE197</f>
        <v/>
      </c>
      <c r="Z231" s="43" t="str">
        <f>G!BD197</f>
        <v>--</v>
      </c>
      <c r="AA231" s="42" t="str">
        <f>G!BF197</f>
        <v/>
      </c>
      <c r="AB231" s="42" t="str">
        <f>G!BG197</f>
        <v/>
      </c>
      <c r="AC231" s="43" t="str">
        <f>IFERROR(IF(OR(Z231="--",Z231="rg",VLOOKUP(F!$B197,E!$B$1:'E'!$AK$300,12,FALSE)=1000000000,AA231="-",AA231=""),"",(HLOOKUP(SMALL(G!$Q$4:'G'!$Y$4,7),G!$Q$4:'G'!$Y$501,ROW(G!AI197)-3,FALSE))/VLOOKUP(F!$B197,E!$B$1:'E'!$AK$300,12,FALSE)*100),"")</f>
        <v/>
      </c>
      <c r="AD231" s="43"/>
      <c r="AE231" s="34"/>
      <c r="AF231" s="34"/>
      <c r="AH231" s="72">
        <f t="shared" si="4"/>
        <v>1</v>
      </c>
      <c r="AJ231" s="34"/>
      <c r="AK231" s="34"/>
    </row>
    <row r="232" spans="1:37" s="72" customFormat="1" ht="9" hidden="1" customHeight="1" x14ac:dyDescent="0.15">
      <c r="A232" s="195" t="str">
        <f>F!A198</f>
        <v>Dichloorvos</v>
      </c>
      <c r="B232" s="195"/>
      <c r="C232" s="195"/>
      <c r="D232" s="44" t="str">
        <f>G!AQ198</f>
        <v/>
      </c>
      <c r="E232" s="43" t="str">
        <f>G!AP198</f>
        <v>--</v>
      </c>
      <c r="F232" s="42"/>
      <c r="G232" s="42" t="str">
        <f>G!AS198</f>
        <v/>
      </c>
      <c r="H232" s="43" t="str">
        <f>G!AR198</f>
        <v>--</v>
      </c>
      <c r="I232" s="42" t="str">
        <f>G!AT198</f>
        <v/>
      </c>
      <c r="J232" s="42" t="str">
        <f>G!AU198</f>
        <v/>
      </c>
      <c r="K232" s="43" t="str">
        <f>IFERROR(IF(OR(H232="--",H232="rg",VLOOKUP(F!$B198,E!$B$1:'E'!$AK$300,12,FALSE)=1000000000,I232="-",I232=""),"",(HLOOKUP(SMALL(G!$Q$4:'G'!$Y$4,1),G!$Q$4:'G'!$Y$501,ROW(G!Q198)-3,FALSE))/VLOOKUP(F!$B198,E!$B$1:'E'!$AK$300,12,FALSE)*100),"")</f>
        <v/>
      </c>
      <c r="L232" s="43"/>
      <c r="M232" s="43" t="str">
        <f>G!AW198</f>
        <v/>
      </c>
      <c r="N232" s="43" t="str">
        <f>G!AV198</f>
        <v>--</v>
      </c>
      <c r="O232" s="42"/>
      <c r="P232" s="42" t="str">
        <f>G!AY198</f>
        <v/>
      </c>
      <c r="Q232" s="43" t="str">
        <f>G!AX198</f>
        <v>--</v>
      </c>
      <c r="R232" s="42" t="str">
        <f>G!AZ198</f>
        <v/>
      </c>
      <c r="S232" s="42" t="str">
        <f>G!BA198</f>
        <v/>
      </c>
      <c r="T232" s="43" t="str">
        <f>IFERROR(IF(OR(Q232="--",Q232="rg",VLOOKUP(F!$B198,E!$B$1:'E'!$AK$300,12,FALSE)=1000000000,R232="-",R232=""),"",(HLOOKUP(SMALL(G!$Q$4:'G'!$Y$4,4),G!$Q$4:'G'!$Y$501,ROW(G!Z198)-3,FALSE))/VLOOKUP(F!$B198,E!$B$1:'E'!$AK$300,12,FALSE)*100),"")</f>
        <v/>
      </c>
      <c r="U232" s="43"/>
      <c r="V232" s="43" t="str">
        <f>G!BC198</f>
        <v/>
      </c>
      <c r="W232" s="43" t="str">
        <f>G!BB198</f>
        <v>--</v>
      </c>
      <c r="X232" s="43"/>
      <c r="Y232" s="42" t="str">
        <f>G!BE198</f>
        <v/>
      </c>
      <c r="Z232" s="43" t="str">
        <f>G!BD198</f>
        <v>--</v>
      </c>
      <c r="AA232" s="42" t="str">
        <f>G!BF198</f>
        <v/>
      </c>
      <c r="AB232" s="42" t="str">
        <f>G!BG198</f>
        <v/>
      </c>
      <c r="AC232" s="43" t="str">
        <f>IFERROR(IF(OR(Z232="--",Z232="rg",VLOOKUP(F!$B198,E!$B$1:'E'!$AK$300,12,FALSE)=1000000000,AA232="-",AA232=""),"",(HLOOKUP(SMALL(G!$Q$4:'G'!$Y$4,7),G!$Q$4:'G'!$Y$501,ROW(G!AI198)-3,FALSE))/VLOOKUP(F!$B198,E!$B$1:'E'!$AK$300,12,FALSE)*100),"")</f>
        <v/>
      </c>
      <c r="AD232" s="43"/>
      <c r="AE232" s="34"/>
      <c r="AF232" s="34"/>
      <c r="AH232" s="72">
        <f t="shared" si="4"/>
        <v>1</v>
      </c>
      <c r="AJ232" s="34"/>
      <c r="AK232" s="34"/>
    </row>
    <row r="233" spans="1:37" s="72" customFormat="1" ht="9" hidden="1" customHeight="1" x14ac:dyDescent="0.15">
      <c r="A233" s="195" t="str">
        <f>F!A199</f>
        <v>Dimethoaat</v>
      </c>
      <c r="B233" s="195"/>
      <c r="C233" s="195"/>
      <c r="D233" s="44" t="str">
        <f>G!AQ199</f>
        <v/>
      </c>
      <c r="E233" s="43" t="str">
        <f>G!AP199</f>
        <v>--</v>
      </c>
      <c r="F233" s="42"/>
      <c r="G233" s="42" t="str">
        <f>G!AS199</f>
        <v/>
      </c>
      <c r="H233" s="43" t="str">
        <f>G!AR199</f>
        <v>--</v>
      </c>
      <c r="I233" s="42" t="str">
        <f>G!AT199</f>
        <v/>
      </c>
      <c r="J233" s="42" t="str">
        <f>G!AU199</f>
        <v/>
      </c>
      <c r="K233" s="43" t="str">
        <f>IFERROR(IF(OR(H233="--",H233="rg",VLOOKUP(F!$B199,E!$B$1:'E'!$AK$300,12,FALSE)=1000000000,I233="-",I233=""),"",(HLOOKUP(SMALL(G!$Q$4:'G'!$Y$4,1),G!$Q$4:'G'!$Y$501,ROW(G!Q199)-3,FALSE))/VLOOKUP(F!$B199,E!$B$1:'E'!$AK$300,12,FALSE)*100),"")</f>
        <v/>
      </c>
      <c r="L233" s="43"/>
      <c r="M233" s="43" t="str">
        <f>G!AW199</f>
        <v/>
      </c>
      <c r="N233" s="43" t="str">
        <f>G!AV199</f>
        <v>--</v>
      </c>
      <c r="O233" s="42"/>
      <c r="P233" s="42" t="str">
        <f>G!AY199</f>
        <v/>
      </c>
      <c r="Q233" s="43" t="str">
        <f>G!AX199</f>
        <v>--</v>
      </c>
      <c r="R233" s="42" t="str">
        <f>G!AZ199</f>
        <v/>
      </c>
      <c r="S233" s="42" t="str">
        <f>G!BA199</f>
        <v/>
      </c>
      <c r="T233" s="43" t="str">
        <f>IFERROR(IF(OR(Q233="--",Q233="rg",VLOOKUP(F!$B199,E!$B$1:'E'!$AK$300,12,FALSE)=1000000000,R233="-",R233=""),"",(HLOOKUP(SMALL(G!$Q$4:'G'!$Y$4,4),G!$Q$4:'G'!$Y$501,ROW(G!Z199)-3,FALSE))/VLOOKUP(F!$B199,E!$B$1:'E'!$AK$300,12,FALSE)*100),"")</f>
        <v/>
      </c>
      <c r="U233" s="43"/>
      <c r="V233" s="43" t="str">
        <f>G!BC199</f>
        <v/>
      </c>
      <c r="W233" s="43" t="str">
        <f>G!BB199</f>
        <v>--</v>
      </c>
      <c r="X233" s="43"/>
      <c r="Y233" s="42" t="str">
        <f>G!BE199</f>
        <v/>
      </c>
      <c r="Z233" s="43" t="str">
        <f>G!BD199</f>
        <v>--</v>
      </c>
      <c r="AA233" s="42" t="str">
        <f>G!BF199</f>
        <v/>
      </c>
      <c r="AB233" s="42" t="str">
        <f>G!BG199</f>
        <v/>
      </c>
      <c r="AC233" s="43" t="str">
        <f>IFERROR(IF(OR(Z233="--",Z233="rg",VLOOKUP(F!$B199,E!$B$1:'E'!$AK$300,12,FALSE)=1000000000,AA233="-",AA233=""),"",(HLOOKUP(SMALL(G!$Q$4:'G'!$Y$4,7),G!$Q$4:'G'!$Y$501,ROW(G!AI199)-3,FALSE))/VLOOKUP(F!$B199,E!$B$1:'E'!$AK$300,12,FALSE)*100),"")</f>
        <v/>
      </c>
      <c r="AD233" s="43"/>
      <c r="AE233" s="34"/>
      <c r="AF233" s="34"/>
      <c r="AH233" s="72">
        <f t="shared" si="4"/>
        <v>1</v>
      </c>
      <c r="AJ233" s="34"/>
      <c r="AK233" s="34"/>
    </row>
    <row r="234" spans="1:37" s="72" customFormat="1" ht="9" hidden="1" customHeight="1" x14ac:dyDescent="0.15">
      <c r="A234" s="195" t="str">
        <f>F!A200</f>
        <v>Disulfoton</v>
      </c>
      <c r="B234" s="195"/>
      <c r="C234" s="195"/>
      <c r="D234" s="44" t="str">
        <f>G!AQ200</f>
        <v/>
      </c>
      <c r="E234" s="43" t="str">
        <f>G!AP200</f>
        <v>--</v>
      </c>
      <c r="F234" s="42"/>
      <c r="G234" s="42" t="str">
        <f>G!AS200</f>
        <v/>
      </c>
      <c r="H234" s="43" t="str">
        <f>G!AR200</f>
        <v>--</v>
      </c>
      <c r="I234" s="42" t="str">
        <f>G!AT200</f>
        <v/>
      </c>
      <c r="J234" s="42" t="str">
        <f>G!AU200</f>
        <v/>
      </c>
      <c r="K234" s="43" t="str">
        <f>IFERROR(IF(OR(H234="--",H234="rg",VLOOKUP(F!$B200,E!$B$1:'E'!$AK$300,12,FALSE)=1000000000,I234="-",I234=""),"",(HLOOKUP(SMALL(G!$Q$4:'G'!$Y$4,1),G!$Q$4:'G'!$Y$501,ROW(G!Q200)-3,FALSE))/VLOOKUP(F!$B200,E!$B$1:'E'!$AK$300,12,FALSE)*100),"")</f>
        <v/>
      </c>
      <c r="L234" s="43"/>
      <c r="M234" s="43" t="str">
        <f>G!AW200</f>
        <v/>
      </c>
      <c r="N234" s="43" t="str">
        <f>G!AV200</f>
        <v>--</v>
      </c>
      <c r="O234" s="42"/>
      <c r="P234" s="42" t="str">
        <f>G!AY200</f>
        <v/>
      </c>
      <c r="Q234" s="43" t="str">
        <f>G!AX200</f>
        <v>--</v>
      </c>
      <c r="R234" s="42" t="str">
        <f>G!AZ200</f>
        <v/>
      </c>
      <c r="S234" s="42" t="str">
        <f>G!BA200</f>
        <v/>
      </c>
      <c r="T234" s="43" t="str">
        <f>IFERROR(IF(OR(Q234="--",Q234="rg",VLOOKUP(F!$B200,E!$B$1:'E'!$AK$300,12,FALSE)=1000000000,R234="-",R234=""),"",(HLOOKUP(SMALL(G!$Q$4:'G'!$Y$4,4),G!$Q$4:'G'!$Y$501,ROW(G!Z200)-3,FALSE))/VLOOKUP(F!$B200,E!$B$1:'E'!$AK$300,12,FALSE)*100),"")</f>
        <v/>
      </c>
      <c r="U234" s="43"/>
      <c r="V234" s="43" t="str">
        <f>G!BC200</f>
        <v/>
      </c>
      <c r="W234" s="43" t="str">
        <f>G!BB200</f>
        <v>--</v>
      </c>
      <c r="X234" s="43"/>
      <c r="Y234" s="42" t="str">
        <f>G!BE200</f>
        <v/>
      </c>
      <c r="Z234" s="43" t="str">
        <f>G!BD200</f>
        <v>--</v>
      </c>
      <c r="AA234" s="42" t="str">
        <f>G!BF200</f>
        <v/>
      </c>
      <c r="AB234" s="42" t="str">
        <f>G!BG200</f>
        <v/>
      </c>
      <c r="AC234" s="43" t="str">
        <f>IFERROR(IF(OR(Z234="--",Z234="rg",VLOOKUP(F!$B200,E!$B$1:'E'!$AK$300,12,FALSE)=1000000000,AA234="-",AA234=""),"",(HLOOKUP(SMALL(G!$Q$4:'G'!$Y$4,7),G!$Q$4:'G'!$Y$501,ROW(G!AI200)-3,FALSE))/VLOOKUP(F!$B200,E!$B$1:'E'!$AK$300,12,FALSE)*100),"")</f>
        <v/>
      </c>
      <c r="AD234" s="43"/>
      <c r="AE234" s="34"/>
      <c r="AF234" s="34"/>
      <c r="AH234" s="72">
        <f t="shared" si="4"/>
        <v>1</v>
      </c>
      <c r="AJ234" s="34"/>
      <c r="AK234" s="34"/>
    </row>
    <row r="235" spans="1:37" s="72" customFormat="1" ht="9" hidden="1" customHeight="1" x14ac:dyDescent="0.15">
      <c r="A235" s="195" t="str">
        <f>F!A201</f>
        <v>Ethion</v>
      </c>
      <c r="B235" s="195"/>
      <c r="C235" s="195"/>
      <c r="D235" s="44" t="str">
        <f>G!AQ201</f>
        <v/>
      </c>
      <c r="E235" s="43" t="str">
        <f>G!AP201</f>
        <v>--</v>
      </c>
      <c r="F235" s="42"/>
      <c r="G235" s="42" t="str">
        <f>G!AS201</f>
        <v/>
      </c>
      <c r="H235" s="43" t="str">
        <f>G!AR201</f>
        <v>--</v>
      </c>
      <c r="I235" s="42" t="str">
        <f>G!AT201</f>
        <v/>
      </c>
      <c r="J235" s="42" t="str">
        <f>G!AU201</f>
        <v/>
      </c>
      <c r="K235" s="43" t="str">
        <f>IFERROR(IF(OR(H235="--",H235="rg",VLOOKUP(F!$B201,E!$B$1:'E'!$AK$300,12,FALSE)=1000000000,I235="-",I235=""),"",(HLOOKUP(SMALL(G!$Q$4:'G'!$Y$4,1),G!$Q$4:'G'!$Y$501,ROW(G!Q201)-3,FALSE))/VLOOKUP(F!$B201,E!$B$1:'E'!$AK$300,12,FALSE)*100),"")</f>
        <v/>
      </c>
      <c r="L235" s="43"/>
      <c r="M235" s="43" t="str">
        <f>G!AW201</f>
        <v/>
      </c>
      <c r="N235" s="43" t="str">
        <f>G!AV201</f>
        <v>--</v>
      </c>
      <c r="O235" s="42"/>
      <c r="P235" s="42" t="str">
        <f>G!AY201</f>
        <v/>
      </c>
      <c r="Q235" s="43" t="str">
        <f>G!AX201</f>
        <v>--</v>
      </c>
      <c r="R235" s="42" t="str">
        <f>G!AZ201</f>
        <v/>
      </c>
      <c r="S235" s="42" t="str">
        <f>G!BA201</f>
        <v/>
      </c>
      <c r="T235" s="43" t="str">
        <f>IFERROR(IF(OR(Q235="--",Q235="rg",VLOOKUP(F!$B201,E!$B$1:'E'!$AK$300,12,FALSE)=1000000000,R235="-",R235=""),"",(HLOOKUP(SMALL(G!$Q$4:'G'!$Y$4,4),G!$Q$4:'G'!$Y$501,ROW(G!Z201)-3,FALSE))/VLOOKUP(F!$B201,E!$B$1:'E'!$AK$300,12,FALSE)*100),"")</f>
        <v/>
      </c>
      <c r="U235" s="43"/>
      <c r="V235" s="43" t="str">
        <f>G!BC201</f>
        <v/>
      </c>
      <c r="W235" s="43" t="str">
        <f>G!BB201</f>
        <v>--</v>
      </c>
      <c r="X235" s="43"/>
      <c r="Y235" s="42" t="str">
        <f>G!BE201</f>
        <v/>
      </c>
      <c r="Z235" s="43" t="str">
        <f>G!BD201</f>
        <v>--</v>
      </c>
      <c r="AA235" s="42" t="str">
        <f>G!BF201</f>
        <v/>
      </c>
      <c r="AB235" s="42" t="str">
        <f>G!BG201</f>
        <v/>
      </c>
      <c r="AC235" s="43" t="str">
        <f>IFERROR(IF(OR(Z235="--",Z235="rg",VLOOKUP(F!$B201,E!$B$1:'E'!$AK$300,12,FALSE)=1000000000,AA235="-",AA235=""),"",(HLOOKUP(SMALL(G!$Q$4:'G'!$Y$4,7),G!$Q$4:'G'!$Y$501,ROW(G!AI201)-3,FALSE))/VLOOKUP(F!$B201,E!$B$1:'E'!$AK$300,12,FALSE)*100),"")</f>
        <v/>
      </c>
      <c r="AD235" s="43"/>
      <c r="AE235" s="34"/>
      <c r="AF235" s="34"/>
      <c r="AH235" s="72">
        <f t="shared" si="4"/>
        <v>1</v>
      </c>
      <c r="AJ235" s="34"/>
      <c r="AK235" s="34"/>
    </row>
    <row r="236" spans="1:37" s="72" customFormat="1" ht="9" hidden="1" customHeight="1" x14ac:dyDescent="0.15">
      <c r="A236" s="195" t="str">
        <f>F!A202</f>
        <v>Etrimfos</v>
      </c>
      <c r="B236" s="195"/>
      <c r="C236" s="195"/>
      <c r="D236" s="44" t="str">
        <f>G!AQ202</f>
        <v/>
      </c>
      <c r="E236" s="43" t="str">
        <f>G!AP202</f>
        <v>--</v>
      </c>
      <c r="F236" s="42"/>
      <c r="G236" s="42" t="str">
        <f>G!AS202</f>
        <v/>
      </c>
      <c r="H236" s="43" t="str">
        <f>G!AR202</f>
        <v>--</v>
      </c>
      <c r="I236" s="42" t="str">
        <f>G!AT202</f>
        <v/>
      </c>
      <c r="J236" s="42" t="str">
        <f>G!AU202</f>
        <v/>
      </c>
      <c r="K236" s="43" t="str">
        <f>IFERROR(IF(OR(H236="--",H236="rg",VLOOKUP(F!$B202,E!$B$1:'E'!$AK$300,12,FALSE)=1000000000,I236="-",I236=""),"",(HLOOKUP(SMALL(G!$Q$4:'G'!$Y$4,1),G!$Q$4:'G'!$Y$501,ROW(G!Q202)-3,FALSE))/VLOOKUP(F!$B202,E!$B$1:'E'!$AK$300,12,FALSE)*100),"")</f>
        <v/>
      </c>
      <c r="L236" s="43"/>
      <c r="M236" s="43" t="str">
        <f>G!AW202</f>
        <v/>
      </c>
      <c r="N236" s="43" t="str">
        <f>G!AV202</f>
        <v>--</v>
      </c>
      <c r="O236" s="42"/>
      <c r="P236" s="42" t="str">
        <f>G!AY202</f>
        <v/>
      </c>
      <c r="Q236" s="43" t="str">
        <f>G!AX202</f>
        <v>--</v>
      </c>
      <c r="R236" s="42" t="str">
        <f>G!AZ202</f>
        <v/>
      </c>
      <c r="S236" s="42" t="str">
        <f>G!BA202</f>
        <v/>
      </c>
      <c r="T236" s="43" t="str">
        <f>IFERROR(IF(OR(Q236="--",Q236="rg",VLOOKUP(F!$B202,E!$B$1:'E'!$AK$300,12,FALSE)=1000000000,R236="-",R236=""),"",(HLOOKUP(SMALL(G!$Q$4:'G'!$Y$4,4),G!$Q$4:'G'!$Y$501,ROW(G!Z202)-3,FALSE))/VLOOKUP(F!$B202,E!$B$1:'E'!$AK$300,12,FALSE)*100),"")</f>
        <v/>
      </c>
      <c r="U236" s="43"/>
      <c r="V236" s="43" t="str">
        <f>G!BC202</f>
        <v/>
      </c>
      <c r="W236" s="43" t="str">
        <f>G!BB202</f>
        <v>--</v>
      </c>
      <c r="X236" s="43"/>
      <c r="Y236" s="42" t="str">
        <f>G!BE202</f>
        <v/>
      </c>
      <c r="Z236" s="43" t="str">
        <f>G!BD202</f>
        <v>--</v>
      </c>
      <c r="AA236" s="42" t="str">
        <f>G!BF202</f>
        <v/>
      </c>
      <c r="AB236" s="42" t="str">
        <f>G!BG202</f>
        <v/>
      </c>
      <c r="AC236" s="43" t="str">
        <f>IFERROR(IF(OR(Z236="--",Z236="rg",VLOOKUP(F!$B202,E!$B$1:'E'!$AK$300,12,FALSE)=1000000000,AA236="-",AA236=""),"",(HLOOKUP(SMALL(G!$Q$4:'G'!$Y$4,7),G!$Q$4:'G'!$Y$501,ROW(G!AI202)-3,FALSE))/VLOOKUP(F!$B202,E!$B$1:'E'!$AK$300,12,FALSE)*100),"")</f>
        <v/>
      </c>
      <c r="AD236" s="43"/>
      <c r="AE236" s="34"/>
      <c r="AF236" s="34"/>
      <c r="AH236" s="72">
        <f t="shared" si="4"/>
        <v>1</v>
      </c>
      <c r="AJ236" s="34"/>
      <c r="AK236" s="34"/>
    </row>
    <row r="237" spans="1:37" s="72" customFormat="1" ht="9" hidden="1" customHeight="1" x14ac:dyDescent="0.15">
      <c r="A237" s="195" t="str">
        <f>F!A203</f>
        <v>Fenitrothion</v>
      </c>
      <c r="B237" s="195"/>
      <c r="C237" s="195"/>
      <c r="D237" s="44" t="str">
        <f>G!AQ203</f>
        <v/>
      </c>
      <c r="E237" s="43" t="str">
        <f>G!AP203</f>
        <v>--</v>
      </c>
      <c r="F237" s="42"/>
      <c r="G237" s="42" t="str">
        <f>G!AS203</f>
        <v/>
      </c>
      <c r="H237" s="43" t="str">
        <f>G!AR203</f>
        <v>--</v>
      </c>
      <c r="I237" s="42" t="str">
        <f>G!AT203</f>
        <v/>
      </c>
      <c r="J237" s="42" t="str">
        <f>G!AU203</f>
        <v/>
      </c>
      <c r="K237" s="43" t="str">
        <f>IFERROR(IF(OR(H237="--",H237="rg",VLOOKUP(F!$B203,E!$B$1:'E'!$AK$300,12,FALSE)=1000000000,I237="-",I237=""),"",(HLOOKUP(SMALL(G!$Q$4:'G'!$Y$4,1),G!$Q$4:'G'!$Y$501,ROW(G!Q203)-3,FALSE))/VLOOKUP(F!$B203,E!$B$1:'E'!$AK$300,12,FALSE)*100),"")</f>
        <v/>
      </c>
      <c r="L237" s="43"/>
      <c r="M237" s="43" t="str">
        <f>G!AW203</f>
        <v/>
      </c>
      <c r="N237" s="43" t="str">
        <f>G!AV203</f>
        <v>--</v>
      </c>
      <c r="O237" s="42"/>
      <c r="P237" s="42" t="str">
        <f>G!AY203</f>
        <v/>
      </c>
      <c r="Q237" s="43" t="str">
        <f>G!AX203</f>
        <v>--</v>
      </c>
      <c r="R237" s="42" t="str">
        <f>G!AZ203</f>
        <v/>
      </c>
      <c r="S237" s="42" t="str">
        <f>G!BA203</f>
        <v/>
      </c>
      <c r="T237" s="43" t="str">
        <f>IFERROR(IF(OR(Q237="--",Q237="rg",VLOOKUP(F!$B203,E!$B$1:'E'!$AK$300,12,FALSE)=1000000000,R237="-",R237=""),"",(HLOOKUP(SMALL(G!$Q$4:'G'!$Y$4,4),G!$Q$4:'G'!$Y$501,ROW(G!Z203)-3,FALSE))/VLOOKUP(F!$B203,E!$B$1:'E'!$AK$300,12,FALSE)*100),"")</f>
        <v/>
      </c>
      <c r="U237" s="43"/>
      <c r="V237" s="43" t="str">
        <f>G!BC203</f>
        <v/>
      </c>
      <c r="W237" s="43" t="str">
        <f>G!BB203</f>
        <v>--</v>
      </c>
      <c r="X237" s="43"/>
      <c r="Y237" s="42" t="str">
        <f>G!BE203</f>
        <v/>
      </c>
      <c r="Z237" s="43" t="str">
        <f>G!BD203</f>
        <v>--</v>
      </c>
      <c r="AA237" s="42" t="str">
        <f>G!BF203</f>
        <v/>
      </c>
      <c r="AB237" s="42" t="str">
        <f>G!BG203</f>
        <v/>
      </c>
      <c r="AC237" s="43" t="str">
        <f>IFERROR(IF(OR(Z237="--",Z237="rg",VLOOKUP(F!$B203,E!$B$1:'E'!$AK$300,12,FALSE)=1000000000,AA237="-",AA237=""),"",(HLOOKUP(SMALL(G!$Q$4:'G'!$Y$4,7),G!$Q$4:'G'!$Y$501,ROW(G!AI203)-3,FALSE))/VLOOKUP(F!$B203,E!$B$1:'E'!$AK$300,12,FALSE)*100),"")</f>
        <v/>
      </c>
      <c r="AD237" s="43"/>
      <c r="AE237" s="34"/>
      <c r="AF237" s="34"/>
      <c r="AH237" s="72">
        <f t="shared" si="4"/>
        <v>1</v>
      </c>
      <c r="AJ237" s="34"/>
      <c r="AK237" s="34"/>
    </row>
    <row r="238" spans="1:37" s="72" customFormat="1" ht="9" hidden="1" customHeight="1" x14ac:dyDescent="0.15">
      <c r="A238" s="195" t="str">
        <f>F!A204</f>
        <v>Fenthion</v>
      </c>
      <c r="B238" s="195"/>
      <c r="C238" s="195"/>
      <c r="D238" s="44" t="str">
        <f>G!AQ204</f>
        <v/>
      </c>
      <c r="E238" s="43" t="str">
        <f>G!AP204</f>
        <v>--</v>
      </c>
      <c r="F238" s="42"/>
      <c r="G238" s="42" t="str">
        <f>G!AS204</f>
        <v/>
      </c>
      <c r="H238" s="43" t="str">
        <f>G!AR204</f>
        <v>--</v>
      </c>
      <c r="I238" s="42" t="str">
        <f>G!AT204</f>
        <v/>
      </c>
      <c r="J238" s="42" t="str">
        <f>G!AU204</f>
        <v/>
      </c>
      <c r="K238" s="43" t="str">
        <f>IFERROR(IF(OR(H238="--",H238="rg",VLOOKUP(F!$B204,E!$B$1:'E'!$AK$300,12,FALSE)=1000000000,I238="-",I238=""),"",(HLOOKUP(SMALL(G!$Q$4:'G'!$Y$4,1),G!$Q$4:'G'!$Y$501,ROW(G!Q204)-3,FALSE))/VLOOKUP(F!$B204,E!$B$1:'E'!$AK$300,12,FALSE)*100),"")</f>
        <v/>
      </c>
      <c r="L238" s="43"/>
      <c r="M238" s="43" t="str">
        <f>G!AW204</f>
        <v/>
      </c>
      <c r="N238" s="43" t="str">
        <f>G!AV204</f>
        <v>--</v>
      </c>
      <c r="O238" s="42"/>
      <c r="P238" s="42" t="str">
        <f>G!AY204</f>
        <v/>
      </c>
      <c r="Q238" s="43" t="str">
        <f>G!AX204</f>
        <v>--</v>
      </c>
      <c r="R238" s="42" t="str">
        <f>G!AZ204</f>
        <v/>
      </c>
      <c r="S238" s="42" t="str">
        <f>G!BA204</f>
        <v/>
      </c>
      <c r="T238" s="43" t="str">
        <f>IFERROR(IF(OR(Q238="--",Q238="rg",VLOOKUP(F!$B204,E!$B$1:'E'!$AK$300,12,FALSE)=1000000000,R238="-",R238=""),"",(HLOOKUP(SMALL(G!$Q$4:'G'!$Y$4,4),G!$Q$4:'G'!$Y$501,ROW(G!Z204)-3,FALSE))/VLOOKUP(F!$B204,E!$B$1:'E'!$AK$300,12,FALSE)*100),"")</f>
        <v/>
      </c>
      <c r="U238" s="43"/>
      <c r="V238" s="43" t="str">
        <f>G!BC204</f>
        <v/>
      </c>
      <c r="W238" s="43" t="str">
        <f>G!BB204</f>
        <v>--</v>
      </c>
      <c r="X238" s="43"/>
      <c r="Y238" s="42" t="str">
        <f>G!BE204</f>
        <v/>
      </c>
      <c r="Z238" s="43" t="str">
        <f>G!BD204</f>
        <v>--</v>
      </c>
      <c r="AA238" s="42" t="str">
        <f>G!BF204</f>
        <v/>
      </c>
      <c r="AB238" s="42" t="str">
        <f>G!BG204</f>
        <v/>
      </c>
      <c r="AC238" s="43" t="str">
        <f>IFERROR(IF(OR(Z238="--",Z238="rg",VLOOKUP(F!$B204,E!$B$1:'E'!$AK$300,12,FALSE)=1000000000,AA238="-",AA238=""),"",(HLOOKUP(SMALL(G!$Q$4:'G'!$Y$4,7),G!$Q$4:'G'!$Y$501,ROW(G!AI204)-3,FALSE))/VLOOKUP(F!$B204,E!$B$1:'E'!$AK$300,12,FALSE)*100),"")</f>
        <v/>
      </c>
      <c r="AD238" s="43"/>
      <c r="AE238" s="34"/>
      <c r="AF238" s="34"/>
      <c r="AH238" s="72">
        <f t="shared" si="4"/>
        <v>1</v>
      </c>
      <c r="AJ238" s="34"/>
      <c r="AK238" s="34"/>
    </row>
    <row r="239" spans="1:37" s="72" customFormat="1" ht="9" hidden="1" customHeight="1" x14ac:dyDescent="0.15">
      <c r="A239" s="195" t="str">
        <f>F!A205</f>
        <v>Fosalon</v>
      </c>
      <c r="B239" s="195"/>
      <c r="C239" s="195"/>
      <c r="D239" s="44" t="str">
        <f>G!AQ205</f>
        <v/>
      </c>
      <c r="E239" s="43" t="str">
        <f>G!AP205</f>
        <v>--</v>
      </c>
      <c r="F239" s="42"/>
      <c r="G239" s="42" t="str">
        <f>G!AS205</f>
        <v/>
      </c>
      <c r="H239" s="43" t="str">
        <f>G!AR205</f>
        <v>--</v>
      </c>
      <c r="I239" s="42" t="str">
        <f>G!AT205</f>
        <v/>
      </c>
      <c r="J239" s="42" t="str">
        <f>G!AU205</f>
        <v/>
      </c>
      <c r="K239" s="43" t="str">
        <f>IFERROR(IF(OR(H239="--",H239="rg",VLOOKUP(F!$B205,E!$B$1:'E'!$AK$300,12,FALSE)=1000000000,I239="-",I239=""),"",(HLOOKUP(SMALL(G!$Q$4:'G'!$Y$4,1),G!$Q$4:'G'!$Y$501,ROW(G!Q205)-3,FALSE))/VLOOKUP(F!$B205,E!$B$1:'E'!$AK$300,12,FALSE)*100),"")</f>
        <v/>
      </c>
      <c r="L239" s="43"/>
      <c r="M239" s="43" t="str">
        <f>G!AW205</f>
        <v/>
      </c>
      <c r="N239" s="43" t="str">
        <f>G!AV205</f>
        <v>--</v>
      </c>
      <c r="O239" s="42"/>
      <c r="P239" s="42" t="str">
        <f>G!AY205</f>
        <v/>
      </c>
      <c r="Q239" s="43" t="str">
        <f>G!AX205</f>
        <v>--</v>
      </c>
      <c r="R239" s="42" t="str">
        <f>G!AZ205</f>
        <v/>
      </c>
      <c r="S239" s="42" t="str">
        <f>G!BA205</f>
        <v/>
      </c>
      <c r="T239" s="43" t="str">
        <f>IFERROR(IF(OR(Q239="--",Q239="rg",VLOOKUP(F!$B205,E!$B$1:'E'!$AK$300,12,FALSE)=1000000000,R239="-",R239=""),"",(HLOOKUP(SMALL(G!$Q$4:'G'!$Y$4,4),G!$Q$4:'G'!$Y$501,ROW(G!Z205)-3,FALSE))/VLOOKUP(F!$B205,E!$B$1:'E'!$AK$300,12,FALSE)*100),"")</f>
        <v/>
      </c>
      <c r="U239" s="43"/>
      <c r="V239" s="43" t="str">
        <f>G!BC205</f>
        <v/>
      </c>
      <c r="W239" s="43" t="str">
        <f>G!BB205</f>
        <v>--</v>
      </c>
      <c r="X239" s="43"/>
      <c r="Y239" s="42" t="str">
        <f>G!BE205</f>
        <v/>
      </c>
      <c r="Z239" s="43" t="str">
        <f>G!BD205</f>
        <v>--</v>
      </c>
      <c r="AA239" s="42" t="str">
        <f>G!BF205</f>
        <v/>
      </c>
      <c r="AB239" s="42" t="str">
        <f>G!BG205</f>
        <v/>
      </c>
      <c r="AC239" s="43" t="str">
        <f>IFERROR(IF(OR(Z239="--",Z239="rg",VLOOKUP(F!$B205,E!$B$1:'E'!$AK$300,12,FALSE)=1000000000,AA239="-",AA239=""),"",(HLOOKUP(SMALL(G!$Q$4:'G'!$Y$4,7),G!$Q$4:'G'!$Y$501,ROW(G!AI205)-3,FALSE))/VLOOKUP(F!$B205,E!$B$1:'E'!$AK$300,12,FALSE)*100),"")</f>
        <v/>
      </c>
      <c r="AD239" s="43"/>
      <c r="AE239" s="34"/>
      <c r="AF239" s="34"/>
      <c r="AH239" s="72">
        <f t="shared" si="4"/>
        <v>1</v>
      </c>
      <c r="AJ239" s="34"/>
      <c r="AK239" s="34"/>
    </row>
    <row r="240" spans="1:37" s="72" customFormat="1" ht="9" hidden="1" customHeight="1" x14ac:dyDescent="0.15">
      <c r="A240" s="195" t="str">
        <f>F!A206</f>
        <v>Malathion</v>
      </c>
      <c r="B240" s="195"/>
      <c r="C240" s="195"/>
      <c r="D240" s="44" t="str">
        <f>G!AQ206</f>
        <v/>
      </c>
      <c r="E240" s="43" t="str">
        <f>G!AP206</f>
        <v>--</v>
      </c>
      <c r="F240" s="42"/>
      <c r="G240" s="42" t="str">
        <f>G!AS206</f>
        <v/>
      </c>
      <c r="H240" s="43" t="str">
        <f>G!AR206</f>
        <v>--</v>
      </c>
      <c r="I240" s="42" t="str">
        <f>G!AT206</f>
        <v/>
      </c>
      <c r="J240" s="42" t="str">
        <f>G!AU206</f>
        <v/>
      </c>
      <c r="K240" s="43" t="str">
        <f>IFERROR(IF(OR(H240="--",H240="rg",VLOOKUP(F!$B206,E!$B$1:'E'!$AK$300,12,FALSE)=1000000000,I240="-",I240=""),"",(HLOOKUP(SMALL(G!$Q$4:'G'!$Y$4,1),G!$Q$4:'G'!$Y$501,ROW(G!Q206)-3,FALSE))/VLOOKUP(F!$B206,E!$B$1:'E'!$AK$300,12,FALSE)*100),"")</f>
        <v/>
      </c>
      <c r="L240" s="43"/>
      <c r="M240" s="43" t="str">
        <f>G!AW206</f>
        <v/>
      </c>
      <c r="N240" s="43" t="str">
        <f>G!AV206</f>
        <v>--</v>
      </c>
      <c r="O240" s="42"/>
      <c r="P240" s="42" t="str">
        <f>G!AY206</f>
        <v/>
      </c>
      <c r="Q240" s="43" t="str">
        <f>G!AX206</f>
        <v>--</v>
      </c>
      <c r="R240" s="42" t="str">
        <f>G!AZ206</f>
        <v/>
      </c>
      <c r="S240" s="42" t="str">
        <f>G!BA206</f>
        <v/>
      </c>
      <c r="T240" s="43" t="str">
        <f>IFERROR(IF(OR(Q240="--",Q240="rg",VLOOKUP(F!$B206,E!$B$1:'E'!$AK$300,12,FALSE)=1000000000,R240="-",R240=""),"",(HLOOKUP(SMALL(G!$Q$4:'G'!$Y$4,4),G!$Q$4:'G'!$Y$501,ROW(G!Z206)-3,FALSE))/VLOOKUP(F!$B206,E!$B$1:'E'!$AK$300,12,FALSE)*100),"")</f>
        <v/>
      </c>
      <c r="U240" s="43"/>
      <c r="V240" s="43" t="str">
        <f>G!BC206</f>
        <v/>
      </c>
      <c r="W240" s="43" t="str">
        <f>G!BB206</f>
        <v>--</v>
      </c>
      <c r="X240" s="43"/>
      <c r="Y240" s="42" t="str">
        <f>G!BE206</f>
        <v/>
      </c>
      <c r="Z240" s="43" t="str">
        <f>G!BD206</f>
        <v>--</v>
      </c>
      <c r="AA240" s="42" t="str">
        <f>G!BF206</f>
        <v/>
      </c>
      <c r="AB240" s="42" t="str">
        <f>G!BG206</f>
        <v/>
      </c>
      <c r="AC240" s="43" t="str">
        <f>IFERROR(IF(OR(Z240="--",Z240="rg",VLOOKUP(F!$B206,E!$B$1:'E'!$AK$300,12,FALSE)=1000000000,AA240="-",AA240=""),"",(HLOOKUP(SMALL(G!$Q$4:'G'!$Y$4,7),G!$Q$4:'G'!$Y$501,ROW(G!AI206)-3,FALSE))/VLOOKUP(F!$B206,E!$B$1:'E'!$AK$300,12,FALSE)*100),"")</f>
        <v/>
      </c>
      <c r="AD240" s="43"/>
      <c r="AE240" s="34"/>
      <c r="AF240" s="34"/>
      <c r="AH240" s="72">
        <f t="shared" si="4"/>
        <v>1</v>
      </c>
      <c r="AJ240" s="34"/>
      <c r="AK240" s="34"/>
    </row>
    <row r="241" spans="1:37" s="72" customFormat="1" ht="9" hidden="1" customHeight="1" x14ac:dyDescent="0.15">
      <c r="A241" s="195" t="str">
        <f>F!A207</f>
        <v>Mevinfos (som)</v>
      </c>
      <c r="B241" s="195"/>
      <c r="C241" s="195"/>
      <c r="D241" s="44" t="str">
        <f>G!AQ207</f>
        <v/>
      </c>
      <c r="E241" s="43" t="str">
        <f>G!AP207</f>
        <v>--</v>
      </c>
      <c r="F241" s="42"/>
      <c r="G241" s="42" t="str">
        <f>G!AS207</f>
        <v/>
      </c>
      <c r="H241" s="43" t="str">
        <f>G!AR207</f>
        <v>--</v>
      </c>
      <c r="I241" s="42" t="str">
        <f>G!AT207</f>
        <v/>
      </c>
      <c r="J241" s="42" t="str">
        <f>G!AU207</f>
        <v/>
      </c>
      <c r="K241" s="43" t="str">
        <f>IFERROR(IF(OR(H241="--",H241="rg",VLOOKUP(F!$B207,E!$B$1:'E'!$AK$300,12,FALSE)=1000000000,I241="-",I241=""),"",(HLOOKUP(SMALL(G!$Q$4:'G'!$Y$4,1),G!$Q$4:'G'!$Y$501,ROW(G!Q207)-3,FALSE))/VLOOKUP(F!$B207,E!$B$1:'E'!$AK$300,12,FALSE)*100),"")</f>
        <v/>
      </c>
      <c r="L241" s="43"/>
      <c r="M241" s="43" t="str">
        <f>G!AW207</f>
        <v/>
      </c>
      <c r="N241" s="43" t="str">
        <f>G!AV207</f>
        <v>--</v>
      </c>
      <c r="O241" s="42"/>
      <c r="P241" s="42" t="str">
        <f>G!AY207</f>
        <v/>
      </c>
      <c r="Q241" s="43" t="str">
        <f>G!AX207</f>
        <v>--</v>
      </c>
      <c r="R241" s="42" t="str">
        <f>G!AZ207</f>
        <v/>
      </c>
      <c r="S241" s="42" t="str">
        <f>G!BA207</f>
        <v/>
      </c>
      <c r="T241" s="43" t="str">
        <f>IFERROR(IF(OR(Q241="--",Q241="rg",VLOOKUP(F!$B207,E!$B$1:'E'!$AK$300,12,FALSE)=1000000000,R241="-",R241=""),"",(HLOOKUP(SMALL(G!$Q$4:'G'!$Y$4,4),G!$Q$4:'G'!$Y$501,ROW(G!Z207)-3,FALSE))/VLOOKUP(F!$B207,E!$B$1:'E'!$AK$300,12,FALSE)*100),"")</f>
        <v/>
      </c>
      <c r="U241" s="43"/>
      <c r="V241" s="43" t="str">
        <f>G!BC207</f>
        <v/>
      </c>
      <c r="W241" s="43" t="str">
        <f>G!BB207</f>
        <v>--</v>
      </c>
      <c r="X241" s="43"/>
      <c r="Y241" s="42" t="str">
        <f>G!BE207</f>
        <v/>
      </c>
      <c r="Z241" s="43" t="str">
        <f>G!BD207</f>
        <v>--</v>
      </c>
      <c r="AA241" s="42" t="str">
        <f>G!BF207</f>
        <v/>
      </c>
      <c r="AB241" s="42" t="str">
        <f>G!BG207</f>
        <v/>
      </c>
      <c r="AC241" s="43" t="str">
        <f>IFERROR(IF(OR(Z241="--",Z241="rg",VLOOKUP(F!$B207,E!$B$1:'E'!$AK$300,12,FALSE)=1000000000,AA241="-",AA241=""),"",(HLOOKUP(SMALL(G!$Q$4:'G'!$Y$4,7),G!$Q$4:'G'!$Y$501,ROW(G!AI207)-3,FALSE))/VLOOKUP(F!$B207,E!$B$1:'E'!$AK$300,12,FALSE)*100),"")</f>
        <v/>
      </c>
      <c r="AD241" s="43"/>
      <c r="AE241" s="34"/>
      <c r="AF241" s="34"/>
      <c r="AH241" s="72">
        <f t="shared" si="4"/>
        <v>1</v>
      </c>
      <c r="AJ241" s="34"/>
      <c r="AK241" s="34"/>
    </row>
    <row r="242" spans="1:37" s="72" customFormat="1" ht="9" hidden="1" customHeight="1" x14ac:dyDescent="0.15">
      <c r="A242" s="195" t="str">
        <f>F!A208</f>
        <v>Parathion-ethyl</v>
      </c>
      <c r="B242" s="195"/>
      <c r="C242" s="195"/>
      <c r="D242" s="44" t="str">
        <f>G!AQ208</f>
        <v/>
      </c>
      <c r="E242" s="43" t="str">
        <f>G!AP208</f>
        <v>--</v>
      </c>
      <c r="F242" s="42"/>
      <c r="G242" s="42" t="str">
        <f>G!AS208</f>
        <v/>
      </c>
      <c r="H242" s="43" t="str">
        <f>G!AR208</f>
        <v>--</v>
      </c>
      <c r="I242" s="42" t="str">
        <f>G!AT208</f>
        <v/>
      </c>
      <c r="J242" s="42" t="str">
        <f>G!AU208</f>
        <v/>
      </c>
      <c r="K242" s="43" t="str">
        <f>IFERROR(IF(OR(H242="--",H242="rg",VLOOKUP(F!$B208,E!$B$1:'E'!$AK$300,12,FALSE)=1000000000,I242="-",I242=""),"",(HLOOKUP(SMALL(G!$Q$4:'G'!$Y$4,1),G!$Q$4:'G'!$Y$501,ROW(G!Q208)-3,FALSE))/VLOOKUP(F!$B208,E!$B$1:'E'!$AK$300,12,FALSE)*100),"")</f>
        <v/>
      </c>
      <c r="L242" s="43"/>
      <c r="M242" s="43" t="str">
        <f>G!AW208</f>
        <v/>
      </c>
      <c r="N242" s="43" t="str">
        <f>G!AV208</f>
        <v>--</v>
      </c>
      <c r="O242" s="42"/>
      <c r="P242" s="42" t="str">
        <f>G!AY208</f>
        <v/>
      </c>
      <c r="Q242" s="43" t="str">
        <f>G!AX208</f>
        <v>--</v>
      </c>
      <c r="R242" s="42" t="str">
        <f>G!AZ208</f>
        <v/>
      </c>
      <c r="S242" s="42" t="str">
        <f>G!BA208</f>
        <v/>
      </c>
      <c r="T242" s="43" t="str">
        <f>IFERROR(IF(OR(Q242="--",Q242="rg",VLOOKUP(F!$B208,E!$B$1:'E'!$AK$300,12,FALSE)=1000000000,R242="-",R242=""),"",(HLOOKUP(SMALL(G!$Q$4:'G'!$Y$4,4),G!$Q$4:'G'!$Y$501,ROW(G!Z208)-3,FALSE))/VLOOKUP(F!$B208,E!$B$1:'E'!$AK$300,12,FALSE)*100),"")</f>
        <v/>
      </c>
      <c r="U242" s="43"/>
      <c r="V242" s="43" t="str">
        <f>G!BC208</f>
        <v/>
      </c>
      <c r="W242" s="43" t="str">
        <f>G!BB208</f>
        <v>--</v>
      </c>
      <c r="X242" s="43"/>
      <c r="Y242" s="42" t="str">
        <f>G!BE208</f>
        <v/>
      </c>
      <c r="Z242" s="43" t="str">
        <f>G!BD208</f>
        <v>--</v>
      </c>
      <c r="AA242" s="42" t="str">
        <f>G!BF208</f>
        <v/>
      </c>
      <c r="AB242" s="42" t="str">
        <f>G!BG208</f>
        <v/>
      </c>
      <c r="AC242" s="43" t="str">
        <f>IFERROR(IF(OR(Z242="--",Z242="rg",VLOOKUP(F!$B208,E!$B$1:'E'!$AK$300,12,FALSE)=1000000000,AA242="-",AA242=""),"",(HLOOKUP(SMALL(G!$Q$4:'G'!$Y$4,7),G!$Q$4:'G'!$Y$501,ROW(G!AI208)-3,FALSE))/VLOOKUP(F!$B208,E!$B$1:'E'!$AK$300,12,FALSE)*100),"")</f>
        <v/>
      </c>
      <c r="AD242" s="43"/>
      <c r="AE242" s="34"/>
      <c r="AF242" s="34"/>
      <c r="AH242" s="72">
        <f t="shared" si="4"/>
        <v>1</v>
      </c>
      <c r="AJ242" s="34"/>
      <c r="AK242" s="34"/>
    </row>
    <row r="243" spans="1:37" s="72" customFormat="1" ht="9" hidden="1" customHeight="1" x14ac:dyDescent="0.15">
      <c r="A243" s="195" t="str">
        <f>F!A209</f>
        <v>Parathion-methyl</v>
      </c>
      <c r="B243" s="195"/>
      <c r="C243" s="195"/>
      <c r="D243" s="44" t="str">
        <f>G!AQ209</f>
        <v/>
      </c>
      <c r="E243" s="43" t="str">
        <f>G!AP209</f>
        <v>--</v>
      </c>
      <c r="F243" s="42"/>
      <c r="G243" s="42" t="str">
        <f>G!AS209</f>
        <v/>
      </c>
      <c r="H243" s="43" t="str">
        <f>G!AR209</f>
        <v>--</v>
      </c>
      <c r="I243" s="42" t="str">
        <f>G!AT209</f>
        <v/>
      </c>
      <c r="J243" s="42" t="str">
        <f>G!AU209</f>
        <v/>
      </c>
      <c r="K243" s="43" t="str">
        <f>IFERROR(IF(OR(H243="--",H243="rg",VLOOKUP(F!$B209,E!$B$1:'E'!$AK$300,12,FALSE)=1000000000,I243="-",I243=""),"",(HLOOKUP(SMALL(G!$Q$4:'G'!$Y$4,1),G!$Q$4:'G'!$Y$501,ROW(G!Q209)-3,FALSE))/VLOOKUP(F!$B209,E!$B$1:'E'!$AK$300,12,FALSE)*100),"")</f>
        <v/>
      </c>
      <c r="L243" s="43"/>
      <c r="M243" s="43" t="str">
        <f>G!AW209</f>
        <v/>
      </c>
      <c r="N243" s="43" t="str">
        <f>G!AV209</f>
        <v>--</v>
      </c>
      <c r="O243" s="42"/>
      <c r="P243" s="42" t="str">
        <f>G!AY209</f>
        <v/>
      </c>
      <c r="Q243" s="43" t="str">
        <f>G!AX209</f>
        <v>--</v>
      </c>
      <c r="R243" s="42" t="str">
        <f>G!AZ209</f>
        <v/>
      </c>
      <c r="S243" s="42" t="str">
        <f>G!BA209</f>
        <v/>
      </c>
      <c r="T243" s="43" t="str">
        <f>IFERROR(IF(OR(Q243="--",Q243="rg",VLOOKUP(F!$B209,E!$B$1:'E'!$AK$300,12,FALSE)=1000000000,R243="-",R243=""),"",(HLOOKUP(SMALL(G!$Q$4:'G'!$Y$4,4),G!$Q$4:'G'!$Y$501,ROW(G!Z209)-3,FALSE))/VLOOKUP(F!$B209,E!$B$1:'E'!$AK$300,12,FALSE)*100),"")</f>
        <v/>
      </c>
      <c r="U243" s="43"/>
      <c r="V243" s="43" t="str">
        <f>G!BC209</f>
        <v/>
      </c>
      <c r="W243" s="43" t="str">
        <f>G!BB209</f>
        <v>--</v>
      </c>
      <c r="X243" s="43"/>
      <c r="Y243" s="42" t="str">
        <f>G!BE209</f>
        <v/>
      </c>
      <c r="Z243" s="43" t="str">
        <f>G!BD209</f>
        <v>--</v>
      </c>
      <c r="AA243" s="42" t="str">
        <f>G!BF209</f>
        <v/>
      </c>
      <c r="AB243" s="42" t="str">
        <f>G!BG209</f>
        <v/>
      </c>
      <c r="AC243" s="43" t="str">
        <f>IFERROR(IF(OR(Z243="--",Z243="rg",VLOOKUP(F!$B209,E!$B$1:'E'!$AK$300,12,FALSE)=1000000000,AA243="-",AA243=""),"",(HLOOKUP(SMALL(G!$Q$4:'G'!$Y$4,7),G!$Q$4:'G'!$Y$501,ROW(G!AI209)-3,FALSE))/VLOOKUP(F!$B209,E!$B$1:'E'!$AK$300,12,FALSE)*100),"")</f>
        <v/>
      </c>
      <c r="AD243" s="43"/>
      <c r="AE243" s="34"/>
      <c r="AF243" s="34"/>
      <c r="AH243" s="72">
        <f t="shared" si="4"/>
        <v>1</v>
      </c>
      <c r="AJ243" s="34"/>
      <c r="AK243" s="34"/>
    </row>
    <row r="244" spans="1:37" s="72" customFormat="1" ht="9" hidden="1" customHeight="1" x14ac:dyDescent="0.15">
      <c r="A244" s="195" t="str">
        <f>F!A210</f>
        <v>Pirimifos-methyl</v>
      </c>
      <c r="B244" s="195"/>
      <c r="C244" s="195"/>
      <c r="D244" s="44" t="str">
        <f>G!AQ210</f>
        <v/>
      </c>
      <c r="E244" s="43" t="str">
        <f>G!AP210</f>
        <v>--</v>
      </c>
      <c r="F244" s="42"/>
      <c r="G244" s="42" t="str">
        <f>G!AS210</f>
        <v/>
      </c>
      <c r="H244" s="43" t="str">
        <f>G!AR210</f>
        <v>--</v>
      </c>
      <c r="I244" s="42" t="str">
        <f>G!AT210</f>
        <v/>
      </c>
      <c r="J244" s="42" t="str">
        <f>G!AU210</f>
        <v/>
      </c>
      <c r="K244" s="43" t="str">
        <f>IFERROR(IF(OR(H244="--",H244="rg",VLOOKUP(F!$B210,E!$B$1:'E'!$AK$300,12,FALSE)=1000000000,I244="-",I244=""),"",(HLOOKUP(SMALL(G!$Q$4:'G'!$Y$4,1),G!$Q$4:'G'!$Y$501,ROW(G!Q210)-3,FALSE))/VLOOKUP(F!$B210,E!$B$1:'E'!$AK$300,12,FALSE)*100),"")</f>
        <v/>
      </c>
      <c r="L244" s="43"/>
      <c r="M244" s="43" t="str">
        <f>G!AW210</f>
        <v/>
      </c>
      <c r="N244" s="43" t="str">
        <f>G!AV210</f>
        <v>--</v>
      </c>
      <c r="O244" s="42"/>
      <c r="P244" s="42" t="str">
        <f>G!AY210</f>
        <v/>
      </c>
      <c r="Q244" s="43" t="str">
        <f>G!AX210</f>
        <v>--</v>
      </c>
      <c r="R244" s="42" t="str">
        <f>G!AZ210</f>
        <v/>
      </c>
      <c r="S244" s="42" t="str">
        <f>G!BA210</f>
        <v/>
      </c>
      <c r="T244" s="43" t="str">
        <f>IFERROR(IF(OR(Q244="--",Q244="rg",VLOOKUP(F!$B210,E!$B$1:'E'!$AK$300,12,FALSE)=1000000000,R244="-",R244=""),"",(HLOOKUP(SMALL(G!$Q$4:'G'!$Y$4,4),G!$Q$4:'G'!$Y$501,ROW(G!Z210)-3,FALSE))/VLOOKUP(F!$B210,E!$B$1:'E'!$AK$300,12,FALSE)*100),"")</f>
        <v/>
      </c>
      <c r="U244" s="43"/>
      <c r="V244" s="43" t="str">
        <f>G!BC210</f>
        <v/>
      </c>
      <c r="W244" s="43" t="str">
        <f>G!BB210</f>
        <v>--</v>
      </c>
      <c r="X244" s="43"/>
      <c r="Y244" s="42" t="str">
        <f>G!BE210</f>
        <v/>
      </c>
      <c r="Z244" s="43" t="str">
        <f>G!BD210</f>
        <v>--</v>
      </c>
      <c r="AA244" s="42" t="str">
        <f>G!BF210</f>
        <v/>
      </c>
      <c r="AB244" s="42" t="str">
        <f>G!BG210</f>
        <v/>
      </c>
      <c r="AC244" s="43" t="str">
        <f>IFERROR(IF(OR(Z244="--",Z244="rg",VLOOKUP(F!$B210,E!$B$1:'E'!$AK$300,12,FALSE)=1000000000,AA244="-",AA244=""),"",(HLOOKUP(SMALL(G!$Q$4:'G'!$Y$4,7),G!$Q$4:'G'!$Y$501,ROW(G!AI210)-3,FALSE))/VLOOKUP(F!$B210,E!$B$1:'E'!$AK$300,12,FALSE)*100),"")</f>
        <v/>
      </c>
      <c r="AD244" s="43"/>
      <c r="AE244" s="34"/>
      <c r="AF244" s="34"/>
      <c r="AH244" s="72">
        <f t="shared" si="4"/>
        <v>1</v>
      </c>
      <c r="AJ244" s="34"/>
      <c r="AK244" s="34"/>
    </row>
    <row r="245" spans="1:37" s="72" customFormat="1" ht="9" hidden="1" customHeight="1" x14ac:dyDescent="0.15">
      <c r="A245" s="195" t="str">
        <f>F!A211</f>
        <v>Propetamfos</v>
      </c>
      <c r="B245" s="195"/>
      <c r="C245" s="195"/>
      <c r="D245" s="44" t="str">
        <f>G!AQ211</f>
        <v/>
      </c>
      <c r="E245" s="43" t="str">
        <f>G!AP211</f>
        <v>--</v>
      </c>
      <c r="F245" s="42"/>
      <c r="G245" s="42" t="str">
        <f>G!AS211</f>
        <v/>
      </c>
      <c r="H245" s="43" t="str">
        <f>G!AR211</f>
        <v>--</v>
      </c>
      <c r="I245" s="42" t="str">
        <f>G!AT211</f>
        <v/>
      </c>
      <c r="J245" s="42" t="str">
        <f>G!AU211</f>
        <v/>
      </c>
      <c r="K245" s="43" t="str">
        <f>IFERROR(IF(OR(H245="--",H245="rg",VLOOKUP(F!$B211,E!$B$1:'E'!$AK$300,12,FALSE)=1000000000,I245="-",I245=""),"",(HLOOKUP(SMALL(G!$Q$4:'G'!$Y$4,1),G!$Q$4:'G'!$Y$501,ROW(G!Q211)-3,FALSE))/VLOOKUP(F!$B211,E!$B$1:'E'!$AK$300,12,FALSE)*100),"")</f>
        <v/>
      </c>
      <c r="L245" s="43"/>
      <c r="M245" s="43" t="str">
        <f>G!AW211</f>
        <v/>
      </c>
      <c r="N245" s="43" t="str">
        <f>G!AV211</f>
        <v>--</v>
      </c>
      <c r="O245" s="42"/>
      <c r="P245" s="42" t="str">
        <f>G!AY211</f>
        <v/>
      </c>
      <c r="Q245" s="43" t="str">
        <f>G!AX211</f>
        <v>--</v>
      </c>
      <c r="R245" s="42" t="str">
        <f>G!AZ211</f>
        <v/>
      </c>
      <c r="S245" s="42" t="str">
        <f>G!BA211</f>
        <v/>
      </c>
      <c r="T245" s="43" t="str">
        <f>IFERROR(IF(OR(Q245="--",Q245="rg",VLOOKUP(F!$B211,E!$B$1:'E'!$AK$300,12,FALSE)=1000000000,R245="-",R245=""),"",(HLOOKUP(SMALL(G!$Q$4:'G'!$Y$4,4),G!$Q$4:'G'!$Y$501,ROW(G!Z211)-3,FALSE))/VLOOKUP(F!$B211,E!$B$1:'E'!$AK$300,12,FALSE)*100),"")</f>
        <v/>
      </c>
      <c r="U245" s="43"/>
      <c r="V245" s="43" t="str">
        <f>G!BC211</f>
        <v/>
      </c>
      <c r="W245" s="43" t="str">
        <f>G!BB211</f>
        <v>--</v>
      </c>
      <c r="X245" s="43"/>
      <c r="Y245" s="42" t="str">
        <f>G!BE211</f>
        <v/>
      </c>
      <c r="Z245" s="43" t="str">
        <f>G!BD211</f>
        <v>--</v>
      </c>
      <c r="AA245" s="42" t="str">
        <f>G!BF211</f>
        <v/>
      </c>
      <c r="AB245" s="42" t="str">
        <f>G!BG211</f>
        <v/>
      </c>
      <c r="AC245" s="43" t="str">
        <f>IFERROR(IF(OR(Z245="--",Z245="rg",VLOOKUP(F!$B211,E!$B$1:'E'!$AK$300,12,FALSE)=1000000000,AA245="-",AA245=""),"",(HLOOKUP(SMALL(G!$Q$4:'G'!$Y$4,7),G!$Q$4:'G'!$Y$501,ROW(G!AI211)-3,FALSE))/VLOOKUP(F!$B211,E!$B$1:'E'!$AK$300,12,FALSE)*100),"")</f>
        <v/>
      </c>
      <c r="AD245" s="43"/>
      <c r="AE245" s="34"/>
      <c r="AF245" s="34"/>
      <c r="AH245" s="72">
        <f t="shared" si="4"/>
        <v>1</v>
      </c>
      <c r="AJ245" s="34"/>
      <c r="AK245" s="34"/>
    </row>
    <row r="246" spans="1:37" s="72" customFormat="1" ht="9" hidden="1" customHeight="1" x14ac:dyDescent="0.15">
      <c r="A246" s="195" t="str">
        <f>F!A212</f>
        <v>Triazofos</v>
      </c>
      <c r="B246" s="195"/>
      <c r="C246" s="195"/>
      <c r="D246" s="44" t="str">
        <f>G!AQ212</f>
        <v/>
      </c>
      <c r="E246" s="43" t="str">
        <f>G!AP212</f>
        <v>--</v>
      </c>
      <c r="F246" s="42"/>
      <c r="G246" s="42" t="str">
        <f>G!AS212</f>
        <v/>
      </c>
      <c r="H246" s="43" t="str">
        <f>G!AR212</f>
        <v>--</v>
      </c>
      <c r="I246" s="42" t="str">
        <f>G!AT212</f>
        <v/>
      </c>
      <c r="J246" s="42" t="str">
        <f>G!AU212</f>
        <v/>
      </c>
      <c r="K246" s="43" t="str">
        <f>IFERROR(IF(OR(H246="--",H246="rg",VLOOKUP(F!$B212,E!$B$1:'E'!$AK$300,12,FALSE)=1000000000,I246="-",I246=""),"",(HLOOKUP(SMALL(G!$Q$4:'G'!$Y$4,1),G!$Q$4:'G'!$Y$501,ROW(G!Q212)-3,FALSE))/VLOOKUP(F!$B212,E!$B$1:'E'!$AK$300,12,FALSE)*100),"")</f>
        <v/>
      </c>
      <c r="L246" s="43"/>
      <c r="M246" s="43" t="str">
        <f>G!AW212</f>
        <v/>
      </c>
      <c r="N246" s="43" t="str">
        <f>G!AV212</f>
        <v>--</v>
      </c>
      <c r="O246" s="42"/>
      <c r="P246" s="42" t="str">
        <f>G!AY212</f>
        <v/>
      </c>
      <c r="Q246" s="43" t="str">
        <f>G!AX212</f>
        <v>--</v>
      </c>
      <c r="R246" s="42" t="str">
        <f>G!AZ212</f>
        <v/>
      </c>
      <c r="S246" s="42" t="str">
        <f>G!BA212</f>
        <v/>
      </c>
      <c r="T246" s="43" t="str">
        <f>IFERROR(IF(OR(Q246="--",Q246="rg",VLOOKUP(F!$B212,E!$B$1:'E'!$AK$300,12,FALSE)=1000000000,R246="-",R246=""),"",(HLOOKUP(SMALL(G!$Q$4:'G'!$Y$4,4),G!$Q$4:'G'!$Y$501,ROW(G!Z212)-3,FALSE))/VLOOKUP(F!$B212,E!$B$1:'E'!$AK$300,12,FALSE)*100),"")</f>
        <v/>
      </c>
      <c r="U246" s="43"/>
      <c r="V246" s="43" t="str">
        <f>G!BC212</f>
        <v/>
      </c>
      <c r="W246" s="43" t="str">
        <f>G!BB212</f>
        <v>--</v>
      </c>
      <c r="X246" s="43"/>
      <c r="Y246" s="42" t="str">
        <f>G!BE212</f>
        <v/>
      </c>
      <c r="Z246" s="43" t="str">
        <f>G!BD212</f>
        <v>--</v>
      </c>
      <c r="AA246" s="42" t="str">
        <f>G!BF212</f>
        <v/>
      </c>
      <c r="AB246" s="42" t="str">
        <f>G!BG212</f>
        <v/>
      </c>
      <c r="AC246" s="43" t="str">
        <f>IFERROR(IF(OR(Z246="--",Z246="rg",VLOOKUP(F!$B212,E!$B$1:'E'!$AK$300,12,FALSE)=1000000000,AA246="-",AA246=""),"",(HLOOKUP(SMALL(G!$Q$4:'G'!$Y$4,7),G!$Q$4:'G'!$Y$501,ROW(G!AI212)-3,FALSE))/VLOOKUP(F!$B212,E!$B$1:'E'!$AK$300,12,FALSE)*100),"")</f>
        <v/>
      </c>
      <c r="AD246" s="43"/>
      <c r="AE246" s="34"/>
      <c r="AF246" s="34"/>
      <c r="AH246" s="72">
        <f t="shared" si="4"/>
        <v>1</v>
      </c>
      <c r="AJ246" s="34"/>
      <c r="AK246" s="34"/>
    </row>
    <row r="247" spans="1:37" ht="3.95" hidden="1" customHeight="1" x14ac:dyDescent="0.15">
      <c r="A247" s="41"/>
      <c r="B247" s="41"/>
      <c r="C247" s="41"/>
      <c r="D247" s="44"/>
      <c r="E247" s="43"/>
      <c r="F247" s="42"/>
      <c r="G247" s="42"/>
      <c r="H247" s="43"/>
      <c r="I247" s="42"/>
      <c r="J247" s="42"/>
      <c r="K247" s="42"/>
      <c r="L247" s="43"/>
      <c r="M247" s="43"/>
      <c r="N247" s="42"/>
      <c r="O247" s="42"/>
      <c r="P247" s="43"/>
      <c r="Q247" s="42"/>
      <c r="R247" s="42"/>
      <c r="S247" s="42"/>
      <c r="T247" s="43"/>
      <c r="U247" s="43"/>
      <c r="V247" s="43"/>
      <c r="W247" s="42"/>
      <c r="X247" s="43"/>
      <c r="Y247" s="42"/>
      <c r="Z247" s="43"/>
      <c r="AA247" s="43"/>
      <c r="AC247" s="34"/>
      <c r="AD247" s="72"/>
      <c r="AF247" s="72"/>
      <c r="AG247" s="34"/>
      <c r="AH247" s="94">
        <f>AH248</f>
        <v>1</v>
      </c>
      <c r="AI247" s="34"/>
    </row>
    <row r="248" spans="1:37" ht="9" hidden="1" customHeight="1" x14ac:dyDescent="0.15">
      <c r="A248" s="198" t="str">
        <f>IF(COUNTIF(F!D211:D229,131)&gt;0,"Stikstofbestrijdingsmiddelen (µg/kgds)","Stikstofbestrijdingsmiddelen (mg/kgds)")</f>
        <v>Stikstofbestrijdingsmiddelen (mg/kgds)</v>
      </c>
      <c r="B248" s="198"/>
      <c r="C248" s="198"/>
      <c r="D248" s="198"/>
      <c r="E248" s="198"/>
      <c r="F248" s="198"/>
      <c r="G248" s="198"/>
      <c r="H248" s="198"/>
      <c r="I248" s="198"/>
      <c r="J248" s="198"/>
      <c r="K248" s="198"/>
      <c r="L248" s="198"/>
      <c r="M248" s="198"/>
      <c r="N248" s="198"/>
      <c r="O248" s="198"/>
      <c r="P248" s="198"/>
      <c r="Q248" s="198"/>
      <c r="R248" s="198"/>
      <c r="S248" s="198"/>
      <c r="T248" s="198"/>
      <c r="U248" s="198"/>
      <c r="V248" s="198"/>
      <c r="W248" s="198"/>
      <c r="X248" s="198"/>
      <c r="Y248" s="198"/>
      <c r="Z248" s="198"/>
      <c r="AA248" s="198"/>
      <c r="AC248" s="34"/>
      <c r="AD248" s="72"/>
      <c r="AF248" s="72"/>
      <c r="AG248" s="34"/>
      <c r="AH248" s="94">
        <f>IF(COUNTIF(AH249:AH267,1)=COUNT(AH249:AH267),1,0)</f>
        <v>1</v>
      </c>
      <c r="AI248" s="34"/>
    </row>
    <row r="249" spans="1:37" s="72" customFormat="1" ht="9" hidden="1" customHeight="1" x14ac:dyDescent="0.15">
      <c r="A249" s="195" t="str">
        <f>F!A213</f>
        <v>Ametryn</v>
      </c>
      <c r="B249" s="195"/>
      <c r="C249" s="195"/>
      <c r="D249" s="44" t="str">
        <f>G!AQ213</f>
        <v/>
      </c>
      <c r="E249" s="43" t="str">
        <f>G!AP213</f>
        <v>--</v>
      </c>
      <c r="F249" s="42"/>
      <c r="G249" s="42" t="str">
        <f>G!AS213</f>
        <v/>
      </c>
      <c r="H249" s="43" t="str">
        <f>G!AR213</f>
        <v>--</v>
      </c>
      <c r="I249" s="42" t="str">
        <f>G!AT213</f>
        <v/>
      </c>
      <c r="J249" s="42" t="str">
        <f>G!AU213</f>
        <v/>
      </c>
      <c r="K249" s="43" t="str">
        <f>IFERROR(IF(OR(H249="--",H249="rg",VLOOKUP(F!$B213,E!$B$1:'E'!$AK$300,12,FALSE)=1000000000,I249="-",I249=""),"",(HLOOKUP(SMALL(G!$Q$4:'G'!$Y$4,1),G!$Q$4:'G'!$Y$501,ROW(G!Q213)-3,FALSE))/VLOOKUP(F!$B213,E!$B$1:'E'!$AK$300,12,FALSE)*100),"")</f>
        <v/>
      </c>
      <c r="L249" s="43"/>
      <c r="M249" s="43" t="str">
        <f>G!AW213</f>
        <v/>
      </c>
      <c r="N249" s="43" t="str">
        <f>G!AV213</f>
        <v>--</v>
      </c>
      <c r="O249" s="42"/>
      <c r="P249" s="42" t="str">
        <f>G!AY213</f>
        <v/>
      </c>
      <c r="Q249" s="43" t="str">
        <f>G!AX213</f>
        <v>--</v>
      </c>
      <c r="R249" s="42" t="str">
        <f>G!AZ213</f>
        <v/>
      </c>
      <c r="S249" s="42" t="str">
        <f>G!BA213</f>
        <v/>
      </c>
      <c r="T249" s="43" t="str">
        <f>IFERROR(IF(OR(Q249="--",Q249="rg",VLOOKUP(F!$B213,E!$B$1:'E'!$AK$300,12,FALSE)=1000000000,R249="-",R249=""),"",(HLOOKUP(SMALL(G!$Q$4:'G'!$Y$4,4),G!$Q$4:'G'!$Y$501,ROW(G!Z213)-3,FALSE))/VLOOKUP(F!$B213,E!$B$1:'E'!$AK$300,12,FALSE)*100),"")</f>
        <v/>
      </c>
      <c r="U249" s="43"/>
      <c r="V249" s="43" t="str">
        <f>G!BC213</f>
        <v/>
      </c>
      <c r="W249" s="43" t="str">
        <f>G!BB213</f>
        <v>--</v>
      </c>
      <c r="X249" s="43"/>
      <c r="Y249" s="42" t="str">
        <f>G!BE213</f>
        <v/>
      </c>
      <c r="Z249" s="43" t="str">
        <f>G!BD213</f>
        <v>--</v>
      </c>
      <c r="AA249" s="42" t="str">
        <f>G!BF213</f>
        <v/>
      </c>
      <c r="AB249" s="42" t="str">
        <f>G!BG213</f>
        <v/>
      </c>
      <c r="AC249" s="43" t="str">
        <f>IFERROR(IF(OR(Z249="--",Z249="rg",VLOOKUP(F!$B213,E!$B$1:'E'!$AK$300,12,FALSE)=1000000000,AA249="-",AA249=""),"",(HLOOKUP(SMALL(G!$Q$4:'G'!$Y$4,7),G!$Q$4:'G'!$Y$501,ROW(G!AI213)-3,FALSE))/VLOOKUP(F!$B213,E!$B$1:'E'!$AK$300,12,FALSE)*100),"")</f>
        <v/>
      </c>
      <c r="AD249" s="43"/>
      <c r="AE249" s="34"/>
      <c r="AF249" s="34"/>
      <c r="AH249" s="72">
        <f t="shared" si="4"/>
        <v>1</v>
      </c>
      <c r="AJ249" s="34"/>
      <c r="AK249" s="34"/>
    </row>
    <row r="250" spans="1:37" s="72" customFormat="1" ht="9" hidden="1" customHeight="1" x14ac:dyDescent="0.15">
      <c r="A250" s="195" t="str">
        <f>F!A214</f>
        <v>Atraton</v>
      </c>
      <c r="B250" s="195"/>
      <c r="C250" s="195"/>
      <c r="D250" s="44" t="str">
        <f>G!AQ214</f>
        <v/>
      </c>
      <c r="E250" s="43" t="str">
        <f>G!AP214</f>
        <v>--</v>
      </c>
      <c r="F250" s="42"/>
      <c r="G250" s="42" t="str">
        <f>G!AS214</f>
        <v/>
      </c>
      <c r="H250" s="43" t="str">
        <f>G!AR214</f>
        <v>--</v>
      </c>
      <c r="I250" s="42" t="str">
        <f>G!AT214</f>
        <v/>
      </c>
      <c r="J250" s="42" t="str">
        <f>G!AU214</f>
        <v/>
      </c>
      <c r="K250" s="43" t="str">
        <f>IFERROR(IF(OR(H250="--",H250="rg",VLOOKUP(F!$B214,E!$B$1:'E'!$AK$300,12,FALSE)=1000000000,I250="-",I250=""),"",(HLOOKUP(SMALL(G!$Q$4:'G'!$Y$4,1),G!$Q$4:'G'!$Y$501,ROW(G!Q214)-3,FALSE))/VLOOKUP(F!$B214,E!$B$1:'E'!$AK$300,12,FALSE)*100),"")</f>
        <v/>
      </c>
      <c r="L250" s="43"/>
      <c r="M250" s="43" t="str">
        <f>G!AW214</f>
        <v/>
      </c>
      <c r="N250" s="43" t="str">
        <f>G!AV214</f>
        <v>--</v>
      </c>
      <c r="O250" s="42"/>
      <c r="P250" s="42" t="str">
        <f>G!AY214</f>
        <v/>
      </c>
      <c r="Q250" s="43" t="str">
        <f>G!AX214</f>
        <v>--</v>
      </c>
      <c r="R250" s="42" t="str">
        <f>G!AZ214</f>
        <v/>
      </c>
      <c r="S250" s="42" t="str">
        <f>G!BA214</f>
        <v/>
      </c>
      <c r="T250" s="43" t="str">
        <f>IFERROR(IF(OR(Q250="--",Q250="rg",VLOOKUP(F!$B214,E!$B$1:'E'!$AK$300,12,FALSE)=1000000000,R250="-",R250=""),"",(HLOOKUP(SMALL(G!$Q$4:'G'!$Y$4,4),G!$Q$4:'G'!$Y$501,ROW(G!Z214)-3,FALSE))/VLOOKUP(F!$B214,E!$B$1:'E'!$AK$300,12,FALSE)*100),"")</f>
        <v/>
      </c>
      <c r="U250" s="43"/>
      <c r="V250" s="43" t="str">
        <f>G!BC214</f>
        <v/>
      </c>
      <c r="W250" s="43" t="str">
        <f>G!BB214</f>
        <v>--</v>
      </c>
      <c r="X250" s="43"/>
      <c r="Y250" s="42" t="str">
        <f>G!BE214</f>
        <v/>
      </c>
      <c r="Z250" s="43" t="str">
        <f>G!BD214</f>
        <v>--</v>
      </c>
      <c r="AA250" s="42" t="str">
        <f>G!BF214</f>
        <v/>
      </c>
      <c r="AB250" s="42" t="str">
        <f>G!BG214</f>
        <v/>
      </c>
      <c r="AC250" s="43" t="str">
        <f>IFERROR(IF(OR(Z250="--",Z250="rg",VLOOKUP(F!$B214,E!$B$1:'E'!$AK$300,12,FALSE)=1000000000,AA250="-",AA250=""),"",(HLOOKUP(SMALL(G!$Q$4:'G'!$Y$4,7),G!$Q$4:'G'!$Y$501,ROW(G!AI214)-3,FALSE))/VLOOKUP(F!$B214,E!$B$1:'E'!$AK$300,12,FALSE)*100),"")</f>
        <v/>
      </c>
      <c r="AD250" s="43"/>
      <c r="AE250" s="34"/>
      <c r="AF250" s="34"/>
      <c r="AH250" s="72">
        <f t="shared" si="4"/>
        <v>1</v>
      </c>
      <c r="AJ250" s="34"/>
      <c r="AK250" s="34"/>
    </row>
    <row r="251" spans="1:37" s="72" customFormat="1" ht="9" hidden="1" customHeight="1" x14ac:dyDescent="0.15">
      <c r="A251" s="195" t="str">
        <f>F!A215</f>
        <v>Atrazine</v>
      </c>
      <c r="B251" s="195"/>
      <c r="C251" s="195"/>
      <c r="D251" s="44" t="str">
        <f>G!AQ215</f>
        <v/>
      </c>
      <c r="E251" s="43" t="str">
        <f>G!AP215</f>
        <v>--</v>
      </c>
      <c r="F251" s="42"/>
      <c r="G251" s="42" t="str">
        <f>G!AS215</f>
        <v/>
      </c>
      <c r="H251" s="43" t="str">
        <f>G!AR215</f>
        <v>--</v>
      </c>
      <c r="I251" s="42" t="str">
        <f>G!AT215</f>
        <v/>
      </c>
      <c r="J251" s="42" t="str">
        <f>G!AU215</f>
        <v/>
      </c>
      <c r="K251" s="43" t="str">
        <f>IFERROR(IF(OR(H251="--",H251="rg",VLOOKUP(F!$B215,E!$B$1:'E'!$AK$300,12,FALSE)=1000000000,I251="-",I251=""),"",(HLOOKUP(SMALL(G!$Q$4:'G'!$Y$4,1),G!$Q$4:'G'!$Y$501,ROW(G!Q215)-3,FALSE))/VLOOKUP(F!$B215,E!$B$1:'E'!$AK$300,12,FALSE)*100),"")</f>
        <v/>
      </c>
      <c r="L251" s="43"/>
      <c r="M251" s="43" t="str">
        <f>G!AW215</f>
        <v/>
      </c>
      <c r="N251" s="43" t="str">
        <f>G!AV215</f>
        <v>--</v>
      </c>
      <c r="O251" s="42"/>
      <c r="P251" s="42" t="str">
        <f>G!AY215</f>
        <v/>
      </c>
      <c r="Q251" s="43" t="str">
        <f>G!AX215</f>
        <v>--</v>
      </c>
      <c r="R251" s="42" t="str">
        <f>G!AZ215</f>
        <v/>
      </c>
      <c r="S251" s="42" t="str">
        <f>G!BA215</f>
        <v/>
      </c>
      <c r="T251" s="43" t="str">
        <f>IFERROR(IF(OR(Q251="--",Q251="rg",VLOOKUP(F!$B215,E!$B$1:'E'!$AK$300,12,FALSE)=1000000000,R251="-",R251=""),"",(HLOOKUP(SMALL(G!$Q$4:'G'!$Y$4,4),G!$Q$4:'G'!$Y$501,ROW(G!Z215)-3,FALSE))/VLOOKUP(F!$B215,E!$B$1:'E'!$AK$300,12,FALSE)*100),"")</f>
        <v/>
      </c>
      <c r="U251" s="43"/>
      <c r="V251" s="43" t="str">
        <f>G!BC215</f>
        <v/>
      </c>
      <c r="W251" s="43" t="str">
        <f>G!BB215</f>
        <v>--</v>
      </c>
      <c r="X251" s="43"/>
      <c r="Y251" s="42" t="str">
        <f>G!BE215</f>
        <v/>
      </c>
      <c r="Z251" s="43" t="str">
        <f>G!BD215</f>
        <v>--</v>
      </c>
      <c r="AA251" s="42" t="str">
        <f>G!BF215</f>
        <v/>
      </c>
      <c r="AB251" s="42" t="str">
        <f>G!BG215</f>
        <v/>
      </c>
      <c r="AC251" s="43" t="str">
        <f>IFERROR(IF(OR(Z251="--",Z251="rg",VLOOKUP(F!$B215,E!$B$1:'E'!$AK$300,12,FALSE)=1000000000,AA251="-",AA251=""),"",(HLOOKUP(SMALL(G!$Q$4:'G'!$Y$4,7),G!$Q$4:'G'!$Y$501,ROW(G!AI215)-3,FALSE))/VLOOKUP(F!$B215,E!$B$1:'E'!$AK$300,12,FALSE)*100),"")</f>
        <v/>
      </c>
      <c r="AD251" s="43"/>
      <c r="AE251" s="34"/>
      <c r="AF251" s="34"/>
      <c r="AH251" s="72">
        <f t="shared" si="4"/>
        <v>1</v>
      </c>
      <c r="AJ251" s="34"/>
      <c r="AK251" s="34"/>
    </row>
    <row r="252" spans="1:37" s="72" customFormat="1" ht="9" hidden="1" customHeight="1" x14ac:dyDescent="0.15">
      <c r="A252" s="195" t="str">
        <f>F!A216</f>
        <v>Carbaryl</v>
      </c>
      <c r="B252" s="195"/>
      <c r="C252" s="195"/>
      <c r="D252" s="44" t="str">
        <f>G!AQ216</f>
        <v/>
      </c>
      <c r="E252" s="43" t="str">
        <f>G!AP216</f>
        <v>--</v>
      </c>
      <c r="F252" s="42"/>
      <c r="G252" s="42" t="str">
        <f>G!AS216</f>
        <v/>
      </c>
      <c r="H252" s="43" t="str">
        <f>G!AR216</f>
        <v>--</v>
      </c>
      <c r="I252" s="42" t="str">
        <f>G!AT216</f>
        <v/>
      </c>
      <c r="J252" s="42" t="str">
        <f>G!AU216</f>
        <v/>
      </c>
      <c r="K252" s="43" t="str">
        <f>IFERROR(IF(OR(H252="--",H252="rg",VLOOKUP(F!$B216,E!$B$1:'E'!$AK$300,12,FALSE)=1000000000,I252="-",I252=""),"",(HLOOKUP(SMALL(G!$Q$4:'G'!$Y$4,1),G!$Q$4:'G'!$Y$501,ROW(G!Q216)-3,FALSE))/VLOOKUP(F!$B216,E!$B$1:'E'!$AK$300,12,FALSE)*100),"")</f>
        <v/>
      </c>
      <c r="L252" s="43"/>
      <c r="M252" s="43" t="str">
        <f>G!AW216</f>
        <v/>
      </c>
      <c r="N252" s="43" t="str">
        <f>G!AV216</f>
        <v>--</v>
      </c>
      <c r="O252" s="42"/>
      <c r="P252" s="42" t="str">
        <f>G!AY216</f>
        <v/>
      </c>
      <c r="Q252" s="43" t="str">
        <f>G!AX216</f>
        <v>--</v>
      </c>
      <c r="R252" s="42" t="str">
        <f>G!AZ216</f>
        <v/>
      </c>
      <c r="S252" s="42" t="str">
        <f>G!BA216</f>
        <v/>
      </c>
      <c r="T252" s="43" t="str">
        <f>IFERROR(IF(OR(Q252="--",Q252="rg",VLOOKUP(F!$B216,E!$B$1:'E'!$AK$300,12,FALSE)=1000000000,R252="-",R252=""),"",(HLOOKUP(SMALL(G!$Q$4:'G'!$Y$4,4),G!$Q$4:'G'!$Y$501,ROW(G!Z216)-3,FALSE))/VLOOKUP(F!$B216,E!$B$1:'E'!$AK$300,12,FALSE)*100),"")</f>
        <v/>
      </c>
      <c r="U252" s="43"/>
      <c r="V252" s="43" t="str">
        <f>G!BC216</f>
        <v/>
      </c>
      <c r="W252" s="43" t="str">
        <f>G!BB216</f>
        <v>--</v>
      </c>
      <c r="X252" s="43"/>
      <c r="Y252" s="42" t="str">
        <f>G!BE216</f>
        <v/>
      </c>
      <c r="Z252" s="43" t="str">
        <f>G!BD216</f>
        <v>--</v>
      </c>
      <c r="AA252" s="42" t="str">
        <f>G!BF216</f>
        <v/>
      </c>
      <c r="AB252" s="42" t="str">
        <f>G!BG216</f>
        <v/>
      </c>
      <c r="AC252" s="43" t="str">
        <f>IFERROR(IF(OR(Z252="--",Z252="rg",VLOOKUP(F!$B216,E!$B$1:'E'!$AK$300,12,FALSE)=1000000000,AA252="-",AA252=""),"",(HLOOKUP(SMALL(G!$Q$4:'G'!$Y$4,7),G!$Q$4:'G'!$Y$501,ROW(G!AI216)-3,FALSE))/VLOOKUP(F!$B216,E!$B$1:'E'!$AK$300,12,FALSE)*100),"")</f>
        <v/>
      </c>
      <c r="AD252" s="43"/>
      <c r="AE252" s="34"/>
      <c r="AF252" s="34"/>
      <c r="AH252" s="72">
        <f t="shared" si="4"/>
        <v>1</v>
      </c>
      <c r="AJ252" s="34"/>
      <c r="AK252" s="34"/>
    </row>
    <row r="253" spans="1:37" s="72" customFormat="1" ht="9" hidden="1" customHeight="1" x14ac:dyDescent="0.15">
      <c r="A253" s="195" t="str">
        <f>F!A217</f>
        <v>Carbofuran</v>
      </c>
      <c r="B253" s="195"/>
      <c r="C253" s="195"/>
      <c r="D253" s="44" t="str">
        <f>G!AQ217</f>
        <v/>
      </c>
      <c r="E253" s="43" t="str">
        <f>G!AP217</f>
        <v>--</v>
      </c>
      <c r="F253" s="42"/>
      <c r="G253" s="42" t="str">
        <f>G!AS217</f>
        <v/>
      </c>
      <c r="H253" s="43" t="str">
        <f>G!AR217</f>
        <v>--</v>
      </c>
      <c r="I253" s="42" t="str">
        <f>G!AT217</f>
        <v/>
      </c>
      <c r="J253" s="42" t="str">
        <f>G!AU217</f>
        <v/>
      </c>
      <c r="K253" s="43" t="str">
        <f>IFERROR(IF(OR(H253="--",H253="rg",VLOOKUP(F!$B217,E!$B$1:'E'!$AK$300,12,FALSE)=1000000000,I253="-",I253=""),"",(HLOOKUP(SMALL(G!$Q$4:'G'!$Y$4,1),G!$Q$4:'G'!$Y$501,ROW(G!Q217)-3,FALSE))/VLOOKUP(F!$B217,E!$B$1:'E'!$AK$300,12,FALSE)*100),"")</f>
        <v/>
      </c>
      <c r="L253" s="43"/>
      <c r="M253" s="43" t="str">
        <f>G!AW217</f>
        <v/>
      </c>
      <c r="N253" s="43" t="str">
        <f>G!AV217</f>
        <v>--</v>
      </c>
      <c r="O253" s="42"/>
      <c r="P253" s="42" t="str">
        <f>G!AY217</f>
        <v/>
      </c>
      <c r="Q253" s="43" t="str">
        <f>G!AX217</f>
        <v>--</v>
      </c>
      <c r="R253" s="42" t="str">
        <f>G!AZ217</f>
        <v/>
      </c>
      <c r="S253" s="42" t="str">
        <f>G!BA217</f>
        <v/>
      </c>
      <c r="T253" s="43" t="str">
        <f>IFERROR(IF(OR(Q253="--",Q253="rg",VLOOKUP(F!$B217,E!$B$1:'E'!$AK$300,12,FALSE)=1000000000,R253="-",R253=""),"",(HLOOKUP(SMALL(G!$Q$4:'G'!$Y$4,4),G!$Q$4:'G'!$Y$501,ROW(G!Z217)-3,FALSE))/VLOOKUP(F!$B217,E!$B$1:'E'!$AK$300,12,FALSE)*100),"")</f>
        <v/>
      </c>
      <c r="U253" s="43"/>
      <c r="V253" s="43" t="str">
        <f>G!BC217</f>
        <v/>
      </c>
      <c r="W253" s="43" t="str">
        <f>G!BB217</f>
        <v>--</v>
      </c>
      <c r="X253" s="43"/>
      <c r="Y253" s="42" t="str">
        <f>G!BE217</f>
        <v/>
      </c>
      <c r="Z253" s="43" t="str">
        <f>G!BD217</f>
        <v>--</v>
      </c>
      <c r="AA253" s="42" t="str">
        <f>G!BF217</f>
        <v/>
      </c>
      <c r="AB253" s="42" t="str">
        <f>G!BG217</f>
        <v/>
      </c>
      <c r="AC253" s="43" t="str">
        <f>IFERROR(IF(OR(Z253="--",Z253="rg",VLOOKUP(F!$B217,E!$B$1:'E'!$AK$300,12,FALSE)=1000000000,AA253="-",AA253=""),"",(HLOOKUP(SMALL(G!$Q$4:'G'!$Y$4,7),G!$Q$4:'G'!$Y$501,ROW(G!AI217)-3,FALSE))/VLOOKUP(F!$B217,E!$B$1:'E'!$AK$300,12,FALSE)*100),"")</f>
        <v/>
      </c>
      <c r="AD253" s="43"/>
      <c r="AE253" s="34"/>
      <c r="AF253" s="34"/>
      <c r="AH253" s="72">
        <f t="shared" si="4"/>
        <v>1</v>
      </c>
      <c r="AJ253" s="34"/>
      <c r="AK253" s="34"/>
    </row>
    <row r="254" spans="1:37" s="72" customFormat="1" ht="9" hidden="1" customHeight="1" x14ac:dyDescent="0.15">
      <c r="A254" s="195" t="str">
        <f>F!A218</f>
        <v>4-Chloormethylfenolen (som)</v>
      </c>
      <c r="B254" s="195"/>
      <c r="C254" s="195"/>
      <c r="D254" s="44" t="str">
        <f>G!AQ218</f>
        <v/>
      </c>
      <c r="E254" s="43" t="str">
        <f>G!AP218</f>
        <v>--</v>
      </c>
      <c r="F254" s="42"/>
      <c r="G254" s="42" t="str">
        <f>G!AS218</f>
        <v/>
      </c>
      <c r="H254" s="43" t="str">
        <f>G!AR218</f>
        <v>--</v>
      </c>
      <c r="I254" s="42" t="str">
        <f>G!AT218</f>
        <v/>
      </c>
      <c r="J254" s="42" t="str">
        <f>G!AU218</f>
        <v/>
      </c>
      <c r="K254" s="43" t="str">
        <f>IFERROR(IF(OR(H254="--",H254="rg",VLOOKUP(F!$B218,E!$B$1:'E'!$AK$300,12,FALSE)=1000000000,I254="-",I254=""),"",(HLOOKUP(SMALL(G!$Q$4:'G'!$Y$4,1),G!$Q$4:'G'!$Y$501,ROW(G!Q218)-3,FALSE))/VLOOKUP(F!$B218,E!$B$1:'E'!$AK$300,12,FALSE)*100),"")</f>
        <v/>
      </c>
      <c r="L254" s="43"/>
      <c r="M254" s="43" t="str">
        <f>G!AW218</f>
        <v/>
      </c>
      <c r="N254" s="43" t="str">
        <f>G!AV218</f>
        <v>--</v>
      </c>
      <c r="O254" s="42"/>
      <c r="P254" s="42" t="str">
        <f>G!AY218</f>
        <v/>
      </c>
      <c r="Q254" s="43" t="str">
        <f>G!AX218</f>
        <v>--</v>
      </c>
      <c r="R254" s="42" t="str">
        <f>G!AZ218</f>
        <v/>
      </c>
      <c r="S254" s="42" t="str">
        <f>G!BA218</f>
        <v/>
      </c>
      <c r="T254" s="43" t="str">
        <f>IFERROR(IF(OR(Q254="--",Q254="rg",VLOOKUP(F!$B218,E!$B$1:'E'!$AK$300,12,FALSE)=1000000000,R254="-",R254=""),"",(HLOOKUP(SMALL(G!$Q$4:'G'!$Y$4,4),G!$Q$4:'G'!$Y$501,ROW(G!Z218)-3,FALSE))/VLOOKUP(F!$B218,E!$B$1:'E'!$AK$300,12,FALSE)*100),"")</f>
        <v/>
      </c>
      <c r="U254" s="43"/>
      <c r="V254" s="43" t="str">
        <f>G!BC218</f>
        <v/>
      </c>
      <c r="W254" s="43" t="str">
        <f>G!BB218</f>
        <v>--</v>
      </c>
      <c r="X254" s="43"/>
      <c r="Y254" s="42" t="str">
        <f>G!BE218</f>
        <v/>
      </c>
      <c r="Z254" s="43" t="str">
        <f>G!BD218</f>
        <v>--</v>
      </c>
      <c r="AA254" s="42" t="str">
        <f>G!BF218</f>
        <v/>
      </c>
      <c r="AB254" s="42" t="str">
        <f>G!BG218</f>
        <v/>
      </c>
      <c r="AC254" s="43" t="str">
        <f>IFERROR(IF(OR(Z254="--",Z254="rg",VLOOKUP(F!$B218,E!$B$1:'E'!$AK$300,12,FALSE)=1000000000,AA254="-",AA254=""),"",(HLOOKUP(SMALL(G!$Q$4:'G'!$Y$4,7),G!$Q$4:'G'!$Y$501,ROW(G!AI218)-3,FALSE))/VLOOKUP(F!$B218,E!$B$1:'E'!$AK$300,12,FALSE)*100),"")</f>
        <v/>
      </c>
      <c r="AD254" s="43"/>
      <c r="AE254" s="34"/>
      <c r="AF254" s="34"/>
      <c r="AH254" s="72">
        <f t="shared" si="4"/>
        <v>1</v>
      </c>
      <c r="AJ254" s="34"/>
      <c r="AK254" s="34"/>
    </row>
    <row r="255" spans="1:37" s="72" customFormat="1" ht="9" hidden="1" customHeight="1" x14ac:dyDescent="0.15">
      <c r="A255" s="195" t="str">
        <f>F!A219</f>
        <v>Organostikstof- en organofosforbestrijdingsmiddelen (som)</v>
      </c>
      <c r="B255" s="195"/>
      <c r="C255" s="195"/>
      <c r="D255" s="44" t="str">
        <f>G!AQ219</f>
        <v/>
      </c>
      <c r="E255" s="43" t="str">
        <f>G!AP219</f>
        <v>--</v>
      </c>
      <c r="F255" s="42"/>
      <c r="G255" s="42" t="str">
        <f>G!AS219</f>
        <v/>
      </c>
      <c r="H255" s="43" t="str">
        <f>G!AR219</f>
        <v>--</v>
      </c>
      <c r="I255" s="42" t="str">
        <f>G!AT219</f>
        <v/>
      </c>
      <c r="J255" s="42" t="str">
        <f>G!AU219</f>
        <v/>
      </c>
      <c r="K255" s="43" t="str">
        <f>IFERROR(IF(OR(H255="--",H255="rg",VLOOKUP(F!$B219,E!$B$1:'E'!$AK$300,12,FALSE)=1000000000,I255="-",I255=""),"",(HLOOKUP(SMALL(G!$Q$4:'G'!$Y$4,1),G!$Q$4:'G'!$Y$501,ROW(G!Q219)-3,FALSE))/VLOOKUP(F!$B219,E!$B$1:'E'!$AK$300,12,FALSE)*100),"")</f>
        <v/>
      </c>
      <c r="L255" s="43"/>
      <c r="M255" s="43" t="str">
        <f>G!AW219</f>
        <v/>
      </c>
      <c r="N255" s="43" t="str">
        <f>G!AV219</f>
        <v>--</v>
      </c>
      <c r="O255" s="42"/>
      <c r="P255" s="42" t="str">
        <f>G!AY219</f>
        <v/>
      </c>
      <c r="Q255" s="43" t="str">
        <f>G!AX219</f>
        <v>--</v>
      </c>
      <c r="R255" s="42" t="str">
        <f>G!AZ219</f>
        <v/>
      </c>
      <c r="S255" s="42" t="str">
        <f>G!BA219</f>
        <v/>
      </c>
      <c r="T255" s="43" t="str">
        <f>IFERROR(IF(OR(Q255="--",Q255="rg",VLOOKUP(F!$B219,E!$B$1:'E'!$AK$300,12,FALSE)=1000000000,R255="-",R255=""),"",(HLOOKUP(SMALL(G!$Q$4:'G'!$Y$4,4),G!$Q$4:'G'!$Y$501,ROW(G!Z219)-3,FALSE))/VLOOKUP(F!$B219,E!$B$1:'E'!$AK$300,12,FALSE)*100),"")</f>
        <v/>
      </c>
      <c r="U255" s="43"/>
      <c r="V255" s="43" t="str">
        <f>G!BC219</f>
        <v/>
      </c>
      <c r="W255" s="43" t="str">
        <f>G!BB219</f>
        <v>--</v>
      </c>
      <c r="X255" s="43"/>
      <c r="Y255" s="42" t="str">
        <f>G!BE219</f>
        <v/>
      </c>
      <c r="Z255" s="43" t="str">
        <f>G!BD219</f>
        <v>--</v>
      </c>
      <c r="AA255" s="42" t="str">
        <f>G!BF219</f>
        <v/>
      </c>
      <c r="AB255" s="42" t="str">
        <f>G!BG219</f>
        <v/>
      </c>
      <c r="AC255" s="43" t="str">
        <f>IFERROR(IF(OR(Z255="--",Z255="rg",VLOOKUP(F!$B219,E!$B$1:'E'!$AK$300,12,FALSE)=1000000000,AA255="-",AA255=""),"",(HLOOKUP(SMALL(G!$Q$4:'G'!$Y$4,7),G!$Q$4:'G'!$Y$501,ROW(G!AI219)-3,FALSE))/VLOOKUP(F!$B219,E!$B$1:'E'!$AK$300,12,FALSE)*100),"")</f>
        <v/>
      </c>
      <c r="AD255" s="43"/>
      <c r="AE255" s="34"/>
      <c r="AF255" s="34"/>
      <c r="AH255" s="72">
        <f t="shared" si="4"/>
        <v>1</v>
      </c>
      <c r="AJ255" s="34"/>
      <c r="AK255" s="34"/>
    </row>
    <row r="256" spans="1:37" s="72" customFormat="1" ht="9" hidden="1" customHeight="1" x14ac:dyDescent="0.15">
      <c r="A256" s="195" t="str">
        <f>F!A220</f>
        <v>Organotinverbindingen (som)</v>
      </c>
      <c r="B256" s="195"/>
      <c r="C256" s="195"/>
      <c r="D256" s="44" t="str">
        <f>G!AQ220</f>
        <v/>
      </c>
      <c r="E256" s="43" t="str">
        <f>G!AP220</f>
        <v>--</v>
      </c>
      <c r="F256" s="42"/>
      <c r="G256" s="42" t="str">
        <f>G!AS220</f>
        <v/>
      </c>
      <c r="H256" s="43" t="str">
        <f>G!AR220</f>
        <v>--</v>
      </c>
      <c r="I256" s="42" t="str">
        <f>G!AT220</f>
        <v/>
      </c>
      <c r="J256" s="42" t="str">
        <f>G!AU220</f>
        <v/>
      </c>
      <c r="K256" s="43" t="str">
        <f>IFERROR(IF(OR(H256="--",H256="rg",VLOOKUP(F!$B220,E!$B$1:'E'!$AK$300,12,FALSE)=1000000000,I256="-",I256=""),"",(HLOOKUP(SMALL(G!$Q$4:'G'!$Y$4,1),G!$Q$4:'G'!$Y$501,ROW(G!Q220)-3,FALSE))/VLOOKUP(F!$B220,E!$B$1:'E'!$AK$300,12,FALSE)*100),"")</f>
        <v/>
      </c>
      <c r="L256" s="43"/>
      <c r="M256" s="43" t="str">
        <f>G!AW220</f>
        <v/>
      </c>
      <c r="N256" s="43" t="str">
        <f>G!AV220</f>
        <v>--</v>
      </c>
      <c r="O256" s="42"/>
      <c r="P256" s="42" t="str">
        <f>G!AY220</f>
        <v/>
      </c>
      <c r="Q256" s="43" t="str">
        <f>G!AX220</f>
        <v>--</v>
      </c>
      <c r="R256" s="42" t="str">
        <f>G!AZ220</f>
        <v/>
      </c>
      <c r="S256" s="42" t="str">
        <f>G!BA220</f>
        <v/>
      </c>
      <c r="T256" s="43" t="str">
        <f>IFERROR(IF(OR(Q256="--",Q256="rg",VLOOKUP(F!$B220,E!$B$1:'E'!$AK$300,12,FALSE)=1000000000,R256="-",R256=""),"",(HLOOKUP(SMALL(G!$Q$4:'G'!$Y$4,4),G!$Q$4:'G'!$Y$501,ROW(G!Z220)-3,FALSE))/VLOOKUP(F!$B220,E!$B$1:'E'!$AK$300,12,FALSE)*100),"")</f>
        <v/>
      </c>
      <c r="U256" s="43"/>
      <c r="V256" s="43" t="str">
        <f>G!BC220</f>
        <v/>
      </c>
      <c r="W256" s="43" t="str">
        <f>G!BB220</f>
        <v>--</v>
      </c>
      <c r="X256" s="43"/>
      <c r="Y256" s="42" t="str">
        <f>G!BE220</f>
        <v/>
      </c>
      <c r="Z256" s="43" t="str">
        <f>G!BD220</f>
        <v>--</v>
      </c>
      <c r="AA256" s="42" t="str">
        <f>G!BF220</f>
        <v/>
      </c>
      <c r="AB256" s="42" t="str">
        <f>G!BG220</f>
        <v/>
      </c>
      <c r="AC256" s="43" t="str">
        <f>IFERROR(IF(OR(Z256="--",Z256="rg",VLOOKUP(F!$B220,E!$B$1:'E'!$AK$300,12,FALSE)=1000000000,AA256="-",AA256=""),"",(HLOOKUP(SMALL(G!$Q$4:'G'!$Y$4,7),G!$Q$4:'G'!$Y$501,ROW(G!AI220)-3,FALSE))/VLOOKUP(F!$B220,E!$B$1:'E'!$AK$300,12,FALSE)*100),"")</f>
        <v/>
      </c>
      <c r="AD256" s="43"/>
      <c r="AE256" s="34"/>
      <c r="AF256" s="34"/>
      <c r="AH256" s="72">
        <f t="shared" si="4"/>
        <v>1</v>
      </c>
      <c r="AJ256" s="34"/>
      <c r="AK256" s="34"/>
    </row>
    <row r="257" spans="1:37" s="72" customFormat="1" ht="9" hidden="1" customHeight="1" x14ac:dyDescent="0.15">
      <c r="A257" s="195" t="str">
        <f>F!A221</f>
        <v>Tributyltin (TBT)</v>
      </c>
      <c r="B257" s="195"/>
      <c r="C257" s="195"/>
      <c r="D257" s="44" t="str">
        <f>G!AQ221</f>
        <v/>
      </c>
      <c r="E257" s="43" t="str">
        <f>G!AP221</f>
        <v>--</v>
      </c>
      <c r="F257" s="42"/>
      <c r="G257" s="42" t="str">
        <f>G!AS221</f>
        <v/>
      </c>
      <c r="H257" s="43" t="str">
        <f>G!AR221</f>
        <v>--</v>
      </c>
      <c r="I257" s="42" t="str">
        <f>G!AT221</f>
        <v/>
      </c>
      <c r="J257" s="42" t="str">
        <f>G!AU221</f>
        <v/>
      </c>
      <c r="K257" s="43" t="str">
        <f>IFERROR(IF(OR(H257="--",H257="rg",VLOOKUP(F!$B221,E!$B$1:'E'!$AK$300,12,FALSE)=1000000000,I257="-",I257=""),"",(HLOOKUP(SMALL(G!$Q$4:'G'!$Y$4,1),G!$Q$4:'G'!$Y$501,ROW(G!Q221)-3,FALSE))/VLOOKUP(F!$B221,E!$B$1:'E'!$AK$300,12,FALSE)*100),"")</f>
        <v/>
      </c>
      <c r="L257" s="43"/>
      <c r="M257" s="43" t="str">
        <f>G!AW221</f>
        <v/>
      </c>
      <c r="N257" s="43" t="str">
        <f>G!AV221</f>
        <v>--</v>
      </c>
      <c r="O257" s="42"/>
      <c r="P257" s="42" t="str">
        <f>G!AY221</f>
        <v/>
      </c>
      <c r="Q257" s="43" t="str">
        <f>G!AX221</f>
        <v>--</v>
      </c>
      <c r="R257" s="42" t="str">
        <f>G!AZ221</f>
        <v/>
      </c>
      <c r="S257" s="42" t="str">
        <f>G!BA221</f>
        <v/>
      </c>
      <c r="T257" s="43" t="str">
        <f>IFERROR(IF(OR(Q257="--",Q257="rg",VLOOKUP(F!$B221,E!$B$1:'E'!$AK$300,12,FALSE)=1000000000,R257="-",R257=""),"",(HLOOKUP(SMALL(G!$Q$4:'G'!$Y$4,4),G!$Q$4:'G'!$Y$501,ROW(G!Z221)-3,FALSE))/VLOOKUP(F!$B221,E!$B$1:'E'!$AK$300,12,FALSE)*100),"")</f>
        <v/>
      </c>
      <c r="U257" s="43"/>
      <c r="V257" s="43" t="str">
        <f>G!BC221</f>
        <v/>
      </c>
      <c r="W257" s="43" t="str">
        <f>G!BB221</f>
        <v>--</v>
      </c>
      <c r="X257" s="43"/>
      <c r="Y257" s="42" t="str">
        <f>G!BE221</f>
        <v/>
      </c>
      <c r="Z257" s="43" t="str">
        <f>G!BD221</f>
        <v>--</v>
      </c>
      <c r="AA257" s="42" t="str">
        <f>G!BF221</f>
        <v/>
      </c>
      <c r="AB257" s="42" t="str">
        <f>G!BG221</f>
        <v/>
      </c>
      <c r="AC257" s="43" t="str">
        <f>IFERROR(IF(OR(Z257="--",Z257="rg",VLOOKUP(F!$B221,E!$B$1:'E'!$AK$300,12,FALSE)=1000000000,AA257="-",AA257=""),"",(HLOOKUP(SMALL(G!$Q$4:'G'!$Y$4,7),G!$Q$4:'G'!$Y$501,ROW(G!AI221)-3,FALSE))/VLOOKUP(F!$B221,E!$B$1:'E'!$AK$300,12,FALSE)*100),"")</f>
        <v/>
      </c>
      <c r="AD257" s="43"/>
      <c r="AE257" s="34"/>
      <c r="AF257" s="34"/>
      <c r="AH257" s="72">
        <f t="shared" si="4"/>
        <v>1</v>
      </c>
      <c r="AJ257" s="34"/>
      <c r="AK257" s="34"/>
    </row>
    <row r="258" spans="1:37" s="72" customFormat="1" ht="9" hidden="1" customHeight="1" x14ac:dyDescent="0.15">
      <c r="A258" s="195" t="str">
        <f>F!A222</f>
        <v>MCPA</v>
      </c>
      <c r="B258" s="195"/>
      <c r="C258" s="195"/>
      <c r="D258" s="44" t="str">
        <f>G!AQ222</f>
        <v/>
      </c>
      <c r="E258" s="43" t="str">
        <f>G!AP222</f>
        <v>--</v>
      </c>
      <c r="F258" s="42"/>
      <c r="G258" s="42" t="str">
        <f>G!AS222</f>
        <v/>
      </c>
      <c r="H258" s="43" t="str">
        <f>G!AR222</f>
        <v>--</v>
      </c>
      <c r="I258" s="42" t="str">
        <f>G!AT222</f>
        <v/>
      </c>
      <c r="J258" s="42" t="str">
        <f>G!AU222</f>
        <v/>
      </c>
      <c r="K258" s="43" t="str">
        <f>IFERROR(IF(OR(H258="--",H258="rg",VLOOKUP(F!$B222,E!$B$1:'E'!$AK$300,12,FALSE)=1000000000,I258="-",I258=""),"",(HLOOKUP(SMALL(G!$Q$4:'G'!$Y$4,1),G!$Q$4:'G'!$Y$501,ROW(G!Q222)-3,FALSE))/VLOOKUP(F!$B222,E!$B$1:'E'!$AK$300,12,FALSE)*100),"")</f>
        <v/>
      </c>
      <c r="L258" s="43"/>
      <c r="M258" s="43" t="str">
        <f>G!AW222</f>
        <v/>
      </c>
      <c r="N258" s="43" t="str">
        <f>G!AV222</f>
        <v>--</v>
      </c>
      <c r="O258" s="42"/>
      <c r="P258" s="42" t="str">
        <f>G!AY222</f>
        <v/>
      </c>
      <c r="Q258" s="43" t="str">
        <f>G!AX222</f>
        <v>--</v>
      </c>
      <c r="R258" s="42" t="str">
        <f>G!AZ222</f>
        <v/>
      </c>
      <c r="S258" s="42" t="str">
        <f>G!BA222</f>
        <v/>
      </c>
      <c r="T258" s="43" t="str">
        <f>IFERROR(IF(OR(Q258="--",Q258="rg",VLOOKUP(F!$B222,E!$B$1:'E'!$AK$300,12,FALSE)=1000000000,R258="-",R258=""),"",(HLOOKUP(SMALL(G!$Q$4:'G'!$Y$4,4),G!$Q$4:'G'!$Y$501,ROW(G!Z222)-3,FALSE))/VLOOKUP(F!$B222,E!$B$1:'E'!$AK$300,12,FALSE)*100),"")</f>
        <v/>
      </c>
      <c r="U258" s="43"/>
      <c r="V258" s="43" t="str">
        <f>G!BC222</f>
        <v/>
      </c>
      <c r="W258" s="43" t="str">
        <f>G!BB222</f>
        <v>--</v>
      </c>
      <c r="X258" s="43"/>
      <c r="Y258" s="42" t="str">
        <f>G!BE222</f>
        <v/>
      </c>
      <c r="Z258" s="43" t="str">
        <f>G!BD222</f>
        <v>--</v>
      </c>
      <c r="AA258" s="42" t="str">
        <f>G!BF222</f>
        <v/>
      </c>
      <c r="AB258" s="42" t="str">
        <f>G!BG222</f>
        <v/>
      </c>
      <c r="AC258" s="43" t="str">
        <f>IFERROR(IF(OR(Z258="--",Z258="rg",VLOOKUP(F!$B222,E!$B$1:'E'!$AK$300,12,FALSE)=1000000000,AA258="-",AA258=""),"",(HLOOKUP(SMALL(G!$Q$4:'G'!$Y$4,7),G!$Q$4:'G'!$Y$501,ROW(G!AI222)-3,FALSE))/VLOOKUP(F!$B222,E!$B$1:'E'!$AK$300,12,FALSE)*100),"")</f>
        <v/>
      </c>
      <c r="AD258" s="43"/>
      <c r="AE258" s="34"/>
      <c r="AF258" s="34"/>
      <c r="AH258" s="72">
        <f t="shared" si="4"/>
        <v>1</v>
      </c>
      <c r="AJ258" s="34"/>
      <c r="AK258" s="34"/>
    </row>
    <row r="259" spans="1:37" s="72" customFormat="1" ht="9" hidden="1" customHeight="1" x14ac:dyDescent="0.15">
      <c r="A259" s="195" t="str">
        <f>F!A223</f>
        <v>Prometryn</v>
      </c>
      <c r="B259" s="195"/>
      <c r="C259" s="195"/>
      <c r="D259" s="44" t="str">
        <f>G!AQ223</f>
        <v/>
      </c>
      <c r="E259" s="43" t="str">
        <f>G!AP223</f>
        <v>--</v>
      </c>
      <c r="F259" s="42"/>
      <c r="G259" s="42" t="str">
        <f>G!AS223</f>
        <v/>
      </c>
      <c r="H259" s="43" t="str">
        <f>G!AR223</f>
        <v>--</v>
      </c>
      <c r="I259" s="42" t="str">
        <f>G!AT223</f>
        <v/>
      </c>
      <c r="J259" s="42" t="str">
        <f>G!AU223</f>
        <v/>
      </c>
      <c r="K259" s="43" t="str">
        <f>IFERROR(IF(OR(H259="--",H259="rg",VLOOKUP(F!$B223,E!$B$1:'E'!$AK$300,12,FALSE)=1000000000,I259="-",I259=""),"",(HLOOKUP(SMALL(G!$Q$4:'G'!$Y$4,1),G!$Q$4:'G'!$Y$501,ROW(G!Q223)-3,FALSE))/VLOOKUP(F!$B223,E!$B$1:'E'!$AK$300,12,FALSE)*100),"")</f>
        <v/>
      </c>
      <c r="L259" s="43"/>
      <c r="M259" s="43" t="str">
        <f>G!AW223</f>
        <v/>
      </c>
      <c r="N259" s="43" t="str">
        <f>G!AV223</f>
        <v>--</v>
      </c>
      <c r="O259" s="42"/>
      <c r="P259" s="42" t="str">
        <f>G!AY223</f>
        <v/>
      </c>
      <c r="Q259" s="43" t="str">
        <f>G!AX223</f>
        <v>--</v>
      </c>
      <c r="R259" s="42" t="str">
        <f>G!AZ223</f>
        <v/>
      </c>
      <c r="S259" s="42" t="str">
        <f>G!BA223</f>
        <v/>
      </c>
      <c r="T259" s="43" t="str">
        <f>IFERROR(IF(OR(Q259="--",Q259="rg",VLOOKUP(F!$B223,E!$B$1:'E'!$AK$300,12,FALSE)=1000000000,R259="-",R259=""),"",(HLOOKUP(SMALL(G!$Q$4:'G'!$Y$4,4),G!$Q$4:'G'!$Y$501,ROW(G!Z223)-3,FALSE))/VLOOKUP(F!$B223,E!$B$1:'E'!$AK$300,12,FALSE)*100),"")</f>
        <v/>
      </c>
      <c r="U259" s="43"/>
      <c r="V259" s="43" t="str">
        <f>G!BC223</f>
        <v/>
      </c>
      <c r="W259" s="43" t="str">
        <f>G!BB223</f>
        <v>--</v>
      </c>
      <c r="X259" s="43"/>
      <c r="Y259" s="42" t="str">
        <f>G!BE223</f>
        <v/>
      </c>
      <c r="Z259" s="43" t="str">
        <f>G!BD223</f>
        <v>--</v>
      </c>
      <c r="AA259" s="42" t="str">
        <f>G!BF223</f>
        <v/>
      </c>
      <c r="AB259" s="42" t="str">
        <f>G!BG223</f>
        <v/>
      </c>
      <c r="AC259" s="43" t="str">
        <f>IFERROR(IF(OR(Z259="--",Z259="rg",VLOOKUP(F!$B223,E!$B$1:'E'!$AK$300,12,FALSE)=1000000000,AA259="-",AA259=""),"",(HLOOKUP(SMALL(G!$Q$4:'G'!$Y$4,7),G!$Q$4:'G'!$Y$501,ROW(G!AI223)-3,FALSE))/VLOOKUP(F!$B223,E!$B$1:'E'!$AK$300,12,FALSE)*100),"")</f>
        <v/>
      </c>
      <c r="AD259" s="43"/>
      <c r="AE259" s="34"/>
      <c r="AF259" s="34"/>
      <c r="AH259" s="72">
        <f t="shared" si="4"/>
        <v>1</v>
      </c>
      <c r="AJ259" s="34"/>
      <c r="AK259" s="34"/>
    </row>
    <row r="260" spans="1:37" s="72" customFormat="1" ht="9" hidden="1" customHeight="1" x14ac:dyDescent="0.15">
      <c r="A260" s="195" t="str">
        <f>F!A224</f>
        <v>Prometon</v>
      </c>
      <c r="B260" s="195"/>
      <c r="C260" s="195"/>
      <c r="D260" s="44" t="str">
        <f>G!AQ224</f>
        <v/>
      </c>
      <c r="E260" s="43" t="str">
        <f>G!AP224</f>
        <v>--</v>
      </c>
      <c r="F260" s="42"/>
      <c r="G260" s="42" t="str">
        <f>G!AS224</f>
        <v/>
      </c>
      <c r="H260" s="43" t="str">
        <f>G!AR224</f>
        <v>--</v>
      </c>
      <c r="I260" s="42" t="str">
        <f>G!AT224</f>
        <v/>
      </c>
      <c r="J260" s="42" t="str">
        <f>G!AU224</f>
        <v/>
      </c>
      <c r="K260" s="43" t="str">
        <f>IFERROR(IF(OR(H260="--",H260="rg",VLOOKUP(F!$B224,E!$B$1:'E'!$AK$300,12,FALSE)=1000000000,I260="-",I260=""),"",(HLOOKUP(SMALL(G!$Q$4:'G'!$Y$4,1),G!$Q$4:'G'!$Y$501,ROW(G!Q224)-3,FALSE))/VLOOKUP(F!$B224,E!$B$1:'E'!$AK$300,12,FALSE)*100),"")</f>
        <v/>
      </c>
      <c r="L260" s="43"/>
      <c r="M260" s="43" t="str">
        <f>G!AW224</f>
        <v/>
      </c>
      <c r="N260" s="43" t="str">
        <f>G!AV224</f>
        <v>--</v>
      </c>
      <c r="O260" s="42"/>
      <c r="P260" s="42" t="str">
        <f>G!AY224</f>
        <v/>
      </c>
      <c r="Q260" s="43" t="str">
        <f>G!AX224</f>
        <v>--</v>
      </c>
      <c r="R260" s="42" t="str">
        <f>G!AZ224</f>
        <v/>
      </c>
      <c r="S260" s="42" t="str">
        <f>G!BA224</f>
        <v/>
      </c>
      <c r="T260" s="43" t="str">
        <f>IFERROR(IF(OR(Q260="--",Q260="rg",VLOOKUP(F!$B224,E!$B$1:'E'!$AK$300,12,FALSE)=1000000000,R260="-",R260=""),"",(HLOOKUP(SMALL(G!$Q$4:'G'!$Y$4,4),G!$Q$4:'G'!$Y$501,ROW(G!Z224)-3,FALSE))/VLOOKUP(F!$B224,E!$B$1:'E'!$AK$300,12,FALSE)*100),"")</f>
        <v/>
      </c>
      <c r="U260" s="43"/>
      <c r="V260" s="43" t="str">
        <f>G!BC224</f>
        <v/>
      </c>
      <c r="W260" s="43" t="str">
        <f>G!BB224</f>
        <v>--</v>
      </c>
      <c r="X260" s="43"/>
      <c r="Y260" s="42" t="str">
        <f>G!BE224</f>
        <v/>
      </c>
      <c r="Z260" s="43" t="str">
        <f>G!BD224</f>
        <v>--</v>
      </c>
      <c r="AA260" s="42" t="str">
        <f>G!BF224</f>
        <v/>
      </c>
      <c r="AB260" s="42" t="str">
        <f>G!BG224</f>
        <v/>
      </c>
      <c r="AC260" s="43" t="str">
        <f>IFERROR(IF(OR(Z260="--",Z260="rg",VLOOKUP(F!$B224,E!$B$1:'E'!$AK$300,12,FALSE)=1000000000,AA260="-",AA260=""),"",(HLOOKUP(SMALL(G!$Q$4:'G'!$Y$4,7),G!$Q$4:'G'!$Y$501,ROW(G!AI224)-3,FALSE))/VLOOKUP(F!$B224,E!$B$1:'E'!$AK$300,12,FALSE)*100),"")</f>
        <v/>
      </c>
      <c r="AD260" s="43"/>
      <c r="AE260" s="34"/>
      <c r="AF260" s="34"/>
      <c r="AH260" s="72">
        <f t="shared" si="4"/>
        <v>1</v>
      </c>
      <c r="AJ260" s="34"/>
      <c r="AK260" s="34"/>
    </row>
    <row r="261" spans="1:37" s="72" customFormat="1" ht="9" hidden="1" customHeight="1" x14ac:dyDescent="0.15">
      <c r="A261" s="195" t="str">
        <f>F!A225</f>
        <v>Propazine</v>
      </c>
      <c r="B261" s="195"/>
      <c r="C261" s="195"/>
      <c r="D261" s="44" t="str">
        <f>G!AQ225</f>
        <v/>
      </c>
      <c r="E261" s="43" t="str">
        <f>G!AP225</f>
        <v>--</v>
      </c>
      <c r="F261" s="42"/>
      <c r="G261" s="42" t="str">
        <f>G!AS225</f>
        <v/>
      </c>
      <c r="H261" s="43" t="str">
        <f>G!AR225</f>
        <v>--</v>
      </c>
      <c r="I261" s="42" t="str">
        <f>G!AT225</f>
        <v/>
      </c>
      <c r="J261" s="42" t="str">
        <f>G!AU225</f>
        <v/>
      </c>
      <c r="K261" s="43" t="str">
        <f>IFERROR(IF(OR(H261="--",H261="rg",VLOOKUP(F!$B225,E!$B$1:'E'!$AK$300,12,FALSE)=1000000000,I261="-",I261=""),"",(HLOOKUP(SMALL(G!$Q$4:'G'!$Y$4,1),G!$Q$4:'G'!$Y$501,ROW(G!Q225)-3,FALSE))/VLOOKUP(F!$B225,E!$B$1:'E'!$AK$300,12,FALSE)*100),"")</f>
        <v/>
      </c>
      <c r="L261" s="43"/>
      <c r="M261" s="43" t="str">
        <f>G!AW225</f>
        <v/>
      </c>
      <c r="N261" s="43" t="str">
        <f>G!AV225</f>
        <v>--</v>
      </c>
      <c r="O261" s="42"/>
      <c r="P261" s="42" t="str">
        <f>G!AY225</f>
        <v/>
      </c>
      <c r="Q261" s="43" t="str">
        <f>G!AX225</f>
        <v>--</v>
      </c>
      <c r="R261" s="42" t="str">
        <f>G!AZ225</f>
        <v/>
      </c>
      <c r="S261" s="42" t="str">
        <f>G!BA225</f>
        <v/>
      </c>
      <c r="T261" s="43" t="str">
        <f>IFERROR(IF(OR(Q261="--",Q261="rg",VLOOKUP(F!$B225,E!$B$1:'E'!$AK$300,12,FALSE)=1000000000,R261="-",R261=""),"",(HLOOKUP(SMALL(G!$Q$4:'G'!$Y$4,4),G!$Q$4:'G'!$Y$501,ROW(G!Z225)-3,FALSE))/VLOOKUP(F!$B225,E!$B$1:'E'!$AK$300,12,FALSE)*100),"")</f>
        <v/>
      </c>
      <c r="U261" s="43"/>
      <c r="V261" s="43" t="str">
        <f>G!BC225</f>
        <v/>
      </c>
      <c r="W261" s="43" t="str">
        <f>G!BB225</f>
        <v>--</v>
      </c>
      <c r="X261" s="43"/>
      <c r="Y261" s="42" t="str">
        <f>G!BE225</f>
        <v/>
      </c>
      <c r="Z261" s="43" t="str">
        <f>G!BD225</f>
        <v>--</v>
      </c>
      <c r="AA261" s="42" t="str">
        <f>G!BF225</f>
        <v/>
      </c>
      <c r="AB261" s="42" t="str">
        <f>G!BG225</f>
        <v/>
      </c>
      <c r="AC261" s="43" t="str">
        <f>IFERROR(IF(OR(Z261="--",Z261="rg",VLOOKUP(F!$B225,E!$B$1:'E'!$AK$300,12,FALSE)=1000000000,AA261="-",AA261=""),"",(HLOOKUP(SMALL(G!$Q$4:'G'!$Y$4,7),G!$Q$4:'G'!$Y$501,ROW(G!AI225)-3,FALSE))/VLOOKUP(F!$B225,E!$B$1:'E'!$AK$300,12,FALSE)*100),"")</f>
        <v/>
      </c>
      <c r="AD261" s="43"/>
      <c r="AE261" s="34"/>
      <c r="AF261" s="34"/>
      <c r="AH261" s="72">
        <f t="shared" si="4"/>
        <v>1</v>
      </c>
      <c r="AJ261" s="34"/>
      <c r="AK261" s="34"/>
    </row>
    <row r="262" spans="1:37" s="72" customFormat="1" ht="9" hidden="1" customHeight="1" x14ac:dyDescent="0.15">
      <c r="A262" s="195" t="str">
        <f>F!A226</f>
        <v>Simazine</v>
      </c>
      <c r="B262" s="195"/>
      <c r="C262" s="195"/>
      <c r="D262" s="44" t="str">
        <f>G!AQ226</f>
        <v/>
      </c>
      <c r="E262" s="43" t="str">
        <f>G!AP226</f>
        <v>--</v>
      </c>
      <c r="F262" s="42"/>
      <c r="G262" s="42" t="str">
        <f>G!AS226</f>
        <v/>
      </c>
      <c r="H262" s="43" t="str">
        <f>G!AR226</f>
        <v>--</v>
      </c>
      <c r="I262" s="42" t="str">
        <f>G!AT226</f>
        <v/>
      </c>
      <c r="J262" s="42" t="str">
        <f>G!AU226</f>
        <v/>
      </c>
      <c r="K262" s="43" t="str">
        <f>IFERROR(IF(OR(H262="--",H262="rg",VLOOKUP(F!$B226,E!$B$1:'E'!$AK$300,12,FALSE)=1000000000,I262="-",I262=""),"",(HLOOKUP(SMALL(G!$Q$4:'G'!$Y$4,1),G!$Q$4:'G'!$Y$501,ROW(G!Q226)-3,FALSE))/VLOOKUP(F!$B226,E!$B$1:'E'!$AK$300,12,FALSE)*100),"")</f>
        <v/>
      </c>
      <c r="L262" s="43"/>
      <c r="M262" s="43" t="str">
        <f>G!AW226</f>
        <v/>
      </c>
      <c r="N262" s="43" t="str">
        <f>G!AV226</f>
        <v>--</v>
      </c>
      <c r="O262" s="42"/>
      <c r="P262" s="42" t="str">
        <f>G!AY226</f>
        <v/>
      </c>
      <c r="Q262" s="43" t="str">
        <f>G!AX226</f>
        <v>--</v>
      </c>
      <c r="R262" s="42" t="str">
        <f>G!AZ226</f>
        <v/>
      </c>
      <c r="S262" s="42" t="str">
        <f>G!BA226</f>
        <v/>
      </c>
      <c r="T262" s="43" t="str">
        <f>IFERROR(IF(OR(Q262="--",Q262="rg",VLOOKUP(F!$B226,E!$B$1:'E'!$AK$300,12,FALSE)=1000000000,R262="-",R262=""),"",(HLOOKUP(SMALL(G!$Q$4:'G'!$Y$4,4),G!$Q$4:'G'!$Y$501,ROW(G!Z226)-3,FALSE))/VLOOKUP(F!$B226,E!$B$1:'E'!$AK$300,12,FALSE)*100),"")</f>
        <v/>
      </c>
      <c r="U262" s="43"/>
      <c r="V262" s="43" t="str">
        <f>G!BC226</f>
        <v/>
      </c>
      <c r="W262" s="43" t="str">
        <f>G!BB226</f>
        <v>--</v>
      </c>
      <c r="X262" s="43"/>
      <c r="Y262" s="42" t="str">
        <f>G!BE226</f>
        <v/>
      </c>
      <c r="Z262" s="43" t="str">
        <f>G!BD226</f>
        <v>--</v>
      </c>
      <c r="AA262" s="42" t="str">
        <f>G!BF226</f>
        <v/>
      </c>
      <c r="AB262" s="42" t="str">
        <f>G!BG226</f>
        <v/>
      </c>
      <c r="AC262" s="43" t="str">
        <f>IFERROR(IF(OR(Z262="--",Z262="rg",VLOOKUP(F!$B226,E!$B$1:'E'!$AK$300,12,FALSE)=1000000000,AA262="-",AA262=""),"",(HLOOKUP(SMALL(G!$Q$4:'G'!$Y$4,7),G!$Q$4:'G'!$Y$501,ROW(G!AI226)-3,FALSE))/VLOOKUP(F!$B226,E!$B$1:'E'!$AK$300,12,FALSE)*100),"")</f>
        <v/>
      </c>
      <c r="AD262" s="43"/>
      <c r="AE262" s="34"/>
      <c r="AF262" s="34"/>
      <c r="AH262" s="72">
        <f t="shared" si="4"/>
        <v>1</v>
      </c>
      <c r="AJ262" s="34"/>
      <c r="AK262" s="34"/>
    </row>
    <row r="263" spans="1:37" s="72" customFormat="1" ht="9" hidden="1" customHeight="1" x14ac:dyDescent="0.15">
      <c r="A263" s="195" t="str">
        <f>F!A227</f>
        <v>Simetryn</v>
      </c>
      <c r="B263" s="195"/>
      <c r="C263" s="195"/>
      <c r="D263" s="44" t="str">
        <f>G!AQ227</f>
        <v/>
      </c>
      <c r="E263" s="43" t="str">
        <f>G!AP227</f>
        <v>--</v>
      </c>
      <c r="F263" s="42"/>
      <c r="G263" s="42" t="str">
        <f>G!AS227</f>
        <v/>
      </c>
      <c r="H263" s="43" t="str">
        <f>G!AR227</f>
        <v>--</v>
      </c>
      <c r="I263" s="42" t="str">
        <f>G!AT227</f>
        <v/>
      </c>
      <c r="J263" s="42" t="str">
        <f>G!AU227</f>
        <v/>
      </c>
      <c r="K263" s="43" t="str">
        <f>IFERROR(IF(OR(H263="--",H263="rg",VLOOKUP(F!$B227,E!$B$1:'E'!$AK$300,12,FALSE)=1000000000,I263="-",I263=""),"",(HLOOKUP(SMALL(G!$Q$4:'G'!$Y$4,1),G!$Q$4:'G'!$Y$501,ROW(G!Q227)-3,FALSE))/VLOOKUP(F!$B227,E!$B$1:'E'!$AK$300,12,FALSE)*100),"")</f>
        <v/>
      </c>
      <c r="L263" s="43"/>
      <c r="M263" s="43" t="str">
        <f>G!AW227</f>
        <v/>
      </c>
      <c r="N263" s="43" t="str">
        <f>G!AV227</f>
        <v>--</v>
      </c>
      <c r="O263" s="42"/>
      <c r="P263" s="42" t="str">
        <f>G!AY227</f>
        <v/>
      </c>
      <c r="Q263" s="43" t="str">
        <f>G!AX227</f>
        <v>--</v>
      </c>
      <c r="R263" s="42" t="str">
        <f>G!AZ227</f>
        <v/>
      </c>
      <c r="S263" s="42" t="str">
        <f>G!BA227</f>
        <v/>
      </c>
      <c r="T263" s="43" t="str">
        <f>IFERROR(IF(OR(Q263="--",Q263="rg",VLOOKUP(F!$B227,E!$B$1:'E'!$AK$300,12,FALSE)=1000000000,R263="-",R263=""),"",(HLOOKUP(SMALL(G!$Q$4:'G'!$Y$4,4),G!$Q$4:'G'!$Y$501,ROW(G!Z227)-3,FALSE))/VLOOKUP(F!$B227,E!$B$1:'E'!$AK$300,12,FALSE)*100),"")</f>
        <v/>
      </c>
      <c r="U263" s="43"/>
      <c r="V263" s="43" t="str">
        <f>G!BC227</f>
        <v/>
      </c>
      <c r="W263" s="43" t="str">
        <f>G!BB227</f>
        <v>--</v>
      </c>
      <c r="X263" s="43"/>
      <c r="Y263" s="42" t="str">
        <f>G!BE227</f>
        <v/>
      </c>
      <c r="Z263" s="43" t="str">
        <f>G!BD227</f>
        <v>--</v>
      </c>
      <c r="AA263" s="42" t="str">
        <f>G!BF227</f>
        <v/>
      </c>
      <c r="AB263" s="42" t="str">
        <f>G!BG227</f>
        <v/>
      </c>
      <c r="AC263" s="43" t="str">
        <f>IFERROR(IF(OR(Z263="--",Z263="rg",VLOOKUP(F!$B227,E!$B$1:'E'!$AK$300,12,FALSE)=1000000000,AA263="-",AA263=""),"",(HLOOKUP(SMALL(G!$Q$4:'G'!$Y$4,7),G!$Q$4:'G'!$Y$501,ROW(G!AI227)-3,FALSE))/VLOOKUP(F!$B227,E!$B$1:'E'!$AK$300,12,FALSE)*100),"")</f>
        <v/>
      </c>
      <c r="AD263" s="43"/>
      <c r="AE263" s="34"/>
      <c r="AF263" s="34"/>
      <c r="AH263" s="72">
        <f t="shared" si="4"/>
        <v>1</v>
      </c>
      <c r="AJ263" s="34"/>
      <c r="AK263" s="34"/>
    </row>
    <row r="264" spans="1:37" s="72" customFormat="1" ht="9" hidden="1" customHeight="1" x14ac:dyDescent="0.15">
      <c r="A264" s="195" t="str">
        <f>F!A228</f>
        <v>Terbutryn</v>
      </c>
      <c r="B264" s="195"/>
      <c r="C264" s="195"/>
      <c r="D264" s="44" t="str">
        <f>G!AQ228</f>
        <v/>
      </c>
      <c r="E264" s="43" t="str">
        <f>G!AP228</f>
        <v>--</v>
      </c>
      <c r="F264" s="42"/>
      <c r="G264" s="42" t="str">
        <f>G!AS228</f>
        <v/>
      </c>
      <c r="H264" s="43" t="str">
        <f>G!AR228</f>
        <v>--</v>
      </c>
      <c r="I264" s="42" t="str">
        <f>G!AT228</f>
        <v/>
      </c>
      <c r="J264" s="42" t="str">
        <f>G!AU228</f>
        <v/>
      </c>
      <c r="K264" s="43" t="str">
        <f>IFERROR(IF(OR(H264="--",H264="rg",VLOOKUP(F!$B228,E!$B$1:'E'!$AK$300,12,FALSE)=1000000000,I264="-",I264=""),"",(HLOOKUP(SMALL(G!$Q$4:'G'!$Y$4,1),G!$Q$4:'G'!$Y$501,ROW(G!Q228)-3,FALSE))/VLOOKUP(F!$B228,E!$B$1:'E'!$AK$300,12,FALSE)*100),"")</f>
        <v/>
      </c>
      <c r="L264" s="43"/>
      <c r="M264" s="43" t="str">
        <f>G!AW228</f>
        <v/>
      </c>
      <c r="N264" s="43" t="str">
        <f>G!AV228</f>
        <v>--</v>
      </c>
      <c r="O264" s="42"/>
      <c r="P264" s="42" t="str">
        <f>G!AY228</f>
        <v/>
      </c>
      <c r="Q264" s="43" t="str">
        <f>G!AX228</f>
        <v>--</v>
      </c>
      <c r="R264" s="42" t="str">
        <f>G!AZ228</f>
        <v/>
      </c>
      <c r="S264" s="42" t="str">
        <f>G!BA228</f>
        <v/>
      </c>
      <c r="T264" s="43" t="str">
        <f>IFERROR(IF(OR(Q264="--",Q264="rg",VLOOKUP(F!$B228,E!$B$1:'E'!$AK$300,12,FALSE)=1000000000,R264="-",R264=""),"",(HLOOKUP(SMALL(G!$Q$4:'G'!$Y$4,4),G!$Q$4:'G'!$Y$501,ROW(G!Z228)-3,FALSE))/VLOOKUP(F!$B228,E!$B$1:'E'!$AK$300,12,FALSE)*100),"")</f>
        <v/>
      </c>
      <c r="U264" s="43"/>
      <c r="V264" s="43" t="str">
        <f>G!BC228</f>
        <v/>
      </c>
      <c r="W264" s="43" t="str">
        <f>G!BB228</f>
        <v>--</v>
      </c>
      <c r="X264" s="43"/>
      <c r="Y264" s="42" t="str">
        <f>G!BE228</f>
        <v/>
      </c>
      <c r="Z264" s="43" t="str">
        <f>G!BD228</f>
        <v>--</v>
      </c>
      <c r="AA264" s="42" t="str">
        <f>G!BF228</f>
        <v/>
      </c>
      <c r="AB264" s="42" t="str">
        <f>G!BG228</f>
        <v/>
      </c>
      <c r="AC264" s="43" t="str">
        <f>IFERROR(IF(OR(Z264="--",Z264="rg",VLOOKUP(F!$B228,E!$B$1:'E'!$AK$300,12,FALSE)=1000000000,AA264="-",AA264=""),"",(HLOOKUP(SMALL(G!$Q$4:'G'!$Y$4,7),G!$Q$4:'G'!$Y$501,ROW(G!AI228)-3,FALSE))/VLOOKUP(F!$B228,E!$B$1:'E'!$AK$300,12,FALSE)*100),"")</f>
        <v/>
      </c>
      <c r="AD264" s="43"/>
      <c r="AE264" s="34"/>
      <c r="AF264" s="34"/>
      <c r="AH264" s="72">
        <f t="shared" si="4"/>
        <v>1</v>
      </c>
      <c r="AJ264" s="34"/>
      <c r="AK264" s="34"/>
    </row>
    <row r="265" spans="1:37" s="72" customFormat="1" ht="9" hidden="1" customHeight="1" x14ac:dyDescent="0.15">
      <c r="A265" s="195" t="str">
        <f>F!A229</f>
        <v>Terbuthylazine</v>
      </c>
      <c r="B265" s="195"/>
      <c r="C265" s="195"/>
      <c r="D265" s="44" t="str">
        <f>G!AQ229</f>
        <v/>
      </c>
      <c r="E265" s="43" t="str">
        <f>G!AP229</f>
        <v>--</v>
      </c>
      <c r="F265" s="42"/>
      <c r="G265" s="42" t="str">
        <f>G!AS229</f>
        <v/>
      </c>
      <c r="H265" s="43" t="str">
        <f>G!AR229</f>
        <v>--</v>
      </c>
      <c r="I265" s="42" t="str">
        <f>G!AT229</f>
        <v/>
      </c>
      <c r="J265" s="42" t="str">
        <f>G!AU229</f>
        <v/>
      </c>
      <c r="K265" s="43" t="str">
        <f>IFERROR(IF(OR(H265="--",H265="rg",VLOOKUP(F!$B229,E!$B$1:'E'!$AK$300,12,FALSE)=1000000000,I265="-",I265=""),"",(HLOOKUP(SMALL(G!$Q$4:'G'!$Y$4,1),G!$Q$4:'G'!$Y$501,ROW(G!Q229)-3,FALSE))/VLOOKUP(F!$B229,E!$B$1:'E'!$AK$300,12,FALSE)*100),"")</f>
        <v/>
      </c>
      <c r="L265" s="43"/>
      <c r="M265" s="43" t="str">
        <f>G!AW229</f>
        <v/>
      </c>
      <c r="N265" s="43" t="str">
        <f>G!AV229</f>
        <v>--</v>
      </c>
      <c r="O265" s="42"/>
      <c r="P265" s="42" t="str">
        <f>G!AY229</f>
        <v/>
      </c>
      <c r="Q265" s="43" t="str">
        <f>G!AX229</f>
        <v>--</v>
      </c>
      <c r="R265" s="42" t="str">
        <f>G!AZ229</f>
        <v/>
      </c>
      <c r="S265" s="42" t="str">
        <f>G!BA229</f>
        <v/>
      </c>
      <c r="T265" s="43" t="str">
        <f>IFERROR(IF(OR(Q265="--",Q265="rg",VLOOKUP(F!$B229,E!$B$1:'E'!$AK$300,12,FALSE)=1000000000,R265="-",R265=""),"",(HLOOKUP(SMALL(G!$Q$4:'G'!$Y$4,4),G!$Q$4:'G'!$Y$501,ROW(G!Z229)-3,FALSE))/VLOOKUP(F!$B229,E!$B$1:'E'!$AK$300,12,FALSE)*100),"")</f>
        <v/>
      </c>
      <c r="U265" s="43"/>
      <c r="V265" s="43" t="str">
        <f>G!BC229</f>
        <v/>
      </c>
      <c r="W265" s="43" t="str">
        <f>G!BB229</f>
        <v>--</v>
      </c>
      <c r="X265" s="43"/>
      <c r="Y265" s="42" t="str">
        <f>G!BE229</f>
        <v/>
      </c>
      <c r="Z265" s="43" t="str">
        <f>G!BD229</f>
        <v>--</v>
      </c>
      <c r="AA265" s="42" t="str">
        <f>G!BF229</f>
        <v/>
      </c>
      <c r="AB265" s="42" t="str">
        <f>G!BG229</f>
        <v/>
      </c>
      <c r="AC265" s="43" t="str">
        <f>IFERROR(IF(OR(Z265="--",Z265="rg",VLOOKUP(F!$B229,E!$B$1:'E'!$AK$300,12,FALSE)=1000000000,AA265="-",AA265=""),"",(HLOOKUP(SMALL(G!$Q$4:'G'!$Y$4,7),G!$Q$4:'G'!$Y$501,ROW(G!AI229)-3,FALSE))/VLOOKUP(F!$B229,E!$B$1:'E'!$AK$300,12,FALSE)*100),"")</f>
        <v/>
      </c>
      <c r="AD265" s="43"/>
      <c r="AE265" s="34"/>
      <c r="AF265" s="34"/>
      <c r="AH265" s="72">
        <f t="shared" si="4"/>
        <v>1</v>
      </c>
      <c r="AJ265" s="34"/>
      <c r="AK265" s="34"/>
    </row>
    <row r="266" spans="1:37" s="72" customFormat="1" ht="9" hidden="1" customHeight="1" x14ac:dyDescent="0.15">
      <c r="A266" s="195" t="str">
        <f>F!A230</f>
        <v>Triadimefon</v>
      </c>
      <c r="B266" s="195"/>
      <c r="C266" s="195"/>
      <c r="D266" s="44" t="str">
        <f>G!AQ230</f>
        <v/>
      </c>
      <c r="E266" s="43" t="str">
        <f>G!AP230</f>
        <v>--</v>
      </c>
      <c r="F266" s="42"/>
      <c r="G266" s="42" t="str">
        <f>G!AS230</f>
        <v/>
      </c>
      <c r="H266" s="43" t="str">
        <f>G!AR230</f>
        <v>--</v>
      </c>
      <c r="I266" s="42" t="str">
        <f>G!AT230</f>
        <v/>
      </c>
      <c r="J266" s="42" t="str">
        <f>G!AU230</f>
        <v/>
      </c>
      <c r="K266" s="43" t="str">
        <f>IFERROR(IF(OR(H266="--",H266="rg",VLOOKUP(F!$B230,E!$B$1:'E'!$AK$300,12,FALSE)=1000000000,I266="-",I266=""),"",(HLOOKUP(SMALL(G!$Q$4:'G'!$Y$4,1),G!$Q$4:'G'!$Y$501,ROW(G!Q230)-3,FALSE))/VLOOKUP(F!$B230,E!$B$1:'E'!$AK$300,12,FALSE)*100),"")</f>
        <v/>
      </c>
      <c r="L266" s="43"/>
      <c r="M266" s="43" t="str">
        <f>G!AW230</f>
        <v/>
      </c>
      <c r="N266" s="43" t="str">
        <f>G!AV230</f>
        <v>--</v>
      </c>
      <c r="O266" s="42"/>
      <c r="P266" s="42" t="str">
        <f>G!AY230</f>
        <v/>
      </c>
      <c r="Q266" s="43" t="str">
        <f>G!AX230</f>
        <v>--</v>
      </c>
      <c r="R266" s="42" t="str">
        <f>G!AZ230</f>
        <v/>
      </c>
      <c r="S266" s="42" t="str">
        <f>G!BA230</f>
        <v/>
      </c>
      <c r="T266" s="43" t="str">
        <f>IFERROR(IF(OR(Q266="--",Q266="rg",VLOOKUP(F!$B230,E!$B$1:'E'!$AK$300,12,FALSE)=1000000000,R266="-",R266=""),"",(HLOOKUP(SMALL(G!$Q$4:'G'!$Y$4,4),G!$Q$4:'G'!$Y$501,ROW(G!Z230)-3,FALSE))/VLOOKUP(F!$B230,E!$B$1:'E'!$AK$300,12,FALSE)*100),"")</f>
        <v/>
      </c>
      <c r="U266" s="43"/>
      <c r="V266" s="43" t="str">
        <f>G!BC230</f>
        <v/>
      </c>
      <c r="W266" s="43" t="str">
        <f>G!BB230</f>
        <v>--</v>
      </c>
      <c r="X266" s="43"/>
      <c r="Y266" s="42" t="str">
        <f>G!BE230</f>
        <v/>
      </c>
      <c r="Z266" s="43" t="str">
        <f>G!BD230</f>
        <v>--</v>
      </c>
      <c r="AA266" s="42" t="str">
        <f>G!BF230</f>
        <v/>
      </c>
      <c r="AB266" s="42" t="str">
        <f>G!BG230</f>
        <v/>
      </c>
      <c r="AC266" s="43" t="str">
        <f>IFERROR(IF(OR(Z266="--",Z266="rg",VLOOKUP(F!$B230,E!$B$1:'E'!$AK$300,12,FALSE)=1000000000,AA266="-",AA266=""),"",(HLOOKUP(SMALL(G!$Q$4:'G'!$Y$4,7),G!$Q$4:'G'!$Y$501,ROW(G!AI230)-3,FALSE))/VLOOKUP(F!$B230,E!$B$1:'E'!$AK$300,12,FALSE)*100),"")</f>
        <v/>
      </c>
      <c r="AD266" s="43"/>
      <c r="AE266" s="34"/>
      <c r="AF266" s="34"/>
      <c r="AH266" s="72">
        <f t="shared" si="4"/>
        <v>1</v>
      </c>
      <c r="AJ266" s="34"/>
      <c r="AK266" s="34"/>
    </row>
    <row r="267" spans="1:37" s="72" customFormat="1" ht="9" hidden="1" customHeight="1" x14ac:dyDescent="0.15">
      <c r="A267" s="195" t="str">
        <f>F!A231</f>
        <v>Trifluralin</v>
      </c>
      <c r="B267" s="195"/>
      <c r="C267" s="195"/>
      <c r="D267" s="44" t="str">
        <f>G!AQ231</f>
        <v/>
      </c>
      <c r="E267" s="43" t="str">
        <f>G!AP231</f>
        <v>--</v>
      </c>
      <c r="F267" s="42"/>
      <c r="G267" s="42" t="str">
        <f>G!AS231</f>
        <v/>
      </c>
      <c r="H267" s="43" t="str">
        <f>G!AR231</f>
        <v>--</v>
      </c>
      <c r="I267" s="42" t="str">
        <f>G!AT231</f>
        <v/>
      </c>
      <c r="J267" s="42" t="str">
        <f>G!AU231</f>
        <v/>
      </c>
      <c r="K267" s="43" t="str">
        <f>IFERROR(IF(OR(H267="--",H267="rg",VLOOKUP(F!$B231,E!$B$1:'E'!$AK$300,12,FALSE)=1000000000,I267="-",I267=""),"",(HLOOKUP(SMALL(G!$Q$4:'G'!$Y$4,1),G!$Q$4:'G'!$Y$501,ROW(G!Q231)-3,FALSE))/VLOOKUP(F!$B231,E!$B$1:'E'!$AK$300,12,FALSE)*100),"")</f>
        <v/>
      </c>
      <c r="L267" s="43"/>
      <c r="M267" s="43" t="str">
        <f>G!AW231</f>
        <v/>
      </c>
      <c r="N267" s="43" t="str">
        <f>G!AV231</f>
        <v>--</v>
      </c>
      <c r="O267" s="42"/>
      <c r="P267" s="42" t="str">
        <f>G!AY231</f>
        <v/>
      </c>
      <c r="Q267" s="43" t="str">
        <f>G!AX231</f>
        <v>--</v>
      </c>
      <c r="R267" s="42" t="str">
        <f>G!AZ231</f>
        <v/>
      </c>
      <c r="S267" s="42" t="str">
        <f>G!BA231</f>
        <v/>
      </c>
      <c r="T267" s="43" t="str">
        <f>IFERROR(IF(OR(Q267="--",Q267="rg",VLOOKUP(F!$B231,E!$B$1:'E'!$AK$300,12,FALSE)=1000000000,R267="-",R267=""),"",(HLOOKUP(SMALL(G!$Q$4:'G'!$Y$4,4),G!$Q$4:'G'!$Y$501,ROW(G!Z231)-3,FALSE))/VLOOKUP(F!$B231,E!$B$1:'E'!$AK$300,12,FALSE)*100),"")</f>
        <v/>
      </c>
      <c r="U267" s="43"/>
      <c r="V267" s="43" t="str">
        <f>G!BC231</f>
        <v/>
      </c>
      <c r="W267" s="43" t="str">
        <f>G!BB231</f>
        <v>--</v>
      </c>
      <c r="X267" s="43"/>
      <c r="Y267" s="42" t="str">
        <f>G!BE231</f>
        <v/>
      </c>
      <c r="Z267" s="43" t="str">
        <f>G!BD231</f>
        <v>--</v>
      </c>
      <c r="AA267" s="42" t="str">
        <f>G!BF231</f>
        <v/>
      </c>
      <c r="AB267" s="42" t="str">
        <f>G!BG231</f>
        <v/>
      </c>
      <c r="AC267" s="43" t="str">
        <f>IFERROR(IF(OR(Z267="--",Z267="rg",VLOOKUP(F!$B231,E!$B$1:'E'!$AK$300,12,FALSE)=1000000000,AA267="-",AA267=""),"",(HLOOKUP(SMALL(G!$Q$4:'G'!$Y$4,7),G!$Q$4:'G'!$Y$501,ROW(G!AI231)-3,FALSE))/VLOOKUP(F!$B231,E!$B$1:'E'!$AK$300,12,FALSE)*100),"")</f>
        <v/>
      </c>
      <c r="AD267" s="43"/>
      <c r="AE267" s="34"/>
      <c r="AF267" s="34"/>
      <c r="AH267" s="72">
        <f t="shared" si="4"/>
        <v>1</v>
      </c>
      <c r="AJ267" s="34"/>
      <c r="AK267" s="34"/>
    </row>
    <row r="268" spans="1:37" ht="3.95" hidden="1" customHeight="1" x14ac:dyDescent="0.15">
      <c r="A268" s="41"/>
      <c r="B268" s="41"/>
      <c r="C268" s="41"/>
      <c r="D268" s="44"/>
      <c r="E268" s="43"/>
      <c r="F268" s="42"/>
      <c r="G268" s="42"/>
      <c r="H268" s="43"/>
      <c r="I268" s="42"/>
      <c r="J268" s="42"/>
      <c r="K268" s="42"/>
      <c r="L268" s="43"/>
      <c r="M268" s="43"/>
      <c r="N268" s="42"/>
      <c r="O268" s="42"/>
      <c r="P268" s="43"/>
      <c r="Q268" s="42"/>
      <c r="R268" s="42"/>
      <c r="S268" s="42"/>
      <c r="T268" s="43"/>
      <c r="U268" s="43"/>
      <c r="V268" s="43"/>
      <c r="W268" s="42"/>
      <c r="X268" s="43"/>
      <c r="Y268" s="42"/>
      <c r="Z268" s="43"/>
      <c r="AA268" s="43"/>
      <c r="AC268" s="34"/>
      <c r="AD268" s="72"/>
      <c r="AF268" s="72"/>
      <c r="AG268" s="34"/>
      <c r="AH268" s="94">
        <f>AH269</f>
        <v>1</v>
      </c>
      <c r="AI268" s="34"/>
    </row>
    <row r="269" spans="1:37" ht="9" hidden="1" customHeight="1" x14ac:dyDescent="0.15">
      <c r="A269" s="198" t="str">
        <f>IF(COUNTIF(F!D230:D237,131)&gt;0,"Ftalaten (µg/kgds)","Ftalaten (mg/kgds)")</f>
        <v>Ftalaten (mg/kgds)</v>
      </c>
      <c r="B269" s="198"/>
      <c r="C269" s="198"/>
      <c r="D269" s="198"/>
      <c r="E269" s="198"/>
      <c r="F269" s="198"/>
      <c r="G269" s="198"/>
      <c r="H269" s="198"/>
      <c r="I269" s="198"/>
      <c r="J269" s="198"/>
      <c r="K269" s="198"/>
      <c r="L269" s="198"/>
      <c r="M269" s="198"/>
      <c r="N269" s="198"/>
      <c r="O269" s="198"/>
      <c r="P269" s="198"/>
      <c r="Q269" s="198"/>
      <c r="R269" s="198"/>
      <c r="S269" s="198"/>
      <c r="T269" s="198"/>
      <c r="U269" s="198"/>
      <c r="V269" s="198"/>
      <c r="W269" s="198"/>
      <c r="X269" s="198"/>
      <c r="Y269" s="198"/>
      <c r="Z269" s="198"/>
      <c r="AA269" s="198"/>
      <c r="AC269" s="34"/>
      <c r="AD269" s="72"/>
      <c r="AF269" s="72"/>
      <c r="AG269" s="34"/>
      <c r="AH269" s="94">
        <f>IF(COUNTIF(AH270:AH277,1)=COUNT(AH270:AH277),1,0)</f>
        <v>1</v>
      </c>
      <c r="AI269" s="34"/>
    </row>
    <row r="270" spans="1:37" s="72" customFormat="1" ht="9" hidden="1" customHeight="1" x14ac:dyDescent="0.15">
      <c r="A270" s="195" t="str">
        <f>F!A232</f>
        <v>Butylbenzylftalaat</v>
      </c>
      <c r="B270" s="195"/>
      <c r="C270" s="195"/>
      <c r="D270" s="44" t="str">
        <f>G!AQ232</f>
        <v/>
      </c>
      <c r="E270" s="43" t="str">
        <f>G!AP232</f>
        <v>--</v>
      </c>
      <c r="F270" s="42"/>
      <c r="G270" s="42" t="str">
        <f>G!AS232</f>
        <v/>
      </c>
      <c r="H270" s="43" t="str">
        <f>G!AR232</f>
        <v>--</v>
      </c>
      <c r="I270" s="42" t="str">
        <f>G!AT232</f>
        <v/>
      </c>
      <c r="J270" s="42" t="str">
        <f>G!AU232</f>
        <v/>
      </c>
      <c r="K270" s="43" t="str">
        <f>IFERROR(IF(OR(H270="--",H270="rg",VLOOKUP(F!$B232,E!$B$1:'E'!$AK$300,12,FALSE)=1000000000,I270="-",I270=""),"",(HLOOKUP(SMALL(G!$Q$4:'G'!$Y$4,1),G!$Q$4:'G'!$Y$501,ROW(G!Q232)-3,FALSE))/VLOOKUP(F!$B232,E!$B$1:'E'!$AK$300,12,FALSE)*100),"")</f>
        <v/>
      </c>
      <c r="L270" s="43"/>
      <c r="M270" s="43" t="str">
        <f>G!AW232</f>
        <v/>
      </c>
      <c r="N270" s="43" t="str">
        <f>G!AV232</f>
        <v>--</v>
      </c>
      <c r="O270" s="42"/>
      <c r="P270" s="42" t="str">
        <f>G!AY232</f>
        <v/>
      </c>
      <c r="Q270" s="43" t="str">
        <f>G!AX232</f>
        <v>--</v>
      </c>
      <c r="R270" s="42" t="str">
        <f>G!AZ232</f>
        <v/>
      </c>
      <c r="S270" s="42" t="str">
        <f>G!BA232</f>
        <v/>
      </c>
      <c r="T270" s="43" t="str">
        <f>IFERROR(IF(OR(Q270="--",Q270="rg",VLOOKUP(F!$B232,E!$B$1:'E'!$AK$300,12,FALSE)=1000000000,R270="-",R270=""),"",(HLOOKUP(SMALL(G!$Q$4:'G'!$Y$4,4),G!$Q$4:'G'!$Y$501,ROW(G!Z232)-3,FALSE))/VLOOKUP(F!$B232,E!$B$1:'E'!$AK$300,12,FALSE)*100),"")</f>
        <v/>
      </c>
      <c r="U270" s="43"/>
      <c r="V270" s="43" t="str">
        <f>G!BC232</f>
        <v/>
      </c>
      <c r="W270" s="43" t="str">
        <f>G!BB232</f>
        <v>--</v>
      </c>
      <c r="X270" s="43"/>
      <c r="Y270" s="42" t="str">
        <f>G!BE232</f>
        <v/>
      </c>
      <c r="Z270" s="43" t="str">
        <f>G!BD232</f>
        <v>--</v>
      </c>
      <c r="AA270" s="42" t="str">
        <f>G!BF232</f>
        <v/>
      </c>
      <c r="AB270" s="42" t="str">
        <f>G!BG232</f>
        <v/>
      </c>
      <c r="AC270" s="43" t="str">
        <f>IFERROR(IF(OR(Z270="--",Z270="rg",VLOOKUP(F!$B232,E!$B$1:'E'!$AK$300,12,FALSE)=1000000000,AA270="-",AA270=""),"",(HLOOKUP(SMALL(G!$Q$4:'G'!$Y$4,7),G!$Q$4:'G'!$Y$501,ROW(G!AI232)-3,FALSE))/VLOOKUP(F!$B232,E!$B$1:'E'!$AK$300,12,FALSE)*100),"")</f>
        <v/>
      </c>
      <c r="AD270" s="43"/>
      <c r="AE270" s="34"/>
      <c r="AF270" s="34"/>
      <c r="AH270" s="72">
        <f t="shared" ref="AH270:AH333" si="5">IF(AND(E270="--",N270="--",W270="--"),1,0)</f>
        <v>1</v>
      </c>
      <c r="AJ270" s="34"/>
      <c r="AK270" s="34"/>
    </row>
    <row r="271" spans="1:37" s="72" customFormat="1" ht="9" hidden="1" customHeight="1" x14ac:dyDescent="0.15">
      <c r="A271" s="195" t="str">
        <f>F!A233</f>
        <v>Di-2-ethylhexylftalaat</v>
      </c>
      <c r="B271" s="195"/>
      <c r="C271" s="195"/>
      <c r="D271" s="44" t="str">
        <f>G!AQ233</f>
        <v/>
      </c>
      <c r="E271" s="43" t="str">
        <f>G!AP233</f>
        <v>--</v>
      </c>
      <c r="F271" s="42"/>
      <c r="G271" s="42" t="str">
        <f>G!AS233</f>
        <v/>
      </c>
      <c r="H271" s="43" t="str">
        <f>G!AR233</f>
        <v>--</v>
      </c>
      <c r="I271" s="42" t="str">
        <f>G!AT233</f>
        <v/>
      </c>
      <c r="J271" s="42" t="str">
        <f>G!AU233</f>
        <v/>
      </c>
      <c r="K271" s="43" t="str">
        <f>IFERROR(IF(OR(H271="--",H271="rg",VLOOKUP(F!$B233,E!$B$1:'E'!$AK$300,12,FALSE)=1000000000,I271="-",I271=""),"",(HLOOKUP(SMALL(G!$Q$4:'G'!$Y$4,1),G!$Q$4:'G'!$Y$501,ROW(G!Q233)-3,FALSE))/VLOOKUP(F!$B233,E!$B$1:'E'!$AK$300,12,FALSE)*100),"")</f>
        <v/>
      </c>
      <c r="L271" s="43"/>
      <c r="M271" s="43" t="str">
        <f>G!AW233</f>
        <v/>
      </c>
      <c r="N271" s="43" t="str">
        <f>G!AV233</f>
        <v>--</v>
      </c>
      <c r="O271" s="42"/>
      <c r="P271" s="42" t="str">
        <f>G!AY233</f>
        <v/>
      </c>
      <c r="Q271" s="43" t="str">
        <f>G!AX233</f>
        <v>--</v>
      </c>
      <c r="R271" s="42" t="str">
        <f>G!AZ233</f>
        <v/>
      </c>
      <c r="S271" s="42" t="str">
        <f>G!BA233</f>
        <v/>
      </c>
      <c r="T271" s="43" t="str">
        <f>IFERROR(IF(OR(Q271="--",Q271="rg",VLOOKUP(F!$B233,E!$B$1:'E'!$AK$300,12,FALSE)=1000000000,R271="-",R271=""),"",(HLOOKUP(SMALL(G!$Q$4:'G'!$Y$4,4),G!$Q$4:'G'!$Y$501,ROW(G!Z233)-3,FALSE))/VLOOKUP(F!$B233,E!$B$1:'E'!$AK$300,12,FALSE)*100),"")</f>
        <v/>
      </c>
      <c r="U271" s="43"/>
      <c r="V271" s="43" t="str">
        <f>G!BC233</f>
        <v/>
      </c>
      <c r="W271" s="43" t="str">
        <f>G!BB233</f>
        <v>--</v>
      </c>
      <c r="X271" s="43"/>
      <c r="Y271" s="42" t="str">
        <f>G!BE233</f>
        <v/>
      </c>
      <c r="Z271" s="43" t="str">
        <f>G!BD233</f>
        <v>--</v>
      </c>
      <c r="AA271" s="42" t="str">
        <f>G!BF233</f>
        <v/>
      </c>
      <c r="AB271" s="42" t="str">
        <f>G!BG233</f>
        <v/>
      </c>
      <c r="AC271" s="43" t="str">
        <f>IFERROR(IF(OR(Z271="--",Z271="rg",VLOOKUP(F!$B233,E!$B$1:'E'!$AK$300,12,FALSE)=1000000000,AA271="-",AA271=""),"",(HLOOKUP(SMALL(G!$Q$4:'G'!$Y$4,7),G!$Q$4:'G'!$Y$501,ROW(G!AI233)-3,FALSE))/VLOOKUP(F!$B233,E!$B$1:'E'!$AK$300,12,FALSE)*100),"")</f>
        <v/>
      </c>
      <c r="AD271" s="43"/>
      <c r="AE271" s="34"/>
      <c r="AF271" s="34"/>
      <c r="AH271" s="72">
        <f t="shared" si="5"/>
        <v>1</v>
      </c>
      <c r="AJ271" s="34"/>
      <c r="AK271" s="34"/>
    </row>
    <row r="272" spans="1:37" s="72" customFormat="1" ht="9" hidden="1" customHeight="1" x14ac:dyDescent="0.15">
      <c r="A272" s="195" t="str">
        <f>F!A234</f>
        <v>Diethylftalaat</v>
      </c>
      <c r="B272" s="195"/>
      <c r="C272" s="195"/>
      <c r="D272" s="44" t="str">
        <f>G!AQ234</f>
        <v/>
      </c>
      <c r="E272" s="43" t="str">
        <f>G!AP234</f>
        <v>--</v>
      </c>
      <c r="F272" s="42"/>
      <c r="G272" s="42" t="str">
        <f>G!AS234</f>
        <v/>
      </c>
      <c r="H272" s="43" t="str">
        <f>G!AR234</f>
        <v>--</v>
      </c>
      <c r="I272" s="42" t="str">
        <f>G!AT234</f>
        <v/>
      </c>
      <c r="J272" s="42" t="str">
        <f>G!AU234</f>
        <v/>
      </c>
      <c r="K272" s="43" t="str">
        <f>IFERROR(IF(OR(H272="--",H272="rg",VLOOKUP(F!$B234,E!$B$1:'E'!$AK$300,12,FALSE)=1000000000,I272="-",I272=""),"",(HLOOKUP(SMALL(G!$Q$4:'G'!$Y$4,1),G!$Q$4:'G'!$Y$501,ROW(G!Q234)-3,FALSE))/VLOOKUP(F!$B234,E!$B$1:'E'!$AK$300,12,FALSE)*100),"")</f>
        <v/>
      </c>
      <c r="L272" s="43"/>
      <c r="M272" s="43" t="str">
        <f>G!AW234</f>
        <v/>
      </c>
      <c r="N272" s="43" t="str">
        <f>G!AV234</f>
        <v>--</v>
      </c>
      <c r="O272" s="42"/>
      <c r="P272" s="42" t="str">
        <f>G!AY234</f>
        <v/>
      </c>
      <c r="Q272" s="43" t="str">
        <f>G!AX234</f>
        <v>--</v>
      </c>
      <c r="R272" s="42" t="str">
        <f>G!AZ234</f>
        <v/>
      </c>
      <c r="S272" s="42" t="str">
        <f>G!BA234</f>
        <v/>
      </c>
      <c r="T272" s="43" t="str">
        <f>IFERROR(IF(OR(Q272="--",Q272="rg",VLOOKUP(F!$B234,E!$B$1:'E'!$AK$300,12,FALSE)=1000000000,R272="-",R272=""),"",(HLOOKUP(SMALL(G!$Q$4:'G'!$Y$4,4),G!$Q$4:'G'!$Y$501,ROW(G!Z234)-3,FALSE))/VLOOKUP(F!$B234,E!$B$1:'E'!$AK$300,12,FALSE)*100),"")</f>
        <v/>
      </c>
      <c r="U272" s="43"/>
      <c r="V272" s="43" t="str">
        <f>G!BC234</f>
        <v/>
      </c>
      <c r="W272" s="43" t="str">
        <f>G!BB234</f>
        <v>--</v>
      </c>
      <c r="X272" s="43"/>
      <c r="Y272" s="42" t="str">
        <f>G!BE234</f>
        <v/>
      </c>
      <c r="Z272" s="43" t="str">
        <f>G!BD234</f>
        <v>--</v>
      </c>
      <c r="AA272" s="42" t="str">
        <f>G!BF234</f>
        <v/>
      </c>
      <c r="AB272" s="42" t="str">
        <f>G!BG234</f>
        <v/>
      </c>
      <c r="AC272" s="43" t="str">
        <f>IFERROR(IF(OR(Z272="--",Z272="rg",VLOOKUP(F!$B234,E!$B$1:'E'!$AK$300,12,FALSE)=1000000000,AA272="-",AA272=""),"",(HLOOKUP(SMALL(G!$Q$4:'G'!$Y$4,7),G!$Q$4:'G'!$Y$501,ROW(G!AI234)-3,FALSE))/VLOOKUP(F!$B234,E!$B$1:'E'!$AK$300,12,FALSE)*100),"")</f>
        <v/>
      </c>
      <c r="AD272" s="43"/>
      <c r="AE272" s="34"/>
      <c r="AF272" s="34"/>
      <c r="AH272" s="72">
        <f t="shared" si="5"/>
        <v>1</v>
      </c>
      <c r="AJ272" s="34"/>
      <c r="AK272" s="34"/>
    </row>
    <row r="273" spans="1:37" s="72" customFormat="1" ht="9" hidden="1" customHeight="1" x14ac:dyDescent="0.15">
      <c r="A273" s="195" t="str">
        <f>F!A235</f>
        <v>Dimethylftalaat</v>
      </c>
      <c r="B273" s="195"/>
      <c r="C273" s="195"/>
      <c r="D273" s="44" t="str">
        <f>G!AQ235</f>
        <v/>
      </c>
      <c r="E273" s="43" t="str">
        <f>G!AP235</f>
        <v>--</v>
      </c>
      <c r="F273" s="42"/>
      <c r="G273" s="42" t="str">
        <f>G!AS235</f>
        <v/>
      </c>
      <c r="H273" s="43" t="str">
        <f>G!AR235</f>
        <v>--</v>
      </c>
      <c r="I273" s="42" t="str">
        <f>G!AT235</f>
        <v/>
      </c>
      <c r="J273" s="42" t="str">
        <f>G!AU235</f>
        <v/>
      </c>
      <c r="K273" s="43" t="str">
        <f>IFERROR(IF(OR(H273="--",H273="rg",VLOOKUP(F!$B235,E!$B$1:'E'!$AK$300,12,FALSE)=1000000000,I273="-",I273=""),"",(HLOOKUP(SMALL(G!$Q$4:'G'!$Y$4,1),G!$Q$4:'G'!$Y$501,ROW(G!Q235)-3,FALSE))/VLOOKUP(F!$B235,E!$B$1:'E'!$AK$300,12,FALSE)*100),"")</f>
        <v/>
      </c>
      <c r="L273" s="43"/>
      <c r="M273" s="43" t="str">
        <f>G!AW235</f>
        <v/>
      </c>
      <c r="N273" s="43" t="str">
        <f>G!AV235</f>
        <v>--</v>
      </c>
      <c r="O273" s="42"/>
      <c r="P273" s="42" t="str">
        <f>G!AY235</f>
        <v/>
      </c>
      <c r="Q273" s="43" t="str">
        <f>G!AX235</f>
        <v>--</v>
      </c>
      <c r="R273" s="42" t="str">
        <f>G!AZ235</f>
        <v/>
      </c>
      <c r="S273" s="42" t="str">
        <f>G!BA235</f>
        <v/>
      </c>
      <c r="T273" s="43" t="str">
        <f>IFERROR(IF(OR(Q273="--",Q273="rg",VLOOKUP(F!$B235,E!$B$1:'E'!$AK$300,12,FALSE)=1000000000,R273="-",R273=""),"",(HLOOKUP(SMALL(G!$Q$4:'G'!$Y$4,4),G!$Q$4:'G'!$Y$501,ROW(G!Z235)-3,FALSE))/VLOOKUP(F!$B235,E!$B$1:'E'!$AK$300,12,FALSE)*100),"")</f>
        <v/>
      </c>
      <c r="U273" s="43"/>
      <c r="V273" s="43" t="str">
        <f>G!BC235</f>
        <v/>
      </c>
      <c r="W273" s="43" t="str">
        <f>G!BB235</f>
        <v>--</v>
      </c>
      <c r="X273" s="43"/>
      <c r="Y273" s="42" t="str">
        <f>G!BE235</f>
        <v/>
      </c>
      <c r="Z273" s="43" t="str">
        <f>G!BD235</f>
        <v>--</v>
      </c>
      <c r="AA273" s="42" t="str">
        <f>G!BF235</f>
        <v/>
      </c>
      <c r="AB273" s="42" t="str">
        <f>G!BG235</f>
        <v/>
      </c>
      <c r="AC273" s="43" t="str">
        <f>IFERROR(IF(OR(Z273="--",Z273="rg",VLOOKUP(F!$B235,E!$B$1:'E'!$AK$300,12,FALSE)=1000000000,AA273="-",AA273=""),"",(HLOOKUP(SMALL(G!$Q$4:'G'!$Y$4,7),G!$Q$4:'G'!$Y$501,ROW(G!AI235)-3,FALSE))/VLOOKUP(F!$B235,E!$B$1:'E'!$AK$300,12,FALSE)*100),"")</f>
        <v/>
      </c>
      <c r="AD273" s="43"/>
      <c r="AE273" s="34"/>
      <c r="AF273" s="34"/>
      <c r="AH273" s="72">
        <f t="shared" si="5"/>
        <v>1</v>
      </c>
      <c r="AJ273" s="34"/>
      <c r="AK273" s="34"/>
    </row>
    <row r="274" spans="1:37" s="72" customFormat="1" ht="9" hidden="1" customHeight="1" x14ac:dyDescent="0.15">
      <c r="A274" s="195" t="str">
        <f>F!A236</f>
        <v>Di-isobutylftalaat</v>
      </c>
      <c r="B274" s="195"/>
      <c r="C274" s="195"/>
      <c r="D274" s="44" t="str">
        <f>G!AQ236</f>
        <v/>
      </c>
      <c r="E274" s="43" t="str">
        <f>G!AP236</f>
        <v>--</v>
      </c>
      <c r="F274" s="42"/>
      <c r="G274" s="42" t="str">
        <f>G!AS236</f>
        <v/>
      </c>
      <c r="H274" s="43" t="str">
        <f>G!AR236</f>
        <v>--</v>
      </c>
      <c r="I274" s="42" t="str">
        <f>G!AT236</f>
        <v/>
      </c>
      <c r="J274" s="42" t="str">
        <f>G!AU236</f>
        <v/>
      </c>
      <c r="K274" s="43" t="str">
        <f>IFERROR(IF(OR(H274="--",H274="rg",VLOOKUP(F!$B236,E!$B$1:'E'!$AK$300,12,FALSE)=1000000000,I274="-",I274=""),"",(HLOOKUP(SMALL(G!$Q$4:'G'!$Y$4,1),G!$Q$4:'G'!$Y$501,ROW(G!Q236)-3,FALSE))/VLOOKUP(F!$B236,E!$B$1:'E'!$AK$300,12,FALSE)*100),"")</f>
        <v/>
      </c>
      <c r="L274" s="43"/>
      <c r="M274" s="43" t="str">
        <f>G!AW236</f>
        <v/>
      </c>
      <c r="N274" s="43" t="str">
        <f>G!AV236</f>
        <v>--</v>
      </c>
      <c r="O274" s="42"/>
      <c r="P274" s="42" t="str">
        <f>G!AY236</f>
        <v/>
      </c>
      <c r="Q274" s="43" t="str">
        <f>G!AX236</f>
        <v>--</v>
      </c>
      <c r="R274" s="42" t="str">
        <f>G!AZ236</f>
        <v/>
      </c>
      <c r="S274" s="42" t="str">
        <f>G!BA236</f>
        <v/>
      </c>
      <c r="T274" s="43" t="str">
        <f>IFERROR(IF(OR(Q274="--",Q274="rg",VLOOKUP(F!$B236,E!$B$1:'E'!$AK$300,12,FALSE)=1000000000,R274="-",R274=""),"",(HLOOKUP(SMALL(G!$Q$4:'G'!$Y$4,4),G!$Q$4:'G'!$Y$501,ROW(G!Z236)-3,FALSE))/VLOOKUP(F!$B236,E!$B$1:'E'!$AK$300,12,FALSE)*100),"")</f>
        <v/>
      </c>
      <c r="U274" s="43"/>
      <c r="V274" s="43" t="str">
        <f>G!BC236</f>
        <v/>
      </c>
      <c r="W274" s="43" t="str">
        <f>G!BB236</f>
        <v>--</v>
      </c>
      <c r="X274" s="43"/>
      <c r="Y274" s="42" t="str">
        <f>G!BE236</f>
        <v/>
      </c>
      <c r="Z274" s="43" t="str">
        <f>G!BD236</f>
        <v>--</v>
      </c>
      <c r="AA274" s="42" t="str">
        <f>G!BF236</f>
        <v/>
      </c>
      <c r="AB274" s="42" t="str">
        <f>G!BG236</f>
        <v/>
      </c>
      <c r="AC274" s="43" t="str">
        <f>IFERROR(IF(OR(Z274="--",Z274="rg",VLOOKUP(F!$B236,E!$B$1:'E'!$AK$300,12,FALSE)=1000000000,AA274="-",AA274=""),"",(HLOOKUP(SMALL(G!$Q$4:'G'!$Y$4,7),G!$Q$4:'G'!$Y$501,ROW(G!AI236)-3,FALSE))/VLOOKUP(F!$B236,E!$B$1:'E'!$AK$300,12,FALSE)*100),"")</f>
        <v/>
      </c>
      <c r="AD274" s="43"/>
      <c r="AE274" s="34"/>
      <c r="AF274" s="34"/>
      <c r="AH274" s="72">
        <f t="shared" si="5"/>
        <v>1</v>
      </c>
      <c r="AJ274" s="34"/>
      <c r="AK274" s="34"/>
    </row>
    <row r="275" spans="1:37" s="72" customFormat="1" ht="9" hidden="1" customHeight="1" x14ac:dyDescent="0.15">
      <c r="A275" s="195" t="str">
        <f>F!A237</f>
        <v>Di-n-butylftalaat</v>
      </c>
      <c r="B275" s="195"/>
      <c r="C275" s="195"/>
      <c r="D275" s="44" t="str">
        <f>G!AQ237</f>
        <v/>
      </c>
      <c r="E275" s="43" t="str">
        <f>G!AP237</f>
        <v>--</v>
      </c>
      <c r="F275" s="42"/>
      <c r="G275" s="42" t="str">
        <f>G!AS237</f>
        <v/>
      </c>
      <c r="H275" s="43" t="str">
        <f>G!AR237</f>
        <v>--</v>
      </c>
      <c r="I275" s="42" t="str">
        <f>G!AT237</f>
        <v/>
      </c>
      <c r="J275" s="42" t="str">
        <f>G!AU237</f>
        <v/>
      </c>
      <c r="K275" s="43" t="str">
        <f>IFERROR(IF(OR(H275="--",H275="rg",VLOOKUP(F!$B237,E!$B$1:'E'!$AK$300,12,FALSE)=1000000000,I275="-",I275=""),"",(HLOOKUP(SMALL(G!$Q$4:'G'!$Y$4,1),G!$Q$4:'G'!$Y$501,ROW(G!Q237)-3,FALSE))/VLOOKUP(F!$B237,E!$B$1:'E'!$AK$300,12,FALSE)*100),"")</f>
        <v/>
      </c>
      <c r="L275" s="43"/>
      <c r="M275" s="43" t="str">
        <f>G!AW237</f>
        <v/>
      </c>
      <c r="N275" s="43" t="str">
        <f>G!AV237</f>
        <v>--</v>
      </c>
      <c r="O275" s="42"/>
      <c r="P275" s="42" t="str">
        <f>G!AY237</f>
        <v/>
      </c>
      <c r="Q275" s="43" t="str">
        <f>G!AX237</f>
        <v>--</v>
      </c>
      <c r="R275" s="42" t="str">
        <f>G!AZ237</f>
        <v/>
      </c>
      <c r="S275" s="42" t="str">
        <f>G!BA237</f>
        <v/>
      </c>
      <c r="T275" s="43" t="str">
        <f>IFERROR(IF(OR(Q275="--",Q275="rg",VLOOKUP(F!$B237,E!$B$1:'E'!$AK$300,12,FALSE)=1000000000,R275="-",R275=""),"",(HLOOKUP(SMALL(G!$Q$4:'G'!$Y$4,4),G!$Q$4:'G'!$Y$501,ROW(G!Z237)-3,FALSE))/VLOOKUP(F!$B237,E!$B$1:'E'!$AK$300,12,FALSE)*100),"")</f>
        <v/>
      </c>
      <c r="U275" s="43"/>
      <c r="V275" s="43" t="str">
        <f>G!BC237</f>
        <v/>
      </c>
      <c r="W275" s="43" t="str">
        <f>G!BB237</f>
        <v>--</v>
      </c>
      <c r="X275" s="43"/>
      <c r="Y275" s="42" t="str">
        <f>G!BE237</f>
        <v/>
      </c>
      <c r="Z275" s="43" t="str">
        <f>G!BD237</f>
        <v>--</v>
      </c>
      <c r="AA275" s="42" t="str">
        <f>G!BF237</f>
        <v/>
      </c>
      <c r="AB275" s="42" t="str">
        <f>G!BG237</f>
        <v/>
      </c>
      <c r="AC275" s="43" t="str">
        <f>IFERROR(IF(OR(Z275="--",Z275="rg",VLOOKUP(F!$B237,E!$B$1:'E'!$AK$300,12,FALSE)=1000000000,AA275="-",AA275=""),"",(HLOOKUP(SMALL(G!$Q$4:'G'!$Y$4,7),G!$Q$4:'G'!$Y$501,ROW(G!AI237)-3,FALSE))/VLOOKUP(F!$B237,E!$B$1:'E'!$AK$300,12,FALSE)*100),"")</f>
        <v/>
      </c>
      <c r="AD275" s="43"/>
      <c r="AE275" s="34"/>
      <c r="AF275" s="34"/>
      <c r="AH275" s="72">
        <f t="shared" si="5"/>
        <v>1</v>
      </c>
      <c r="AJ275" s="34"/>
      <c r="AK275" s="34"/>
    </row>
    <row r="276" spans="1:37" s="72" customFormat="1" ht="9" hidden="1" customHeight="1" x14ac:dyDescent="0.15">
      <c r="A276" s="195" t="str">
        <f>F!A238</f>
        <v>Di-n-octylftalaat</v>
      </c>
      <c r="B276" s="195"/>
      <c r="C276" s="195"/>
      <c r="D276" s="44" t="str">
        <f>G!AQ238</f>
        <v/>
      </c>
      <c r="E276" s="43" t="str">
        <f>G!AP238</f>
        <v>--</v>
      </c>
      <c r="F276" s="42"/>
      <c r="G276" s="42" t="str">
        <f>G!AS238</f>
        <v/>
      </c>
      <c r="H276" s="43" t="str">
        <f>G!AR238</f>
        <v>--</v>
      </c>
      <c r="I276" s="42" t="str">
        <f>G!AT238</f>
        <v/>
      </c>
      <c r="J276" s="42" t="str">
        <f>G!AU238</f>
        <v/>
      </c>
      <c r="K276" s="43" t="str">
        <f>IFERROR(IF(OR(H276="--",H276="rg",VLOOKUP(F!$B238,E!$B$1:'E'!$AK$300,12,FALSE)=1000000000,I276="-",I276=""),"",(HLOOKUP(SMALL(G!$Q$4:'G'!$Y$4,1),G!$Q$4:'G'!$Y$501,ROW(G!Q238)-3,FALSE))/VLOOKUP(F!$B238,E!$B$1:'E'!$AK$300,12,FALSE)*100),"")</f>
        <v/>
      </c>
      <c r="L276" s="43"/>
      <c r="M276" s="43" t="str">
        <f>G!AW238</f>
        <v/>
      </c>
      <c r="N276" s="43" t="str">
        <f>G!AV238</f>
        <v>--</v>
      </c>
      <c r="O276" s="42"/>
      <c r="P276" s="42" t="str">
        <f>G!AY238</f>
        <v/>
      </c>
      <c r="Q276" s="43" t="str">
        <f>G!AX238</f>
        <v>--</v>
      </c>
      <c r="R276" s="42" t="str">
        <f>G!AZ238</f>
        <v/>
      </c>
      <c r="S276" s="42" t="str">
        <f>G!BA238</f>
        <v/>
      </c>
      <c r="T276" s="43" t="str">
        <f>IFERROR(IF(OR(Q276="--",Q276="rg",VLOOKUP(F!$B238,E!$B$1:'E'!$AK$300,12,FALSE)=1000000000,R276="-",R276=""),"",(HLOOKUP(SMALL(G!$Q$4:'G'!$Y$4,4),G!$Q$4:'G'!$Y$501,ROW(G!Z238)-3,FALSE))/VLOOKUP(F!$B238,E!$B$1:'E'!$AK$300,12,FALSE)*100),"")</f>
        <v/>
      </c>
      <c r="U276" s="43"/>
      <c r="V276" s="43" t="str">
        <f>G!BC238</f>
        <v/>
      </c>
      <c r="W276" s="43" t="str">
        <f>G!BB238</f>
        <v>--</v>
      </c>
      <c r="X276" s="43"/>
      <c r="Y276" s="42" t="str">
        <f>G!BE238</f>
        <v/>
      </c>
      <c r="Z276" s="43" t="str">
        <f>G!BD238</f>
        <v>--</v>
      </c>
      <c r="AA276" s="42" t="str">
        <f>G!BF238</f>
        <v/>
      </c>
      <c r="AB276" s="42" t="str">
        <f>G!BG238</f>
        <v/>
      </c>
      <c r="AC276" s="43" t="str">
        <f>IFERROR(IF(OR(Z276="--",Z276="rg",VLOOKUP(F!$B238,E!$B$1:'E'!$AK$300,12,FALSE)=1000000000,AA276="-",AA276=""),"",(HLOOKUP(SMALL(G!$Q$4:'G'!$Y$4,7),G!$Q$4:'G'!$Y$501,ROW(G!AI238)-3,FALSE))/VLOOKUP(F!$B238,E!$B$1:'E'!$AK$300,12,FALSE)*100),"")</f>
        <v/>
      </c>
      <c r="AD276" s="43"/>
      <c r="AE276" s="34"/>
      <c r="AF276" s="34"/>
      <c r="AH276" s="72">
        <f t="shared" si="5"/>
        <v>1</v>
      </c>
      <c r="AJ276" s="34"/>
      <c r="AK276" s="34"/>
    </row>
    <row r="277" spans="1:37" s="72" customFormat="1" ht="9" hidden="1" customHeight="1" x14ac:dyDescent="0.15">
      <c r="A277" s="195" t="str">
        <f>F!A239</f>
        <v>Ftalaten (som)</v>
      </c>
      <c r="B277" s="195"/>
      <c r="C277" s="195"/>
      <c r="D277" s="44" t="str">
        <f>G!AQ239</f>
        <v/>
      </c>
      <c r="E277" s="43" t="str">
        <f>G!AP239</f>
        <v>--</v>
      </c>
      <c r="F277" s="42"/>
      <c r="G277" s="42" t="str">
        <f>G!AS239</f>
        <v/>
      </c>
      <c r="H277" s="43" t="str">
        <f>G!AR239</f>
        <v>--</v>
      </c>
      <c r="I277" s="42" t="str">
        <f>G!AT239</f>
        <v/>
      </c>
      <c r="J277" s="42" t="str">
        <f>G!AU239</f>
        <v/>
      </c>
      <c r="K277" s="43" t="str">
        <f>IFERROR(IF(OR(H277="--",H277="rg",VLOOKUP(F!$B239,E!$B$1:'E'!$AK$300,12,FALSE)=1000000000,I277="-",I277=""),"",(HLOOKUP(SMALL(G!$Q$4:'G'!$Y$4,1),G!$Q$4:'G'!$Y$501,ROW(G!Q239)-3,FALSE))/VLOOKUP(F!$B239,E!$B$1:'E'!$AK$300,12,FALSE)*100),"")</f>
        <v/>
      </c>
      <c r="L277" s="43"/>
      <c r="M277" s="43" t="str">
        <f>G!AW239</f>
        <v/>
      </c>
      <c r="N277" s="43" t="str">
        <f>G!AV239</f>
        <v>--</v>
      </c>
      <c r="O277" s="42"/>
      <c r="P277" s="42" t="str">
        <f>G!AY239</f>
        <v/>
      </c>
      <c r="Q277" s="43" t="str">
        <f>G!AX239</f>
        <v>--</v>
      </c>
      <c r="R277" s="42" t="str">
        <f>G!AZ239</f>
        <v/>
      </c>
      <c r="S277" s="42" t="str">
        <f>G!BA239</f>
        <v/>
      </c>
      <c r="T277" s="43" t="str">
        <f>IFERROR(IF(OR(Q277="--",Q277="rg",VLOOKUP(F!$B239,E!$B$1:'E'!$AK$300,12,FALSE)=1000000000,R277="-",R277=""),"",(HLOOKUP(SMALL(G!$Q$4:'G'!$Y$4,4),G!$Q$4:'G'!$Y$501,ROW(G!Z239)-3,FALSE))/VLOOKUP(F!$B239,E!$B$1:'E'!$AK$300,12,FALSE)*100),"")</f>
        <v/>
      </c>
      <c r="U277" s="43"/>
      <c r="V277" s="43" t="str">
        <f>G!BC239</f>
        <v/>
      </c>
      <c r="W277" s="43" t="str">
        <f>G!BB239</f>
        <v>--</v>
      </c>
      <c r="X277" s="43"/>
      <c r="Y277" s="42" t="str">
        <f>G!BE239</f>
        <v/>
      </c>
      <c r="Z277" s="43" t="str">
        <f>G!BD239</f>
        <v>--</v>
      </c>
      <c r="AA277" s="42" t="str">
        <f>G!BF239</f>
        <v/>
      </c>
      <c r="AB277" s="42" t="str">
        <f>G!BG239</f>
        <v/>
      </c>
      <c r="AC277" s="43" t="str">
        <f>IFERROR(IF(OR(Z277="--",Z277="rg",VLOOKUP(F!$B239,E!$B$1:'E'!$AK$300,12,FALSE)=1000000000,AA277="-",AA277=""),"",(HLOOKUP(SMALL(G!$Q$4:'G'!$Y$4,7),G!$Q$4:'G'!$Y$501,ROW(G!AI239)-3,FALSE))/VLOOKUP(F!$B239,E!$B$1:'E'!$AK$300,12,FALSE)*100),"")</f>
        <v/>
      </c>
      <c r="AD277" s="43"/>
      <c r="AE277" s="34"/>
      <c r="AF277" s="34"/>
      <c r="AH277" s="72">
        <f t="shared" si="5"/>
        <v>1</v>
      </c>
      <c r="AJ277" s="34"/>
      <c r="AK277" s="34"/>
    </row>
    <row r="278" spans="1:37" ht="3.95" customHeight="1" x14ac:dyDescent="0.15">
      <c r="A278" s="41"/>
      <c r="B278" s="41"/>
      <c r="C278" s="41"/>
      <c r="D278" s="44"/>
      <c r="E278" s="43"/>
      <c r="F278" s="42"/>
      <c r="G278" s="42"/>
      <c r="H278" s="43"/>
      <c r="I278" s="42"/>
      <c r="J278" s="42"/>
      <c r="K278" s="42"/>
      <c r="L278" s="43"/>
      <c r="M278" s="43"/>
      <c r="N278" s="42"/>
      <c r="O278" s="42"/>
      <c r="P278" s="43"/>
      <c r="Q278" s="42"/>
      <c r="R278" s="42"/>
      <c r="S278" s="42"/>
      <c r="T278" s="43"/>
      <c r="U278" s="43"/>
      <c r="V278" s="43"/>
      <c r="W278" s="42"/>
      <c r="X278" s="43"/>
      <c r="Y278" s="42"/>
      <c r="Z278" s="43"/>
      <c r="AA278" s="43"/>
      <c r="AC278" s="34"/>
      <c r="AD278" s="72"/>
      <c r="AF278" s="72"/>
      <c r="AG278" s="34"/>
      <c r="AH278" s="94">
        <f>AH279</f>
        <v>0</v>
      </c>
      <c r="AI278" s="34"/>
    </row>
    <row r="279" spans="1:37" ht="9" customHeight="1" x14ac:dyDescent="0.15">
      <c r="A279" s="198" t="str">
        <f>IF(COUNTIF(F!D238:D247,131)&gt;0,"Minerale olie (µg/kgds)","Minerale olie (mg/kgds)")</f>
        <v>Minerale olie (mg/kgds)</v>
      </c>
      <c r="B279" s="198"/>
      <c r="C279" s="198"/>
      <c r="D279" s="198"/>
      <c r="E279" s="198"/>
      <c r="F279" s="198"/>
      <c r="G279" s="198"/>
      <c r="H279" s="198"/>
      <c r="I279" s="198"/>
      <c r="J279" s="198"/>
      <c r="K279" s="198"/>
      <c r="L279" s="198"/>
      <c r="M279" s="198"/>
      <c r="N279" s="198"/>
      <c r="O279" s="198"/>
      <c r="P279" s="198"/>
      <c r="Q279" s="198"/>
      <c r="R279" s="198"/>
      <c r="S279" s="198"/>
      <c r="T279" s="198"/>
      <c r="U279" s="198"/>
      <c r="V279" s="198"/>
      <c r="W279" s="198"/>
      <c r="X279" s="198"/>
      <c r="Y279" s="198"/>
      <c r="Z279" s="198"/>
      <c r="AA279" s="198"/>
      <c r="AC279" s="34"/>
      <c r="AD279" s="72"/>
      <c r="AF279" s="72"/>
      <c r="AG279" s="34"/>
      <c r="AH279" s="94">
        <f>IF(COUNTIF(AH280:AH289,1)=COUNT(AH280:AH289),1,0)</f>
        <v>0</v>
      </c>
      <c r="AI279" s="34"/>
    </row>
    <row r="280" spans="1:37" s="72" customFormat="1" ht="9" hidden="1" customHeight="1" x14ac:dyDescent="0.15">
      <c r="A280" s="195" t="str">
        <f>F!A240</f>
        <v>Fractie C6 - C10</v>
      </c>
      <c r="B280" s="195"/>
      <c r="C280" s="195"/>
      <c r="D280" s="44" t="str">
        <f>G!AQ240</f>
        <v/>
      </c>
      <c r="E280" s="43" t="str">
        <f>G!AP240</f>
        <v>--</v>
      </c>
      <c r="F280" s="42"/>
      <c r="G280" s="42" t="str">
        <f>G!AS240</f>
        <v/>
      </c>
      <c r="H280" s="43" t="str">
        <f>G!AR240</f>
        <v>--</v>
      </c>
      <c r="I280" s="42" t="str">
        <f>G!AT240</f>
        <v/>
      </c>
      <c r="J280" s="42" t="str">
        <f>G!AU240</f>
        <v/>
      </c>
      <c r="K280" s="43" t="str">
        <f>IFERROR(IF(OR(H280="--",H280="rg",VLOOKUP(F!$B240,E!$B$1:'E'!$AK$300,12,FALSE)=1000000000,I280="-",I280=""),"",(HLOOKUP(SMALL(G!$Q$4:'G'!$Y$4,1),G!$Q$4:'G'!$Y$501,ROW(G!Q240)-3,FALSE))/VLOOKUP(F!$B240,E!$B$1:'E'!$AK$300,12,FALSE)*100),"")</f>
        <v/>
      </c>
      <c r="L280" s="43"/>
      <c r="M280" s="43" t="str">
        <f>G!AW240</f>
        <v/>
      </c>
      <c r="N280" s="43" t="str">
        <f>G!AV240</f>
        <v>--</v>
      </c>
      <c r="O280" s="42"/>
      <c r="P280" s="42" t="str">
        <f>G!AY240</f>
        <v/>
      </c>
      <c r="Q280" s="43" t="str">
        <f>G!AX240</f>
        <v>--</v>
      </c>
      <c r="R280" s="42" t="str">
        <f>G!AZ240</f>
        <v/>
      </c>
      <c r="S280" s="42" t="str">
        <f>G!BA240</f>
        <v/>
      </c>
      <c r="T280" s="43" t="str">
        <f>IFERROR(IF(OR(Q280="--",Q280="rg",VLOOKUP(F!$B240,E!$B$1:'E'!$AK$300,12,FALSE)=1000000000,R280="-",R280=""),"",(HLOOKUP(SMALL(G!$Q$4:'G'!$Y$4,4),G!$Q$4:'G'!$Y$501,ROW(G!Z240)-3,FALSE))/VLOOKUP(F!$B240,E!$B$1:'E'!$AK$300,12,FALSE)*100),"")</f>
        <v/>
      </c>
      <c r="U280" s="43"/>
      <c r="V280" s="43" t="str">
        <f>G!BC240</f>
        <v/>
      </c>
      <c r="W280" s="43" t="str">
        <f>G!BB240</f>
        <v>--</v>
      </c>
      <c r="X280" s="43"/>
      <c r="Y280" s="42" t="str">
        <f>G!BE240</f>
        <v/>
      </c>
      <c r="Z280" s="43" t="str">
        <f>G!BD240</f>
        <v>--</v>
      </c>
      <c r="AA280" s="42" t="str">
        <f>G!BF240</f>
        <v/>
      </c>
      <c r="AB280" s="42" t="str">
        <f>G!BG240</f>
        <v/>
      </c>
      <c r="AC280" s="43" t="str">
        <f>IFERROR(IF(OR(Z280="--",Z280="rg",VLOOKUP(F!$B240,E!$B$1:'E'!$AK$300,12,FALSE)=1000000000,AA280="-",AA280=""),"",(HLOOKUP(SMALL(G!$Q$4:'G'!$Y$4,7),G!$Q$4:'G'!$Y$501,ROW(G!AI240)-3,FALSE))/VLOOKUP(F!$B240,E!$B$1:'E'!$AK$300,12,FALSE)*100),"")</f>
        <v/>
      </c>
      <c r="AD280" s="43"/>
      <c r="AE280" s="34"/>
      <c r="AF280" s="34"/>
      <c r="AH280" s="72">
        <f t="shared" si="5"/>
        <v>1</v>
      </c>
      <c r="AJ280" s="34"/>
      <c r="AK280" s="34"/>
    </row>
    <row r="281" spans="1:37" s="72" customFormat="1" ht="9" customHeight="1" x14ac:dyDescent="0.15">
      <c r="A281" s="195" t="str">
        <f>F!A241</f>
        <v>Fractie C10 - C12</v>
      </c>
      <c r="B281" s="195"/>
      <c r="C281" s="195"/>
      <c r="D281" s="44" t="str">
        <f>G!AQ241</f>
        <v>&lt;</v>
      </c>
      <c r="E281" s="43" t="str">
        <f>G!AP241</f>
        <v>5,0</v>
      </c>
      <c r="F281" s="42"/>
      <c r="G281" s="42" t="str">
        <f>G!AS241</f>
        <v>&lt;</v>
      </c>
      <c r="H281" s="43" t="str">
        <f>G!AR241</f>
        <v>rg</v>
      </c>
      <c r="I281" s="42" t="str">
        <f>G!AT241</f>
        <v/>
      </c>
      <c r="J281" s="42" t="str">
        <f>G!AU241</f>
        <v/>
      </c>
      <c r="K281" s="43" t="str">
        <f>IFERROR(IF(OR(H281="--",H281="rg",VLOOKUP(F!$B241,E!$B$1:'E'!$AK$300,12,FALSE)=1000000000,I281="-",I281=""),"",(HLOOKUP(SMALL(G!$Q$4:'G'!$Y$4,1),G!$Q$4:'G'!$Y$501,ROW(G!Q241)-3,FALSE))/VLOOKUP(F!$B241,E!$B$1:'E'!$AK$300,12,FALSE)*100),"")</f>
        <v/>
      </c>
      <c r="L281" s="43"/>
      <c r="M281" s="43" t="str">
        <f>G!AW241</f>
        <v>&lt;</v>
      </c>
      <c r="N281" s="43" t="str">
        <f>G!AV241</f>
        <v>5,0</v>
      </c>
      <c r="O281" s="42"/>
      <c r="P281" s="42" t="str">
        <f>G!AY241</f>
        <v>&lt;</v>
      </c>
      <c r="Q281" s="43" t="str">
        <f>G!AX241</f>
        <v>rg</v>
      </c>
      <c r="R281" s="42" t="str">
        <f>G!AZ241</f>
        <v/>
      </c>
      <c r="S281" s="42" t="str">
        <f>G!BA241</f>
        <v/>
      </c>
      <c r="T281" s="43" t="str">
        <f>IFERROR(IF(OR(Q281="--",Q281="rg",VLOOKUP(F!$B241,E!$B$1:'E'!$AK$300,12,FALSE)=1000000000,R281="-",R281=""),"",(HLOOKUP(SMALL(G!$Q$4:'G'!$Y$4,4),G!$Q$4:'G'!$Y$501,ROW(G!Z241)-3,FALSE))/VLOOKUP(F!$B241,E!$B$1:'E'!$AK$300,12,FALSE)*100),"")</f>
        <v/>
      </c>
      <c r="U281" s="43"/>
      <c r="V281" s="43" t="str">
        <f>G!BC241</f>
        <v>&lt;</v>
      </c>
      <c r="W281" s="43" t="str">
        <f>G!BB241</f>
        <v>5,0</v>
      </c>
      <c r="X281" s="43"/>
      <c r="Y281" s="42" t="str">
        <f>G!BE241</f>
        <v>&lt;</v>
      </c>
      <c r="Z281" s="43" t="str">
        <f>G!BD241</f>
        <v>rg</v>
      </c>
      <c r="AA281" s="42" t="str">
        <f>G!BF241</f>
        <v/>
      </c>
      <c r="AB281" s="42" t="str">
        <f>G!BG241</f>
        <v/>
      </c>
      <c r="AC281" s="43" t="str">
        <f>IFERROR(IF(OR(Z281="--",Z281="rg",VLOOKUP(F!$B241,E!$B$1:'E'!$AK$300,12,FALSE)=1000000000,AA281="-",AA281=""),"",(HLOOKUP(SMALL(G!$Q$4:'G'!$Y$4,7),G!$Q$4:'G'!$Y$501,ROW(G!AI241)-3,FALSE))/VLOOKUP(F!$B241,E!$B$1:'E'!$AK$300,12,FALSE)*100),"")</f>
        <v/>
      </c>
      <c r="AD281" s="43"/>
      <c r="AE281" s="34"/>
      <c r="AF281" s="34"/>
      <c r="AH281" s="72">
        <f t="shared" si="5"/>
        <v>0</v>
      </c>
      <c r="AJ281" s="34"/>
      <c r="AK281" s="34"/>
    </row>
    <row r="282" spans="1:37" s="72" customFormat="1" ht="9" hidden="1" customHeight="1" x14ac:dyDescent="0.15">
      <c r="A282" s="195" t="str">
        <f>F!A242</f>
        <v>Fractie C12 - C16</v>
      </c>
      <c r="B282" s="195"/>
      <c r="C282" s="195"/>
      <c r="D282" s="44" t="str">
        <f>G!AQ242</f>
        <v/>
      </c>
      <c r="E282" s="43" t="str">
        <f>G!AP242</f>
        <v>--</v>
      </c>
      <c r="F282" s="42"/>
      <c r="G282" s="42" t="str">
        <f>G!AS242</f>
        <v/>
      </c>
      <c r="H282" s="43" t="str">
        <f>G!AR242</f>
        <v>--</v>
      </c>
      <c r="I282" s="42" t="str">
        <f>G!AT242</f>
        <v/>
      </c>
      <c r="J282" s="42" t="str">
        <f>G!AU242</f>
        <v/>
      </c>
      <c r="K282" s="43" t="str">
        <f>IFERROR(IF(OR(H282="--",H282="rg",VLOOKUP(F!$B242,E!$B$1:'E'!$AK$300,12,FALSE)=1000000000,I282="-",I282=""),"",(HLOOKUP(SMALL(G!$Q$4:'G'!$Y$4,1),G!$Q$4:'G'!$Y$501,ROW(G!Q242)-3,FALSE))/VLOOKUP(F!$B242,E!$B$1:'E'!$AK$300,12,FALSE)*100),"")</f>
        <v/>
      </c>
      <c r="L282" s="43"/>
      <c r="M282" s="43" t="str">
        <f>G!AW242</f>
        <v/>
      </c>
      <c r="N282" s="43" t="str">
        <f>G!AV242</f>
        <v>--</v>
      </c>
      <c r="O282" s="42"/>
      <c r="P282" s="42" t="str">
        <f>G!AY242</f>
        <v/>
      </c>
      <c r="Q282" s="43" t="str">
        <f>G!AX242</f>
        <v>--</v>
      </c>
      <c r="R282" s="42" t="str">
        <f>G!AZ242</f>
        <v/>
      </c>
      <c r="S282" s="42" t="str">
        <f>G!BA242</f>
        <v/>
      </c>
      <c r="T282" s="43" t="str">
        <f>IFERROR(IF(OR(Q282="--",Q282="rg",VLOOKUP(F!$B242,E!$B$1:'E'!$AK$300,12,FALSE)=1000000000,R282="-",R282=""),"",(HLOOKUP(SMALL(G!$Q$4:'G'!$Y$4,4),G!$Q$4:'G'!$Y$501,ROW(G!Z242)-3,FALSE))/VLOOKUP(F!$B242,E!$B$1:'E'!$AK$300,12,FALSE)*100),"")</f>
        <v/>
      </c>
      <c r="U282" s="43"/>
      <c r="V282" s="43" t="str">
        <f>G!BC242</f>
        <v/>
      </c>
      <c r="W282" s="43" t="str">
        <f>G!BB242</f>
        <v>--</v>
      </c>
      <c r="X282" s="43"/>
      <c r="Y282" s="42" t="str">
        <f>G!BE242</f>
        <v/>
      </c>
      <c r="Z282" s="43" t="str">
        <f>G!BD242</f>
        <v>--</v>
      </c>
      <c r="AA282" s="42" t="str">
        <f>G!BF242</f>
        <v/>
      </c>
      <c r="AB282" s="42" t="str">
        <f>G!BG242</f>
        <v/>
      </c>
      <c r="AC282" s="43" t="str">
        <f>IFERROR(IF(OR(Z282="--",Z282="rg",VLOOKUP(F!$B242,E!$B$1:'E'!$AK$300,12,FALSE)=1000000000,AA282="-",AA282=""),"",(HLOOKUP(SMALL(G!$Q$4:'G'!$Y$4,7),G!$Q$4:'G'!$Y$501,ROW(G!AI242)-3,FALSE))/VLOOKUP(F!$B242,E!$B$1:'E'!$AK$300,12,FALSE)*100),"")</f>
        <v/>
      </c>
      <c r="AD282" s="43"/>
      <c r="AE282" s="34"/>
      <c r="AF282" s="34"/>
      <c r="AH282" s="72">
        <f t="shared" si="5"/>
        <v>1</v>
      </c>
      <c r="AJ282" s="34"/>
      <c r="AK282" s="34"/>
    </row>
    <row r="283" spans="1:37" s="72" customFormat="1" ht="9" customHeight="1" x14ac:dyDescent="0.15">
      <c r="A283" s="195" t="str">
        <f>F!A243</f>
        <v>Fractie C12 - C22</v>
      </c>
      <c r="B283" s="195"/>
      <c r="C283" s="195"/>
      <c r="D283" s="44" t="str">
        <f>G!AQ243</f>
        <v>&lt;</v>
      </c>
      <c r="E283" s="43" t="str">
        <f>G!AP243</f>
        <v>5,0</v>
      </c>
      <c r="F283" s="42"/>
      <c r="G283" s="42" t="str">
        <f>G!AS243</f>
        <v>&lt;</v>
      </c>
      <c r="H283" s="43" t="str">
        <f>G!AR243</f>
        <v>rg</v>
      </c>
      <c r="I283" s="42" t="str">
        <f>G!AT243</f>
        <v/>
      </c>
      <c r="J283" s="42" t="str">
        <f>G!AU243</f>
        <v/>
      </c>
      <c r="K283" s="43" t="str">
        <f>IFERROR(IF(OR(H283="--",H283="rg",VLOOKUP(F!$B243,E!$B$1:'E'!$AK$300,12,FALSE)=1000000000,I283="-",I283=""),"",(HLOOKUP(SMALL(G!$Q$4:'G'!$Y$4,1),G!$Q$4:'G'!$Y$501,ROW(G!Q243)-3,FALSE))/VLOOKUP(F!$B243,E!$B$1:'E'!$AK$300,12,FALSE)*100),"")</f>
        <v/>
      </c>
      <c r="L283" s="43"/>
      <c r="M283" s="43" t="str">
        <f>G!AW243</f>
        <v>&lt;</v>
      </c>
      <c r="N283" s="43" t="str">
        <f>G!AV243</f>
        <v>5,0</v>
      </c>
      <c r="O283" s="42"/>
      <c r="P283" s="42" t="str">
        <f>G!AY243</f>
        <v>&lt;</v>
      </c>
      <c r="Q283" s="43" t="str">
        <f>G!AX243</f>
        <v>rg</v>
      </c>
      <c r="R283" s="42" t="str">
        <f>G!AZ243</f>
        <v/>
      </c>
      <c r="S283" s="42" t="str">
        <f>G!BA243</f>
        <v/>
      </c>
      <c r="T283" s="43" t="str">
        <f>IFERROR(IF(OR(Q283="--",Q283="rg",VLOOKUP(F!$B243,E!$B$1:'E'!$AK$300,12,FALSE)=1000000000,R283="-",R283=""),"",(HLOOKUP(SMALL(G!$Q$4:'G'!$Y$4,4),G!$Q$4:'G'!$Y$501,ROW(G!Z243)-3,FALSE))/VLOOKUP(F!$B243,E!$B$1:'E'!$AK$300,12,FALSE)*100),"")</f>
        <v/>
      </c>
      <c r="U283" s="43"/>
      <c r="V283" s="43" t="str">
        <f>G!BC243</f>
        <v>&lt;</v>
      </c>
      <c r="W283" s="43" t="str">
        <f>G!BB243</f>
        <v>5,0</v>
      </c>
      <c r="X283" s="43"/>
      <c r="Y283" s="42" t="str">
        <f>G!BE243</f>
        <v>&lt;</v>
      </c>
      <c r="Z283" s="43" t="str">
        <f>G!BD243</f>
        <v>rg</v>
      </c>
      <c r="AA283" s="42" t="str">
        <f>G!BF243</f>
        <v/>
      </c>
      <c r="AB283" s="42" t="str">
        <f>G!BG243</f>
        <v/>
      </c>
      <c r="AC283" s="43" t="str">
        <f>IFERROR(IF(OR(Z283="--",Z283="rg",VLOOKUP(F!$B243,E!$B$1:'E'!$AK$300,12,FALSE)=1000000000,AA283="-",AA283=""),"",(HLOOKUP(SMALL(G!$Q$4:'G'!$Y$4,7),G!$Q$4:'G'!$Y$501,ROW(G!AI243)-3,FALSE))/VLOOKUP(F!$B243,E!$B$1:'E'!$AK$300,12,FALSE)*100),"")</f>
        <v/>
      </c>
      <c r="AD283" s="43"/>
      <c r="AE283" s="34"/>
      <c r="AF283" s="34"/>
      <c r="AH283" s="72">
        <f t="shared" si="5"/>
        <v>0</v>
      </c>
      <c r="AJ283" s="34"/>
      <c r="AK283" s="34"/>
    </row>
    <row r="284" spans="1:37" s="72" customFormat="1" ht="9" hidden="1" customHeight="1" x14ac:dyDescent="0.15">
      <c r="A284" s="195" t="str">
        <f>F!A244</f>
        <v>Fractie C16 - C21</v>
      </c>
      <c r="B284" s="195"/>
      <c r="C284" s="195"/>
      <c r="D284" s="44" t="str">
        <f>G!AQ244</f>
        <v/>
      </c>
      <c r="E284" s="43" t="str">
        <f>G!AP244</f>
        <v>--</v>
      </c>
      <c r="F284" s="42"/>
      <c r="G284" s="42" t="str">
        <f>G!AS244</f>
        <v/>
      </c>
      <c r="H284" s="43" t="str">
        <f>G!AR244</f>
        <v>--</v>
      </c>
      <c r="I284" s="42" t="str">
        <f>G!AT244</f>
        <v/>
      </c>
      <c r="J284" s="42" t="str">
        <f>G!AU244</f>
        <v/>
      </c>
      <c r="K284" s="43" t="str">
        <f>IFERROR(IF(OR(H284="--",H284="rg",VLOOKUP(F!$B244,E!$B$1:'E'!$AK$300,12,FALSE)=1000000000,I284="-",I284=""),"",(HLOOKUP(SMALL(G!$Q$4:'G'!$Y$4,1),G!$Q$4:'G'!$Y$501,ROW(G!Q244)-3,FALSE))/VLOOKUP(F!$B244,E!$B$1:'E'!$AK$300,12,FALSE)*100),"")</f>
        <v/>
      </c>
      <c r="L284" s="43"/>
      <c r="M284" s="43" t="str">
        <f>G!AW244</f>
        <v/>
      </c>
      <c r="N284" s="43" t="str">
        <f>G!AV244</f>
        <v>--</v>
      </c>
      <c r="O284" s="42"/>
      <c r="P284" s="42" t="str">
        <f>G!AY244</f>
        <v/>
      </c>
      <c r="Q284" s="43" t="str">
        <f>G!AX244</f>
        <v>--</v>
      </c>
      <c r="R284" s="42" t="str">
        <f>G!AZ244</f>
        <v/>
      </c>
      <c r="S284" s="42" t="str">
        <f>G!BA244</f>
        <v/>
      </c>
      <c r="T284" s="43" t="str">
        <f>IFERROR(IF(OR(Q284="--",Q284="rg",VLOOKUP(F!$B244,E!$B$1:'E'!$AK$300,12,FALSE)=1000000000,R284="-",R284=""),"",(HLOOKUP(SMALL(G!$Q$4:'G'!$Y$4,4),G!$Q$4:'G'!$Y$501,ROW(G!Z244)-3,FALSE))/VLOOKUP(F!$B244,E!$B$1:'E'!$AK$300,12,FALSE)*100),"")</f>
        <v/>
      </c>
      <c r="U284" s="43"/>
      <c r="V284" s="43" t="str">
        <f>G!BC244</f>
        <v/>
      </c>
      <c r="W284" s="43" t="str">
        <f>G!BB244</f>
        <v>--</v>
      </c>
      <c r="X284" s="43"/>
      <c r="Y284" s="42" t="str">
        <f>G!BE244</f>
        <v/>
      </c>
      <c r="Z284" s="43" t="str">
        <f>G!BD244</f>
        <v>--</v>
      </c>
      <c r="AA284" s="42" t="str">
        <f>G!BF244</f>
        <v/>
      </c>
      <c r="AB284" s="42" t="str">
        <f>G!BG244</f>
        <v/>
      </c>
      <c r="AC284" s="43" t="str">
        <f>IFERROR(IF(OR(Z284="--",Z284="rg",VLOOKUP(F!$B244,E!$B$1:'E'!$AK$300,12,FALSE)=1000000000,AA284="-",AA284=""),"",(HLOOKUP(SMALL(G!$Q$4:'G'!$Y$4,7),G!$Q$4:'G'!$Y$501,ROW(G!AI244)-3,FALSE))/VLOOKUP(F!$B244,E!$B$1:'E'!$AK$300,12,FALSE)*100),"")</f>
        <v/>
      </c>
      <c r="AD284" s="43"/>
      <c r="AE284" s="34"/>
      <c r="AF284" s="34"/>
      <c r="AH284" s="72">
        <f t="shared" si="5"/>
        <v>1</v>
      </c>
      <c r="AJ284" s="34"/>
      <c r="AK284" s="34"/>
    </row>
    <row r="285" spans="1:37" s="72" customFormat="1" ht="9" hidden="1" customHeight="1" x14ac:dyDescent="0.15">
      <c r="A285" s="195" t="str">
        <f>F!A245</f>
        <v>Fractie C21 - C40</v>
      </c>
      <c r="B285" s="195"/>
      <c r="C285" s="195"/>
      <c r="D285" s="44" t="str">
        <f>G!AQ245</f>
        <v/>
      </c>
      <c r="E285" s="43" t="str">
        <f>G!AP245</f>
        <v>--</v>
      </c>
      <c r="F285" s="42"/>
      <c r="G285" s="42" t="str">
        <f>G!AS245</f>
        <v/>
      </c>
      <c r="H285" s="43" t="str">
        <f>G!AR245</f>
        <v>--</v>
      </c>
      <c r="I285" s="42" t="str">
        <f>G!AT245</f>
        <v/>
      </c>
      <c r="J285" s="42" t="str">
        <f>G!AU245</f>
        <v/>
      </c>
      <c r="K285" s="43" t="str">
        <f>IFERROR(IF(OR(H285="--",H285="rg",VLOOKUP(F!$B245,E!$B$1:'E'!$AK$300,12,FALSE)=1000000000,I285="-",I285=""),"",(HLOOKUP(SMALL(G!$Q$4:'G'!$Y$4,1),G!$Q$4:'G'!$Y$501,ROW(G!Q245)-3,FALSE))/VLOOKUP(F!$B245,E!$B$1:'E'!$AK$300,12,FALSE)*100),"")</f>
        <v/>
      </c>
      <c r="L285" s="43"/>
      <c r="M285" s="43" t="str">
        <f>G!AW245</f>
        <v/>
      </c>
      <c r="N285" s="43" t="str">
        <f>G!AV245</f>
        <v>--</v>
      </c>
      <c r="O285" s="42"/>
      <c r="P285" s="42" t="str">
        <f>G!AY245</f>
        <v/>
      </c>
      <c r="Q285" s="43" t="str">
        <f>G!AX245</f>
        <v>--</v>
      </c>
      <c r="R285" s="42" t="str">
        <f>G!AZ245</f>
        <v/>
      </c>
      <c r="S285" s="42" t="str">
        <f>G!BA245</f>
        <v/>
      </c>
      <c r="T285" s="43" t="str">
        <f>IFERROR(IF(OR(Q285="--",Q285="rg",VLOOKUP(F!$B245,E!$B$1:'E'!$AK$300,12,FALSE)=1000000000,R285="-",R285=""),"",(HLOOKUP(SMALL(G!$Q$4:'G'!$Y$4,4),G!$Q$4:'G'!$Y$501,ROW(G!Z245)-3,FALSE))/VLOOKUP(F!$B245,E!$B$1:'E'!$AK$300,12,FALSE)*100),"")</f>
        <v/>
      </c>
      <c r="U285" s="43"/>
      <c r="V285" s="43" t="str">
        <f>G!BC245</f>
        <v/>
      </c>
      <c r="W285" s="43" t="str">
        <f>G!BB245</f>
        <v>--</v>
      </c>
      <c r="X285" s="43"/>
      <c r="Y285" s="42" t="str">
        <f>G!BE245</f>
        <v/>
      </c>
      <c r="Z285" s="43" t="str">
        <f>G!BD245</f>
        <v>--</v>
      </c>
      <c r="AA285" s="42" t="str">
        <f>G!BF245</f>
        <v/>
      </c>
      <c r="AB285" s="42" t="str">
        <f>G!BG245</f>
        <v/>
      </c>
      <c r="AC285" s="43" t="str">
        <f>IFERROR(IF(OR(Z285="--",Z285="rg",VLOOKUP(F!$B245,E!$B$1:'E'!$AK$300,12,FALSE)=1000000000,AA285="-",AA285=""),"",(HLOOKUP(SMALL(G!$Q$4:'G'!$Y$4,7),G!$Q$4:'G'!$Y$501,ROW(G!AI245)-3,FALSE))/VLOOKUP(F!$B245,E!$B$1:'E'!$AK$300,12,FALSE)*100),"")</f>
        <v/>
      </c>
      <c r="AD285" s="43"/>
      <c r="AE285" s="34"/>
      <c r="AF285" s="34"/>
      <c r="AH285" s="72">
        <f t="shared" si="5"/>
        <v>1</v>
      </c>
      <c r="AJ285" s="34"/>
      <c r="AK285" s="34"/>
    </row>
    <row r="286" spans="1:37" s="72" customFormat="1" ht="9" customHeight="1" x14ac:dyDescent="0.15">
      <c r="A286" s="195" t="str">
        <f>F!A246</f>
        <v>Fractie C22 - C30</v>
      </c>
      <c r="B286" s="195"/>
      <c r="C286" s="195"/>
      <c r="D286" s="44" t="str">
        <f>G!AQ246</f>
        <v>&lt;</v>
      </c>
      <c r="E286" s="43" t="str">
        <f>G!AP246</f>
        <v>5,0</v>
      </c>
      <c r="F286" s="42"/>
      <c r="G286" s="42" t="str">
        <f>G!AS246</f>
        <v>&lt;</v>
      </c>
      <c r="H286" s="43" t="str">
        <f>G!AR246</f>
        <v>rg</v>
      </c>
      <c r="I286" s="42" t="str">
        <f>G!AT246</f>
        <v/>
      </c>
      <c r="J286" s="42" t="str">
        <f>G!AU246</f>
        <v/>
      </c>
      <c r="K286" s="43" t="str">
        <f>IFERROR(IF(OR(H286="--",H286="rg",VLOOKUP(F!$B246,E!$B$1:'E'!$AK$300,12,FALSE)=1000000000,I286="-",I286=""),"",(HLOOKUP(SMALL(G!$Q$4:'G'!$Y$4,1),G!$Q$4:'G'!$Y$501,ROW(G!Q246)-3,FALSE))/VLOOKUP(F!$B246,E!$B$1:'E'!$AK$300,12,FALSE)*100),"")</f>
        <v/>
      </c>
      <c r="L286" s="43"/>
      <c r="M286" s="43" t="str">
        <f>G!AW246</f>
        <v>&lt;</v>
      </c>
      <c r="N286" s="43" t="str">
        <f>G!AV246</f>
        <v>5,0</v>
      </c>
      <c r="O286" s="42"/>
      <c r="P286" s="42" t="str">
        <f>G!AY246</f>
        <v>&lt;</v>
      </c>
      <c r="Q286" s="43" t="str">
        <f>G!AX246</f>
        <v>rg</v>
      </c>
      <c r="R286" s="42" t="str">
        <f>G!AZ246</f>
        <v/>
      </c>
      <c r="S286" s="42" t="str">
        <f>G!BA246</f>
        <v/>
      </c>
      <c r="T286" s="43" t="str">
        <f>IFERROR(IF(OR(Q286="--",Q286="rg",VLOOKUP(F!$B246,E!$B$1:'E'!$AK$300,12,FALSE)=1000000000,R286="-",R286=""),"",(HLOOKUP(SMALL(G!$Q$4:'G'!$Y$4,4),G!$Q$4:'G'!$Y$501,ROW(G!Z246)-3,FALSE))/VLOOKUP(F!$B246,E!$B$1:'E'!$AK$300,12,FALSE)*100),"")</f>
        <v/>
      </c>
      <c r="U286" s="43"/>
      <c r="V286" s="43" t="str">
        <f>G!BC246</f>
        <v>&lt;</v>
      </c>
      <c r="W286" s="43" t="str">
        <f>G!BB246</f>
        <v>5,0</v>
      </c>
      <c r="X286" s="43"/>
      <c r="Y286" s="42" t="str">
        <f>G!BE246</f>
        <v>&lt;</v>
      </c>
      <c r="Z286" s="43" t="str">
        <f>G!BD246</f>
        <v>rg</v>
      </c>
      <c r="AA286" s="42" t="str">
        <f>G!BF246</f>
        <v/>
      </c>
      <c r="AB286" s="42" t="str">
        <f>G!BG246</f>
        <v/>
      </c>
      <c r="AC286" s="43" t="str">
        <f>IFERROR(IF(OR(Z286="--",Z286="rg",VLOOKUP(F!$B246,E!$B$1:'E'!$AK$300,12,FALSE)=1000000000,AA286="-",AA286=""),"",(HLOOKUP(SMALL(G!$Q$4:'G'!$Y$4,7),G!$Q$4:'G'!$Y$501,ROW(G!AI246)-3,FALSE))/VLOOKUP(F!$B246,E!$B$1:'E'!$AK$300,12,FALSE)*100),"")</f>
        <v/>
      </c>
      <c r="AD286" s="43"/>
      <c r="AE286" s="34"/>
      <c r="AF286" s="34"/>
      <c r="AH286" s="72">
        <f t="shared" si="5"/>
        <v>0</v>
      </c>
      <c r="AJ286" s="34"/>
      <c r="AK286" s="34"/>
    </row>
    <row r="287" spans="1:37" s="72" customFormat="1" ht="9" customHeight="1" x14ac:dyDescent="0.15">
      <c r="A287" s="195" t="str">
        <f>F!A247</f>
        <v>Fractie C30 - C40</v>
      </c>
      <c r="B287" s="195"/>
      <c r="C287" s="195"/>
      <c r="D287" s="44" t="str">
        <f>G!AQ247</f>
        <v>&lt;</v>
      </c>
      <c r="E287" s="43" t="str">
        <f>G!AP247</f>
        <v>5,0</v>
      </c>
      <c r="F287" s="42"/>
      <c r="G287" s="42" t="str">
        <f>G!AS247</f>
        <v>&lt;</v>
      </c>
      <c r="H287" s="43" t="str">
        <f>G!AR247</f>
        <v>rg</v>
      </c>
      <c r="I287" s="42" t="str">
        <f>G!AT247</f>
        <v/>
      </c>
      <c r="J287" s="42" t="str">
        <f>G!AU247</f>
        <v/>
      </c>
      <c r="K287" s="43" t="str">
        <f>IFERROR(IF(OR(H287="--",H287="rg",VLOOKUP(F!$B247,E!$B$1:'E'!$AK$300,12,FALSE)=1000000000,I287="-",I287=""),"",(HLOOKUP(SMALL(G!$Q$4:'G'!$Y$4,1),G!$Q$4:'G'!$Y$501,ROW(G!Q247)-3,FALSE))/VLOOKUP(F!$B247,E!$B$1:'E'!$AK$300,12,FALSE)*100),"")</f>
        <v/>
      </c>
      <c r="L287" s="43"/>
      <c r="M287" s="43" t="str">
        <f>G!AW247</f>
        <v>&lt;</v>
      </c>
      <c r="N287" s="43" t="str">
        <f>G!AV247</f>
        <v>5,0</v>
      </c>
      <c r="O287" s="42"/>
      <c r="P287" s="42" t="str">
        <f>G!AY247</f>
        <v>&lt;</v>
      </c>
      <c r="Q287" s="43" t="str">
        <f>G!AX247</f>
        <v>rg</v>
      </c>
      <c r="R287" s="42" t="str">
        <f>G!AZ247</f>
        <v/>
      </c>
      <c r="S287" s="42" t="str">
        <f>G!BA247</f>
        <v/>
      </c>
      <c r="T287" s="43" t="str">
        <f>IFERROR(IF(OR(Q287="--",Q287="rg",VLOOKUP(F!$B247,E!$B$1:'E'!$AK$300,12,FALSE)=1000000000,R287="-",R287=""),"",(HLOOKUP(SMALL(G!$Q$4:'G'!$Y$4,4),G!$Q$4:'G'!$Y$501,ROW(G!Z247)-3,FALSE))/VLOOKUP(F!$B247,E!$B$1:'E'!$AK$300,12,FALSE)*100),"")</f>
        <v/>
      </c>
      <c r="U287" s="43"/>
      <c r="V287" s="43" t="str">
        <f>G!BC247</f>
        <v>&lt;</v>
      </c>
      <c r="W287" s="43" t="str">
        <f>G!BB247</f>
        <v>5,0</v>
      </c>
      <c r="X287" s="43"/>
      <c r="Y287" s="42" t="str">
        <f>G!BE247</f>
        <v>&lt;</v>
      </c>
      <c r="Z287" s="43" t="str">
        <f>G!BD247</f>
        <v>rg</v>
      </c>
      <c r="AA287" s="42" t="str">
        <f>G!BF247</f>
        <v/>
      </c>
      <c r="AB287" s="42" t="str">
        <f>G!BG247</f>
        <v/>
      </c>
      <c r="AC287" s="43" t="str">
        <f>IFERROR(IF(OR(Z287="--",Z287="rg",VLOOKUP(F!$B247,E!$B$1:'E'!$AK$300,12,FALSE)=1000000000,AA287="-",AA287=""),"",(HLOOKUP(SMALL(G!$Q$4:'G'!$Y$4,7),G!$Q$4:'G'!$Y$501,ROW(G!AI247)-3,FALSE))/VLOOKUP(F!$B247,E!$B$1:'E'!$AK$300,12,FALSE)*100),"")</f>
        <v/>
      </c>
      <c r="AD287" s="43"/>
      <c r="AE287" s="34"/>
      <c r="AF287" s="34"/>
      <c r="AH287" s="72">
        <f t="shared" si="5"/>
        <v>0</v>
      </c>
      <c r="AJ287" s="34"/>
      <c r="AK287" s="34"/>
    </row>
    <row r="288" spans="1:37" s="72" customFormat="1" ht="9" customHeight="1" x14ac:dyDescent="0.15">
      <c r="A288" s="195" t="str">
        <f>F!A248</f>
        <v>Totaal olie C10 - C40</v>
      </c>
      <c r="B288" s="195"/>
      <c r="C288" s="195"/>
      <c r="D288" s="44" t="str">
        <f>G!AQ248</f>
        <v>&lt;</v>
      </c>
      <c r="E288" s="43" t="str">
        <f>G!AP248</f>
        <v>20</v>
      </c>
      <c r="F288" s="42"/>
      <c r="G288" s="42" t="str">
        <f>G!AS248</f>
        <v>&lt;</v>
      </c>
      <c r="H288" s="43" t="str">
        <f>G!AR248</f>
        <v>rg</v>
      </c>
      <c r="I288" s="42" t="str">
        <f>G!AT248</f>
        <v>-</v>
      </c>
      <c r="J288" s="42" t="str">
        <f>G!AU248</f>
        <v/>
      </c>
      <c r="K288" s="43" t="str">
        <f>IFERROR(IF(OR(H288="--",H288="rg",VLOOKUP(1200,E!$B$1:'E'!$AK$300,12,FALSE)=1000000000,I288="-",I288=""),"",(HLOOKUP(SMALL(G!$Q$4:'G'!$Y$4,1),G!$Q$4:'G'!$Y$501,ROW(G!Q248)-3,FALSE))/VLOOKUP(1200,E!$B$1:'E'!$AK$300,12,FALSE)*100),"")</f>
        <v/>
      </c>
      <c r="L288" s="43"/>
      <c r="M288" s="43" t="str">
        <f>G!AW248</f>
        <v>&lt;</v>
      </c>
      <c r="N288" s="43" t="str">
        <f>G!AV248</f>
        <v>20</v>
      </c>
      <c r="O288" s="42"/>
      <c r="P288" s="42" t="str">
        <f>G!AY248</f>
        <v>&lt;</v>
      </c>
      <c r="Q288" s="43" t="str">
        <f>G!AX248</f>
        <v>rg</v>
      </c>
      <c r="R288" s="42" t="str">
        <f>G!AZ248</f>
        <v>-</v>
      </c>
      <c r="S288" s="42" t="str">
        <f>G!BA248</f>
        <v/>
      </c>
      <c r="T288" s="43" t="str">
        <f>IFERROR(IF(OR(Q288="--",Q288="rg",VLOOKUP(1200,E!$B$1:'E'!$AK$300,12,FALSE)=1000000000,R288="-",R288=""),"",(HLOOKUP(SMALL(G!$Q$4:'G'!$Y$4,4),G!$Q$4:'G'!$Y$501,ROW(G!Z248)-3,FALSE))/VLOOKUP(1200,E!$B$1:'E'!$AK$300,12,FALSE)*100),"")</f>
        <v/>
      </c>
      <c r="U288" s="43"/>
      <c r="V288" s="43" t="str">
        <f>G!BC248</f>
        <v>&lt;</v>
      </c>
      <c r="W288" s="43" t="str">
        <f>G!BB248</f>
        <v>20</v>
      </c>
      <c r="X288" s="43"/>
      <c r="Y288" s="42" t="str">
        <f>G!BE248</f>
        <v>&lt;</v>
      </c>
      <c r="Z288" s="43" t="str">
        <f>G!BD248</f>
        <v>rg</v>
      </c>
      <c r="AA288" s="42" t="str">
        <f>G!BF248</f>
        <v>-</v>
      </c>
      <c r="AB288" s="42" t="str">
        <f>G!BG248</f>
        <v/>
      </c>
      <c r="AC288" s="43" t="str">
        <f>IFERROR(IF(OR(Z288="--",Z288="rg",VLOOKUP(1200,E!$B$1:'E'!$AK$300,12,FALSE)=1000000000,AA288="-",AA288=""),"",(HLOOKUP(SMALL(G!$Q$4:'G'!$Y$4,7),G!$Q$4:'G'!$Y$501,ROW(G!AI248)-3,FALSE))/VLOOKUP(1200,E!$B$1:'E'!$AK$300,12,FALSE)*100),"")</f>
        <v/>
      </c>
      <c r="AD288" s="43"/>
      <c r="AE288" s="34"/>
      <c r="AF288" s="34"/>
      <c r="AH288" s="72">
        <f t="shared" si="5"/>
        <v>0</v>
      </c>
      <c r="AJ288" s="34"/>
      <c r="AK288" s="34"/>
    </row>
    <row r="289" spans="1:37" s="72" customFormat="1" ht="9" hidden="1" customHeight="1" x14ac:dyDescent="0.15">
      <c r="A289" s="195" t="str">
        <f>F!A249</f>
        <v>Totaal olie C6 - C40</v>
      </c>
      <c r="B289" s="195"/>
      <c r="C289" s="195"/>
      <c r="D289" s="44" t="str">
        <f>G!AQ249</f>
        <v/>
      </c>
      <c r="E289" s="43" t="str">
        <f>G!AP249</f>
        <v>--</v>
      </c>
      <c r="F289" s="42"/>
      <c r="G289" s="42" t="str">
        <f>G!AS249</f>
        <v/>
      </c>
      <c r="H289" s="43" t="str">
        <f>G!AR249</f>
        <v>--</v>
      </c>
      <c r="I289" s="42" t="str">
        <f>G!AT249</f>
        <v/>
      </c>
      <c r="J289" s="42" t="str">
        <f>G!AU249</f>
        <v/>
      </c>
      <c r="K289" s="43" t="str">
        <f>IFERROR(IF(OR(H289="--",H289="rg",VLOOKUP(F!$B249,E!$B$1:'E'!$AK$300,12,FALSE)=1000000000,I289="-",I289=""),"",(HLOOKUP(SMALL(G!$Q$4:'G'!$Y$4,1),G!$Q$4:'G'!$Y$501,ROW(G!Q249)-3,FALSE))/VLOOKUP(F!$B249,E!$B$1:'E'!$AK$300,12,FALSE)*100),"")</f>
        <v/>
      </c>
      <c r="L289" s="43"/>
      <c r="M289" s="43" t="str">
        <f>G!AW249</f>
        <v/>
      </c>
      <c r="N289" s="43" t="str">
        <f>G!AV249</f>
        <v>--</v>
      </c>
      <c r="O289" s="42"/>
      <c r="P289" s="42" t="str">
        <f>G!AY249</f>
        <v/>
      </c>
      <c r="Q289" s="43" t="str">
        <f>G!AX249</f>
        <v>--</v>
      </c>
      <c r="R289" s="42" t="str">
        <f>G!AZ249</f>
        <v/>
      </c>
      <c r="S289" s="42" t="str">
        <f>G!BA249</f>
        <v/>
      </c>
      <c r="T289" s="43" t="str">
        <f>IFERROR(IF(OR(Q289="--",Q289="rg",VLOOKUP(F!$B249,E!$B$1:'E'!$AK$300,12,FALSE)=1000000000,R289="-",R289=""),"",(HLOOKUP(SMALL(G!$Q$4:'G'!$Y$4,4),G!$Q$4:'G'!$Y$501,ROW(G!Z249)-3,FALSE))/VLOOKUP(F!$B249,E!$B$1:'E'!$AK$300,12,FALSE)*100),"")</f>
        <v/>
      </c>
      <c r="U289" s="43"/>
      <c r="V289" s="43" t="str">
        <f>G!BC249</f>
        <v/>
      </c>
      <c r="W289" s="43" t="str">
        <f>G!BB249</f>
        <v>--</v>
      </c>
      <c r="X289" s="43"/>
      <c r="Y289" s="42" t="str">
        <f>G!BE249</f>
        <v/>
      </c>
      <c r="Z289" s="43" t="str">
        <f>G!BD249</f>
        <v>--</v>
      </c>
      <c r="AA289" s="42" t="str">
        <f>G!BF249</f>
        <v/>
      </c>
      <c r="AB289" s="42" t="str">
        <f>G!BG249</f>
        <v/>
      </c>
      <c r="AC289" s="43" t="str">
        <f>IFERROR(IF(OR(Z289="--",Z289="rg",VLOOKUP(F!$B249,E!$B$1:'E'!$AK$300,12,FALSE)=1000000000,AA289="-",AA289=""),"",(HLOOKUP(SMALL(G!$Q$4:'G'!$Y$4,7),G!$Q$4:'G'!$Y$501,ROW(G!AI249)-3,FALSE))/VLOOKUP(F!$B249,E!$B$1:'E'!$AK$300,12,FALSE)*100),"")</f>
        <v/>
      </c>
      <c r="AD289" s="43"/>
      <c r="AE289" s="34"/>
      <c r="AF289" s="34"/>
      <c r="AH289" s="72">
        <f t="shared" si="5"/>
        <v>1</v>
      </c>
      <c r="AJ289" s="34"/>
      <c r="AK289" s="34"/>
    </row>
    <row r="290" spans="1:37" ht="3.95" hidden="1" customHeight="1" x14ac:dyDescent="0.15">
      <c r="A290" s="41"/>
      <c r="B290" s="41"/>
      <c r="C290" s="41"/>
      <c r="D290" s="44"/>
      <c r="E290" s="43"/>
      <c r="F290" s="42"/>
      <c r="G290" s="42"/>
      <c r="H290" s="43"/>
      <c r="I290" s="42"/>
      <c r="J290" s="42"/>
      <c r="K290" s="42"/>
      <c r="L290" s="43"/>
      <c r="M290" s="43"/>
      <c r="N290" s="42"/>
      <c r="O290" s="42"/>
      <c r="P290" s="43"/>
      <c r="Q290" s="42"/>
      <c r="R290" s="42"/>
      <c r="S290" s="42"/>
      <c r="T290" s="43"/>
      <c r="U290" s="43"/>
      <c r="V290" s="43"/>
      <c r="W290" s="42"/>
      <c r="X290" s="43"/>
      <c r="Y290" s="42"/>
      <c r="Z290" s="43"/>
      <c r="AA290" s="43"/>
      <c r="AC290" s="34"/>
      <c r="AD290" s="72"/>
      <c r="AF290" s="72"/>
      <c r="AG290" s="34"/>
      <c r="AH290" s="94">
        <f>AH291</f>
        <v>1</v>
      </c>
      <c r="AI290" s="34"/>
    </row>
    <row r="291" spans="1:37" ht="9" hidden="1" customHeight="1" x14ac:dyDescent="0.15">
      <c r="A291" s="198" t="str">
        <f>IF(COUNTIF(F!D248:D256,131)&gt;0,"Glycolen (µg/kgds)","Glycolen (mg/kgds)")</f>
        <v>Glycolen (mg/kgds)</v>
      </c>
      <c r="B291" s="198"/>
      <c r="C291" s="198"/>
      <c r="D291" s="198"/>
      <c r="E291" s="198"/>
      <c r="F291" s="198"/>
      <c r="G291" s="198"/>
      <c r="H291" s="198"/>
      <c r="I291" s="198"/>
      <c r="J291" s="198"/>
      <c r="K291" s="198"/>
      <c r="L291" s="198"/>
      <c r="M291" s="198"/>
      <c r="N291" s="198"/>
      <c r="O291" s="198"/>
      <c r="P291" s="198"/>
      <c r="Q291" s="198"/>
      <c r="R291" s="198"/>
      <c r="S291" s="198"/>
      <c r="T291" s="198"/>
      <c r="U291" s="198"/>
      <c r="V291" s="198"/>
      <c r="W291" s="198"/>
      <c r="X291" s="198"/>
      <c r="Y291" s="198"/>
      <c r="Z291" s="198"/>
      <c r="AA291" s="198"/>
      <c r="AC291" s="34"/>
      <c r="AD291" s="72"/>
      <c r="AF291" s="72"/>
      <c r="AG291" s="34"/>
      <c r="AH291" s="94">
        <f>IF(COUNTIF(AH292:AH300,1)=COUNT(AH292:AH300),1,0)</f>
        <v>1</v>
      </c>
      <c r="AI291" s="34"/>
    </row>
    <row r="292" spans="1:37" s="72" customFormat="1" ht="9" hidden="1" customHeight="1" x14ac:dyDescent="0.15">
      <c r="A292" s="195" t="str">
        <f>F!A250</f>
        <v>Propyleenglycol</v>
      </c>
      <c r="B292" s="195"/>
      <c r="C292" s="195"/>
      <c r="D292" s="44" t="str">
        <f>G!AQ250</f>
        <v/>
      </c>
      <c r="E292" s="43" t="str">
        <f>G!AP250</f>
        <v>--</v>
      </c>
      <c r="F292" s="42"/>
      <c r="G292" s="42" t="str">
        <f>G!AS250</f>
        <v/>
      </c>
      <c r="H292" s="43" t="str">
        <f>G!AR250</f>
        <v>--</v>
      </c>
      <c r="I292" s="42" t="str">
        <f>G!AT250</f>
        <v/>
      </c>
      <c r="J292" s="42" t="str">
        <f>G!AU250</f>
        <v/>
      </c>
      <c r="K292" s="43" t="str">
        <f>IFERROR(IF(OR(H292="--",H292="rg",VLOOKUP(F!$B250,E!$B$1:'E'!$AK$300,12,FALSE)=1000000000,I292="-",I292=""),"",(HLOOKUP(SMALL(G!$Q$4:'G'!$Y$4,1),G!$Q$4:'G'!$Y$501,ROW(G!Q250)-3,FALSE))/VLOOKUP(F!$B250,E!$B$1:'E'!$AK$300,12,FALSE)*100),"")</f>
        <v/>
      </c>
      <c r="L292" s="43"/>
      <c r="M292" s="43" t="str">
        <f>G!AW250</f>
        <v/>
      </c>
      <c r="N292" s="43" t="str">
        <f>G!AV250</f>
        <v>--</v>
      </c>
      <c r="O292" s="42"/>
      <c r="P292" s="42" t="str">
        <f>G!AY250</f>
        <v/>
      </c>
      <c r="Q292" s="43" t="str">
        <f>G!AX250</f>
        <v>--</v>
      </c>
      <c r="R292" s="42" t="str">
        <f>G!AZ250</f>
        <v/>
      </c>
      <c r="S292" s="42" t="str">
        <f>G!BA250</f>
        <v/>
      </c>
      <c r="T292" s="43" t="str">
        <f>IFERROR(IF(OR(Q292="--",Q292="rg",VLOOKUP(F!$B250,E!$B$1:'E'!$AK$300,12,FALSE)=1000000000,R292="-",R292=""),"",(HLOOKUP(SMALL(G!$Q$4:'G'!$Y$4,4),G!$Q$4:'G'!$Y$501,ROW(G!Z250)-3,FALSE))/VLOOKUP(F!$B250,E!$B$1:'E'!$AK$300,12,FALSE)*100),"")</f>
        <v/>
      </c>
      <c r="U292" s="43"/>
      <c r="V292" s="43" t="str">
        <f>G!BC250</f>
        <v/>
      </c>
      <c r="W292" s="43" t="str">
        <f>G!BB250</f>
        <v>--</v>
      </c>
      <c r="X292" s="43"/>
      <c r="Y292" s="42" t="str">
        <f>G!BE250</f>
        <v/>
      </c>
      <c r="Z292" s="43" t="str">
        <f>G!BD250</f>
        <v>--</v>
      </c>
      <c r="AA292" s="42" t="str">
        <f>G!BF250</f>
        <v/>
      </c>
      <c r="AB292" s="42" t="str">
        <f>G!BG250</f>
        <v/>
      </c>
      <c r="AC292" s="43" t="str">
        <f>IFERROR(IF(OR(Z292="--",Z292="rg",VLOOKUP(F!$B250,E!$B$1:'E'!$AK$300,12,FALSE)=1000000000,AA292="-",AA292=""),"",(HLOOKUP(SMALL(G!$Q$4:'G'!$Y$4,7),G!$Q$4:'G'!$Y$501,ROW(G!AI250)-3,FALSE))/VLOOKUP(F!$B250,E!$B$1:'E'!$AK$300,12,FALSE)*100),"")</f>
        <v/>
      </c>
      <c r="AD292" s="43"/>
      <c r="AE292" s="34"/>
      <c r="AF292" s="34"/>
      <c r="AH292" s="72">
        <f t="shared" si="5"/>
        <v>1</v>
      </c>
      <c r="AJ292" s="34"/>
      <c r="AK292" s="34"/>
    </row>
    <row r="293" spans="1:37" s="72" customFormat="1" ht="9" hidden="1" customHeight="1" x14ac:dyDescent="0.15">
      <c r="A293" s="195" t="str">
        <f>F!A251</f>
        <v>Methylglycol</v>
      </c>
      <c r="B293" s="195"/>
      <c r="C293" s="195"/>
      <c r="D293" s="44" t="str">
        <f>G!AQ251</f>
        <v/>
      </c>
      <c r="E293" s="43" t="str">
        <f>G!AP251</f>
        <v>--</v>
      </c>
      <c r="F293" s="42"/>
      <c r="G293" s="42" t="str">
        <f>G!AS251</f>
        <v/>
      </c>
      <c r="H293" s="43" t="str">
        <f>G!AR251</f>
        <v>--</v>
      </c>
      <c r="I293" s="42" t="str">
        <f>G!AT251</f>
        <v/>
      </c>
      <c r="J293" s="42" t="str">
        <f>G!AU251</f>
        <v/>
      </c>
      <c r="K293" s="43" t="str">
        <f>IFERROR(IF(OR(H293="--",H293="rg",VLOOKUP(F!$B251,E!$B$1:'E'!$AK$300,12,FALSE)=1000000000,I293="-",I293=""),"",(HLOOKUP(SMALL(G!$Q$4:'G'!$Y$4,1),G!$Q$4:'G'!$Y$501,ROW(G!Q251)-3,FALSE))/VLOOKUP(F!$B251,E!$B$1:'E'!$AK$300,12,FALSE)*100),"")</f>
        <v/>
      </c>
      <c r="L293" s="43"/>
      <c r="M293" s="43" t="str">
        <f>G!AW251</f>
        <v/>
      </c>
      <c r="N293" s="43" t="str">
        <f>G!AV251</f>
        <v>--</v>
      </c>
      <c r="O293" s="42"/>
      <c r="P293" s="42" t="str">
        <f>G!AY251</f>
        <v/>
      </c>
      <c r="Q293" s="43" t="str">
        <f>G!AX251</f>
        <v>--</v>
      </c>
      <c r="R293" s="42" t="str">
        <f>G!AZ251</f>
        <v/>
      </c>
      <c r="S293" s="42" t="str">
        <f>G!BA251</f>
        <v/>
      </c>
      <c r="T293" s="43" t="str">
        <f>IFERROR(IF(OR(Q293="--",Q293="rg",VLOOKUP(F!$B251,E!$B$1:'E'!$AK$300,12,FALSE)=1000000000,R293="-",R293=""),"",(HLOOKUP(SMALL(G!$Q$4:'G'!$Y$4,4),G!$Q$4:'G'!$Y$501,ROW(G!Z251)-3,FALSE))/VLOOKUP(F!$B251,E!$B$1:'E'!$AK$300,12,FALSE)*100),"")</f>
        <v/>
      </c>
      <c r="U293" s="43"/>
      <c r="V293" s="43" t="str">
        <f>G!BC251</f>
        <v/>
      </c>
      <c r="W293" s="43" t="str">
        <f>G!BB251</f>
        <v>--</v>
      </c>
      <c r="X293" s="43"/>
      <c r="Y293" s="42" t="str">
        <f>G!BE251</f>
        <v/>
      </c>
      <c r="Z293" s="43" t="str">
        <f>G!BD251</f>
        <v>--</v>
      </c>
      <c r="AA293" s="42" t="str">
        <f>G!BF251</f>
        <v/>
      </c>
      <c r="AB293" s="42" t="str">
        <f>G!BG251</f>
        <v/>
      </c>
      <c r="AC293" s="43" t="str">
        <f>IFERROR(IF(OR(Z293="--",Z293="rg",VLOOKUP(F!$B251,E!$B$1:'E'!$AK$300,12,FALSE)=1000000000,AA293="-",AA293=""),"",(HLOOKUP(SMALL(G!$Q$4:'G'!$Y$4,7),G!$Q$4:'G'!$Y$501,ROW(G!AI251)-3,FALSE))/VLOOKUP(F!$B251,E!$B$1:'E'!$AK$300,12,FALSE)*100),"")</f>
        <v/>
      </c>
      <c r="AD293" s="43"/>
      <c r="AE293" s="34"/>
      <c r="AF293" s="34"/>
      <c r="AH293" s="72">
        <f t="shared" si="5"/>
        <v>1</v>
      </c>
      <c r="AJ293" s="34"/>
      <c r="AK293" s="34"/>
    </row>
    <row r="294" spans="1:37" s="72" customFormat="1" ht="9" hidden="1" customHeight="1" x14ac:dyDescent="0.15">
      <c r="A294" s="195" t="str">
        <f>F!A252</f>
        <v>Dimethylglycol</v>
      </c>
      <c r="B294" s="195"/>
      <c r="C294" s="195"/>
      <c r="D294" s="44" t="str">
        <f>G!AQ252</f>
        <v/>
      </c>
      <c r="E294" s="43" t="str">
        <f>G!AP252</f>
        <v>--</v>
      </c>
      <c r="F294" s="42"/>
      <c r="G294" s="42" t="str">
        <f>G!AS252</f>
        <v/>
      </c>
      <c r="H294" s="43" t="str">
        <f>G!AR252</f>
        <v>--</v>
      </c>
      <c r="I294" s="42" t="str">
        <f>G!AT252</f>
        <v/>
      </c>
      <c r="J294" s="42" t="str">
        <f>G!AU252</f>
        <v/>
      </c>
      <c r="K294" s="43" t="str">
        <f>IFERROR(IF(OR(H294="--",H294="rg",VLOOKUP(F!$B252,E!$B$1:'E'!$AK$300,12,FALSE)=1000000000,I294="-",I294=""),"",(HLOOKUP(SMALL(G!$Q$4:'G'!$Y$4,1),G!$Q$4:'G'!$Y$501,ROW(G!Q252)-3,FALSE))/VLOOKUP(F!$B252,E!$B$1:'E'!$AK$300,12,FALSE)*100),"")</f>
        <v/>
      </c>
      <c r="L294" s="43"/>
      <c r="M294" s="43" t="str">
        <f>G!AW252</f>
        <v/>
      </c>
      <c r="N294" s="43" t="str">
        <f>G!AV252</f>
        <v>--</v>
      </c>
      <c r="O294" s="42"/>
      <c r="P294" s="42" t="str">
        <f>G!AY252</f>
        <v/>
      </c>
      <c r="Q294" s="43" t="str">
        <f>G!AX252</f>
        <v>--</v>
      </c>
      <c r="R294" s="42" t="str">
        <f>G!AZ252</f>
        <v/>
      </c>
      <c r="S294" s="42" t="str">
        <f>G!BA252</f>
        <v/>
      </c>
      <c r="T294" s="43" t="str">
        <f>IFERROR(IF(OR(Q294="--",Q294="rg",VLOOKUP(F!$B252,E!$B$1:'E'!$AK$300,12,FALSE)=1000000000,R294="-",R294=""),"",(HLOOKUP(SMALL(G!$Q$4:'G'!$Y$4,4),G!$Q$4:'G'!$Y$501,ROW(G!Z252)-3,FALSE))/VLOOKUP(F!$B252,E!$B$1:'E'!$AK$300,12,FALSE)*100),"")</f>
        <v/>
      </c>
      <c r="U294" s="43"/>
      <c r="V294" s="43" t="str">
        <f>G!BC252</f>
        <v/>
      </c>
      <c r="W294" s="43" t="str">
        <f>G!BB252</f>
        <v>--</v>
      </c>
      <c r="X294" s="43"/>
      <c r="Y294" s="42" t="str">
        <f>G!BE252</f>
        <v/>
      </c>
      <c r="Z294" s="43" t="str">
        <f>G!BD252</f>
        <v>--</v>
      </c>
      <c r="AA294" s="42" t="str">
        <f>G!BF252</f>
        <v/>
      </c>
      <c r="AB294" s="42" t="str">
        <f>G!BG252</f>
        <v/>
      </c>
      <c r="AC294" s="43" t="str">
        <f>IFERROR(IF(OR(Z294="--",Z294="rg",VLOOKUP(F!$B252,E!$B$1:'E'!$AK$300,12,FALSE)=1000000000,AA294="-",AA294=""),"",(HLOOKUP(SMALL(G!$Q$4:'G'!$Y$4,7),G!$Q$4:'G'!$Y$501,ROW(G!AI252)-3,FALSE))/VLOOKUP(F!$B252,E!$B$1:'E'!$AK$300,12,FALSE)*100),"")</f>
        <v/>
      </c>
      <c r="AD294" s="43"/>
      <c r="AE294" s="34"/>
      <c r="AF294" s="34"/>
      <c r="AH294" s="72">
        <f t="shared" si="5"/>
        <v>1</v>
      </c>
      <c r="AJ294" s="34"/>
      <c r="AK294" s="34"/>
    </row>
    <row r="295" spans="1:37" s="72" customFormat="1" ht="9" hidden="1" customHeight="1" x14ac:dyDescent="0.15">
      <c r="A295" s="195" t="str">
        <f>F!A253</f>
        <v>Ethylglycol</v>
      </c>
      <c r="B295" s="195"/>
      <c r="C295" s="195"/>
      <c r="D295" s="44" t="str">
        <f>G!AQ253</f>
        <v/>
      </c>
      <c r="E295" s="43" t="str">
        <f>G!AP253</f>
        <v>--</v>
      </c>
      <c r="F295" s="42"/>
      <c r="G295" s="42" t="str">
        <f>G!AS253</f>
        <v/>
      </c>
      <c r="H295" s="43" t="str">
        <f>G!AR253</f>
        <v>--</v>
      </c>
      <c r="I295" s="42" t="str">
        <f>G!AT253</f>
        <v/>
      </c>
      <c r="J295" s="42" t="str">
        <f>G!AU253</f>
        <v/>
      </c>
      <c r="K295" s="43" t="str">
        <f>IFERROR(IF(OR(H295="--",H295="rg",VLOOKUP(F!$B253,E!$B$1:'E'!$AK$300,12,FALSE)=1000000000,I295="-",I295=""),"",(HLOOKUP(SMALL(G!$Q$4:'G'!$Y$4,1),G!$Q$4:'G'!$Y$501,ROW(G!Q253)-3,FALSE))/VLOOKUP(F!$B253,E!$B$1:'E'!$AK$300,12,FALSE)*100),"")</f>
        <v/>
      </c>
      <c r="L295" s="43"/>
      <c r="M295" s="43" t="str">
        <f>G!AW253</f>
        <v/>
      </c>
      <c r="N295" s="43" t="str">
        <f>G!AV253</f>
        <v>--</v>
      </c>
      <c r="O295" s="42"/>
      <c r="P295" s="42" t="str">
        <f>G!AY253</f>
        <v/>
      </c>
      <c r="Q295" s="43" t="str">
        <f>G!AX253</f>
        <v>--</v>
      </c>
      <c r="R295" s="42" t="str">
        <f>G!AZ253</f>
        <v/>
      </c>
      <c r="S295" s="42" t="str">
        <f>G!BA253</f>
        <v/>
      </c>
      <c r="T295" s="43" t="str">
        <f>IFERROR(IF(OR(Q295="--",Q295="rg",VLOOKUP(F!$B253,E!$B$1:'E'!$AK$300,12,FALSE)=1000000000,R295="-",R295=""),"",(HLOOKUP(SMALL(G!$Q$4:'G'!$Y$4,4),G!$Q$4:'G'!$Y$501,ROW(G!Z253)-3,FALSE))/VLOOKUP(F!$B253,E!$B$1:'E'!$AK$300,12,FALSE)*100),"")</f>
        <v/>
      </c>
      <c r="U295" s="43"/>
      <c r="V295" s="43" t="str">
        <f>G!BC253</f>
        <v/>
      </c>
      <c r="W295" s="43" t="str">
        <f>G!BB253</f>
        <v>--</v>
      </c>
      <c r="X295" s="43"/>
      <c r="Y295" s="42" t="str">
        <f>G!BE253</f>
        <v/>
      </c>
      <c r="Z295" s="43" t="str">
        <f>G!BD253</f>
        <v>--</v>
      </c>
      <c r="AA295" s="42" t="str">
        <f>G!BF253</f>
        <v/>
      </c>
      <c r="AB295" s="42" t="str">
        <f>G!BG253</f>
        <v/>
      </c>
      <c r="AC295" s="43" t="str">
        <f>IFERROR(IF(OR(Z295="--",Z295="rg",VLOOKUP(F!$B253,E!$B$1:'E'!$AK$300,12,FALSE)=1000000000,AA295="-",AA295=""),"",(HLOOKUP(SMALL(G!$Q$4:'G'!$Y$4,7),G!$Q$4:'G'!$Y$501,ROW(G!AI253)-3,FALSE))/VLOOKUP(F!$B253,E!$B$1:'E'!$AK$300,12,FALSE)*100),"")</f>
        <v/>
      </c>
      <c r="AD295" s="43"/>
      <c r="AE295" s="34"/>
      <c r="AF295" s="34"/>
      <c r="AH295" s="72">
        <f t="shared" si="5"/>
        <v>1</v>
      </c>
      <c r="AJ295" s="34"/>
      <c r="AK295" s="34"/>
    </row>
    <row r="296" spans="1:37" s="72" customFormat="1" ht="9" hidden="1" customHeight="1" x14ac:dyDescent="0.15">
      <c r="A296" s="195" t="str">
        <f>F!A254</f>
        <v>Diethylglycol</v>
      </c>
      <c r="B296" s="195"/>
      <c r="C296" s="195"/>
      <c r="D296" s="44" t="str">
        <f>G!AQ254</f>
        <v/>
      </c>
      <c r="E296" s="43" t="str">
        <f>G!AP254</f>
        <v>--</v>
      </c>
      <c r="F296" s="42"/>
      <c r="G296" s="42" t="str">
        <f>G!AS254</f>
        <v/>
      </c>
      <c r="H296" s="43" t="str">
        <f>G!AR254</f>
        <v>--</v>
      </c>
      <c r="I296" s="42" t="str">
        <f>G!AT254</f>
        <v/>
      </c>
      <c r="J296" s="42" t="str">
        <f>G!AU254</f>
        <v/>
      </c>
      <c r="K296" s="43" t="str">
        <f>IFERROR(IF(OR(H296="--",H296="rg",VLOOKUP(F!$B254,E!$B$1:'E'!$AK$300,12,FALSE)=1000000000,I296="-",I296=""),"",(HLOOKUP(SMALL(G!$Q$4:'G'!$Y$4,1),G!$Q$4:'G'!$Y$501,ROW(G!Q254)-3,FALSE))/VLOOKUP(F!$B254,E!$B$1:'E'!$AK$300,12,FALSE)*100),"")</f>
        <v/>
      </c>
      <c r="L296" s="43"/>
      <c r="M296" s="43" t="str">
        <f>G!AW254</f>
        <v/>
      </c>
      <c r="N296" s="43" t="str">
        <f>G!AV254</f>
        <v>--</v>
      </c>
      <c r="O296" s="42"/>
      <c r="P296" s="42" t="str">
        <f>G!AY254</f>
        <v/>
      </c>
      <c r="Q296" s="43" t="str">
        <f>G!AX254</f>
        <v>--</v>
      </c>
      <c r="R296" s="42" t="str">
        <f>G!AZ254</f>
        <v/>
      </c>
      <c r="S296" s="42" t="str">
        <f>G!BA254</f>
        <v/>
      </c>
      <c r="T296" s="43" t="str">
        <f>IFERROR(IF(OR(Q296="--",Q296="rg",VLOOKUP(F!$B254,E!$B$1:'E'!$AK$300,12,FALSE)=1000000000,R296="-",R296=""),"",(HLOOKUP(SMALL(G!$Q$4:'G'!$Y$4,4),G!$Q$4:'G'!$Y$501,ROW(G!Z254)-3,FALSE))/VLOOKUP(F!$B254,E!$B$1:'E'!$AK$300,12,FALSE)*100),"")</f>
        <v/>
      </c>
      <c r="U296" s="43"/>
      <c r="V296" s="43" t="str">
        <f>G!BC254</f>
        <v/>
      </c>
      <c r="W296" s="43" t="str">
        <f>G!BB254</f>
        <v>--</v>
      </c>
      <c r="X296" s="43"/>
      <c r="Y296" s="42" t="str">
        <f>G!BE254</f>
        <v/>
      </c>
      <c r="Z296" s="43" t="str">
        <f>G!BD254</f>
        <v>--</v>
      </c>
      <c r="AA296" s="42" t="str">
        <f>G!BF254</f>
        <v/>
      </c>
      <c r="AB296" s="42" t="str">
        <f>G!BG254</f>
        <v/>
      </c>
      <c r="AC296" s="43" t="str">
        <f>IFERROR(IF(OR(Z296="--",Z296="rg",VLOOKUP(F!$B254,E!$B$1:'E'!$AK$300,12,FALSE)=1000000000,AA296="-",AA296=""),"",(HLOOKUP(SMALL(G!$Q$4:'G'!$Y$4,7),G!$Q$4:'G'!$Y$501,ROW(G!AI254)-3,FALSE))/VLOOKUP(F!$B254,E!$B$1:'E'!$AK$300,12,FALSE)*100),"")</f>
        <v/>
      </c>
      <c r="AD296" s="43"/>
      <c r="AE296" s="34"/>
      <c r="AF296" s="34"/>
      <c r="AH296" s="72">
        <f t="shared" si="5"/>
        <v>1</v>
      </c>
      <c r="AJ296" s="34"/>
      <c r="AK296" s="34"/>
    </row>
    <row r="297" spans="1:37" s="72" customFormat="1" ht="9" hidden="1" customHeight="1" x14ac:dyDescent="0.15">
      <c r="A297" s="195" t="str">
        <f>F!A255</f>
        <v>Isopropylglycol</v>
      </c>
      <c r="B297" s="195"/>
      <c r="C297" s="195"/>
      <c r="D297" s="44" t="str">
        <f>G!AQ255</f>
        <v/>
      </c>
      <c r="E297" s="43" t="str">
        <f>G!AP255</f>
        <v>--</v>
      </c>
      <c r="F297" s="42"/>
      <c r="G297" s="42" t="str">
        <f>G!AS255</f>
        <v/>
      </c>
      <c r="H297" s="43" t="str">
        <f>G!AR255</f>
        <v>--</v>
      </c>
      <c r="I297" s="42" t="str">
        <f>G!AT255</f>
        <v/>
      </c>
      <c r="J297" s="42" t="str">
        <f>G!AU255</f>
        <v/>
      </c>
      <c r="K297" s="43" t="str">
        <f>IFERROR(IF(OR(H297="--",H297="rg",VLOOKUP(F!$B255,E!$B$1:'E'!$AK$300,12,FALSE)=1000000000,I297="-",I297=""),"",(HLOOKUP(SMALL(G!$Q$4:'G'!$Y$4,1),G!$Q$4:'G'!$Y$501,ROW(G!Q255)-3,FALSE))/VLOOKUP(F!$B255,E!$B$1:'E'!$AK$300,12,FALSE)*100),"")</f>
        <v/>
      </c>
      <c r="L297" s="43"/>
      <c r="M297" s="43" t="str">
        <f>G!AW255</f>
        <v/>
      </c>
      <c r="N297" s="43" t="str">
        <f>G!AV255</f>
        <v>--</v>
      </c>
      <c r="O297" s="42"/>
      <c r="P297" s="42" t="str">
        <f>G!AY255</f>
        <v/>
      </c>
      <c r="Q297" s="43" t="str">
        <f>G!AX255</f>
        <v>--</v>
      </c>
      <c r="R297" s="42" t="str">
        <f>G!AZ255</f>
        <v/>
      </c>
      <c r="S297" s="42" t="str">
        <f>G!BA255</f>
        <v/>
      </c>
      <c r="T297" s="43" t="str">
        <f>IFERROR(IF(OR(Q297="--",Q297="rg",VLOOKUP(F!$B255,E!$B$1:'E'!$AK$300,12,FALSE)=1000000000,R297="-",R297=""),"",(HLOOKUP(SMALL(G!$Q$4:'G'!$Y$4,4),G!$Q$4:'G'!$Y$501,ROW(G!Z255)-3,FALSE))/VLOOKUP(F!$B255,E!$B$1:'E'!$AK$300,12,FALSE)*100),"")</f>
        <v/>
      </c>
      <c r="U297" s="43"/>
      <c r="V297" s="43" t="str">
        <f>G!BC255</f>
        <v/>
      </c>
      <c r="W297" s="43" t="str">
        <f>G!BB255</f>
        <v>--</v>
      </c>
      <c r="X297" s="43"/>
      <c r="Y297" s="42" t="str">
        <f>G!BE255</f>
        <v/>
      </c>
      <c r="Z297" s="43" t="str">
        <f>G!BD255</f>
        <v>--</v>
      </c>
      <c r="AA297" s="42" t="str">
        <f>G!BF255</f>
        <v/>
      </c>
      <c r="AB297" s="42" t="str">
        <f>G!BG255</f>
        <v/>
      </c>
      <c r="AC297" s="43" t="str">
        <f>IFERROR(IF(OR(Z297="--",Z297="rg",VLOOKUP(F!$B255,E!$B$1:'E'!$AK$300,12,FALSE)=1000000000,AA297="-",AA297=""),"",(HLOOKUP(SMALL(G!$Q$4:'G'!$Y$4,7),G!$Q$4:'G'!$Y$501,ROW(G!AI255)-3,FALSE))/VLOOKUP(F!$B255,E!$B$1:'E'!$AK$300,12,FALSE)*100),"")</f>
        <v/>
      </c>
      <c r="AD297" s="43"/>
      <c r="AE297" s="34"/>
      <c r="AF297" s="34"/>
      <c r="AH297" s="72">
        <f t="shared" si="5"/>
        <v>1</v>
      </c>
      <c r="AJ297" s="34"/>
      <c r="AK297" s="34"/>
    </row>
    <row r="298" spans="1:37" s="72" customFormat="1" ht="9" hidden="1" customHeight="1" x14ac:dyDescent="0.15">
      <c r="A298" s="195" t="str">
        <f>F!A256</f>
        <v>Butylglycol</v>
      </c>
      <c r="B298" s="195"/>
      <c r="C298" s="195"/>
      <c r="D298" s="44" t="str">
        <f>G!AQ256</f>
        <v/>
      </c>
      <c r="E298" s="43" t="str">
        <f>G!AP256</f>
        <v>--</v>
      </c>
      <c r="F298" s="42"/>
      <c r="G298" s="42" t="str">
        <f>G!AS256</f>
        <v/>
      </c>
      <c r="H298" s="43" t="str">
        <f>G!AR256</f>
        <v>--</v>
      </c>
      <c r="I298" s="42" t="str">
        <f>G!AT256</f>
        <v/>
      </c>
      <c r="J298" s="42" t="str">
        <f>G!AU256</f>
        <v/>
      </c>
      <c r="K298" s="43" t="str">
        <f>IFERROR(IF(OR(H298="--",H298="rg",VLOOKUP(F!$B256,E!$B$1:'E'!$AK$300,12,FALSE)=1000000000,I298="-",I298=""),"",(HLOOKUP(SMALL(G!$Q$4:'G'!$Y$4,1),G!$Q$4:'G'!$Y$501,ROW(G!Q256)-3,FALSE))/VLOOKUP(F!$B256,E!$B$1:'E'!$AK$300,12,FALSE)*100),"")</f>
        <v/>
      </c>
      <c r="L298" s="43"/>
      <c r="M298" s="43" t="str">
        <f>G!AW256</f>
        <v/>
      </c>
      <c r="N298" s="43" t="str">
        <f>G!AV256</f>
        <v>--</v>
      </c>
      <c r="O298" s="42"/>
      <c r="P298" s="42" t="str">
        <f>G!AY256</f>
        <v/>
      </c>
      <c r="Q298" s="43" t="str">
        <f>G!AX256</f>
        <v>--</v>
      </c>
      <c r="R298" s="42" t="str">
        <f>G!AZ256</f>
        <v/>
      </c>
      <c r="S298" s="42" t="str">
        <f>G!BA256</f>
        <v/>
      </c>
      <c r="T298" s="43" t="str">
        <f>IFERROR(IF(OR(Q298="--",Q298="rg",VLOOKUP(F!$B256,E!$B$1:'E'!$AK$300,12,FALSE)=1000000000,R298="-",R298=""),"",(HLOOKUP(SMALL(G!$Q$4:'G'!$Y$4,4),G!$Q$4:'G'!$Y$501,ROW(G!Z256)-3,FALSE))/VLOOKUP(F!$B256,E!$B$1:'E'!$AK$300,12,FALSE)*100),"")</f>
        <v/>
      </c>
      <c r="U298" s="43"/>
      <c r="V298" s="43" t="str">
        <f>G!BC256</f>
        <v/>
      </c>
      <c r="W298" s="43" t="str">
        <f>G!BB256</f>
        <v>--</v>
      </c>
      <c r="X298" s="43"/>
      <c r="Y298" s="42" t="str">
        <f>G!BE256</f>
        <v/>
      </c>
      <c r="Z298" s="43" t="str">
        <f>G!BD256</f>
        <v>--</v>
      </c>
      <c r="AA298" s="42" t="str">
        <f>G!BF256</f>
        <v/>
      </c>
      <c r="AB298" s="42" t="str">
        <f>G!BG256</f>
        <v/>
      </c>
      <c r="AC298" s="43" t="str">
        <f>IFERROR(IF(OR(Z298="--",Z298="rg",VLOOKUP(F!$B256,E!$B$1:'E'!$AK$300,12,FALSE)=1000000000,AA298="-",AA298=""),"",(HLOOKUP(SMALL(G!$Q$4:'G'!$Y$4,7),G!$Q$4:'G'!$Y$501,ROW(G!AI256)-3,FALSE))/VLOOKUP(F!$B256,E!$B$1:'E'!$AK$300,12,FALSE)*100),"")</f>
        <v/>
      </c>
      <c r="AD298" s="43"/>
      <c r="AE298" s="34"/>
      <c r="AF298" s="34"/>
      <c r="AH298" s="72">
        <f t="shared" si="5"/>
        <v>1</v>
      </c>
      <c r="AJ298" s="34"/>
      <c r="AK298" s="34"/>
    </row>
    <row r="299" spans="1:37" s="72" customFormat="1" ht="9" hidden="1" customHeight="1" x14ac:dyDescent="0.15">
      <c r="A299" s="195" t="str">
        <f>F!A257</f>
        <v>Ethyleenglycol</v>
      </c>
      <c r="B299" s="195"/>
      <c r="C299" s="195"/>
      <c r="D299" s="44" t="str">
        <f>G!AQ257</f>
        <v/>
      </c>
      <c r="E299" s="43" t="str">
        <f>G!AP257</f>
        <v>--</v>
      </c>
      <c r="F299" s="42"/>
      <c r="G299" s="42" t="str">
        <f>G!AS257</f>
        <v/>
      </c>
      <c r="H299" s="43" t="str">
        <f>G!AR257</f>
        <v>--</v>
      </c>
      <c r="I299" s="42" t="str">
        <f>G!AT257</f>
        <v/>
      </c>
      <c r="J299" s="42" t="str">
        <f>G!AU257</f>
        <v/>
      </c>
      <c r="K299" s="43" t="str">
        <f>IFERROR(IF(OR(H299="--",H299="rg",VLOOKUP(F!$B257,E!$B$1:'E'!$AK$300,12,FALSE)=1000000000,I299="-",I299=""),"",(HLOOKUP(SMALL(G!$Q$4:'G'!$Y$4,1),G!$Q$4:'G'!$Y$501,ROW(G!Q257)-3,FALSE))/VLOOKUP(F!$B257,E!$B$1:'E'!$AK$300,12,FALSE)*100),"")</f>
        <v/>
      </c>
      <c r="L299" s="43"/>
      <c r="M299" s="43" t="str">
        <f>G!AW257</f>
        <v/>
      </c>
      <c r="N299" s="43" t="str">
        <f>G!AV257</f>
        <v>--</v>
      </c>
      <c r="O299" s="42"/>
      <c r="P299" s="42" t="str">
        <f>G!AY257</f>
        <v/>
      </c>
      <c r="Q299" s="43" t="str">
        <f>G!AX257</f>
        <v>--</v>
      </c>
      <c r="R299" s="42" t="str">
        <f>G!AZ257</f>
        <v/>
      </c>
      <c r="S299" s="42" t="str">
        <f>G!BA257</f>
        <v/>
      </c>
      <c r="T299" s="43" t="str">
        <f>IFERROR(IF(OR(Q299="--",Q299="rg",VLOOKUP(F!$B257,E!$B$1:'E'!$AK$300,12,FALSE)=1000000000,R299="-",R299=""),"",(HLOOKUP(SMALL(G!$Q$4:'G'!$Y$4,4),G!$Q$4:'G'!$Y$501,ROW(G!Z257)-3,FALSE))/VLOOKUP(F!$B257,E!$B$1:'E'!$AK$300,12,FALSE)*100),"")</f>
        <v/>
      </c>
      <c r="U299" s="43"/>
      <c r="V299" s="43" t="str">
        <f>G!BC257</f>
        <v/>
      </c>
      <c r="W299" s="43" t="str">
        <f>G!BB257</f>
        <v>--</v>
      </c>
      <c r="X299" s="43"/>
      <c r="Y299" s="42" t="str">
        <f>G!BE257</f>
        <v/>
      </c>
      <c r="Z299" s="43" t="str">
        <f>G!BD257</f>
        <v>--</v>
      </c>
      <c r="AA299" s="42" t="str">
        <f>G!BF257</f>
        <v/>
      </c>
      <c r="AB299" s="42" t="str">
        <f>G!BG257</f>
        <v/>
      </c>
      <c r="AC299" s="43" t="str">
        <f>IFERROR(IF(OR(Z299="--",Z299="rg",VLOOKUP(F!$B257,E!$B$1:'E'!$AK$300,12,FALSE)=1000000000,AA299="-",AA299=""),"",(HLOOKUP(SMALL(G!$Q$4:'G'!$Y$4,7),G!$Q$4:'G'!$Y$501,ROW(G!AI257)-3,FALSE))/VLOOKUP(F!$B257,E!$B$1:'E'!$AK$300,12,FALSE)*100),"")</f>
        <v/>
      </c>
      <c r="AD299" s="43"/>
      <c r="AE299" s="34"/>
      <c r="AF299" s="34"/>
      <c r="AH299" s="72">
        <f t="shared" si="5"/>
        <v>1</v>
      </c>
      <c r="AJ299" s="34"/>
      <c r="AK299" s="34"/>
    </row>
    <row r="300" spans="1:37" s="72" customFormat="1" ht="9" hidden="1" customHeight="1" x14ac:dyDescent="0.15">
      <c r="A300" s="195" t="str">
        <f>F!A258</f>
        <v>Diethyleenglycol</v>
      </c>
      <c r="B300" s="195"/>
      <c r="C300" s="195"/>
      <c r="D300" s="44" t="str">
        <f>G!AQ258</f>
        <v/>
      </c>
      <c r="E300" s="43" t="str">
        <f>G!AP258</f>
        <v>--</v>
      </c>
      <c r="F300" s="42"/>
      <c r="G300" s="42" t="str">
        <f>G!AS258</f>
        <v/>
      </c>
      <c r="H300" s="43" t="str">
        <f>G!AR258</f>
        <v>--</v>
      </c>
      <c r="I300" s="42" t="str">
        <f>G!AT258</f>
        <v/>
      </c>
      <c r="J300" s="42" t="str">
        <f>G!AU258</f>
        <v/>
      </c>
      <c r="K300" s="43" t="str">
        <f>IFERROR(IF(OR(H300="--",H300="rg",VLOOKUP(F!$B258,E!$B$1:'E'!$AK$300,12,FALSE)=1000000000,I300="-",I300=""),"",(HLOOKUP(SMALL(G!$Q$4:'G'!$Y$4,1),G!$Q$4:'G'!$Y$501,ROW(G!Q258)-3,FALSE))/VLOOKUP(F!$B258,E!$B$1:'E'!$AK$300,12,FALSE)*100),"")</f>
        <v/>
      </c>
      <c r="L300" s="43"/>
      <c r="M300" s="43" t="str">
        <f>G!AW258</f>
        <v/>
      </c>
      <c r="N300" s="43" t="str">
        <f>G!AV258</f>
        <v>--</v>
      </c>
      <c r="O300" s="42"/>
      <c r="P300" s="42" t="str">
        <f>G!AY258</f>
        <v/>
      </c>
      <c r="Q300" s="43" t="str">
        <f>G!AX258</f>
        <v>--</v>
      </c>
      <c r="R300" s="42" t="str">
        <f>G!AZ258</f>
        <v/>
      </c>
      <c r="S300" s="42" t="str">
        <f>G!BA258</f>
        <v/>
      </c>
      <c r="T300" s="43" t="str">
        <f>IFERROR(IF(OR(Q300="--",Q300="rg",VLOOKUP(F!$B258,E!$B$1:'E'!$AK$300,12,FALSE)=1000000000,R300="-",R300=""),"",(HLOOKUP(SMALL(G!$Q$4:'G'!$Y$4,4),G!$Q$4:'G'!$Y$501,ROW(G!Z258)-3,FALSE))/VLOOKUP(F!$B258,E!$B$1:'E'!$AK$300,12,FALSE)*100),"")</f>
        <v/>
      </c>
      <c r="U300" s="43"/>
      <c r="V300" s="43" t="str">
        <f>G!BC258</f>
        <v/>
      </c>
      <c r="W300" s="43" t="str">
        <f>G!BB258</f>
        <v>--</v>
      </c>
      <c r="X300" s="43"/>
      <c r="Y300" s="42" t="str">
        <f>G!BE258</f>
        <v/>
      </c>
      <c r="Z300" s="43" t="str">
        <f>G!BD258</f>
        <v>--</v>
      </c>
      <c r="AA300" s="42" t="str">
        <f>G!BF258</f>
        <v/>
      </c>
      <c r="AB300" s="42" t="str">
        <f>G!BG258</f>
        <v/>
      </c>
      <c r="AC300" s="43" t="str">
        <f>IFERROR(IF(OR(Z300="--",Z300="rg",VLOOKUP(F!$B258,E!$B$1:'E'!$AK$300,12,FALSE)=1000000000,AA300="-",AA300=""),"",(HLOOKUP(SMALL(G!$Q$4:'G'!$Y$4,7),G!$Q$4:'G'!$Y$501,ROW(G!AI258)-3,FALSE))/VLOOKUP(F!$B258,E!$B$1:'E'!$AK$300,12,FALSE)*100),"")</f>
        <v/>
      </c>
      <c r="AD300" s="43"/>
      <c r="AE300" s="34"/>
      <c r="AF300" s="34"/>
      <c r="AH300" s="72">
        <f t="shared" si="5"/>
        <v>1</v>
      </c>
      <c r="AJ300" s="34"/>
      <c r="AK300" s="34"/>
    </row>
    <row r="301" spans="1:37" ht="3.95" hidden="1" customHeight="1" x14ac:dyDescent="0.15">
      <c r="A301" s="41"/>
      <c r="B301" s="41"/>
      <c r="C301" s="41"/>
      <c r="D301" s="44"/>
      <c r="E301" s="43"/>
      <c r="F301" s="42"/>
      <c r="G301" s="42"/>
      <c r="H301" s="43"/>
      <c r="I301" s="42"/>
      <c r="J301" s="42"/>
      <c r="K301" s="42"/>
      <c r="L301" s="43"/>
      <c r="M301" s="43"/>
      <c r="N301" s="42"/>
      <c r="O301" s="42"/>
      <c r="P301" s="43"/>
      <c r="Q301" s="42"/>
      <c r="R301" s="42"/>
      <c r="S301" s="42"/>
      <c r="T301" s="43"/>
      <c r="U301" s="43"/>
      <c r="V301" s="43"/>
      <c r="W301" s="42"/>
      <c r="X301" s="43"/>
      <c r="Y301" s="42"/>
      <c r="Z301" s="43"/>
      <c r="AA301" s="43"/>
      <c r="AC301" s="34"/>
      <c r="AD301" s="72"/>
      <c r="AF301" s="72"/>
      <c r="AG301" s="34"/>
      <c r="AH301" s="94">
        <f>AH302</f>
        <v>1</v>
      </c>
      <c r="AI301" s="34"/>
    </row>
    <row r="302" spans="1:37" ht="9" hidden="1" customHeight="1" x14ac:dyDescent="0.15">
      <c r="A302" s="198" t="str">
        <f>IF(COUNTIF(F!D257:D264,131)&gt;0,"Alkylbenzenen (µg/kgds)","Alkylbenzenen (mg/kgds)")</f>
        <v>Alkylbenzenen (mg/kgds)</v>
      </c>
      <c r="B302" s="198"/>
      <c r="C302" s="198"/>
      <c r="D302" s="198"/>
      <c r="E302" s="198"/>
      <c r="F302" s="198"/>
      <c r="G302" s="198"/>
      <c r="H302" s="198"/>
      <c r="I302" s="198"/>
      <c r="J302" s="198"/>
      <c r="K302" s="198"/>
      <c r="L302" s="198"/>
      <c r="M302" s="198"/>
      <c r="N302" s="198"/>
      <c r="O302" s="198"/>
      <c r="P302" s="198"/>
      <c r="Q302" s="198"/>
      <c r="R302" s="198"/>
      <c r="S302" s="198"/>
      <c r="T302" s="198"/>
      <c r="U302" s="198"/>
      <c r="V302" s="198"/>
      <c r="W302" s="198"/>
      <c r="X302" s="198"/>
      <c r="Y302" s="198"/>
      <c r="Z302" s="198"/>
      <c r="AA302" s="198"/>
      <c r="AC302" s="34"/>
      <c r="AD302" s="72"/>
      <c r="AF302" s="72"/>
      <c r="AG302" s="34"/>
      <c r="AH302" s="94">
        <f>IF(COUNTIF(AH303:AH310,1)=COUNT(AH303:AH310),1,0)</f>
        <v>1</v>
      </c>
      <c r="AI302" s="34"/>
    </row>
    <row r="303" spans="1:37" s="72" customFormat="1" ht="9" hidden="1" customHeight="1" x14ac:dyDescent="0.15">
      <c r="A303" s="195" t="str">
        <f>F!A259</f>
        <v>n-Propylbenzeen</v>
      </c>
      <c r="B303" s="195"/>
      <c r="C303" s="195"/>
      <c r="D303" s="44" t="str">
        <f>G!AQ259</f>
        <v/>
      </c>
      <c r="E303" s="43" t="str">
        <f>G!AP259</f>
        <v>--</v>
      </c>
      <c r="F303" s="42"/>
      <c r="G303" s="42" t="str">
        <f>G!AS259</f>
        <v/>
      </c>
      <c r="H303" s="43" t="str">
        <f>G!AR259</f>
        <v>--</v>
      </c>
      <c r="I303" s="42" t="str">
        <f>G!AT259</f>
        <v/>
      </c>
      <c r="J303" s="42" t="str">
        <f>G!AU259</f>
        <v/>
      </c>
      <c r="K303" s="43" t="str">
        <f>IFERROR(IF(OR(H303="--",H303="rg",VLOOKUP(F!$B259,E!$B$1:'E'!$AK$300,12,FALSE)=1000000000,I303="-",I303=""),"",(HLOOKUP(SMALL(G!$Q$4:'G'!$Y$4,1),G!$Q$4:'G'!$Y$501,ROW(G!Q259)-3,FALSE))/VLOOKUP(F!$B259,E!$B$1:'E'!$AK$300,12,FALSE)*100),"")</f>
        <v/>
      </c>
      <c r="L303" s="43"/>
      <c r="M303" s="43" t="str">
        <f>G!AW259</f>
        <v/>
      </c>
      <c r="N303" s="43" t="str">
        <f>G!AV259</f>
        <v>--</v>
      </c>
      <c r="O303" s="42"/>
      <c r="P303" s="42" t="str">
        <f>G!AY259</f>
        <v/>
      </c>
      <c r="Q303" s="43" t="str">
        <f>G!AX259</f>
        <v>--</v>
      </c>
      <c r="R303" s="42" t="str">
        <f>G!AZ259</f>
        <v/>
      </c>
      <c r="S303" s="42" t="str">
        <f>G!BA259</f>
        <v/>
      </c>
      <c r="T303" s="43" t="str">
        <f>IFERROR(IF(OR(Q303="--",Q303="rg",VLOOKUP(F!$B259,E!$B$1:'E'!$AK$300,12,FALSE)=1000000000,R303="-",R303=""),"",(HLOOKUP(SMALL(G!$Q$4:'G'!$Y$4,4),G!$Q$4:'G'!$Y$501,ROW(G!Z259)-3,FALSE))/VLOOKUP(F!$B259,E!$B$1:'E'!$AK$300,12,FALSE)*100),"")</f>
        <v/>
      </c>
      <c r="U303" s="43"/>
      <c r="V303" s="43" t="str">
        <f>G!BC259</f>
        <v/>
      </c>
      <c r="W303" s="43" t="str">
        <f>G!BB259</f>
        <v>--</v>
      </c>
      <c r="X303" s="43"/>
      <c r="Y303" s="42" t="str">
        <f>G!BE259</f>
        <v/>
      </c>
      <c r="Z303" s="43" t="str">
        <f>G!BD259</f>
        <v>--</v>
      </c>
      <c r="AA303" s="42" t="str">
        <f>G!BF259</f>
        <v/>
      </c>
      <c r="AB303" s="42" t="str">
        <f>G!BG259</f>
        <v/>
      </c>
      <c r="AC303" s="43" t="str">
        <f>IFERROR(IF(OR(Z303="--",Z303="rg",VLOOKUP(F!$B259,E!$B$1:'E'!$AK$300,12,FALSE)=1000000000,AA303="-",AA303=""),"",(HLOOKUP(SMALL(G!$Q$4:'G'!$Y$4,7),G!$Q$4:'G'!$Y$501,ROW(G!AI259)-3,FALSE))/VLOOKUP(F!$B259,E!$B$1:'E'!$AK$300,12,FALSE)*100),"")</f>
        <v/>
      </c>
      <c r="AD303" s="43"/>
      <c r="AE303" s="34"/>
      <c r="AF303" s="34"/>
      <c r="AH303" s="72">
        <f t="shared" si="5"/>
        <v>1</v>
      </c>
      <c r="AJ303" s="34"/>
      <c r="AK303" s="34"/>
    </row>
    <row r="304" spans="1:37" s="72" customFormat="1" ht="9" hidden="1" customHeight="1" x14ac:dyDescent="0.15">
      <c r="A304" s="195" t="str">
        <f>F!A260</f>
        <v>Isopropylbenzeen / cumeen</v>
      </c>
      <c r="B304" s="195"/>
      <c r="C304" s="195"/>
      <c r="D304" s="44" t="str">
        <f>G!AQ260</f>
        <v/>
      </c>
      <c r="E304" s="43" t="str">
        <f>G!AP260</f>
        <v>--</v>
      </c>
      <c r="F304" s="42"/>
      <c r="G304" s="42" t="str">
        <f>G!AS260</f>
        <v/>
      </c>
      <c r="H304" s="43" t="str">
        <f>G!AR260</f>
        <v>--</v>
      </c>
      <c r="I304" s="42" t="str">
        <f>G!AT260</f>
        <v/>
      </c>
      <c r="J304" s="42" t="str">
        <f>G!AU260</f>
        <v/>
      </c>
      <c r="K304" s="43" t="str">
        <f>IFERROR(IF(OR(H304="--",H304="rg",VLOOKUP(F!$B260,E!$B$1:'E'!$AK$300,12,FALSE)=1000000000,I304="-",I304=""),"",(HLOOKUP(SMALL(G!$Q$4:'G'!$Y$4,1),G!$Q$4:'G'!$Y$501,ROW(G!Q260)-3,FALSE))/VLOOKUP(F!$B260,E!$B$1:'E'!$AK$300,12,FALSE)*100),"")</f>
        <v/>
      </c>
      <c r="L304" s="43"/>
      <c r="M304" s="43" t="str">
        <f>G!AW260</f>
        <v/>
      </c>
      <c r="N304" s="43" t="str">
        <f>G!AV260</f>
        <v>--</v>
      </c>
      <c r="O304" s="42"/>
      <c r="P304" s="42" t="str">
        <f>G!AY260</f>
        <v/>
      </c>
      <c r="Q304" s="43" t="str">
        <f>G!AX260</f>
        <v>--</v>
      </c>
      <c r="R304" s="42" t="str">
        <f>G!AZ260</f>
        <v/>
      </c>
      <c r="S304" s="42" t="str">
        <f>G!BA260</f>
        <v/>
      </c>
      <c r="T304" s="43" t="str">
        <f>IFERROR(IF(OR(Q304="--",Q304="rg",VLOOKUP(F!$B260,E!$B$1:'E'!$AK$300,12,FALSE)=1000000000,R304="-",R304=""),"",(HLOOKUP(SMALL(G!$Q$4:'G'!$Y$4,4),G!$Q$4:'G'!$Y$501,ROW(G!Z260)-3,FALSE))/VLOOKUP(F!$B260,E!$B$1:'E'!$AK$300,12,FALSE)*100),"")</f>
        <v/>
      </c>
      <c r="U304" s="43"/>
      <c r="V304" s="43" t="str">
        <f>G!BC260</f>
        <v/>
      </c>
      <c r="W304" s="43" t="str">
        <f>G!BB260</f>
        <v>--</v>
      </c>
      <c r="X304" s="43"/>
      <c r="Y304" s="42" t="str">
        <f>G!BE260</f>
        <v/>
      </c>
      <c r="Z304" s="43" t="str">
        <f>G!BD260</f>
        <v>--</v>
      </c>
      <c r="AA304" s="42" t="str">
        <f>G!BF260</f>
        <v/>
      </c>
      <c r="AB304" s="42" t="str">
        <f>G!BG260</f>
        <v/>
      </c>
      <c r="AC304" s="43" t="str">
        <f>IFERROR(IF(OR(Z304="--",Z304="rg",VLOOKUP(F!$B260,E!$B$1:'E'!$AK$300,12,FALSE)=1000000000,AA304="-",AA304=""),"",(HLOOKUP(SMALL(G!$Q$4:'G'!$Y$4,7),G!$Q$4:'G'!$Y$501,ROW(G!AI260)-3,FALSE))/VLOOKUP(F!$B260,E!$B$1:'E'!$AK$300,12,FALSE)*100),"")</f>
        <v/>
      </c>
      <c r="AD304" s="43"/>
      <c r="AE304" s="34"/>
      <c r="AF304" s="34"/>
      <c r="AH304" s="72">
        <f t="shared" si="5"/>
        <v>1</v>
      </c>
      <c r="AJ304" s="34"/>
      <c r="AK304" s="34"/>
    </row>
    <row r="305" spans="1:37" s="72" customFormat="1" ht="9" hidden="1" customHeight="1" x14ac:dyDescent="0.15">
      <c r="A305" s="195" t="str">
        <f>F!A261</f>
        <v>1,3,5-Trimethylbenzeen</v>
      </c>
      <c r="B305" s="195"/>
      <c r="C305" s="195"/>
      <c r="D305" s="44" t="str">
        <f>G!AQ261</f>
        <v/>
      </c>
      <c r="E305" s="43" t="str">
        <f>G!AP261</f>
        <v>--</v>
      </c>
      <c r="F305" s="42"/>
      <c r="G305" s="42" t="str">
        <f>G!AS261</f>
        <v/>
      </c>
      <c r="H305" s="43" t="str">
        <f>G!AR261</f>
        <v>--</v>
      </c>
      <c r="I305" s="42" t="str">
        <f>G!AT261</f>
        <v/>
      </c>
      <c r="J305" s="42" t="str">
        <f>G!AU261</f>
        <v/>
      </c>
      <c r="K305" s="43" t="str">
        <f>IFERROR(IF(OR(H305="--",H305="rg",VLOOKUP(F!$B261,E!$B$1:'E'!$AK$300,12,FALSE)=1000000000,I305="-",I305=""),"",(HLOOKUP(SMALL(G!$Q$4:'G'!$Y$4,1),G!$Q$4:'G'!$Y$501,ROW(G!Q261)-3,FALSE))/VLOOKUP(F!$B261,E!$B$1:'E'!$AK$300,12,FALSE)*100),"")</f>
        <v/>
      </c>
      <c r="L305" s="43"/>
      <c r="M305" s="43" t="str">
        <f>G!AW261</f>
        <v/>
      </c>
      <c r="N305" s="43" t="str">
        <f>G!AV261</f>
        <v>--</v>
      </c>
      <c r="O305" s="42"/>
      <c r="P305" s="42" t="str">
        <f>G!AY261</f>
        <v/>
      </c>
      <c r="Q305" s="43" t="str">
        <f>G!AX261</f>
        <v>--</v>
      </c>
      <c r="R305" s="42" t="str">
        <f>G!AZ261</f>
        <v/>
      </c>
      <c r="S305" s="42" t="str">
        <f>G!BA261</f>
        <v/>
      </c>
      <c r="T305" s="43" t="str">
        <f>IFERROR(IF(OR(Q305="--",Q305="rg",VLOOKUP(F!$B261,E!$B$1:'E'!$AK$300,12,FALSE)=1000000000,R305="-",R305=""),"",(HLOOKUP(SMALL(G!$Q$4:'G'!$Y$4,4),G!$Q$4:'G'!$Y$501,ROW(G!Z261)-3,FALSE))/VLOOKUP(F!$B261,E!$B$1:'E'!$AK$300,12,FALSE)*100),"")</f>
        <v/>
      </c>
      <c r="U305" s="43"/>
      <c r="V305" s="43" t="str">
        <f>G!BC261</f>
        <v/>
      </c>
      <c r="W305" s="43" t="str">
        <f>G!BB261</f>
        <v>--</v>
      </c>
      <c r="X305" s="43"/>
      <c r="Y305" s="42" t="str">
        <f>G!BE261</f>
        <v/>
      </c>
      <c r="Z305" s="43" t="str">
        <f>G!BD261</f>
        <v>--</v>
      </c>
      <c r="AA305" s="42" t="str">
        <f>G!BF261</f>
        <v/>
      </c>
      <c r="AB305" s="42" t="str">
        <f>G!BG261</f>
        <v/>
      </c>
      <c r="AC305" s="43" t="str">
        <f>IFERROR(IF(OR(Z305="--",Z305="rg",VLOOKUP(F!$B261,E!$B$1:'E'!$AK$300,12,FALSE)=1000000000,AA305="-",AA305=""),"",(HLOOKUP(SMALL(G!$Q$4:'G'!$Y$4,7),G!$Q$4:'G'!$Y$501,ROW(G!AI261)-3,FALSE))/VLOOKUP(F!$B261,E!$B$1:'E'!$AK$300,12,FALSE)*100),"")</f>
        <v/>
      </c>
      <c r="AD305" s="43"/>
      <c r="AE305" s="34"/>
      <c r="AF305" s="34"/>
      <c r="AH305" s="72">
        <f t="shared" si="5"/>
        <v>1</v>
      </c>
      <c r="AJ305" s="34"/>
      <c r="AK305" s="34"/>
    </row>
    <row r="306" spans="1:37" s="72" customFormat="1" ht="9" hidden="1" customHeight="1" x14ac:dyDescent="0.15">
      <c r="A306" s="195" t="str">
        <f>F!A262</f>
        <v>1,2,4-Trimethylbenzeen</v>
      </c>
      <c r="B306" s="195"/>
      <c r="C306" s="195"/>
      <c r="D306" s="44" t="str">
        <f>G!AQ262</f>
        <v/>
      </c>
      <c r="E306" s="43" t="str">
        <f>G!AP262</f>
        <v>--</v>
      </c>
      <c r="F306" s="42"/>
      <c r="G306" s="42" t="str">
        <f>G!AS262</f>
        <v/>
      </c>
      <c r="H306" s="43" t="str">
        <f>G!AR262</f>
        <v>--</v>
      </c>
      <c r="I306" s="42" t="str">
        <f>G!AT262</f>
        <v/>
      </c>
      <c r="J306" s="42" t="str">
        <f>G!AU262</f>
        <v/>
      </c>
      <c r="K306" s="43" t="str">
        <f>IFERROR(IF(OR(H306="--",H306="rg",VLOOKUP(F!$B262,E!$B$1:'E'!$AK$300,12,FALSE)=1000000000,I306="-",I306=""),"",(HLOOKUP(SMALL(G!$Q$4:'G'!$Y$4,1),G!$Q$4:'G'!$Y$501,ROW(G!Q262)-3,FALSE))/VLOOKUP(F!$B262,E!$B$1:'E'!$AK$300,12,FALSE)*100),"")</f>
        <v/>
      </c>
      <c r="L306" s="43"/>
      <c r="M306" s="43" t="str">
        <f>G!AW262</f>
        <v/>
      </c>
      <c r="N306" s="43" t="str">
        <f>G!AV262</f>
        <v>--</v>
      </c>
      <c r="O306" s="42"/>
      <c r="P306" s="42" t="str">
        <f>G!AY262</f>
        <v/>
      </c>
      <c r="Q306" s="43" t="str">
        <f>G!AX262</f>
        <v>--</v>
      </c>
      <c r="R306" s="42" t="str">
        <f>G!AZ262</f>
        <v/>
      </c>
      <c r="S306" s="42" t="str">
        <f>G!BA262</f>
        <v/>
      </c>
      <c r="T306" s="43" t="str">
        <f>IFERROR(IF(OR(Q306="--",Q306="rg",VLOOKUP(F!$B262,E!$B$1:'E'!$AK$300,12,FALSE)=1000000000,R306="-",R306=""),"",(HLOOKUP(SMALL(G!$Q$4:'G'!$Y$4,4),G!$Q$4:'G'!$Y$501,ROW(G!Z262)-3,FALSE))/VLOOKUP(F!$B262,E!$B$1:'E'!$AK$300,12,FALSE)*100),"")</f>
        <v/>
      </c>
      <c r="U306" s="43"/>
      <c r="V306" s="43" t="str">
        <f>G!BC262</f>
        <v/>
      </c>
      <c r="W306" s="43" t="str">
        <f>G!BB262</f>
        <v>--</v>
      </c>
      <c r="X306" s="43"/>
      <c r="Y306" s="42" t="str">
        <f>G!BE262</f>
        <v/>
      </c>
      <c r="Z306" s="43" t="str">
        <f>G!BD262</f>
        <v>--</v>
      </c>
      <c r="AA306" s="42" t="str">
        <f>G!BF262</f>
        <v/>
      </c>
      <c r="AB306" s="42" t="str">
        <f>G!BG262</f>
        <v/>
      </c>
      <c r="AC306" s="43" t="str">
        <f>IFERROR(IF(OR(Z306="--",Z306="rg",VLOOKUP(F!$B262,E!$B$1:'E'!$AK$300,12,FALSE)=1000000000,AA306="-",AA306=""),"",(HLOOKUP(SMALL(G!$Q$4:'G'!$Y$4,7),G!$Q$4:'G'!$Y$501,ROW(G!AI262)-3,FALSE))/VLOOKUP(F!$B262,E!$B$1:'E'!$AK$300,12,FALSE)*100),"")</f>
        <v/>
      </c>
      <c r="AD306" s="43"/>
      <c r="AE306" s="34"/>
      <c r="AF306" s="34"/>
      <c r="AH306" s="72">
        <f t="shared" si="5"/>
        <v>1</v>
      </c>
      <c r="AJ306" s="34"/>
      <c r="AK306" s="34"/>
    </row>
    <row r="307" spans="1:37" s="72" customFormat="1" ht="9" hidden="1" customHeight="1" x14ac:dyDescent="0.15">
      <c r="A307" s="195" t="str">
        <f>F!A263</f>
        <v>Tert-butylbenzeen</v>
      </c>
      <c r="B307" s="195"/>
      <c r="C307" s="195"/>
      <c r="D307" s="44" t="str">
        <f>G!AQ263</f>
        <v/>
      </c>
      <c r="E307" s="43" t="str">
        <f>G!AP263</f>
        <v>--</v>
      </c>
      <c r="F307" s="42"/>
      <c r="G307" s="42" t="str">
        <f>G!AS263</f>
        <v/>
      </c>
      <c r="H307" s="43" t="str">
        <f>G!AR263</f>
        <v>--</v>
      </c>
      <c r="I307" s="42" t="str">
        <f>G!AT263</f>
        <v/>
      </c>
      <c r="J307" s="42" t="str">
        <f>G!AU263</f>
        <v/>
      </c>
      <c r="K307" s="43" t="str">
        <f>IFERROR(IF(OR(H307="--",H307="rg",VLOOKUP(F!$B263,E!$B$1:'E'!$AK$300,12,FALSE)=1000000000,I307="-",I307=""),"",(HLOOKUP(SMALL(G!$Q$4:'G'!$Y$4,1),G!$Q$4:'G'!$Y$501,ROW(G!Q263)-3,FALSE))/VLOOKUP(F!$B263,E!$B$1:'E'!$AK$300,12,FALSE)*100),"")</f>
        <v/>
      </c>
      <c r="L307" s="43"/>
      <c r="M307" s="43" t="str">
        <f>G!AW263</f>
        <v/>
      </c>
      <c r="N307" s="43" t="str">
        <f>G!AV263</f>
        <v>--</v>
      </c>
      <c r="O307" s="42"/>
      <c r="P307" s="42" t="str">
        <f>G!AY263</f>
        <v/>
      </c>
      <c r="Q307" s="43" t="str">
        <f>G!AX263</f>
        <v>--</v>
      </c>
      <c r="R307" s="42" t="str">
        <f>G!AZ263</f>
        <v/>
      </c>
      <c r="S307" s="42" t="str">
        <f>G!BA263</f>
        <v/>
      </c>
      <c r="T307" s="43" t="str">
        <f>IFERROR(IF(OR(Q307="--",Q307="rg",VLOOKUP(F!$B263,E!$B$1:'E'!$AK$300,12,FALSE)=1000000000,R307="-",R307=""),"",(HLOOKUP(SMALL(G!$Q$4:'G'!$Y$4,4),G!$Q$4:'G'!$Y$501,ROW(G!Z263)-3,FALSE))/VLOOKUP(F!$B263,E!$B$1:'E'!$AK$300,12,FALSE)*100),"")</f>
        <v/>
      </c>
      <c r="U307" s="43"/>
      <c r="V307" s="43" t="str">
        <f>G!BC263</f>
        <v/>
      </c>
      <c r="W307" s="43" t="str">
        <f>G!BB263</f>
        <v>--</v>
      </c>
      <c r="X307" s="43"/>
      <c r="Y307" s="42" t="str">
        <f>G!BE263</f>
        <v/>
      </c>
      <c r="Z307" s="43" t="str">
        <f>G!BD263</f>
        <v>--</v>
      </c>
      <c r="AA307" s="42" t="str">
        <f>G!BF263</f>
        <v/>
      </c>
      <c r="AB307" s="42" t="str">
        <f>G!BG263</f>
        <v/>
      </c>
      <c r="AC307" s="43" t="str">
        <f>IFERROR(IF(OR(Z307="--",Z307="rg",VLOOKUP(F!$B263,E!$B$1:'E'!$AK$300,12,FALSE)=1000000000,AA307="-",AA307=""),"",(HLOOKUP(SMALL(G!$Q$4:'G'!$Y$4,7),G!$Q$4:'G'!$Y$501,ROW(G!AI263)-3,FALSE))/VLOOKUP(F!$B263,E!$B$1:'E'!$AK$300,12,FALSE)*100),"")</f>
        <v/>
      </c>
      <c r="AD307" s="43"/>
      <c r="AE307" s="34"/>
      <c r="AF307" s="34"/>
      <c r="AH307" s="72">
        <f t="shared" si="5"/>
        <v>1</v>
      </c>
      <c r="AJ307" s="34"/>
      <c r="AK307" s="34"/>
    </row>
    <row r="308" spans="1:37" s="72" customFormat="1" ht="9" hidden="1" customHeight="1" x14ac:dyDescent="0.15">
      <c r="A308" s="195" t="str">
        <f>F!A264</f>
        <v>Sec-butylbenzeen</v>
      </c>
      <c r="B308" s="195"/>
      <c r="C308" s="195"/>
      <c r="D308" s="44" t="str">
        <f>G!AQ264</f>
        <v/>
      </c>
      <c r="E308" s="43" t="str">
        <f>G!AP264</f>
        <v>--</v>
      </c>
      <c r="F308" s="42"/>
      <c r="G308" s="42" t="str">
        <f>G!AS264</f>
        <v/>
      </c>
      <c r="H308" s="43" t="str">
        <f>G!AR264</f>
        <v>--</v>
      </c>
      <c r="I308" s="42" t="str">
        <f>G!AT264</f>
        <v/>
      </c>
      <c r="J308" s="42" t="str">
        <f>G!AU264</f>
        <v/>
      </c>
      <c r="K308" s="43" t="str">
        <f>IFERROR(IF(OR(H308="--",H308="rg",VLOOKUP(F!$B264,E!$B$1:'E'!$AK$300,12,FALSE)=1000000000,I308="-",I308=""),"",(HLOOKUP(SMALL(G!$Q$4:'G'!$Y$4,1),G!$Q$4:'G'!$Y$501,ROW(G!Q264)-3,FALSE))/VLOOKUP(F!$B264,E!$B$1:'E'!$AK$300,12,FALSE)*100),"")</f>
        <v/>
      </c>
      <c r="L308" s="43"/>
      <c r="M308" s="43" t="str">
        <f>G!AW264</f>
        <v/>
      </c>
      <c r="N308" s="43" t="str">
        <f>G!AV264</f>
        <v>--</v>
      </c>
      <c r="O308" s="42"/>
      <c r="P308" s="42" t="str">
        <f>G!AY264</f>
        <v/>
      </c>
      <c r="Q308" s="43" t="str">
        <f>G!AX264</f>
        <v>--</v>
      </c>
      <c r="R308" s="42" t="str">
        <f>G!AZ264</f>
        <v/>
      </c>
      <c r="S308" s="42" t="str">
        <f>G!BA264</f>
        <v/>
      </c>
      <c r="T308" s="43" t="str">
        <f>IFERROR(IF(OR(Q308="--",Q308="rg",VLOOKUP(F!$B264,E!$B$1:'E'!$AK$300,12,FALSE)=1000000000,R308="-",R308=""),"",(HLOOKUP(SMALL(G!$Q$4:'G'!$Y$4,4),G!$Q$4:'G'!$Y$501,ROW(G!Z264)-3,FALSE))/VLOOKUP(F!$B264,E!$B$1:'E'!$AK$300,12,FALSE)*100),"")</f>
        <v/>
      </c>
      <c r="U308" s="43"/>
      <c r="V308" s="43" t="str">
        <f>G!BC264</f>
        <v/>
      </c>
      <c r="W308" s="43" t="str">
        <f>G!BB264</f>
        <v>--</v>
      </c>
      <c r="X308" s="43"/>
      <c r="Y308" s="42" t="str">
        <f>G!BE264</f>
        <v/>
      </c>
      <c r="Z308" s="43" t="str">
        <f>G!BD264</f>
        <v>--</v>
      </c>
      <c r="AA308" s="42" t="str">
        <f>G!BF264</f>
        <v/>
      </c>
      <c r="AB308" s="42" t="str">
        <f>G!BG264</f>
        <v/>
      </c>
      <c r="AC308" s="43" t="str">
        <f>IFERROR(IF(OR(Z308="--",Z308="rg",VLOOKUP(F!$B264,E!$B$1:'E'!$AK$300,12,FALSE)=1000000000,AA308="-",AA308=""),"",(HLOOKUP(SMALL(G!$Q$4:'G'!$Y$4,7),G!$Q$4:'G'!$Y$501,ROW(G!AI264)-3,FALSE))/VLOOKUP(F!$B264,E!$B$1:'E'!$AK$300,12,FALSE)*100),"")</f>
        <v/>
      </c>
      <c r="AD308" s="43"/>
      <c r="AE308" s="34"/>
      <c r="AF308" s="34"/>
      <c r="AH308" s="72">
        <f t="shared" si="5"/>
        <v>1</v>
      </c>
      <c r="AJ308" s="34"/>
      <c r="AK308" s="34"/>
    </row>
    <row r="309" spans="1:37" s="72" customFormat="1" ht="9" hidden="1" customHeight="1" x14ac:dyDescent="0.15">
      <c r="A309" s="195" t="str">
        <f>F!A265</f>
        <v>n-Butylbenzeen</v>
      </c>
      <c r="B309" s="195"/>
      <c r="C309" s="195"/>
      <c r="D309" s="44" t="str">
        <f>G!AQ265</f>
        <v/>
      </c>
      <c r="E309" s="43" t="str">
        <f>G!AP265</f>
        <v>--</v>
      </c>
      <c r="F309" s="42"/>
      <c r="G309" s="42" t="str">
        <f>G!AS265</f>
        <v/>
      </c>
      <c r="H309" s="43" t="str">
        <f>G!AR265</f>
        <v>--</v>
      </c>
      <c r="I309" s="42" t="str">
        <f>G!AT265</f>
        <v/>
      </c>
      <c r="J309" s="42" t="str">
        <f>G!AU265</f>
        <v/>
      </c>
      <c r="K309" s="43" t="str">
        <f>IFERROR(IF(OR(H309="--",H309="rg",VLOOKUP(F!$B265,E!$B$1:'E'!$AK$300,12,FALSE)=1000000000,I309="-",I309=""),"",(HLOOKUP(SMALL(G!$Q$4:'G'!$Y$4,1),G!$Q$4:'G'!$Y$501,ROW(G!Q265)-3,FALSE))/VLOOKUP(F!$B265,E!$B$1:'E'!$AK$300,12,FALSE)*100),"")</f>
        <v/>
      </c>
      <c r="L309" s="43"/>
      <c r="M309" s="43" t="str">
        <f>G!AW265</f>
        <v/>
      </c>
      <c r="N309" s="43" t="str">
        <f>G!AV265</f>
        <v>--</v>
      </c>
      <c r="O309" s="42"/>
      <c r="P309" s="42" t="str">
        <f>G!AY265</f>
        <v/>
      </c>
      <c r="Q309" s="43" t="str">
        <f>G!AX265</f>
        <v>--</v>
      </c>
      <c r="R309" s="42" t="str">
        <f>G!AZ265</f>
        <v/>
      </c>
      <c r="S309" s="42" t="str">
        <f>G!BA265</f>
        <v/>
      </c>
      <c r="T309" s="43" t="str">
        <f>IFERROR(IF(OR(Q309="--",Q309="rg",VLOOKUP(F!$B265,E!$B$1:'E'!$AK$300,12,FALSE)=1000000000,R309="-",R309=""),"",(HLOOKUP(SMALL(G!$Q$4:'G'!$Y$4,4),G!$Q$4:'G'!$Y$501,ROW(G!Z265)-3,FALSE))/VLOOKUP(F!$B265,E!$B$1:'E'!$AK$300,12,FALSE)*100),"")</f>
        <v/>
      </c>
      <c r="U309" s="43"/>
      <c r="V309" s="43" t="str">
        <f>G!BC265</f>
        <v/>
      </c>
      <c r="W309" s="43" t="str">
        <f>G!BB265</f>
        <v>--</v>
      </c>
      <c r="X309" s="43"/>
      <c r="Y309" s="42" t="str">
        <f>G!BE265</f>
        <v/>
      </c>
      <c r="Z309" s="43" t="str">
        <f>G!BD265</f>
        <v>--</v>
      </c>
      <c r="AA309" s="42" t="str">
        <f>G!BF265</f>
        <v/>
      </c>
      <c r="AB309" s="42" t="str">
        <f>G!BG265</f>
        <v/>
      </c>
      <c r="AC309" s="43" t="str">
        <f>IFERROR(IF(OR(Z309="--",Z309="rg",VLOOKUP(F!$B265,E!$B$1:'E'!$AK$300,12,FALSE)=1000000000,AA309="-",AA309=""),"",(HLOOKUP(SMALL(G!$Q$4:'G'!$Y$4,7),G!$Q$4:'G'!$Y$501,ROW(G!AI265)-3,FALSE))/VLOOKUP(F!$B265,E!$B$1:'E'!$AK$300,12,FALSE)*100),"")</f>
        <v/>
      </c>
      <c r="AD309" s="43"/>
      <c r="AE309" s="34"/>
      <c r="AF309" s="34"/>
      <c r="AH309" s="72">
        <f t="shared" si="5"/>
        <v>1</v>
      </c>
      <c r="AJ309" s="34"/>
      <c r="AK309" s="34"/>
    </row>
    <row r="310" spans="1:37" s="72" customFormat="1" ht="9" hidden="1" customHeight="1" x14ac:dyDescent="0.15">
      <c r="A310" s="195" t="str">
        <f>F!A266</f>
        <v>4-Isopropyltolueen</v>
      </c>
      <c r="B310" s="195"/>
      <c r="C310" s="195"/>
      <c r="D310" s="44" t="str">
        <f>G!AQ266</f>
        <v/>
      </c>
      <c r="E310" s="43" t="str">
        <f>G!AP266</f>
        <v>--</v>
      </c>
      <c r="F310" s="42"/>
      <c r="G310" s="42" t="str">
        <f>G!AS266</f>
        <v/>
      </c>
      <c r="H310" s="43" t="str">
        <f>G!AR266</f>
        <v>--</v>
      </c>
      <c r="I310" s="42" t="str">
        <f>G!AT266</f>
        <v/>
      </c>
      <c r="J310" s="42" t="str">
        <f>G!AU266</f>
        <v/>
      </c>
      <c r="K310" s="43" t="str">
        <f>IFERROR(IF(OR(H310="--",H310="rg",VLOOKUP(F!$B266,E!$B$1:'E'!$AK$300,12,FALSE)=1000000000,I310="-",I310=""),"",(HLOOKUP(SMALL(G!$Q$4:'G'!$Y$4,1),G!$Q$4:'G'!$Y$501,ROW(G!Q266)-3,FALSE))/VLOOKUP(F!$B266,E!$B$1:'E'!$AK$300,12,FALSE)*100),"")</f>
        <v/>
      </c>
      <c r="L310" s="43"/>
      <c r="M310" s="43" t="str">
        <f>G!AW266</f>
        <v/>
      </c>
      <c r="N310" s="43" t="str">
        <f>G!AV266</f>
        <v>--</v>
      </c>
      <c r="O310" s="42"/>
      <c r="P310" s="42" t="str">
        <f>G!AY266</f>
        <v/>
      </c>
      <c r="Q310" s="43" t="str">
        <f>G!AX266</f>
        <v>--</v>
      </c>
      <c r="R310" s="42" t="str">
        <f>G!AZ266</f>
        <v/>
      </c>
      <c r="S310" s="42" t="str">
        <f>G!BA266</f>
        <v/>
      </c>
      <c r="T310" s="43" t="str">
        <f>IFERROR(IF(OR(Q310="--",Q310="rg",VLOOKUP(F!$B266,E!$B$1:'E'!$AK$300,12,FALSE)=1000000000,R310="-",R310=""),"",(HLOOKUP(SMALL(G!$Q$4:'G'!$Y$4,4),G!$Q$4:'G'!$Y$501,ROW(G!Z266)-3,FALSE))/VLOOKUP(F!$B266,E!$B$1:'E'!$AK$300,12,FALSE)*100),"")</f>
        <v/>
      </c>
      <c r="U310" s="43"/>
      <c r="V310" s="43" t="str">
        <f>G!BC266</f>
        <v/>
      </c>
      <c r="W310" s="43" t="str">
        <f>G!BB266</f>
        <v>--</v>
      </c>
      <c r="X310" s="43"/>
      <c r="Y310" s="42" t="str">
        <f>G!BE266</f>
        <v/>
      </c>
      <c r="Z310" s="43" t="str">
        <f>G!BD266</f>
        <v>--</v>
      </c>
      <c r="AA310" s="42" t="str">
        <f>G!BF266</f>
        <v/>
      </c>
      <c r="AB310" s="42" t="str">
        <f>G!BG266</f>
        <v/>
      </c>
      <c r="AC310" s="43" t="str">
        <f>IFERROR(IF(OR(Z310="--",Z310="rg",VLOOKUP(F!$B266,E!$B$1:'E'!$AK$300,12,FALSE)=1000000000,AA310="-",AA310=""),"",(HLOOKUP(SMALL(G!$Q$4:'G'!$Y$4,7),G!$Q$4:'G'!$Y$501,ROW(G!AI266)-3,FALSE))/VLOOKUP(F!$B266,E!$B$1:'E'!$AK$300,12,FALSE)*100),"")</f>
        <v/>
      </c>
      <c r="AD310" s="43"/>
      <c r="AE310" s="34"/>
      <c r="AF310" s="34"/>
      <c r="AH310" s="72">
        <f t="shared" si="5"/>
        <v>1</v>
      </c>
      <c r="AJ310" s="34"/>
      <c r="AK310" s="34"/>
    </row>
    <row r="311" spans="1:37" ht="3.95" hidden="1" customHeight="1" x14ac:dyDescent="0.15">
      <c r="A311" s="41"/>
      <c r="B311" s="41"/>
      <c r="C311" s="41"/>
      <c r="D311" s="44"/>
      <c r="E311" s="43"/>
      <c r="F311" s="42"/>
      <c r="G311" s="42"/>
      <c r="H311" s="43"/>
      <c r="I311" s="42"/>
      <c r="J311" s="42"/>
      <c r="K311" s="42"/>
      <c r="L311" s="43"/>
      <c r="M311" s="43"/>
      <c r="N311" s="42"/>
      <c r="O311" s="42"/>
      <c r="P311" s="43"/>
      <c r="Q311" s="42"/>
      <c r="R311" s="42"/>
      <c r="S311" s="42"/>
      <c r="T311" s="43"/>
      <c r="U311" s="43"/>
      <c r="V311" s="43"/>
      <c r="W311" s="42"/>
      <c r="X311" s="43"/>
      <c r="Y311" s="42"/>
      <c r="Z311" s="43"/>
      <c r="AA311" s="43"/>
      <c r="AC311" s="34"/>
      <c r="AD311" s="72"/>
      <c r="AF311" s="72"/>
      <c r="AG311" s="34"/>
      <c r="AH311" s="94">
        <f>AH312</f>
        <v>1</v>
      </c>
      <c r="AI311" s="34"/>
    </row>
    <row r="312" spans="1:37" ht="9" hidden="1" customHeight="1" x14ac:dyDescent="0.15">
      <c r="A312" s="198" t="str">
        <f>IF(COUNTIF(F!D264:D266,131)&gt;0,"Overige aromatische stoffen (µg/kgds)","Overige aromatische stoffen (mg/kgds)")</f>
        <v>Overige aromatische stoffen (mg/kgds)</v>
      </c>
      <c r="B312" s="198"/>
      <c r="C312" s="198"/>
      <c r="D312" s="198"/>
      <c r="E312" s="198"/>
      <c r="F312" s="198"/>
      <c r="G312" s="198"/>
      <c r="H312" s="198"/>
      <c r="I312" s="198"/>
      <c r="J312" s="198"/>
      <c r="K312" s="198"/>
      <c r="L312" s="198"/>
      <c r="M312" s="198"/>
      <c r="N312" s="198"/>
      <c r="O312" s="198"/>
      <c r="P312" s="198"/>
      <c r="Q312" s="198"/>
      <c r="R312" s="198"/>
      <c r="S312" s="198"/>
      <c r="T312" s="198"/>
      <c r="U312" s="198"/>
      <c r="V312" s="198"/>
      <c r="W312" s="198"/>
      <c r="X312" s="198"/>
      <c r="Y312" s="198"/>
      <c r="Z312" s="198"/>
      <c r="AA312" s="198"/>
      <c r="AC312" s="34"/>
      <c r="AD312" s="72"/>
      <c r="AF312" s="72"/>
      <c r="AG312" s="34"/>
      <c r="AH312" s="94">
        <f>IF(COUNTIF(AH313:AH315,1)=COUNT(AH313:AH315),1,0)</f>
        <v>1</v>
      </c>
      <c r="AI312" s="34"/>
    </row>
    <row r="313" spans="1:37" s="72" customFormat="1" ht="9" hidden="1" customHeight="1" x14ac:dyDescent="0.15">
      <c r="A313" s="195" t="str">
        <f>F!A267</f>
        <v>2-Ethyltolueen</v>
      </c>
      <c r="B313" s="195"/>
      <c r="C313" s="195"/>
      <c r="D313" s="44" t="str">
        <f>G!AQ267</f>
        <v/>
      </c>
      <c r="E313" s="43" t="str">
        <f>G!AP267</f>
        <v>--</v>
      </c>
      <c r="F313" s="42"/>
      <c r="G313" s="42" t="str">
        <f>G!AS267</f>
        <v/>
      </c>
      <c r="H313" s="43" t="str">
        <f>G!AR267</f>
        <v>--</v>
      </c>
      <c r="I313" s="42" t="str">
        <f>G!AT267</f>
        <v/>
      </c>
      <c r="J313" s="42" t="str">
        <f>G!AU267</f>
        <v/>
      </c>
      <c r="K313" s="43" t="str">
        <f>IFERROR(IF(OR(H313="--",H313="rg",VLOOKUP(F!$B267,E!$B$1:'E'!$AK$300,12,FALSE)=1000000000,I313="-",I313=""),"",(HLOOKUP(SMALL(G!$Q$4:'G'!$Y$4,1),G!$Q$4:'G'!$Y$501,ROW(G!Q267)-3,FALSE))/VLOOKUP(F!$B267,E!$B$1:'E'!$AK$300,12,FALSE)*100),"")</f>
        <v/>
      </c>
      <c r="L313" s="43"/>
      <c r="M313" s="43" t="str">
        <f>G!AW267</f>
        <v/>
      </c>
      <c r="N313" s="43" t="str">
        <f>G!AV267</f>
        <v>--</v>
      </c>
      <c r="O313" s="42"/>
      <c r="P313" s="42" t="str">
        <f>G!AY267</f>
        <v/>
      </c>
      <c r="Q313" s="43" t="str">
        <f>G!AX267</f>
        <v>--</v>
      </c>
      <c r="R313" s="42" t="str">
        <f>G!AZ267</f>
        <v/>
      </c>
      <c r="S313" s="42" t="str">
        <f>G!BA267</f>
        <v/>
      </c>
      <c r="T313" s="43" t="str">
        <f>IFERROR(IF(OR(Q313="--",Q313="rg",VLOOKUP(F!$B267,E!$B$1:'E'!$AK$300,12,FALSE)=1000000000,R313="-",R313=""),"",(HLOOKUP(SMALL(G!$Q$4:'G'!$Y$4,4),G!$Q$4:'G'!$Y$501,ROW(G!Z267)-3,FALSE))/VLOOKUP(F!$B267,E!$B$1:'E'!$AK$300,12,FALSE)*100),"")</f>
        <v/>
      </c>
      <c r="U313" s="43"/>
      <c r="V313" s="43" t="str">
        <f>G!BC267</f>
        <v/>
      </c>
      <c r="W313" s="43" t="str">
        <f>G!BB267</f>
        <v>--</v>
      </c>
      <c r="X313" s="43"/>
      <c r="Y313" s="42" t="str">
        <f>G!BE267</f>
        <v/>
      </c>
      <c r="Z313" s="43" t="str">
        <f>G!BD267</f>
        <v>--</v>
      </c>
      <c r="AA313" s="42" t="str">
        <f>G!BF267</f>
        <v/>
      </c>
      <c r="AB313" s="42" t="str">
        <f>G!BG267</f>
        <v/>
      </c>
      <c r="AC313" s="43" t="str">
        <f>IFERROR(IF(OR(Z313="--",Z313="rg",VLOOKUP(F!$B267,E!$B$1:'E'!$AK$300,12,FALSE)=1000000000,AA313="-",AA313=""),"",(HLOOKUP(SMALL(G!$Q$4:'G'!$Y$4,7),G!$Q$4:'G'!$Y$501,ROW(G!AI267)-3,FALSE))/VLOOKUP(F!$B267,E!$B$1:'E'!$AK$300,12,FALSE)*100),"")</f>
        <v/>
      </c>
      <c r="AD313" s="43"/>
      <c r="AE313" s="34"/>
      <c r="AF313" s="34"/>
      <c r="AH313" s="72">
        <f t="shared" si="5"/>
        <v>1</v>
      </c>
      <c r="AJ313" s="34"/>
      <c r="AK313" s="34"/>
    </row>
    <row r="314" spans="1:37" s="72" customFormat="1" ht="9" hidden="1" customHeight="1" x14ac:dyDescent="0.15">
      <c r="A314" s="195" t="str">
        <f>F!A268</f>
        <v>3-Ethyltolueen</v>
      </c>
      <c r="B314" s="195"/>
      <c r="C314" s="195"/>
      <c r="D314" s="44" t="str">
        <f>G!AQ268</f>
        <v/>
      </c>
      <c r="E314" s="43" t="str">
        <f>G!AP268</f>
        <v>--</v>
      </c>
      <c r="F314" s="42"/>
      <c r="G314" s="42" t="str">
        <f>G!AS268</f>
        <v/>
      </c>
      <c r="H314" s="43" t="str">
        <f>G!AR268</f>
        <v>--</v>
      </c>
      <c r="I314" s="42" t="str">
        <f>G!AT268</f>
        <v/>
      </c>
      <c r="J314" s="42" t="str">
        <f>G!AU268</f>
        <v/>
      </c>
      <c r="K314" s="43" t="str">
        <f>IFERROR(IF(OR(H314="--",H314="rg",VLOOKUP(F!$B268,E!$B$1:'E'!$AK$300,12,FALSE)=1000000000,I314="-",I314=""),"",(HLOOKUP(SMALL(G!$Q$4:'G'!$Y$4,1),G!$Q$4:'G'!$Y$501,ROW(G!Q268)-3,FALSE))/VLOOKUP(F!$B268,E!$B$1:'E'!$AK$300,12,FALSE)*100),"")</f>
        <v/>
      </c>
      <c r="L314" s="43"/>
      <c r="M314" s="43" t="str">
        <f>G!AW268</f>
        <v/>
      </c>
      <c r="N314" s="43" t="str">
        <f>G!AV268</f>
        <v>--</v>
      </c>
      <c r="O314" s="42"/>
      <c r="P314" s="42" t="str">
        <f>G!AY268</f>
        <v/>
      </c>
      <c r="Q314" s="43" t="str">
        <f>G!AX268</f>
        <v>--</v>
      </c>
      <c r="R314" s="42" t="str">
        <f>G!AZ268</f>
        <v/>
      </c>
      <c r="S314" s="42" t="str">
        <f>G!BA268</f>
        <v/>
      </c>
      <c r="T314" s="43" t="str">
        <f>IFERROR(IF(OR(Q314="--",Q314="rg",VLOOKUP(F!$B268,E!$B$1:'E'!$AK$300,12,FALSE)=1000000000,R314="-",R314=""),"",(HLOOKUP(SMALL(G!$Q$4:'G'!$Y$4,4),G!$Q$4:'G'!$Y$501,ROW(G!Z268)-3,FALSE))/VLOOKUP(F!$B268,E!$B$1:'E'!$AK$300,12,FALSE)*100),"")</f>
        <v/>
      </c>
      <c r="U314" s="43"/>
      <c r="V314" s="43" t="str">
        <f>G!BC268</f>
        <v/>
      </c>
      <c r="W314" s="43" t="str">
        <f>G!BB268</f>
        <v>--</v>
      </c>
      <c r="X314" s="43"/>
      <c r="Y314" s="42" t="str">
        <f>G!BE268</f>
        <v/>
      </c>
      <c r="Z314" s="43" t="str">
        <f>G!BD268</f>
        <v>--</v>
      </c>
      <c r="AA314" s="42" t="str">
        <f>G!BF268</f>
        <v/>
      </c>
      <c r="AB314" s="42" t="str">
        <f>G!BG268</f>
        <v/>
      </c>
      <c r="AC314" s="43" t="str">
        <f>IFERROR(IF(OR(Z314="--",Z314="rg",VLOOKUP(F!$B268,E!$B$1:'E'!$AK$300,12,FALSE)=1000000000,AA314="-",AA314=""),"",(HLOOKUP(SMALL(G!$Q$4:'G'!$Y$4,7),G!$Q$4:'G'!$Y$501,ROW(G!AI268)-3,FALSE))/VLOOKUP(F!$B268,E!$B$1:'E'!$AK$300,12,FALSE)*100),"")</f>
        <v/>
      </c>
      <c r="AD314" s="43"/>
      <c r="AE314" s="34"/>
      <c r="AF314" s="34"/>
      <c r="AH314" s="72">
        <f t="shared" si="5"/>
        <v>1</v>
      </c>
      <c r="AJ314" s="34"/>
      <c r="AK314" s="34"/>
    </row>
    <row r="315" spans="1:37" s="72" customFormat="1" ht="9" hidden="1" customHeight="1" x14ac:dyDescent="0.15">
      <c r="A315" s="195" t="str">
        <f>F!A269</f>
        <v>4-Ethyltolueen</v>
      </c>
      <c r="B315" s="195"/>
      <c r="C315" s="195"/>
      <c r="D315" s="44" t="str">
        <f>G!AQ269</f>
        <v/>
      </c>
      <c r="E315" s="43" t="str">
        <f>G!AP269</f>
        <v>--</v>
      </c>
      <c r="F315" s="42"/>
      <c r="G315" s="42" t="str">
        <f>G!AS269</f>
        <v/>
      </c>
      <c r="H315" s="43" t="str">
        <f>G!AR269</f>
        <v>--</v>
      </c>
      <c r="I315" s="42" t="str">
        <f>G!AT269</f>
        <v/>
      </c>
      <c r="J315" s="42" t="str">
        <f>G!AU269</f>
        <v/>
      </c>
      <c r="K315" s="43" t="str">
        <f>IFERROR(IF(OR(H315="--",H315="rg",VLOOKUP(F!$B269,E!$B$1:'E'!$AK$300,12,FALSE)=1000000000,I315="-",I315=""),"",(HLOOKUP(SMALL(G!$Q$4:'G'!$Y$4,1),G!$Q$4:'G'!$Y$501,ROW(G!Q269)-3,FALSE))/VLOOKUP(F!$B269,E!$B$1:'E'!$AK$300,12,FALSE)*100),"")</f>
        <v/>
      </c>
      <c r="L315" s="43"/>
      <c r="M315" s="43" t="str">
        <f>G!AW269</f>
        <v/>
      </c>
      <c r="N315" s="43" t="str">
        <f>G!AV269</f>
        <v>--</v>
      </c>
      <c r="O315" s="42"/>
      <c r="P315" s="42" t="str">
        <f>G!AY269</f>
        <v/>
      </c>
      <c r="Q315" s="43" t="str">
        <f>G!AX269</f>
        <v>--</v>
      </c>
      <c r="R315" s="42" t="str">
        <f>G!AZ269</f>
        <v/>
      </c>
      <c r="S315" s="42" t="str">
        <f>G!BA269</f>
        <v/>
      </c>
      <c r="T315" s="43" t="str">
        <f>IFERROR(IF(OR(Q315="--",Q315="rg",VLOOKUP(F!$B269,E!$B$1:'E'!$AK$300,12,FALSE)=1000000000,R315="-",R315=""),"",(HLOOKUP(SMALL(G!$Q$4:'G'!$Y$4,4),G!$Q$4:'G'!$Y$501,ROW(G!Z269)-3,FALSE))/VLOOKUP(F!$B269,E!$B$1:'E'!$AK$300,12,FALSE)*100),"")</f>
        <v/>
      </c>
      <c r="U315" s="43"/>
      <c r="V315" s="43" t="str">
        <f>G!BC269</f>
        <v/>
      </c>
      <c r="W315" s="43" t="str">
        <f>G!BB269</f>
        <v>--</v>
      </c>
      <c r="X315" s="43"/>
      <c r="Y315" s="42" t="str">
        <f>G!BE269</f>
        <v/>
      </c>
      <c r="Z315" s="43" t="str">
        <f>G!BD269</f>
        <v>--</v>
      </c>
      <c r="AA315" s="42" t="str">
        <f>G!BF269</f>
        <v/>
      </c>
      <c r="AB315" s="42" t="str">
        <f>G!BG269</f>
        <v/>
      </c>
      <c r="AC315" s="43" t="str">
        <f>IFERROR(IF(OR(Z315="--",Z315="rg",VLOOKUP(F!$B269,E!$B$1:'E'!$AK$300,12,FALSE)=1000000000,AA315="-",AA315=""),"",(HLOOKUP(SMALL(G!$Q$4:'G'!$Y$4,7),G!$Q$4:'G'!$Y$501,ROW(G!AI269)-3,FALSE))/VLOOKUP(F!$B269,E!$B$1:'E'!$AK$300,12,FALSE)*100),"")</f>
        <v/>
      </c>
      <c r="AD315" s="43"/>
      <c r="AE315" s="34"/>
      <c r="AF315" s="34"/>
      <c r="AH315" s="72">
        <f t="shared" si="5"/>
        <v>1</v>
      </c>
      <c r="AJ315" s="34"/>
      <c r="AK315" s="34"/>
    </row>
    <row r="316" spans="1:37" ht="3.95" hidden="1" customHeight="1" x14ac:dyDescent="0.15">
      <c r="A316" s="41"/>
      <c r="B316" s="41"/>
      <c r="C316" s="41"/>
      <c r="D316" s="44"/>
      <c r="E316" s="43"/>
      <c r="F316" s="42"/>
      <c r="G316" s="42"/>
      <c r="H316" s="43"/>
      <c r="I316" s="42"/>
      <c r="J316" s="42"/>
      <c r="K316" s="42"/>
      <c r="L316" s="43"/>
      <c r="M316" s="43"/>
      <c r="N316" s="42"/>
      <c r="O316" s="42"/>
      <c r="P316" s="43"/>
      <c r="Q316" s="42"/>
      <c r="R316" s="42"/>
      <c r="S316" s="42"/>
      <c r="T316" s="43"/>
      <c r="U316" s="43"/>
      <c r="V316" s="43"/>
      <c r="W316" s="42"/>
      <c r="X316" s="43"/>
      <c r="Y316" s="42"/>
      <c r="Z316" s="43"/>
      <c r="AA316" s="43"/>
      <c r="AC316" s="34"/>
      <c r="AD316" s="72"/>
      <c r="AF316" s="72"/>
      <c r="AG316" s="34"/>
      <c r="AH316" s="94">
        <f>AH317</f>
        <v>1</v>
      </c>
      <c r="AI316" s="34"/>
    </row>
    <row r="317" spans="1:37" ht="9" hidden="1" customHeight="1" x14ac:dyDescent="0.15">
      <c r="A317" s="198" t="str">
        <f>IF(COUNTIF(F!D268:D272,131)&gt;0,"Fenolen (µg/kgds)","Fenolen (mg/kgds)")</f>
        <v>Fenolen (mg/kgds)</v>
      </c>
      <c r="B317" s="198"/>
      <c r="C317" s="198"/>
      <c r="D317" s="198"/>
      <c r="E317" s="198"/>
      <c r="F317" s="198"/>
      <c r="G317" s="198"/>
      <c r="H317" s="198"/>
      <c r="I317" s="198"/>
      <c r="J317" s="198"/>
      <c r="K317" s="198"/>
      <c r="L317" s="198"/>
      <c r="M317" s="198"/>
      <c r="N317" s="198"/>
      <c r="O317" s="198"/>
      <c r="P317" s="198"/>
      <c r="Q317" s="198"/>
      <c r="R317" s="198"/>
      <c r="S317" s="198"/>
      <c r="T317" s="198"/>
      <c r="U317" s="198"/>
      <c r="V317" s="198"/>
      <c r="W317" s="198"/>
      <c r="X317" s="198"/>
      <c r="Y317" s="198"/>
      <c r="Z317" s="198"/>
      <c r="AA317" s="198"/>
      <c r="AC317" s="34"/>
      <c r="AD317" s="72"/>
      <c r="AF317" s="72"/>
      <c r="AG317" s="34"/>
      <c r="AH317" s="94">
        <f>IF(COUNTIF(AH318:AH322,1)=COUNT(AH318:AH322),1,0)</f>
        <v>1</v>
      </c>
      <c r="AI317" s="34"/>
    </row>
    <row r="318" spans="1:37" s="72" customFormat="1" ht="9" hidden="1" customHeight="1" x14ac:dyDescent="0.15">
      <c r="A318" s="195" t="str">
        <f>F!A270</f>
        <v>2,4+2,5-Dimethylfenol</v>
      </c>
      <c r="B318" s="195"/>
      <c r="C318" s="195"/>
      <c r="D318" s="44" t="str">
        <f>G!AQ270</f>
        <v/>
      </c>
      <c r="E318" s="43" t="str">
        <f>G!AP270</f>
        <v>--</v>
      </c>
      <c r="F318" s="42"/>
      <c r="G318" s="42" t="str">
        <f>G!AS270</f>
        <v/>
      </c>
      <c r="H318" s="43" t="str">
        <f>G!AR270</f>
        <v>--</v>
      </c>
      <c r="I318" s="42" t="str">
        <f>G!AT270</f>
        <v/>
      </c>
      <c r="J318" s="42" t="str">
        <f>G!AU270</f>
        <v/>
      </c>
      <c r="K318" s="43" t="str">
        <f>IFERROR(IF(OR(H318="--",H318="rg",VLOOKUP(F!$B270,E!$B$1:'E'!$AK$300,12,FALSE)=1000000000,I318="-",I318=""),"",(HLOOKUP(SMALL(G!$Q$4:'G'!$Y$4,1),G!$Q$4:'G'!$Y$501,ROW(G!Q270)-3,FALSE))/VLOOKUP(F!$B270,E!$B$1:'E'!$AK$300,12,FALSE)*100),"")</f>
        <v/>
      </c>
      <c r="L318" s="43"/>
      <c r="M318" s="43" t="str">
        <f>G!AW270</f>
        <v/>
      </c>
      <c r="N318" s="43" t="str">
        <f>G!AV270</f>
        <v>--</v>
      </c>
      <c r="O318" s="42"/>
      <c r="P318" s="42" t="str">
        <f>G!AY270</f>
        <v/>
      </c>
      <c r="Q318" s="43" t="str">
        <f>G!AX270</f>
        <v>--</v>
      </c>
      <c r="R318" s="42" t="str">
        <f>G!AZ270</f>
        <v/>
      </c>
      <c r="S318" s="42" t="str">
        <f>G!BA270</f>
        <v/>
      </c>
      <c r="T318" s="43" t="str">
        <f>IFERROR(IF(OR(Q318="--",Q318="rg",VLOOKUP(F!$B270,E!$B$1:'E'!$AK$300,12,FALSE)=1000000000,R318="-",R318=""),"",(HLOOKUP(SMALL(G!$Q$4:'G'!$Y$4,4),G!$Q$4:'G'!$Y$501,ROW(G!Z270)-3,FALSE))/VLOOKUP(F!$B270,E!$B$1:'E'!$AK$300,12,FALSE)*100),"")</f>
        <v/>
      </c>
      <c r="U318" s="43"/>
      <c r="V318" s="43" t="str">
        <f>G!BC270</f>
        <v/>
      </c>
      <c r="W318" s="43" t="str">
        <f>G!BB270</f>
        <v>--</v>
      </c>
      <c r="X318" s="43"/>
      <c r="Y318" s="42" t="str">
        <f>G!BE270</f>
        <v/>
      </c>
      <c r="Z318" s="43" t="str">
        <f>G!BD270</f>
        <v>--</v>
      </c>
      <c r="AA318" s="42" t="str">
        <f>G!BF270</f>
        <v/>
      </c>
      <c r="AB318" s="42" t="str">
        <f>G!BG270</f>
        <v/>
      </c>
      <c r="AC318" s="43" t="str">
        <f>IFERROR(IF(OR(Z318="--",Z318="rg",VLOOKUP(F!$B270,E!$B$1:'E'!$AK$300,12,FALSE)=1000000000,AA318="-",AA318=""),"",(HLOOKUP(SMALL(G!$Q$4:'G'!$Y$4,7),G!$Q$4:'G'!$Y$501,ROW(G!AI270)-3,FALSE))/VLOOKUP(F!$B270,E!$B$1:'E'!$AK$300,12,FALSE)*100),"")</f>
        <v/>
      </c>
      <c r="AD318" s="43"/>
      <c r="AE318" s="34"/>
      <c r="AF318" s="34"/>
      <c r="AH318" s="72">
        <f t="shared" ref="AH318:AH319" si="6">IF(AND(E318="--",N318="--",W318="--"),1,0)</f>
        <v>1</v>
      </c>
      <c r="AJ318" s="34"/>
      <c r="AK318" s="34"/>
    </row>
    <row r="319" spans="1:37" s="72" customFormat="1" ht="9" hidden="1" customHeight="1" x14ac:dyDescent="0.15">
      <c r="A319" s="195" t="str">
        <f>F!A271</f>
        <v>o-Cresol</v>
      </c>
      <c r="B319" s="195"/>
      <c r="C319" s="195"/>
      <c r="D319" s="44" t="str">
        <f>G!AQ271</f>
        <v/>
      </c>
      <c r="E319" s="43" t="str">
        <f>G!AP271</f>
        <v>--</v>
      </c>
      <c r="F319" s="42"/>
      <c r="G319" s="42" t="str">
        <f>G!AS271</f>
        <v/>
      </c>
      <c r="H319" s="43" t="str">
        <f>G!AR271</f>
        <v>--</v>
      </c>
      <c r="I319" s="42" t="str">
        <f>G!AT271</f>
        <v/>
      </c>
      <c r="J319" s="42" t="str">
        <f>G!AU271</f>
        <v/>
      </c>
      <c r="K319" s="43" t="str">
        <f>IFERROR(IF(OR(H319="--",H319="rg",VLOOKUP(F!$B271,E!$B$1:'E'!$AK$300,12,FALSE)=1000000000,I319="-",I319=""),"",(HLOOKUP(SMALL(G!$Q$4:'G'!$Y$4,1),G!$Q$4:'G'!$Y$501,ROW(G!Q271)-3,FALSE))/VLOOKUP(F!$B271,E!$B$1:'E'!$AK$300,12,FALSE)*100),"")</f>
        <v/>
      </c>
      <c r="L319" s="43"/>
      <c r="M319" s="43" t="str">
        <f>G!AW271</f>
        <v/>
      </c>
      <c r="N319" s="43" t="str">
        <f>G!AV271</f>
        <v>--</v>
      </c>
      <c r="O319" s="42"/>
      <c r="P319" s="42" t="str">
        <f>G!AY271</f>
        <v/>
      </c>
      <c r="Q319" s="43" t="str">
        <f>G!AX271</f>
        <v>--</v>
      </c>
      <c r="R319" s="42" t="str">
        <f>G!AZ271</f>
        <v/>
      </c>
      <c r="S319" s="42" t="str">
        <f>G!BA271</f>
        <v/>
      </c>
      <c r="T319" s="43" t="str">
        <f>IFERROR(IF(OR(Q319="--",Q319="rg",VLOOKUP(F!$B271,E!$B$1:'E'!$AK$300,12,FALSE)=1000000000,R319="-",R319=""),"",(HLOOKUP(SMALL(G!$Q$4:'G'!$Y$4,4),G!$Q$4:'G'!$Y$501,ROW(G!Z271)-3,FALSE))/VLOOKUP(F!$B271,E!$B$1:'E'!$AK$300,12,FALSE)*100),"")</f>
        <v/>
      </c>
      <c r="U319" s="43"/>
      <c r="V319" s="43" t="str">
        <f>G!BC271</f>
        <v/>
      </c>
      <c r="W319" s="43" t="str">
        <f>G!BB271</f>
        <v>--</v>
      </c>
      <c r="X319" s="43"/>
      <c r="Y319" s="42" t="str">
        <f>G!BE271</f>
        <v/>
      </c>
      <c r="Z319" s="43" t="str">
        <f>G!BD271</f>
        <v>--</v>
      </c>
      <c r="AA319" s="42" t="str">
        <f>G!BF271</f>
        <v/>
      </c>
      <c r="AB319" s="42" t="str">
        <f>G!BG271</f>
        <v/>
      </c>
      <c r="AC319" s="43" t="str">
        <f>IFERROR(IF(OR(Z319="--",Z319="rg",VLOOKUP(F!$B271,E!$B$1:'E'!$AK$300,12,FALSE)=1000000000,AA319="-",AA319=""),"",(HLOOKUP(SMALL(G!$Q$4:'G'!$Y$4,7),G!$Q$4:'G'!$Y$501,ROW(G!AI271)-3,FALSE))/VLOOKUP(F!$B271,E!$B$1:'E'!$AK$300,12,FALSE)*100),"")</f>
        <v/>
      </c>
      <c r="AD319" s="43"/>
      <c r="AE319" s="34"/>
      <c r="AF319" s="34"/>
      <c r="AH319" s="72">
        <f t="shared" si="6"/>
        <v>1</v>
      </c>
      <c r="AJ319" s="34"/>
      <c r="AK319" s="34"/>
    </row>
    <row r="320" spans="1:37" s="72" customFormat="1" ht="9" hidden="1" customHeight="1" x14ac:dyDescent="0.15">
      <c r="A320" s="195" t="str">
        <f>F!A272</f>
        <v>m- en p-Cresol</v>
      </c>
      <c r="B320" s="195"/>
      <c r="C320" s="195"/>
      <c r="D320" s="44" t="str">
        <f>G!AQ272</f>
        <v/>
      </c>
      <c r="E320" s="43" t="str">
        <f>G!AP272</f>
        <v>--</v>
      </c>
      <c r="F320" s="42"/>
      <c r="G320" s="42" t="str">
        <f>G!AS272</f>
        <v/>
      </c>
      <c r="H320" s="43" t="str">
        <f>G!AR272</f>
        <v>--</v>
      </c>
      <c r="I320" s="42" t="str">
        <f>G!AT272</f>
        <v/>
      </c>
      <c r="J320" s="42" t="str">
        <f>G!AU272</f>
        <v/>
      </c>
      <c r="K320" s="43" t="str">
        <f>IFERROR(IF(OR(H320="--",H320="rg",VLOOKUP(F!$B272,E!$B$1:'E'!$AK$300,12,FALSE)=1000000000,I320="-",I320=""),"",(HLOOKUP(SMALL(G!$Q$4:'G'!$Y$4,1),G!$Q$4:'G'!$Y$501,ROW(G!Q272)-3,FALSE))/VLOOKUP(F!$B272,E!$B$1:'E'!$AK$300,12,FALSE)*100),"")</f>
        <v/>
      </c>
      <c r="L320" s="43"/>
      <c r="M320" s="43" t="str">
        <f>G!AW272</f>
        <v/>
      </c>
      <c r="N320" s="43" t="str">
        <f>G!AV272</f>
        <v>--</v>
      </c>
      <c r="O320" s="42"/>
      <c r="P320" s="42" t="str">
        <f>G!AY272</f>
        <v/>
      </c>
      <c r="Q320" s="43" t="str">
        <f>G!AX272</f>
        <v>--</v>
      </c>
      <c r="R320" s="42" t="str">
        <f>G!AZ272</f>
        <v/>
      </c>
      <c r="S320" s="42" t="str">
        <f>G!BA272</f>
        <v/>
      </c>
      <c r="T320" s="43" t="str">
        <f>IFERROR(IF(OR(Q320="--",Q320="rg",VLOOKUP(F!$B272,E!$B$1:'E'!$AK$300,12,FALSE)=1000000000,R320="-",R320=""),"",(HLOOKUP(SMALL(G!$Q$4:'G'!$Y$4,4),G!$Q$4:'G'!$Y$501,ROW(G!Z272)-3,FALSE))/VLOOKUP(F!$B272,E!$B$1:'E'!$AK$300,12,FALSE)*100),"")</f>
        <v/>
      </c>
      <c r="U320" s="43"/>
      <c r="V320" s="43" t="str">
        <f>G!BC272</f>
        <v/>
      </c>
      <c r="W320" s="43" t="str">
        <f>G!BB272</f>
        <v>--</v>
      </c>
      <c r="X320" s="43"/>
      <c r="Y320" s="42" t="str">
        <f>G!BE272</f>
        <v/>
      </c>
      <c r="Z320" s="43" t="str">
        <f>G!BD272</f>
        <v>--</v>
      </c>
      <c r="AA320" s="42" t="str">
        <f>G!BF272</f>
        <v/>
      </c>
      <c r="AB320" s="42" t="str">
        <f>G!BG272</f>
        <v/>
      </c>
      <c r="AC320" s="43" t="str">
        <f>IFERROR(IF(OR(Z320="--",Z320="rg",VLOOKUP(F!$B272,E!$B$1:'E'!$AK$300,12,FALSE)=1000000000,AA320="-",AA320=""),"",(HLOOKUP(SMALL(G!$Q$4:'G'!$Y$4,7),G!$Q$4:'G'!$Y$501,ROW(G!AI272)-3,FALSE))/VLOOKUP(F!$B272,E!$B$1:'E'!$AK$300,12,FALSE)*100),"")</f>
        <v/>
      </c>
      <c r="AD320" s="43"/>
      <c r="AE320" s="34"/>
      <c r="AF320" s="34"/>
      <c r="AH320" s="72">
        <f t="shared" si="5"/>
        <v>1</v>
      </c>
      <c r="AJ320" s="34"/>
      <c r="AK320" s="34"/>
    </row>
    <row r="321" spans="1:37" s="72" customFormat="1" ht="9" hidden="1" customHeight="1" x14ac:dyDescent="0.15">
      <c r="A321" s="195" t="str">
        <f>F!A273</f>
        <v>Som cresolen</v>
      </c>
      <c r="B321" s="195"/>
      <c r="C321" s="195"/>
      <c r="D321" s="44" t="str">
        <f>G!AQ273</f>
        <v/>
      </c>
      <c r="E321" s="43" t="str">
        <f>G!AP273</f>
        <v>--</v>
      </c>
      <c r="F321" s="42"/>
      <c r="G321" s="42" t="str">
        <f>G!AS273</f>
        <v/>
      </c>
      <c r="H321" s="43" t="str">
        <f>G!AR273</f>
        <v>--</v>
      </c>
      <c r="I321" s="42" t="str">
        <f>G!AT273</f>
        <v/>
      </c>
      <c r="J321" s="42" t="str">
        <f>G!AU273</f>
        <v/>
      </c>
      <c r="K321" s="43" t="str">
        <f>IFERROR(IF(OR(H321="--",H321="rg",VLOOKUP(F!$B273,E!$B$1:'E'!$AK$300,12,FALSE)=1000000000,I321="-",I321=""),"",(HLOOKUP(SMALL(G!$Q$4:'G'!$Y$4,1),G!$Q$4:'G'!$Y$501,ROW(G!Q273)-3,FALSE))/VLOOKUP(F!$B273,E!$B$1:'E'!$AK$300,12,FALSE)*100),"")</f>
        <v/>
      </c>
      <c r="L321" s="43"/>
      <c r="M321" s="43" t="str">
        <f>G!AW273</f>
        <v/>
      </c>
      <c r="N321" s="43" t="str">
        <f>G!AV273</f>
        <v>--</v>
      </c>
      <c r="O321" s="42"/>
      <c r="P321" s="42" t="str">
        <f>G!AY273</f>
        <v/>
      </c>
      <c r="Q321" s="43" t="str">
        <f>G!AX273</f>
        <v>--</v>
      </c>
      <c r="R321" s="42" t="str">
        <f>G!AZ273</f>
        <v/>
      </c>
      <c r="S321" s="42" t="str">
        <f>G!BA273</f>
        <v/>
      </c>
      <c r="T321" s="43" t="str">
        <f>IFERROR(IF(OR(Q321="--",Q321="rg",VLOOKUP(F!$B273,E!$B$1:'E'!$AK$300,12,FALSE)=1000000000,R321="-",R321=""),"",(HLOOKUP(SMALL(G!$Q$4:'G'!$Y$4,4),G!$Q$4:'G'!$Y$501,ROW(G!Z273)-3,FALSE))/VLOOKUP(F!$B273,E!$B$1:'E'!$AK$300,12,FALSE)*100),"")</f>
        <v/>
      </c>
      <c r="U321" s="43"/>
      <c r="V321" s="43" t="str">
        <f>G!BC273</f>
        <v/>
      </c>
      <c r="W321" s="43" t="str">
        <f>G!BB273</f>
        <v>--</v>
      </c>
      <c r="X321" s="43"/>
      <c r="Y321" s="42" t="str">
        <f>G!BE273</f>
        <v/>
      </c>
      <c r="Z321" s="43" t="str">
        <f>G!BD273</f>
        <v>--</v>
      </c>
      <c r="AA321" s="42" t="str">
        <f>G!BF273</f>
        <v/>
      </c>
      <c r="AB321" s="42" t="str">
        <f>G!BG273</f>
        <v/>
      </c>
      <c r="AC321" s="43" t="str">
        <f>IFERROR(IF(OR(Z321="--",Z321="rg",VLOOKUP(F!$B273,E!$B$1:'E'!$AK$300,12,FALSE)=1000000000,AA321="-",AA321=""),"",(HLOOKUP(SMALL(G!$Q$4:'G'!$Y$4,7),G!$Q$4:'G'!$Y$501,ROW(G!AI273)-3,FALSE))/VLOOKUP(F!$B273,E!$B$1:'E'!$AK$300,12,FALSE)*100),"")</f>
        <v/>
      </c>
      <c r="AD321" s="43"/>
      <c r="AE321" s="34"/>
      <c r="AF321" s="34"/>
      <c r="AH321" s="72">
        <f t="shared" si="5"/>
        <v>1</v>
      </c>
      <c r="AJ321" s="34"/>
      <c r="AK321" s="34"/>
    </row>
    <row r="322" spans="1:37" s="72" customFormat="1" ht="9" hidden="1" customHeight="1" x14ac:dyDescent="0.15">
      <c r="A322" s="195" t="str">
        <f>F!A274</f>
        <v>Fenol</v>
      </c>
      <c r="B322" s="195"/>
      <c r="C322" s="195"/>
      <c r="D322" s="44" t="str">
        <f>G!AQ274</f>
        <v/>
      </c>
      <c r="E322" s="43" t="str">
        <f>G!AP274</f>
        <v>--</v>
      </c>
      <c r="F322" s="42"/>
      <c r="G322" s="42" t="str">
        <f>G!AS274</f>
        <v/>
      </c>
      <c r="H322" s="43" t="str">
        <f>G!AR274</f>
        <v>--</v>
      </c>
      <c r="I322" s="42" t="str">
        <f>G!AT274</f>
        <v/>
      </c>
      <c r="J322" s="42" t="str">
        <f>G!AU274</f>
        <v/>
      </c>
      <c r="K322" s="43" t="str">
        <f>IFERROR(IF(OR(H322="--",H322="rg",VLOOKUP(F!$B274,E!$B$1:'E'!$AK$300,12,FALSE)=1000000000,I322="-",I322=""),"",(HLOOKUP(SMALL(G!$Q$4:'G'!$Y$4,1),G!$Q$4:'G'!$Y$501,ROW(G!Q274)-3,FALSE))/VLOOKUP(F!$B274,E!$B$1:'E'!$AK$300,12,FALSE)*100),"")</f>
        <v/>
      </c>
      <c r="L322" s="43"/>
      <c r="M322" s="43" t="str">
        <f>G!AW274</f>
        <v/>
      </c>
      <c r="N322" s="43" t="str">
        <f>G!AV274</f>
        <v>--</v>
      </c>
      <c r="O322" s="42"/>
      <c r="P322" s="42" t="str">
        <f>G!AY274</f>
        <v/>
      </c>
      <c r="Q322" s="43" t="str">
        <f>G!AX274</f>
        <v>--</v>
      </c>
      <c r="R322" s="42" t="str">
        <f>G!AZ274</f>
        <v/>
      </c>
      <c r="S322" s="42" t="str">
        <f>G!BA274</f>
        <v/>
      </c>
      <c r="T322" s="43" t="str">
        <f>IFERROR(IF(OR(Q322="--",Q322="rg",VLOOKUP(F!$B274,E!$B$1:'E'!$AK$300,12,FALSE)=1000000000,R322="-",R322=""),"",(HLOOKUP(SMALL(G!$Q$4:'G'!$Y$4,4),G!$Q$4:'G'!$Y$501,ROW(G!Z274)-3,FALSE))/VLOOKUP(F!$B274,E!$B$1:'E'!$AK$300,12,FALSE)*100),"")</f>
        <v/>
      </c>
      <c r="U322" s="43"/>
      <c r="V322" s="43" t="str">
        <f>G!BC274</f>
        <v/>
      </c>
      <c r="W322" s="43" t="str">
        <f>G!BB274</f>
        <v>--</v>
      </c>
      <c r="X322" s="43"/>
      <c r="Y322" s="42" t="str">
        <f>G!BE274</f>
        <v/>
      </c>
      <c r="Z322" s="43" t="str">
        <f>G!BD274</f>
        <v>--</v>
      </c>
      <c r="AA322" s="42" t="str">
        <f>G!BF274</f>
        <v/>
      </c>
      <c r="AB322" s="42" t="str">
        <f>G!BG274</f>
        <v/>
      </c>
      <c r="AC322" s="43" t="str">
        <f>IFERROR(IF(OR(Z322="--",Z322="rg",VLOOKUP(F!$B274,E!$B$1:'E'!$AK$300,12,FALSE)=1000000000,AA322="-",AA322=""),"",(HLOOKUP(SMALL(G!$Q$4:'G'!$Y$4,7),G!$Q$4:'G'!$Y$501,ROW(G!AI274)-3,FALSE))/VLOOKUP(F!$B274,E!$B$1:'E'!$AK$300,12,FALSE)*100),"")</f>
        <v/>
      </c>
      <c r="AD322" s="43"/>
      <c r="AE322" s="34"/>
      <c r="AF322" s="34"/>
      <c r="AH322" s="72">
        <f t="shared" si="5"/>
        <v>1</v>
      </c>
      <c r="AJ322" s="34"/>
      <c r="AK322" s="34"/>
    </row>
    <row r="323" spans="1:37" ht="3.95" hidden="1" customHeight="1" x14ac:dyDescent="0.15">
      <c r="A323" s="41"/>
      <c r="B323" s="41"/>
      <c r="C323" s="41"/>
      <c r="D323" s="44"/>
      <c r="E323" s="43"/>
      <c r="F323" s="42"/>
      <c r="G323" s="42"/>
      <c r="H323" s="43"/>
      <c r="I323" s="42"/>
      <c r="J323" s="42"/>
      <c r="K323" s="42"/>
      <c r="L323" s="43"/>
      <c r="M323" s="43"/>
      <c r="N323" s="42"/>
      <c r="O323" s="42"/>
      <c r="P323" s="43"/>
      <c r="Q323" s="42"/>
      <c r="R323" s="42"/>
      <c r="S323" s="42"/>
      <c r="T323" s="43"/>
      <c r="U323" s="43"/>
      <c r="V323" s="43"/>
      <c r="W323" s="42"/>
      <c r="X323" s="43"/>
      <c r="Y323" s="42"/>
      <c r="Z323" s="43"/>
      <c r="AA323" s="43"/>
      <c r="AC323" s="34"/>
      <c r="AD323" s="72"/>
      <c r="AF323" s="72"/>
      <c r="AG323" s="34"/>
      <c r="AH323" s="94">
        <f>AH324</f>
        <v>1</v>
      </c>
      <c r="AI323" s="34"/>
    </row>
    <row r="324" spans="1:37" ht="9" hidden="1" customHeight="1" x14ac:dyDescent="0.15">
      <c r="A324" s="198" t="str">
        <f>IF(COUNTIF(F!D273:D274,131)&gt;0,"Nitrofenolen (µg/kgds)","Nitrofenolen (mg/kgds)")</f>
        <v>Nitrofenolen (mg/kgds)</v>
      </c>
      <c r="B324" s="198"/>
      <c r="C324" s="198"/>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C324" s="34"/>
      <c r="AD324" s="72"/>
      <c r="AF324" s="72"/>
      <c r="AG324" s="34"/>
      <c r="AH324" s="94">
        <f>IF(COUNTIF(AH325:AH326,1)=COUNT(AH325:AH326),1,0)</f>
        <v>1</v>
      </c>
      <c r="AI324" s="34"/>
    </row>
    <row r="325" spans="1:37" s="72" customFormat="1" ht="9" hidden="1" customHeight="1" x14ac:dyDescent="0.15">
      <c r="A325" s="195" t="str">
        <f>F!A275</f>
        <v>2-Nitrofenol</v>
      </c>
      <c r="B325" s="195"/>
      <c r="C325" s="195"/>
      <c r="D325" s="44" t="str">
        <f>G!AQ275</f>
        <v/>
      </c>
      <c r="E325" s="43" t="str">
        <f>G!AP275</f>
        <v>--</v>
      </c>
      <c r="F325" s="42"/>
      <c r="G325" s="42" t="str">
        <f>G!AS275</f>
        <v/>
      </c>
      <c r="H325" s="43" t="str">
        <f>G!AR275</f>
        <v>--</v>
      </c>
      <c r="I325" s="42" t="str">
        <f>G!AT275</f>
        <v/>
      </c>
      <c r="J325" s="42" t="str">
        <f>G!AU275</f>
        <v/>
      </c>
      <c r="K325" s="43" t="str">
        <f>IFERROR(IF(OR(H325="--",H325="rg",VLOOKUP(F!$B275,E!$B$1:'E'!$AK$300,12,FALSE)=1000000000,I325="-",I325=""),"",(HLOOKUP(SMALL(G!$Q$4:'G'!$Y$4,1),G!$Q$4:'G'!$Y$501,ROW(G!Q275)-3,FALSE))/VLOOKUP(F!$B275,E!$B$1:'E'!$AK$300,12,FALSE)*100),"")</f>
        <v/>
      </c>
      <c r="L325" s="43"/>
      <c r="M325" s="43" t="str">
        <f>G!AW275</f>
        <v/>
      </c>
      <c r="N325" s="43" t="str">
        <f>G!AV275</f>
        <v>--</v>
      </c>
      <c r="O325" s="42"/>
      <c r="P325" s="42" t="str">
        <f>G!AY275</f>
        <v/>
      </c>
      <c r="Q325" s="43" t="str">
        <f>G!AX275</f>
        <v>--</v>
      </c>
      <c r="R325" s="42" t="str">
        <f>G!AZ275</f>
        <v/>
      </c>
      <c r="S325" s="42" t="str">
        <f>G!BA275</f>
        <v/>
      </c>
      <c r="T325" s="43" t="str">
        <f>IFERROR(IF(OR(Q325="--",Q325="rg",VLOOKUP(F!$B275,E!$B$1:'E'!$AK$300,12,FALSE)=1000000000,R325="-",R325=""),"",(HLOOKUP(SMALL(G!$Q$4:'G'!$Y$4,4),G!$Q$4:'G'!$Y$501,ROW(G!Z275)-3,FALSE))/VLOOKUP(F!$B275,E!$B$1:'E'!$AK$300,12,FALSE)*100),"")</f>
        <v/>
      </c>
      <c r="U325" s="43"/>
      <c r="V325" s="43" t="str">
        <f>G!BC275</f>
        <v/>
      </c>
      <c r="W325" s="43" t="str">
        <f>G!BB275</f>
        <v>--</v>
      </c>
      <c r="X325" s="43"/>
      <c r="Y325" s="42" t="str">
        <f>G!BE275</f>
        <v/>
      </c>
      <c r="Z325" s="43" t="str">
        <f>G!BD275</f>
        <v>--</v>
      </c>
      <c r="AA325" s="42" t="str">
        <f>G!BF275</f>
        <v/>
      </c>
      <c r="AB325" s="42" t="str">
        <f>G!BG275</f>
        <v/>
      </c>
      <c r="AC325" s="43" t="str">
        <f>IFERROR(IF(OR(Z325="--",Z325="rg",VLOOKUP(F!$B275,E!$B$1:'E'!$AK$300,12,FALSE)=1000000000,AA325="-",AA325=""),"",(HLOOKUP(SMALL(G!$Q$4:'G'!$Y$4,7),G!$Q$4:'G'!$Y$501,ROW(G!AI275)-3,FALSE))/VLOOKUP(F!$B275,E!$B$1:'E'!$AK$300,12,FALSE)*100),"")</f>
        <v/>
      </c>
      <c r="AD325" s="43"/>
      <c r="AE325" s="34"/>
      <c r="AF325" s="34"/>
      <c r="AH325" s="72">
        <f t="shared" si="5"/>
        <v>1</v>
      </c>
      <c r="AJ325" s="34"/>
      <c r="AK325" s="34"/>
    </row>
    <row r="326" spans="1:37" s="72" customFormat="1" ht="9" hidden="1" customHeight="1" x14ac:dyDescent="0.15">
      <c r="A326" s="195" t="str">
        <f>F!A276</f>
        <v>4-Nitrofenol</v>
      </c>
      <c r="B326" s="195"/>
      <c r="C326" s="195"/>
      <c r="D326" s="44" t="str">
        <f>G!AQ276</f>
        <v/>
      </c>
      <c r="E326" s="43" t="str">
        <f>G!AP276</f>
        <v>--</v>
      </c>
      <c r="F326" s="42"/>
      <c r="G326" s="42" t="str">
        <f>G!AS276</f>
        <v/>
      </c>
      <c r="H326" s="43" t="str">
        <f>G!AR276</f>
        <v>--</v>
      </c>
      <c r="I326" s="42" t="str">
        <f>G!AT276</f>
        <v/>
      </c>
      <c r="J326" s="42" t="str">
        <f>G!AU276</f>
        <v/>
      </c>
      <c r="K326" s="43" t="str">
        <f>IFERROR(IF(OR(H326="--",H326="rg",VLOOKUP(F!$B276,E!$B$1:'E'!$AK$300,12,FALSE)=1000000000,I326="-",I326=""),"",(HLOOKUP(SMALL(G!$Q$4:'G'!$Y$4,1),G!$Q$4:'G'!$Y$501,ROW(G!Q276)-3,FALSE))/VLOOKUP(F!$B276,E!$B$1:'E'!$AK$300,12,FALSE)*100),"")</f>
        <v/>
      </c>
      <c r="L326" s="43"/>
      <c r="M326" s="43" t="str">
        <f>G!AW276</f>
        <v/>
      </c>
      <c r="N326" s="43" t="str">
        <f>G!AV276</f>
        <v>--</v>
      </c>
      <c r="O326" s="42"/>
      <c r="P326" s="42" t="str">
        <f>G!AY276</f>
        <v/>
      </c>
      <c r="Q326" s="43" t="str">
        <f>G!AX276</f>
        <v>--</v>
      </c>
      <c r="R326" s="42" t="str">
        <f>G!AZ276</f>
        <v/>
      </c>
      <c r="S326" s="42" t="str">
        <f>G!BA276</f>
        <v/>
      </c>
      <c r="T326" s="43" t="str">
        <f>IFERROR(IF(OR(Q326="--",Q326="rg",VLOOKUP(F!$B276,E!$B$1:'E'!$AK$300,12,FALSE)=1000000000,R326="-",R326=""),"",(HLOOKUP(SMALL(G!$Q$4:'G'!$Y$4,4),G!$Q$4:'G'!$Y$501,ROW(G!Z276)-3,FALSE))/VLOOKUP(F!$B276,E!$B$1:'E'!$AK$300,12,FALSE)*100),"")</f>
        <v/>
      </c>
      <c r="U326" s="43"/>
      <c r="V326" s="43" t="str">
        <f>G!BC276</f>
        <v/>
      </c>
      <c r="W326" s="43" t="str">
        <f>G!BB276</f>
        <v>--</v>
      </c>
      <c r="X326" s="43"/>
      <c r="Y326" s="42" t="str">
        <f>G!BE276</f>
        <v/>
      </c>
      <c r="Z326" s="43" t="str">
        <f>G!BD276</f>
        <v>--</v>
      </c>
      <c r="AA326" s="42" t="str">
        <f>G!BF276</f>
        <v/>
      </c>
      <c r="AB326" s="42" t="str">
        <f>G!BG276</f>
        <v/>
      </c>
      <c r="AC326" s="43" t="str">
        <f>IFERROR(IF(OR(Z326="--",Z326="rg",VLOOKUP(F!$B276,E!$B$1:'E'!$AK$300,12,FALSE)=1000000000,AA326="-",AA326=""),"",(HLOOKUP(SMALL(G!$Q$4:'G'!$Y$4,7),G!$Q$4:'G'!$Y$501,ROW(G!AI276)-3,FALSE))/VLOOKUP(F!$B276,E!$B$1:'E'!$AK$300,12,FALSE)*100),"")</f>
        <v/>
      </c>
      <c r="AD326" s="43"/>
      <c r="AE326" s="34"/>
      <c r="AF326" s="34"/>
      <c r="AH326" s="72">
        <f t="shared" si="5"/>
        <v>1</v>
      </c>
      <c r="AJ326" s="34"/>
      <c r="AK326" s="34"/>
    </row>
    <row r="327" spans="1:37" ht="3.95" hidden="1" customHeight="1" x14ac:dyDescent="0.15">
      <c r="A327" s="41"/>
      <c r="B327" s="41"/>
      <c r="C327" s="41"/>
      <c r="D327" s="44"/>
      <c r="E327" s="43"/>
      <c r="F327" s="42"/>
      <c r="G327" s="42"/>
      <c r="H327" s="43"/>
      <c r="I327" s="42"/>
      <c r="J327" s="42"/>
      <c r="K327" s="42"/>
      <c r="L327" s="43"/>
      <c r="M327" s="43"/>
      <c r="N327" s="42"/>
      <c r="O327" s="42"/>
      <c r="P327" s="43"/>
      <c r="Q327" s="42"/>
      <c r="R327" s="42"/>
      <c r="S327" s="42"/>
      <c r="T327" s="43"/>
      <c r="U327" s="43"/>
      <c r="V327" s="43"/>
      <c r="W327" s="42"/>
      <c r="X327" s="43"/>
      <c r="Y327" s="42"/>
      <c r="Z327" s="43"/>
      <c r="AA327" s="43"/>
      <c r="AC327" s="34"/>
      <c r="AD327" s="72"/>
      <c r="AF327" s="72"/>
      <c r="AG327" s="34"/>
      <c r="AH327" s="94">
        <f>AH328</f>
        <v>1</v>
      </c>
      <c r="AI327" s="34"/>
    </row>
    <row r="328" spans="1:37" ht="9" hidden="1" customHeight="1" x14ac:dyDescent="0.15">
      <c r="A328" s="198" t="str">
        <f>IF(COUNTIF(F!D275:D304,131)&gt;0,"Diverse organische verbindingen (µg/kgds)","Diverse organische verbindingen (mg/kgds)")</f>
        <v>Diverse organische verbindingen (mg/kgds)</v>
      </c>
      <c r="B328" s="198"/>
      <c r="C328" s="198"/>
      <c r="D328" s="198"/>
      <c r="E328" s="198"/>
      <c r="F328" s="198"/>
      <c r="G328" s="198"/>
      <c r="H328" s="198"/>
      <c r="I328" s="198"/>
      <c r="J328" s="198"/>
      <c r="K328" s="198"/>
      <c r="L328" s="198"/>
      <c r="M328" s="198"/>
      <c r="N328" s="198"/>
      <c r="O328" s="198"/>
      <c r="P328" s="198"/>
      <c r="Q328" s="198"/>
      <c r="R328" s="198"/>
      <c r="S328" s="198"/>
      <c r="T328" s="198"/>
      <c r="U328" s="198"/>
      <c r="V328" s="198"/>
      <c r="W328" s="198"/>
      <c r="X328" s="198"/>
      <c r="Y328" s="198"/>
      <c r="Z328" s="198"/>
      <c r="AA328" s="198"/>
      <c r="AC328" s="34"/>
      <c r="AD328" s="72"/>
      <c r="AF328" s="72"/>
      <c r="AG328" s="34"/>
      <c r="AH328" s="94">
        <f>IF(COUNTIF(AH329:AH358,1)=COUNT(AH329:AH358),1,0)</f>
        <v>1</v>
      </c>
      <c r="AI328" s="34"/>
    </row>
    <row r="329" spans="1:37" s="72" customFormat="1" ht="9" hidden="1" customHeight="1" x14ac:dyDescent="0.15">
      <c r="A329" s="195" t="str">
        <f>F!A277</f>
        <v>cis(1)-Permethrin</v>
      </c>
      <c r="B329" s="195"/>
      <c r="C329" s="195"/>
      <c r="D329" s="44" t="str">
        <f>G!AQ277</f>
        <v/>
      </c>
      <c r="E329" s="43" t="str">
        <f>G!AP277</f>
        <v>--</v>
      </c>
      <c r="F329" s="42"/>
      <c r="G329" s="42" t="str">
        <f>G!AS277</f>
        <v/>
      </c>
      <c r="H329" s="43" t="str">
        <f>G!AR277</f>
        <v>--</v>
      </c>
      <c r="I329" s="42" t="str">
        <f>G!AT277</f>
        <v/>
      </c>
      <c r="J329" s="42" t="str">
        <f>G!AU277</f>
        <v/>
      </c>
      <c r="K329" s="43" t="str">
        <f>IFERROR(IF(OR(H329="--",H329="rg",VLOOKUP(F!$B277,E!$B$1:'E'!$AK$300,12,FALSE)=1000000000,I329="-",I329=""),"",(HLOOKUP(SMALL(G!$Q$4:'G'!$Y$4,1),G!$Q$4:'G'!$Y$501,ROW(G!Q277)-3,FALSE))/VLOOKUP(F!$B277,E!$B$1:'E'!$AK$300,12,FALSE)*100),"")</f>
        <v/>
      </c>
      <c r="L329" s="43"/>
      <c r="M329" s="43" t="str">
        <f>G!AW277</f>
        <v/>
      </c>
      <c r="N329" s="43" t="str">
        <f>G!AV277</f>
        <v>--</v>
      </c>
      <c r="O329" s="42"/>
      <c r="P329" s="42" t="str">
        <f>G!AY277</f>
        <v/>
      </c>
      <c r="Q329" s="43" t="str">
        <f>G!AX277</f>
        <v>--</v>
      </c>
      <c r="R329" s="42" t="str">
        <f>G!AZ277</f>
        <v/>
      </c>
      <c r="S329" s="42" t="str">
        <f>G!BA277</f>
        <v/>
      </c>
      <c r="T329" s="43" t="str">
        <f>IFERROR(IF(OR(Q329="--",Q329="rg",VLOOKUP(F!$B277,E!$B$1:'E'!$AK$300,12,FALSE)=1000000000,R329="-",R329=""),"",(HLOOKUP(SMALL(G!$Q$4:'G'!$Y$4,4),G!$Q$4:'G'!$Y$501,ROW(G!Z277)-3,FALSE))/VLOOKUP(F!$B277,E!$B$1:'E'!$AK$300,12,FALSE)*100),"")</f>
        <v/>
      </c>
      <c r="U329" s="43"/>
      <c r="V329" s="43" t="str">
        <f>G!BC277</f>
        <v/>
      </c>
      <c r="W329" s="43" t="str">
        <f>G!BB277</f>
        <v>--</v>
      </c>
      <c r="X329" s="43"/>
      <c r="Y329" s="42" t="str">
        <f>G!BE277</f>
        <v/>
      </c>
      <c r="Z329" s="43" t="str">
        <f>G!BD277</f>
        <v>--</v>
      </c>
      <c r="AA329" s="42" t="str">
        <f>G!BF277</f>
        <v/>
      </c>
      <c r="AB329" s="42" t="str">
        <f>G!BG277</f>
        <v/>
      </c>
      <c r="AC329" s="43" t="str">
        <f>IFERROR(IF(OR(Z329="--",Z329="rg",VLOOKUP(F!$B277,E!$B$1:'E'!$AK$300,12,FALSE)=1000000000,AA329="-",AA329=""),"",(HLOOKUP(SMALL(G!$Q$4:'G'!$Y$4,7),G!$Q$4:'G'!$Y$501,ROW(G!AI277)-3,FALSE))/VLOOKUP(F!$B277,E!$B$1:'E'!$AK$300,12,FALSE)*100),"")</f>
        <v/>
      </c>
      <c r="AD329" s="43"/>
      <c r="AE329" s="34"/>
      <c r="AF329" s="34"/>
      <c r="AH329" s="72">
        <f t="shared" si="5"/>
        <v>1</v>
      </c>
      <c r="AJ329" s="34"/>
      <c r="AK329" s="34"/>
    </row>
    <row r="330" spans="1:37" s="72" customFormat="1" ht="9" hidden="1" customHeight="1" x14ac:dyDescent="0.15">
      <c r="A330" s="195" t="str">
        <f>F!A278</f>
        <v>trans(2)-Permethrin</v>
      </c>
      <c r="B330" s="195"/>
      <c r="C330" s="195"/>
      <c r="D330" s="44" t="str">
        <f>G!AQ278</f>
        <v/>
      </c>
      <c r="E330" s="43" t="str">
        <f>G!AP278</f>
        <v>--</v>
      </c>
      <c r="F330" s="42"/>
      <c r="G330" s="42" t="str">
        <f>G!AS278</f>
        <v/>
      </c>
      <c r="H330" s="43" t="str">
        <f>G!AR278</f>
        <v>--</v>
      </c>
      <c r="I330" s="42" t="str">
        <f>G!AT278</f>
        <v/>
      </c>
      <c r="J330" s="42" t="str">
        <f>G!AU278</f>
        <v/>
      </c>
      <c r="K330" s="43" t="str">
        <f>IFERROR(IF(OR(H330="--",H330="rg",VLOOKUP(F!$B278,E!$B$1:'E'!$AK$300,12,FALSE)=1000000000,I330="-",I330=""),"",(HLOOKUP(SMALL(G!$Q$4:'G'!$Y$4,1),G!$Q$4:'G'!$Y$501,ROW(G!Q278)-3,FALSE))/VLOOKUP(F!$B278,E!$B$1:'E'!$AK$300,12,FALSE)*100),"")</f>
        <v/>
      </c>
      <c r="L330" s="43"/>
      <c r="M330" s="43" t="str">
        <f>G!AW278</f>
        <v/>
      </c>
      <c r="N330" s="43" t="str">
        <f>G!AV278</f>
        <v>--</v>
      </c>
      <c r="O330" s="42"/>
      <c r="P330" s="42" t="str">
        <f>G!AY278</f>
        <v/>
      </c>
      <c r="Q330" s="43" t="str">
        <f>G!AX278</f>
        <v>--</v>
      </c>
      <c r="R330" s="42" t="str">
        <f>G!AZ278</f>
        <v/>
      </c>
      <c r="S330" s="42" t="str">
        <f>G!BA278</f>
        <v/>
      </c>
      <c r="T330" s="43" t="str">
        <f>IFERROR(IF(OR(Q330="--",Q330="rg",VLOOKUP(F!$B278,E!$B$1:'E'!$AK$300,12,FALSE)=1000000000,R330="-",R330=""),"",(HLOOKUP(SMALL(G!$Q$4:'G'!$Y$4,4),G!$Q$4:'G'!$Y$501,ROW(G!Z278)-3,FALSE))/VLOOKUP(F!$B278,E!$B$1:'E'!$AK$300,12,FALSE)*100),"")</f>
        <v/>
      </c>
      <c r="U330" s="43"/>
      <c r="V330" s="43" t="str">
        <f>G!BC278</f>
        <v/>
      </c>
      <c r="W330" s="43" t="str">
        <f>G!BB278</f>
        <v>--</v>
      </c>
      <c r="X330" s="43"/>
      <c r="Y330" s="42" t="str">
        <f>G!BE278</f>
        <v/>
      </c>
      <c r="Z330" s="43" t="str">
        <f>G!BD278</f>
        <v>--</v>
      </c>
      <c r="AA330" s="42" t="str">
        <f>G!BF278</f>
        <v/>
      </c>
      <c r="AB330" s="42" t="str">
        <f>G!BG278</f>
        <v/>
      </c>
      <c r="AC330" s="43" t="str">
        <f>IFERROR(IF(OR(Z330="--",Z330="rg",VLOOKUP(F!$B278,E!$B$1:'E'!$AK$300,12,FALSE)=1000000000,AA330="-",AA330=""),"",(HLOOKUP(SMALL(G!$Q$4:'G'!$Y$4,7),G!$Q$4:'G'!$Y$501,ROW(G!AI278)-3,FALSE))/VLOOKUP(F!$B278,E!$B$1:'E'!$AK$300,12,FALSE)*100),"")</f>
        <v/>
      </c>
      <c r="AD330" s="43"/>
      <c r="AE330" s="34"/>
      <c r="AF330" s="34"/>
      <c r="AH330" s="72">
        <f t="shared" si="5"/>
        <v>1</v>
      </c>
      <c r="AJ330" s="34"/>
      <c r="AK330" s="34"/>
    </row>
    <row r="331" spans="1:37" s="72" customFormat="1" ht="9" hidden="1" customHeight="1" x14ac:dyDescent="0.15">
      <c r="A331" s="195" t="str">
        <f>F!A279</f>
        <v>2,4-Dinitrotolueen</v>
      </c>
      <c r="B331" s="195"/>
      <c r="C331" s="195"/>
      <c r="D331" s="44" t="str">
        <f>G!AQ279</f>
        <v/>
      </c>
      <c r="E331" s="43" t="str">
        <f>G!AP279</f>
        <v>--</v>
      </c>
      <c r="F331" s="42"/>
      <c r="G331" s="42" t="str">
        <f>G!AS279</f>
        <v/>
      </c>
      <c r="H331" s="43" t="str">
        <f>G!AR279</f>
        <v>--</v>
      </c>
      <c r="I331" s="42" t="str">
        <f>G!AT279</f>
        <v/>
      </c>
      <c r="J331" s="42" t="str">
        <f>G!AU279</f>
        <v/>
      </c>
      <c r="K331" s="43" t="str">
        <f>IFERROR(IF(OR(H331="--",H331="rg",VLOOKUP(F!$B279,E!$B$1:'E'!$AK$300,12,FALSE)=1000000000,I331="-",I331=""),"",(HLOOKUP(SMALL(G!$Q$4:'G'!$Y$4,1),G!$Q$4:'G'!$Y$501,ROW(G!Q279)-3,FALSE))/VLOOKUP(F!$B279,E!$B$1:'E'!$AK$300,12,FALSE)*100),"")</f>
        <v/>
      </c>
      <c r="L331" s="43"/>
      <c r="M331" s="43" t="str">
        <f>G!AW279</f>
        <v/>
      </c>
      <c r="N331" s="43" t="str">
        <f>G!AV279</f>
        <v>--</v>
      </c>
      <c r="O331" s="42"/>
      <c r="P331" s="42" t="str">
        <f>G!AY279</f>
        <v/>
      </c>
      <c r="Q331" s="43" t="str">
        <f>G!AX279</f>
        <v>--</v>
      </c>
      <c r="R331" s="42" t="str">
        <f>G!AZ279</f>
        <v/>
      </c>
      <c r="S331" s="42" t="str">
        <f>G!BA279</f>
        <v/>
      </c>
      <c r="T331" s="43" t="str">
        <f>IFERROR(IF(OR(Q331="--",Q331="rg",VLOOKUP(F!$B279,E!$B$1:'E'!$AK$300,12,FALSE)=1000000000,R331="-",R331=""),"",(HLOOKUP(SMALL(G!$Q$4:'G'!$Y$4,4),G!$Q$4:'G'!$Y$501,ROW(G!Z279)-3,FALSE))/VLOOKUP(F!$B279,E!$B$1:'E'!$AK$300,12,FALSE)*100),"")</f>
        <v/>
      </c>
      <c r="U331" s="43"/>
      <c r="V331" s="43" t="str">
        <f>G!BC279</f>
        <v/>
      </c>
      <c r="W331" s="43" t="str">
        <f>G!BB279</f>
        <v>--</v>
      </c>
      <c r="X331" s="43"/>
      <c r="Y331" s="42" t="str">
        <f>G!BE279</f>
        <v/>
      </c>
      <c r="Z331" s="43" t="str">
        <f>G!BD279</f>
        <v>--</v>
      </c>
      <c r="AA331" s="42" t="str">
        <f>G!BF279</f>
        <v/>
      </c>
      <c r="AB331" s="42" t="str">
        <f>G!BG279</f>
        <v/>
      </c>
      <c r="AC331" s="43" t="str">
        <f>IFERROR(IF(OR(Z331="--",Z331="rg",VLOOKUP(F!$B279,E!$B$1:'E'!$AK$300,12,FALSE)=1000000000,AA331="-",AA331=""),"",(HLOOKUP(SMALL(G!$Q$4:'G'!$Y$4,7),G!$Q$4:'G'!$Y$501,ROW(G!AI279)-3,FALSE))/VLOOKUP(F!$B279,E!$B$1:'E'!$AK$300,12,FALSE)*100),"")</f>
        <v/>
      </c>
      <c r="AD331" s="43"/>
      <c r="AE331" s="34"/>
      <c r="AF331" s="34"/>
      <c r="AH331" s="72">
        <f t="shared" si="5"/>
        <v>1</v>
      </c>
      <c r="AJ331" s="34"/>
      <c r="AK331" s="34"/>
    </row>
    <row r="332" spans="1:37" s="72" customFormat="1" ht="9" hidden="1" customHeight="1" x14ac:dyDescent="0.15">
      <c r="A332" s="195" t="str">
        <f>F!A280</f>
        <v>2,6-Dinitrotolueen</v>
      </c>
      <c r="B332" s="195"/>
      <c r="C332" s="195"/>
      <c r="D332" s="44" t="str">
        <f>G!AQ280</f>
        <v/>
      </c>
      <c r="E332" s="43" t="str">
        <f>G!AP280</f>
        <v>--</v>
      </c>
      <c r="F332" s="42"/>
      <c r="G332" s="42" t="str">
        <f>G!AS280</f>
        <v/>
      </c>
      <c r="H332" s="43" t="str">
        <f>G!AR280</f>
        <v>--</v>
      </c>
      <c r="I332" s="42" t="str">
        <f>G!AT280</f>
        <v/>
      </c>
      <c r="J332" s="42" t="str">
        <f>G!AU280</f>
        <v/>
      </c>
      <c r="K332" s="43" t="str">
        <f>IFERROR(IF(OR(H332="--",H332="rg",VLOOKUP(F!$B280,E!$B$1:'E'!$AK$300,12,FALSE)=1000000000,I332="-",I332=""),"",(HLOOKUP(SMALL(G!$Q$4:'G'!$Y$4,1),G!$Q$4:'G'!$Y$501,ROW(G!Q280)-3,FALSE))/VLOOKUP(F!$B280,E!$B$1:'E'!$AK$300,12,FALSE)*100),"")</f>
        <v/>
      </c>
      <c r="L332" s="43"/>
      <c r="M332" s="43" t="str">
        <f>G!AW280</f>
        <v/>
      </c>
      <c r="N332" s="43" t="str">
        <f>G!AV280</f>
        <v>--</v>
      </c>
      <c r="O332" s="42"/>
      <c r="P332" s="42" t="str">
        <f>G!AY280</f>
        <v/>
      </c>
      <c r="Q332" s="43" t="str">
        <f>G!AX280</f>
        <v>--</v>
      </c>
      <c r="R332" s="42" t="str">
        <f>G!AZ280</f>
        <v/>
      </c>
      <c r="S332" s="42" t="str">
        <f>G!BA280</f>
        <v/>
      </c>
      <c r="T332" s="43" t="str">
        <f>IFERROR(IF(OR(Q332="--",Q332="rg",VLOOKUP(F!$B280,E!$B$1:'E'!$AK$300,12,FALSE)=1000000000,R332="-",R332=""),"",(HLOOKUP(SMALL(G!$Q$4:'G'!$Y$4,4),G!$Q$4:'G'!$Y$501,ROW(G!Z280)-3,FALSE))/VLOOKUP(F!$B280,E!$B$1:'E'!$AK$300,12,FALSE)*100),"")</f>
        <v/>
      </c>
      <c r="U332" s="43"/>
      <c r="V332" s="43" t="str">
        <f>G!BC280</f>
        <v/>
      </c>
      <c r="W332" s="43" t="str">
        <f>G!BB280</f>
        <v>--</v>
      </c>
      <c r="X332" s="43"/>
      <c r="Y332" s="42" t="str">
        <f>G!BE280</f>
        <v/>
      </c>
      <c r="Z332" s="43" t="str">
        <f>G!BD280</f>
        <v>--</v>
      </c>
      <c r="AA332" s="42" t="str">
        <f>G!BF280</f>
        <v/>
      </c>
      <c r="AB332" s="42" t="str">
        <f>G!BG280</f>
        <v/>
      </c>
      <c r="AC332" s="43" t="str">
        <f>IFERROR(IF(OR(Z332="--",Z332="rg",VLOOKUP(F!$B280,E!$B$1:'E'!$AK$300,12,FALSE)=1000000000,AA332="-",AA332=""),"",(HLOOKUP(SMALL(G!$Q$4:'G'!$Y$4,7),G!$Q$4:'G'!$Y$501,ROW(G!AI280)-3,FALSE))/VLOOKUP(F!$B280,E!$B$1:'E'!$AK$300,12,FALSE)*100),"")</f>
        <v/>
      </c>
      <c r="AD332" s="43"/>
      <c r="AE332" s="34"/>
      <c r="AF332" s="34"/>
      <c r="AH332" s="72">
        <f t="shared" si="5"/>
        <v>1</v>
      </c>
      <c r="AJ332" s="34"/>
      <c r="AK332" s="34"/>
    </row>
    <row r="333" spans="1:37" s="72" customFormat="1" ht="9" hidden="1" customHeight="1" x14ac:dyDescent="0.15">
      <c r="A333" s="195" t="str">
        <f>F!A281</f>
        <v>2-Chloornaftaleen</v>
      </c>
      <c r="B333" s="195"/>
      <c r="C333" s="195"/>
      <c r="D333" s="44" t="str">
        <f>G!AQ281</f>
        <v/>
      </c>
      <c r="E333" s="43" t="str">
        <f>G!AP281</f>
        <v>--</v>
      </c>
      <c r="F333" s="42"/>
      <c r="G333" s="42" t="str">
        <f>G!AS281</f>
        <v/>
      </c>
      <c r="H333" s="43" t="str">
        <f>G!AR281</f>
        <v>--</v>
      </c>
      <c r="I333" s="42" t="str">
        <f>G!AT281</f>
        <v/>
      </c>
      <c r="J333" s="42" t="str">
        <f>G!AU281</f>
        <v/>
      </c>
      <c r="K333" s="43" t="str">
        <f>IFERROR(IF(OR(H333="--",H333="rg",VLOOKUP(F!$B281,E!$B$1:'E'!$AK$300,12,FALSE)=1000000000,I333="-",I333=""),"",(HLOOKUP(SMALL(G!$Q$4:'G'!$Y$4,1),G!$Q$4:'G'!$Y$501,ROW(G!Q281)-3,FALSE))/VLOOKUP(F!$B281,E!$B$1:'E'!$AK$300,12,FALSE)*100),"")</f>
        <v/>
      </c>
      <c r="L333" s="43"/>
      <c r="M333" s="43" t="str">
        <f>G!AW281</f>
        <v/>
      </c>
      <c r="N333" s="43" t="str">
        <f>G!AV281</f>
        <v>--</v>
      </c>
      <c r="O333" s="42"/>
      <c r="P333" s="42" t="str">
        <f>G!AY281</f>
        <v/>
      </c>
      <c r="Q333" s="43" t="str">
        <f>G!AX281</f>
        <v>--</v>
      </c>
      <c r="R333" s="42" t="str">
        <f>G!AZ281</f>
        <v/>
      </c>
      <c r="S333" s="42" t="str">
        <f>G!BA281</f>
        <v/>
      </c>
      <c r="T333" s="43" t="str">
        <f>IFERROR(IF(OR(Q333="--",Q333="rg",VLOOKUP(F!$B281,E!$B$1:'E'!$AK$300,12,FALSE)=1000000000,R333="-",R333=""),"",(HLOOKUP(SMALL(G!$Q$4:'G'!$Y$4,4),G!$Q$4:'G'!$Y$501,ROW(G!Z281)-3,FALSE))/VLOOKUP(F!$B281,E!$B$1:'E'!$AK$300,12,FALSE)*100),"")</f>
        <v/>
      </c>
      <c r="U333" s="43"/>
      <c r="V333" s="43" t="str">
        <f>G!BC281</f>
        <v/>
      </c>
      <c r="W333" s="43" t="str">
        <f>G!BB281</f>
        <v>--</v>
      </c>
      <c r="X333" s="43"/>
      <c r="Y333" s="42" t="str">
        <f>G!BE281</f>
        <v/>
      </c>
      <c r="Z333" s="43" t="str">
        <f>G!BD281</f>
        <v>--</v>
      </c>
      <c r="AA333" s="42" t="str">
        <f>G!BF281</f>
        <v/>
      </c>
      <c r="AB333" s="42" t="str">
        <f>G!BG281</f>
        <v/>
      </c>
      <c r="AC333" s="43" t="str">
        <f>IFERROR(IF(OR(Z333="--",Z333="rg",VLOOKUP(F!$B281,E!$B$1:'E'!$AK$300,12,FALSE)=1000000000,AA333="-",AA333=""),"",(HLOOKUP(SMALL(G!$Q$4:'G'!$Y$4,7),G!$Q$4:'G'!$Y$501,ROW(G!AI281)-3,FALSE))/VLOOKUP(F!$B281,E!$B$1:'E'!$AK$300,12,FALSE)*100),"")</f>
        <v/>
      </c>
      <c r="AD333" s="43"/>
      <c r="AE333" s="34"/>
      <c r="AF333" s="34"/>
      <c r="AH333" s="72">
        <f t="shared" si="5"/>
        <v>1</v>
      </c>
      <c r="AJ333" s="34"/>
      <c r="AK333" s="34"/>
    </row>
    <row r="334" spans="1:37" s="72" customFormat="1" ht="9" hidden="1" customHeight="1" x14ac:dyDescent="0.15">
      <c r="A334" s="195" t="str">
        <f>F!A282</f>
        <v>2-Methylnaftaleen</v>
      </c>
      <c r="B334" s="195"/>
      <c r="C334" s="195"/>
      <c r="D334" s="44" t="str">
        <f>G!AQ282</f>
        <v/>
      </c>
      <c r="E334" s="43" t="str">
        <f>G!AP282</f>
        <v>--</v>
      </c>
      <c r="F334" s="42"/>
      <c r="G334" s="42" t="str">
        <f>G!AS282</f>
        <v/>
      </c>
      <c r="H334" s="43" t="str">
        <f>G!AR282</f>
        <v>--</v>
      </c>
      <c r="I334" s="42" t="str">
        <f>G!AT282</f>
        <v/>
      </c>
      <c r="J334" s="42" t="str">
        <f>G!AU282</f>
        <v/>
      </c>
      <c r="K334" s="43" t="str">
        <f>IFERROR(IF(OR(H334="--",H334="rg",VLOOKUP(F!$B282,E!$B$1:'E'!$AK$300,12,FALSE)=1000000000,I334="-",I334=""),"",(HLOOKUP(SMALL(G!$Q$4:'G'!$Y$4,1),G!$Q$4:'G'!$Y$501,ROW(G!Q282)-3,FALSE))/VLOOKUP(F!$B282,E!$B$1:'E'!$AK$300,12,FALSE)*100),"")</f>
        <v/>
      </c>
      <c r="L334" s="43"/>
      <c r="M334" s="43" t="str">
        <f>G!AW282</f>
        <v/>
      </c>
      <c r="N334" s="43" t="str">
        <f>G!AV282</f>
        <v>--</v>
      </c>
      <c r="O334" s="42"/>
      <c r="P334" s="42" t="str">
        <f>G!AY282</f>
        <v/>
      </c>
      <c r="Q334" s="43" t="str">
        <f>G!AX282</f>
        <v>--</v>
      </c>
      <c r="R334" s="42" t="str">
        <f>G!AZ282</f>
        <v/>
      </c>
      <c r="S334" s="42" t="str">
        <f>G!BA282</f>
        <v/>
      </c>
      <c r="T334" s="43" t="str">
        <f>IFERROR(IF(OR(Q334="--",Q334="rg",VLOOKUP(F!$B282,E!$B$1:'E'!$AK$300,12,FALSE)=1000000000,R334="-",R334=""),"",(HLOOKUP(SMALL(G!$Q$4:'G'!$Y$4,4),G!$Q$4:'G'!$Y$501,ROW(G!Z282)-3,FALSE))/VLOOKUP(F!$B282,E!$B$1:'E'!$AK$300,12,FALSE)*100),"")</f>
        <v/>
      </c>
      <c r="U334" s="43"/>
      <c r="V334" s="43" t="str">
        <f>G!BC282</f>
        <v/>
      </c>
      <c r="W334" s="43" t="str">
        <f>G!BB282</f>
        <v>--</v>
      </c>
      <c r="X334" s="43"/>
      <c r="Y334" s="42" t="str">
        <f>G!BE282</f>
        <v/>
      </c>
      <c r="Z334" s="43" t="str">
        <f>G!BD282</f>
        <v>--</v>
      </c>
      <c r="AA334" s="42" t="str">
        <f>G!BF282</f>
        <v/>
      </c>
      <c r="AB334" s="42" t="str">
        <f>G!BG282</f>
        <v/>
      </c>
      <c r="AC334" s="43" t="str">
        <f>IFERROR(IF(OR(Z334="--",Z334="rg",VLOOKUP(F!$B282,E!$B$1:'E'!$AK$300,12,FALSE)=1000000000,AA334="-",AA334=""),"",(HLOOKUP(SMALL(G!$Q$4:'G'!$Y$4,7),G!$Q$4:'G'!$Y$501,ROW(G!AI282)-3,FALSE))/VLOOKUP(F!$B282,E!$B$1:'E'!$AK$300,12,FALSE)*100),"")</f>
        <v/>
      </c>
      <c r="AD334" s="43"/>
      <c r="AE334" s="34"/>
      <c r="AF334" s="34"/>
      <c r="AH334" s="72">
        <f t="shared" ref="AH334:AH397" si="7">IF(AND(E334="--",N334="--",W334="--"),1,0)</f>
        <v>1</v>
      </c>
      <c r="AJ334" s="34"/>
      <c r="AK334" s="34"/>
    </row>
    <row r="335" spans="1:37" s="72" customFormat="1" ht="9" hidden="1" customHeight="1" x14ac:dyDescent="0.15">
      <c r="A335" s="195" t="str">
        <f>F!A283</f>
        <v>4-Broomfenylfenylether</v>
      </c>
      <c r="B335" s="195"/>
      <c r="C335" s="195"/>
      <c r="D335" s="44" t="str">
        <f>G!AQ283</f>
        <v/>
      </c>
      <c r="E335" s="43" t="str">
        <f>G!AP283</f>
        <v>--</v>
      </c>
      <c r="F335" s="42"/>
      <c r="G335" s="42" t="str">
        <f>G!AS283</f>
        <v/>
      </c>
      <c r="H335" s="43" t="str">
        <f>G!AR283</f>
        <v>--</v>
      </c>
      <c r="I335" s="42" t="str">
        <f>G!AT283</f>
        <v/>
      </c>
      <c r="J335" s="42" t="str">
        <f>G!AU283</f>
        <v/>
      </c>
      <c r="K335" s="43" t="str">
        <f>IFERROR(IF(OR(H335="--",H335="rg",VLOOKUP(F!$B283,E!$B$1:'E'!$AK$300,12,FALSE)=1000000000,I335="-",I335=""),"",(HLOOKUP(SMALL(G!$Q$4:'G'!$Y$4,1),G!$Q$4:'G'!$Y$501,ROW(G!Q283)-3,FALSE))/VLOOKUP(F!$B283,E!$B$1:'E'!$AK$300,12,FALSE)*100),"")</f>
        <v/>
      </c>
      <c r="L335" s="43"/>
      <c r="M335" s="43" t="str">
        <f>G!AW283</f>
        <v/>
      </c>
      <c r="N335" s="43" t="str">
        <f>G!AV283</f>
        <v>--</v>
      </c>
      <c r="O335" s="42"/>
      <c r="P335" s="42" t="str">
        <f>G!AY283</f>
        <v/>
      </c>
      <c r="Q335" s="43" t="str">
        <f>G!AX283</f>
        <v>--</v>
      </c>
      <c r="R335" s="42" t="str">
        <f>G!AZ283</f>
        <v/>
      </c>
      <c r="S335" s="42" t="str">
        <f>G!BA283</f>
        <v/>
      </c>
      <c r="T335" s="43" t="str">
        <f>IFERROR(IF(OR(Q335="--",Q335="rg",VLOOKUP(F!$B283,E!$B$1:'E'!$AK$300,12,FALSE)=1000000000,R335="-",R335=""),"",(HLOOKUP(SMALL(G!$Q$4:'G'!$Y$4,4),G!$Q$4:'G'!$Y$501,ROW(G!Z283)-3,FALSE))/VLOOKUP(F!$B283,E!$B$1:'E'!$AK$300,12,FALSE)*100),"")</f>
        <v/>
      </c>
      <c r="U335" s="43"/>
      <c r="V335" s="43" t="str">
        <f>G!BC283</f>
        <v/>
      </c>
      <c r="W335" s="43" t="str">
        <f>G!BB283</f>
        <v>--</v>
      </c>
      <c r="X335" s="43"/>
      <c r="Y335" s="42" t="str">
        <f>G!BE283</f>
        <v/>
      </c>
      <c r="Z335" s="43" t="str">
        <f>G!BD283</f>
        <v>--</v>
      </c>
      <c r="AA335" s="42" t="str">
        <f>G!BF283</f>
        <v/>
      </c>
      <c r="AB335" s="42" t="str">
        <f>G!BG283</f>
        <v/>
      </c>
      <c r="AC335" s="43" t="str">
        <f>IFERROR(IF(OR(Z335="--",Z335="rg",VLOOKUP(F!$B283,E!$B$1:'E'!$AK$300,12,FALSE)=1000000000,AA335="-",AA335=""),"",(HLOOKUP(SMALL(G!$Q$4:'G'!$Y$4,7),G!$Q$4:'G'!$Y$501,ROW(G!AI283)-3,FALSE))/VLOOKUP(F!$B283,E!$B$1:'E'!$AK$300,12,FALSE)*100),"")</f>
        <v/>
      </c>
      <c r="AD335" s="43"/>
      <c r="AE335" s="34"/>
      <c r="AF335" s="34"/>
      <c r="AH335" s="72">
        <f t="shared" si="7"/>
        <v>1</v>
      </c>
      <c r="AJ335" s="34"/>
      <c r="AK335" s="34"/>
    </row>
    <row r="336" spans="1:37" s="72" customFormat="1" ht="9" hidden="1" customHeight="1" x14ac:dyDescent="0.15">
      <c r="A336" s="195" t="str">
        <f>F!A284</f>
        <v>4-Chloorfenylfenylether</v>
      </c>
      <c r="B336" s="195"/>
      <c r="C336" s="195"/>
      <c r="D336" s="44" t="str">
        <f>G!AQ284</f>
        <v/>
      </c>
      <c r="E336" s="43" t="str">
        <f>G!AP284</f>
        <v>--</v>
      </c>
      <c r="F336" s="42"/>
      <c r="G336" s="42" t="str">
        <f>G!AS284</f>
        <v/>
      </c>
      <c r="H336" s="43" t="str">
        <f>G!AR284</f>
        <v>--</v>
      </c>
      <c r="I336" s="42" t="str">
        <f>G!AT284</f>
        <v/>
      </c>
      <c r="J336" s="42" t="str">
        <f>G!AU284</f>
        <v/>
      </c>
      <c r="K336" s="43" t="str">
        <f>IFERROR(IF(OR(H336="--",H336="rg",VLOOKUP(F!$B284,E!$B$1:'E'!$AK$300,12,FALSE)=1000000000,I336="-",I336=""),"",(HLOOKUP(SMALL(G!$Q$4:'G'!$Y$4,1),G!$Q$4:'G'!$Y$501,ROW(G!Q284)-3,FALSE))/VLOOKUP(F!$B284,E!$B$1:'E'!$AK$300,12,FALSE)*100),"")</f>
        <v/>
      </c>
      <c r="L336" s="43"/>
      <c r="M336" s="43" t="str">
        <f>G!AW284</f>
        <v/>
      </c>
      <c r="N336" s="43" t="str">
        <f>G!AV284</f>
        <v>--</v>
      </c>
      <c r="O336" s="42"/>
      <c r="P336" s="42" t="str">
        <f>G!AY284</f>
        <v/>
      </c>
      <c r="Q336" s="43" t="str">
        <f>G!AX284</f>
        <v>--</v>
      </c>
      <c r="R336" s="42" t="str">
        <f>G!AZ284</f>
        <v/>
      </c>
      <c r="S336" s="42" t="str">
        <f>G!BA284</f>
        <v/>
      </c>
      <c r="T336" s="43" t="str">
        <f>IFERROR(IF(OR(Q336="--",Q336="rg",VLOOKUP(F!$B284,E!$B$1:'E'!$AK$300,12,FALSE)=1000000000,R336="-",R336=""),"",(HLOOKUP(SMALL(G!$Q$4:'G'!$Y$4,4),G!$Q$4:'G'!$Y$501,ROW(G!Z284)-3,FALSE))/VLOOKUP(F!$B284,E!$B$1:'E'!$AK$300,12,FALSE)*100),"")</f>
        <v/>
      </c>
      <c r="U336" s="43"/>
      <c r="V336" s="43" t="str">
        <f>G!BC284</f>
        <v/>
      </c>
      <c r="W336" s="43" t="str">
        <f>G!BB284</f>
        <v>--</v>
      </c>
      <c r="X336" s="43"/>
      <c r="Y336" s="42" t="str">
        <f>G!BE284</f>
        <v/>
      </c>
      <c r="Z336" s="43" t="str">
        <f>G!BD284</f>
        <v>--</v>
      </c>
      <c r="AA336" s="42" t="str">
        <f>G!BF284</f>
        <v/>
      </c>
      <c r="AB336" s="42" t="str">
        <f>G!BG284</f>
        <v/>
      </c>
      <c r="AC336" s="43" t="str">
        <f>IFERROR(IF(OR(Z336="--",Z336="rg",VLOOKUP(F!$B284,E!$B$1:'E'!$AK$300,12,FALSE)=1000000000,AA336="-",AA336=""),"",(HLOOKUP(SMALL(G!$Q$4:'G'!$Y$4,7),G!$Q$4:'G'!$Y$501,ROW(G!AI284)-3,FALSE))/VLOOKUP(F!$B284,E!$B$1:'E'!$AK$300,12,FALSE)*100),"")</f>
        <v/>
      </c>
      <c r="AD336" s="43"/>
      <c r="AE336" s="34"/>
      <c r="AF336" s="34"/>
      <c r="AH336" s="72">
        <f t="shared" si="7"/>
        <v>1</v>
      </c>
      <c r="AJ336" s="34"/>
      <c r="AK336" s="34"/>
    </row>
    <row r="337" spans="1:37" s="72" customFormat="1" ht="9" hidden="1" customHeight="1" x14ac:dyDescent="0.15">
      <c r="A337" s="195" t="str">
        <f>F!A285</f>
        <v>Azobenzeen</v>
      </c>
      <c r="B337" s="195"/>
      <c r="C337" s="195"/>
      <c r="D337" s="44" t="str">
        <f>G!AQ285</f>
        <v/>
      </c>
      <c r="E337" s="43" t="str">
        <f>G!AP285</f>
        <v>--</v>
      </c>
      <c r="F337" s="42"/>
      <c r="G337" s="42" t="str">
        <f>G!AS285</f>
        <v/>
      </c>
      <c r="H337" s="43" t="str">
        <f>G!AR285</f>
        <v>--</v>
      </c>
      <c r="I337" s="42" t="str">
        <f>G!AT285</f>
        <v/>
      </c>
      <c r="J337" s="42" t="str">
        <f>G!AU285</f>
        <v/>
      </c>
      <c r="K337" s="43" t="str">
        <f>IFERROR(IF(OR(H337="--",H337="rg",VLOOKUP(F!$B285,E!$B$1:'E'!$AK$300,12,FALSE)=1000000000,I337="-",I337=""),"",(HLOOKUP(SMALL(G!$Q$4:'G'!$Y$4,1),G!$Q$4:'G'!$Y$501,ROW(G!Q285)-3,FALSE))/VLOOKUP(F!$B285,E!$B$1:'E'!$AK$300,12,FALSE)*100),"")</f>
        <v/>
      </c>
      <c r="L337" s="43"/>
      <c r="M337" s="43" t="str">
        <f>G!AW285</f>
        <v/>
      </c>
      <c r="N337" s="43" t="str">
        <f>G!AV285</f>
        <v>--</v>
      </c>
      <c r="O337" s="42"/>
      <c r="P337" s="42" t="str">
        <f>G!AY285</f>
        <v/>
      </c>
      <c r="Q337" s="43" t="str">
        <f>G!AX285</f>
        <v>--</v>
      </c>
      <c r="R337" s="42" t="str">
        <f>G!AZ285</f>
        <v/>
      </c>
      <c r="S337" s="42" t="str">
        <f>G!BA285</f>
        <v/>
      </c>
      <c r="T337" s="43" t="str">
        <f>IFERROR(IF(OR(Q337="--",Q337="rg",VLOOKUP(F!$B285,E!$B$1:'E'!$AK$300,12,FALSE)=1000000000,R337="-",R337=""),"",(HLOOKUP(SMALL(G!$Q$4:'G'!$Y$4,4),G!$Q$4:'G'!$Y$501,ROW(G!Z285)-3,FALSE))/VLOOKUP(F!$B285,E!$B$1:'E'!$AK$300,12,FALSE)*100),"")</f>
        <v/>
      </c>
      <c r="U337" s="43"/>
      <c r="V337" s="43" t="str">
        <f>G!BC285</f>
        <v/>
      </c>
      <c r="W337" s="43" t="str">
        <f>G!BB285</f>
        <v>--</v>
      </c>
      <c r="X337" s="43"/>
      <c r="Y337" s="42" t="str">
        <f>G!BE285</f>
        <v/>
      </c>
      <c r="Z337" s="43" t="str">
        <f>G!BD285</f>
        <v>--</v>
      </c>
      <c r="AA337" s="42" t="str">
        <f>G!BF285</f>
        <v/>
      </c>
      <c r="AB337" s="42" t="str">
        <f>G!BG285</f>
        <v/>
      </c>
      <c r="AC337" s="43" t="str">
        <f>IFERROR(IF(OR(Z337="--",Z337="rg",VLOOKUP(F!$B285,E!$B$1:'E'!$AK$300,12,FALSE)=1000000000,AA337="-",AA337=""),"",(HLOOKUP(SMALL(G!$Q$4:'G'!$Y$4,7),G!$Q$4:'G'!$Y$501,ROW(G!AI285)-3,FALSE))/VLOOKUP(F!$B285,E!$B$1:'E'!$AK$300,12,FALSE)*100),"")</f>
        <v/>
      </c>
      <c r="AD337" s="43"/>
      <c r="AE337" s="34"/>
      <c r="AF337" s="34"/>
      <c r="AH337" s="72">
        <f t="shared" si="7"/>
        <v>1</v>
      </c>
      <c r="AJ337" s="34"/>
      <c r="AK337" s="34"/>
    </row>
    <row r="338" spans="1:37" s="72" customFormat="1" ht="9" hidden="1" customHeight="1" x14ac:dyDescent="0.15">
      <c r="A338" s="195" t="str">
        <f>F!A286</f>
        <v>bis(2-Chloorethoxy) methaan</v>
      </c>
      <c r="B338" s="195"/>
      <c r="C338" s="195"/>
      <c r="D338" s="44" t="str">
        <f>G!AQ286</f>
        <v/>
      </c>
      <c r="E338" s="43" t="str">
        <f>G!AP286</f>
        <v>--</v>
      </c>
      <c r="F338" s="42"/>
      <c r="G338" s="42" t="str">
        <f>G!AS286</f>
        <v/>
      </c>
      <c r="H338" s="43" t="str">
        <f>G!AR286</f>
        <v>--</v>
      </c>
      <c r="I338" s="42" t="str">
        <f>G!AT286</f>
        <v/>
      </c>
      <c r="J338" s="42" t="str">
        <f>G!AU286</f>
        <v/>
      </c>
      <c r="K338" s="43" t="str">
        <f>IFERROR(IF(OR(H338="--",H338="rg",VLOOKUP(F!$B286,E!$B$1:'E'!$AK$300,12,FALSE)=1000000000,I338="-",I338=""),"",(HLOOKUP(SMALL(G!$Q$4:'G'!$Y$4,1),G!$Q$4:'G'!$Y$501,ROW(G!Q286)-3,FALSE))/VLOOKUP(F!$B286,E!$B$1:'E'!$AK$300,12,FALSE)*100),"")</f>
        <v/>
      </c>
      <c r="L338" s="43"/>
      <c r="M338" s="43" t="str">
        <f>G!AW286</f>
        <v/>
      </c>
      <c r="N338" s="43" t="str">
        <f>G!AV286</f>
        <v>--</v>
      </c>
      <c r="O338" s="42"/>
      <c r="P338" s="42" t="str">
        <f>G!AY286</f>
        <v/>
      </c>
      <c r="Q338" s="43" t="str">
        <f>G!AX286</f>
        <v>--</v>
      </c>
      <c r="R338" s="42" t="str">
        <f>G!AZ286</f>
        <v/>
      </c>
      <c r="S338" s="42" t="str">
        <f>G!BA286</f>
        <v/>
      </c>
      <c r="T338" s="43" t="str">
        <f>IFERROR(IF(OR(Q338="--",Q338="rg",VLOOKUP(F!$B286,E!$B$1:'E'!$AK$300,12,FALSE)=1000000000,R338="-",R338=""),"",(HLOOKUP(SMALL(G!$Q$4:'G'!$Y$4,4),G!$Q$4:'G'!$Y$501,ROW(G!Z286)-3,FALSE))/VLOOKUP(F!$B286,E!$B$1:'E'!$AK$300,12,FALSE)*100),"")</f>
        <v/>
      </c>
      <c r="U338" s="43"/>
      <c r="V338" s="43" t="str">
        <f>G!BC286</f>
        <v/>
      </c>
      <c r="W338" s="43" t="str">
        <f>G!BB286</f>
        <v>--</v>
      </c>
      <c r="X338" s="43"/>
      <c r="Y338" s="42" t="str">
        <f>G!BE286</f>
        <v/>
      </c>
      <c r="Z338" s="43" t="str">
        <f>G!BD286</f>
        <v>--</v>
      </c>
      <c r="AA338" s="42" t="str">
        <f>G!BF286</f>
        <v/>
      </c>
      <c r="AB338" s="42" t="str">
        <f>G!BG286</f>
        <v/>
      </c>
      <c r="AC338" s="43" t="str">
        <f>IFERROR(IF(OR(Z338="--",Z338="rg",VLOOKUP(F!$B286,E!$B$1:'E'!$AK$300,12,FALSE)=1000000000,AA338="-",AA338=""),"",(HLOOKUP(SMALL(G!$Q$4:'G'!$Y$4,7),G!$Q$4:'G'!$Y$501,ROW(G!AI286)-3,FALSE))/VLOOKUP(F!$B286,E!$B$1:'E'!$AK$300,12,FALSE)*100),"")</f>
        <v/>
      </c>
      <c r="AD338" s="43"/>
      <c r="AE338" s="34"/>
      <c r="AF338" s="34"/>
      <c r="AH338" s="72">
        <f t="shared" si="7"/>
        <v>1</v>
      </c>
      <c r="AJ338" s="34"/>
      <c r="AK338" s="34"/>
    </row>
    <row r="339" spans="1:37" s="72" customFormat="1" ht="9" hidden="1" customHeight="1" x14ac:dyDescent="0.15">
      <c r="A339" s="195" t="str">
        <f>F!A287</f>
        <v>bis(2-Chloorethyl)ether</v>
      </c>
      <c r="B339" s="195"/>
      <c r="C339" s="195"/>
      <c r="D339" s="44" t="str">
        <f>G!AQ287</f>
        <v/>
      </c>
      <c r="E339" s="43" t="str">
        <f>G!AP287</f>
        <v>--</v>
      </c>
      <c r="F339" s="42"/>
      <c r="G339" s="42" t="str">
        <f>G!AS287</f>
        <v/>
      </c>
      <c r="H339" s="43" t="str">
        <f>G!AR287</f>
        <v>--</v>
      </c>
      <c r="I339" s="42" t="str">
        <f>G!AT287</f>
        <v/>
      </c>
      <c r="J339" s="42" t="str">
        <f>G!AU287</f>
        <v/>
      </c>
      <c r="K339" s="43" t="str">
        <f>IFERROR(IF(OR(H339="--",H339="rg",VLOOKUP(F!$B287,E!$B$1:'E'!$AK$300,12,FALSE)=1000000000,I339="-",I339=""),"",(HLOOKUP(SMALL(G!$Q$4:'G'!$Y$4,1),G!$Q$4:'G'!$Y$501,ROW(G!Q287)-3,FALSE))/VLOOKUP(F!$B287,E!$B$1:'E'!$AK$300,12,FALSE)*100),"")</f>
        <v/>
      </c>
      <c r="L339" s="43"/>
      <c r="M339" s="43" t="str">
        <f>G!AW287</f>
        <v/>
      </c>
      <c r="N339" s="43" t="str">
        <f>G!AV287</f>
        <v>--</v>
      </c>
      <c r="O339" s="42"/>
      <c r="P339" s="42" t="str">
        <f>G!AY287</f>
        <v/>
      </c>
      <c r="Q339" s="43" t="str">
        <f>G!AX287</f>
        <v>--</v>
      </c>
      <c r="R339" s="42" t="str">
        <f>G!AZ287</f>
        <v/>
      </c>
      <c r="S339" s="42" t="str">
        <f>G!BA287</f>
        <v/>
      </c>
      <c r="T339" s="43" t="str">
        <f>IFERROR(IF(OR(Q339="--",Q339="rg",VLOOKUP(F!$B287,E!$B$1:'E'!$AK$300,12,FALSE)=1000000000,R339="-",R339=""),"",(HLOOKUP(SMALL(G!$Q$4:'G'!$Y$4,4),G!$Q$4:'G'!$Y$501,ROW(G!Z287)-3,FALSE))/VLOOKUP(F!$B287,E!$B$1:'E'!$AK$300,12,FALSE)*100),"")</f>
        <v/>
      </c>
      <c r="U339" s="43"/>
      <c r="V339" s="43" t="str">
        <f>G!BC287</f>
        <v/>
      </c>
      <c r="W339" s="43" t="str">
        <f>G!BB287</f>
        <v>--</v>
      </c>
      <c r="X339" s="43"/>
      <c r="Y339" s="42" t="str">
        <f>G!BE287</f>
        <v/>
      </c>
      <c r="Z339" s="43" t="str">
        <f>G!BD287</f>
        <v>--</v>
      </c>
      <c r="AA339" s="42" t="str">
        <f>G!BF287</f>
        <v/>
      </c>
      <c r="AB339" s="42" t="str">
        <f>G!BG287</f>
        <v/>
      </c>
      <c r="AC339" s="43" t="str">
        <f>IFERROR(IF(OR(Z339="--",Z339="rg",VLOOKUP(F!$B287,E!$B$1:'E'!$AK$300,12,FALSE)=1000000000,AA339="-",AA339=""),"",(HLOOKUP(SMALL(G!$Q$4:'G'!$Y$4,7),G!$Q$4:'G'!$Y$501,ROW(G!AI287)-3,FALSE))/VLOOKUP(F!$B287,E!$B$1:'E'!$AK$300,12,FALSE)*100),"")</f>
        <v/>
      </c>
      <c r="AD339" s="43"/>
      <c r="AE339" s="34"/>
      <c r="AF339" s="34"/>
      <c r="AH339" s="72">
        <f t="shared" si="7"/>
        <v>1</v>
      </c>
      <c r="AJ339" s="34"/>
      <c r="AK339" s="34"/>
    </row>
    <row r="340" spans="1:37" s="72" customFormat="1" ht="9" hidden="1" customHeight="1" x14ac:dyDescent="0.15">
      <c r="A340" s="195" t="str">
        <f>F!A288</f>
        <v>Carbazole</v>
      </c>
      <c r="B340" s="195"/>
      <c r="C340" s="195"/>
      <c r="D340" s="44" t="str">
        <f>G!AQ288</f>
        <v/>
      </c>
      <c r="E340" s="43" t="str">
        <f>G!AP288</f>
        <v>--</v>
      </c>
      <c r="F340" s="42"/>
      <c r="G340" s="42" t="str">
        <f>G!AS288</f>
        <v/>
      </c>
      <c r="H340" s="43" t="str">
        <f>G!AR288</f>
        <v>--</v>
      </c>
      <c r="I340" s="42" t="str">
        <f>G!AT288</f>
        <v/>
      </c>
      <c r="J340" s="42" t="str">
        <f>G!AU288</f>
        <v/>
      </c>
      <c r="K340" s="43" t="str">
        <f>IFERROR(IF(OR(H340="--",H340="rg",VLOOKUP(F!$B288,E!$B$1:'E'!$AK$300,12,FALSE)=1000000000,I340="-",I340=""),"",(HLOOKUP(SMALL(G!$Q$4:'G'!$Y$4,1),G!$Q$4:'G'!$Y$501,ROW(G!Q288)-3,FALSE))/VLOOKUP(F!$B288,E!$B$1:'E'!$AK$300,12,FALSE)*100),"")</f>
        <v/>
      </c>
      <c r="L340" s="43"/>
      <c r="M340" s="43" t="str">
        <f>G!AW288</f>
        <v/>
      </c>
      <c r="N340" s="43" t="str">
        <f>G!AV288</f>
        <v>--</v>
      </c>
      <c r="O340" s="42"/>
      <c r="P340" s="42" t="str">
        <f>G!AY288</f>
        <v/>
      </c>
      <c r="Q340" s="43" t="str">
        <f>G!AX288</f>
        <v>--</v>
      </c>
      <c r="R340" s="42" t="str">
        <f>G!AZ288</f>
        <v/>
      </c>
      <c r="S340" s="42" t="str">
        <f>G!BA288</f>
        <v/>
      </c>
      <c r="T340" s="43" t="str">
        <f>IFERROR(IF(OR(Q340="--",Q340="rg",VLOOKUP(F!$B288,E!$B$1:'E'!$AK$300,12,FALSE)=1000000000,R340="-",R340=""),"",(HLOOKUP(SMALL(G!$Q$4:'G'!$Y$4,4),G!$Q$4:'G'!$Y$501,ROW(G!Z288)-3,FALSE))/VLOOKUP(F!$B288,E!$B$1:'E'!$AK$300,12,FALSE)*100),"")</f>
        <v/>
      </c>
      <c r="U340" s="43"/>
      <c r="V340" s="43" t="str">
        <f>G!BC288</f>
        <v/>
      </c>
      <c r="W340" s="43" t="str">
        <f>G!BB288</f>
        <v>--</v>
      </c>
      <c r="X340" s="43"/>
      <c r="Y340" s="42" t="str">
        <f>G!BE288</f>
        <v/>
      </c>
      <c r="Z340" s="43" t="str">
        <f>G!BD288</f>
        <v>--</v>
      </c>
      <c r="AA340" s="42" t="str">
        <f>G!BF288</f>
        <v/>
      </c>
      <c r="AB340" s="42" t="str">
        <f>G!BG288</f>
        <v/>
      </c>
      <c r="AC340" s="43" t="str">
        <f>IFERROR(IF(OR(Z340="--",Z340="rg",VLOOKUP(F!$B288,E!$B$1:'E'!$AK$300,12,FALSE)=1000000000,AA340="-",AA340=""),"",(HLOOKUP(SMALL(G!$Q$4:'G'!$Y$4,7),G!$Q$4:'G'!$Y$501,ROW(G!AI288)-3,FALSE))/VLOOKUP(F!$B288,E!$B$1:'E'!$AK$300,12,FALSE)*100),"")</f>
        <v/>
      </c>
      <c r="AD340" s="43"/>
      <c r="AE340" s="34"/>
      <c r="AF340" s="34"/>
      <c r="AH340" s="72">
        <f t="shared" si="7"/>
        <v>1</v>
      </c>
      <c r="AJ340" s="34"/>
      <c r="AK340" s="34"/>
    </row>
    <row r="341" spans="1:37" s="72" customFormat="1" ht="9" hidden="1" customHeight="1" x14ac:dyDescent="0.15">
      <c r="A341" s="195" t="str">
        <f>F!A289</f>
        <v>Dibenzofuraan</v>
      </c>
      <c r="B341" s="195"/>
      <c r="C341" s="195"/>
      <c r="D341" s="44" t="str">
        <f>G!AQ289</f>
        <v/>
      </c>
      <c r="E341" s="43" t="str">
        <f>G!AP289</f>
        <v>--</v>
      </c>
      <c r="F341" s="42"/>
      <c r="G341" s="42" t="str">
        <f>G!AS289</f>
        <v/>
      </c>
      <c r="H341" s="43" t="str">
        <f>G!AR289</f>
        <v>--</v>
      </c>
      <c r="I341" s="42" t="str">
        <f>G!AT289</f>
        <v/>
      </c>
      <c r="J341" s="42" t="str">
        <f>G!AU289</f>
        <v/>
      </c>
      <c r="K341" s="43" t="str">
        <f>IFERROR(IF(OR(H341="--",H341="rg",VLOOKUP(F!$B289,E!$B$1:'E'!$AK$300,12,FALSE)=1000000000,I341="-",I341=""),"",(HLOOKUP(SMALL(G!$Q$4:'G'!$Y$4,1),G!$Q$4:'G'!$Y$501,ROW(G!Q289)-3,FALSE))/VLOOKUP(F!$B289,E!$B$1:'E'!$AK$300,12,FALSE)*100),"")</f>
        <v/>
      </c>
      <c r="L341" s="43"/>
      <c r="M341" s="43" t="str">
        <f>G!AW289</f>
        <v/>
      </c>
      <c r="N341" s="43" t="str">
        <f>G!AV289</f>
        <v>--</v>
      </c>
      <c r="O341" s="42"/>
      <c r="P341" s="42" t="str">
        <f>G!AY289</f>
        <v/>
      </c>
      <c r="Q341" s="43" t="str">
        <f>G!AX289</f>
        <v>--</v>
      </c>
      <c r="R341" s="42" t="str">
        <f>G!AZ289</f>
        <v/>
      </c>
      <c r="S341" s="42" t="str">
        <f>G!BA289</f>
        <v/>
      </c>
      <c r="T341" s="43" t="str">
        <f>IFERROR(IF(OR(Q341="--",Q341="rg",VLOOKUP(F!$B289,E!$B$1:'E'!$AK$300,12,FALSE)=1000000000,R341="-",R341=""),"",(HLOOKUP(SMALL(G!$Q$4:'G'!$Y$4,4),G!$Q$4:'G'!$Y$501,ROW(G!Z289)-3,FALSE))/VLOOKUP(F!$B289,E!$B$1:'E'!$AK$300,12,FALSE)*100),"")</f>
        <v/>
      </c>
      <c r="U341" s="43"/>
      <c r="V341" s="43" t="str">
        <f>G!BC289</f>
        <v/>
      </c>
      <c r="W341" s="43" t="str">
        <f>G!BB289</f>
        <v>--</v>
      </c>
      <c r="X341" s="43"/>
      <c r="Y341" s="42" t="str">
        <f>G!BE289</f>
        <v/>
      </c>
      <c r="Z341" s="43" t="str">
        <f>G!BD289</f>
        <v>--</v>
      </c>
      <c r="AA341" s="42" t="str">
        <f>G!BF289</f>
        <v/>
      </c>
      <c r="AB341" s="42" t="str">
        <f>G!BG289</f>
        <v/>
      </c>
      <c r="AC341" s="43" t="str">
        <f>IFERROR(IF(OR(Z341="--",Z341="rg",VLOOKUP(F!$B289,E!$B$1:'E'!$AK$300,12,FALSE)=1000000000,AA341="-",AA341=""),"",(HLOOKUP(SMALL(G!$Q$4:'G'!$Y$4,7),G!$Q$4:'G'!$Y$501,ROW(G!AI289)-3,FALSE))/VLOOKUP(F!$B289,E!$B$1:'E'!$AK$300,12,FALSE)*100),"")</f>
        <v/>
      </c>
      <c r="AD341" s="43"/>
      <c r="AE341" s="34"/>
      <c r="AF341" s="34"/>
      <c r="AH341" s="72">
        <f t="shared" si="7"/>
        <v>1</v>
      </c>
      <c r="AJ341" s="34"/>
      <c r="AK341" s="34"/>
    </row>
    <row r="342" spans="1:37" s="72" customFormat="1" ht="9" hidden="1" customHeight="1" x14ac:dyDescent="0.15">
      <c r="A342" s="195" t="str">
        <f>F!A290</f>
        <v>Hexachloorcylcopentadieen</v>
      </c>
      <c r="B342" s="195"/>
      <c r="C342" s="195"/>
      <c r="D342" s="44" t="str">
        <f>G!AQ290</f>
        <v/>
      </c>
      <c r="E342" s="43" t="str">
        <f>G!AP290</f>
        <v>--</v>
      </c>
      <c r="F342" s="42"/>
      <c r="G342" s="42" t="str">
        <f>G!AS290</f>
        <v/>
      </c>
      <c r="H342" s="43" t="str">
        <f>G!AR290</f>
        <v>--</v>
      </c>
      <c r="I342" s="42" t="str">
        <f>G!AT290</f>
        <v/>
      </c>
      <c r="J342" s="42" t="str">
        <f>G!AU290</f>
        <v/>
      </c>
      <c r="K342" s="43" t="str">
        <f>IFERROR(IF(OR(H342="--",H342="rg",VLOOKUP(F!$B290,E!$B$1:'E'!$AK$300,12,FALSE)=1000000000,I342="-",I342=""),"",(HLOOKUP(SMALL(G!$Q$4:'G'!$Y$4,1),G!$Q$4:'G'!$Y$501,ROW(G!Q290)-3,FALSE))/VLOOKUP(F!$B290,E!$B$1:'E'!$AK$300,12,FALSE)*100),"")</f>
        <v/>
      </c>
      <c r="L342" s="43"/>
      <c r="M342" s="43" t="str">
        <f>G!AW290</f>
        <v/>
      </c>
      <c r="N342" s="43" t="str">
        <f>G!AV290</f>
        <v>--</v>
      </c>
      <c r="O342" s="42"/>
      <c r="P342" s="42" t="str">
        <f>G!AY290</f>
        <v/>
      </c>
      <c r="Q342" s="43" t="str">
        <f>G!AX290</f>
        <v>--</v>
      </c>
      <c r="R342" s="42" t="str">
        <f>G!AZ290</f>
        <v/>
      </c>
      <c r="S342" s="42" t="str">
        <f>G!BA290</f>
        <v/>
      </c>
      <c r="T342" s="43" t="str">
        <f>IFERROR(IF(OR(Q342="--",Q342="rg",VLOOKUP(F!$B290,E!$B$1:'E'!$AK$300,12,FALSE)=1000000000,R342="-",R342=""),"",(HLOOKUP(SMALL(G!$Q$4:'G'!$Y$4,4),G!$Q$4:'G'!$Y$501,ROW(G!Z290)-3,FALSE))/VLOOKUP(F!$B290,E!$B$1:'E'!$AK$300,12,FALSE)*100),"")</f>
        <v/>
      </c>
      <c r="U342" s="43"/>
      <c r="V342" s="43" t="str">
        <f>G!BC290</f>
        <v/>
      </c>
      <c r="W342" s="43" t="str">
        <f>G!BB290</f>
        <v>--</v>
      </c>
      <c r="X342" s="43"/>
      <c r="Y342" s="42" t="str">
        <f>G!BE290</f>
        <v/>
      </c>
      <c r="Z342" s="43" t="str">
        <f>G!BD290</f>
        <v>--</v>
      </c>
      <c r="AA342" s="42" t="str">
        <f>G!BF290</f>
        <v/>
      </c>
      <c r="AB342" s="42" t="str">
        <f>G!BG290</f>
        <v/>
      </c>
      <c r="AC342" s="43" t="str">
        <f>IFERROR(IF(OR(Z342="--",Z342="rg",VLOOKUP(F!$B290,E!$B$1:'E'!$AK$300,12,FALSE)=1000000000,AA342="-",AA342=""),"",(HLOOKUP(SMALL(G!$Q$4:'G'!$Y$4,7),G!$Q$4:'G'!$Y$501,ROW(G!AI290)-3,FALSE))/VLOOKUP(F!$B290,E!$B$1:'E'!$AK$300,12,FALSE)*100),"")</f>
        <v/>
      </c>
      <c r="AD342" s="43"/>
      <c r="AE342" s="34"/>
      <c r="AF342" s="34"/>
      <c r="AH342" s="72">
        <f t="shared" si="7"/>
        <v>1</v>
      </c>
      <c r="AJ342" s="34"/>
      <c r="AK342" s="34"/>
    </row>
    <row r="343" spans="1:37" s="72" customFormat="1" ht="9" hidden="1" customHeight="1" x14ac:dyDescent="0.15">
      <c r="A343" s="195" t="str">
        <f>F!A291</f>
        <v>Isoforon</v>
      </c>
      <c r="B343" s="195"/>
      <c r="C343" s="195"/>
      <c r="D343" s="44" t="str">
        <f>G!AQ291</f>
        <v/>
      </c>
      <c r="E343" s="43" t="str">
        <f>G!AP291</f>
        <v>--</v>
      </c>
      <c r="F343" s="42"/>
      <c r="G343" s="42" t="str">
        <f>G!AS291</f>
        <v/>
      </c>
      <c r="H343" s="43" t="str">
        <f>G!AR291</f>
        <v>--</v>
      </c>
      <c r="I343" s="42" t="str">
        <f>G!AT291</f>
        <v/>
      </c>
      <c r="J343" s="42" t="str">
        <f>G!AU291</f>
        <v/>
      </c>
      <c r="K343" s="43" t="str">
        <f>IFERROR(IF(OR(H343="--",H343="rg",VLOOKUP(F!$B291,E!$B$1:'E'!$AK$300,12,FALSE)=1000000000,I343="-",I343=""),"",(HLOOKUP(SMALL(G!$Q$4:'G'!$Y$4,1),G!$Q$4:'G'!$Y$501,ROW(G!Q291)-3,FALSE))/VLOOKUP(F!$B291,E!$B$1:'E'!$AK$300,12,FALSE)*100),"")</f>
        <v/>
      </c>
      <c r="L343" s="43"/>
      <c r="M343" s="43" t="str">
        <f>G!AW291</f>
        <v/>
      </c>
      <c r="N343" s="43" t="str">
        <f>G!AV291</f>
        <v>--</v>
      </c>
      <c r="O343" s="42"/>
      <c r="P343" s="42" t="str">
        <f>G!AY291</f>
        <v/>
      </c>
      <c r="Q343" s="43" t="str">
        <f>G!AX291</f>
        <v>--</v>
      </c>
      <c r="R343" s="42" t="str">
        <f>G!AZ291</f>
        <v/>
      </c>
      <c r="S343" s="42" t="str">
        <f>G!BA291</f>
        <v/>
      </c>
      <c r="T343" s="43" t="str">
        <f>IFERROR(IF(OR(Q343="--",Q343="rg",VLOOKUP(F!$B291,E!$B$1:'E'!$AK$300,12,FALSE)=1000000000,R343="-",R343=""),"",(HLOOKUP(SMALL(G!$Q$4:'G'!$Y$4,4),G!$Q$4:'G'!$Y$501,ROW(G!Z291)-3,FALSE))/VLOOKUP(F!$B291,E!$B$1:'E'!$AK$300,12,FALSE)*100),"")</f>
        <v/>
      </c>
      <c r="U343" s="43"/>
      <c r="V343" s="43" t="str">
        <f>G!BC291</f>
        <v/>
      </c>
      <c r="W343" s="43" t="str">
        <f>G!BB291</f>
        <v>--</v>
      </c>
      <c r="X343" s="43"/>
      <c r="Y343" s="42" t="str">
        <f>G!BE291</f>
        <v/>
      </c>
      <c r="Z343" s="43" t="str">
        <f>G!BD291</f>
        <v>--</v>
      </c>
      <c r="AA343" s="42" t="str">
        <f>G!BF291</f>
        <v/>
      </c>
      <c r="AB343" s="42" t="str">
        <f>G!BG291</f>
        <v/>
      </c>
      <c r="AC343" s="43" t="str">
        <f>IFERROR(IF(OR(Z343="--",Z343="rg",VLOOKUP(F!$B291,E!$B$1:'E'!$AK$300,12,FALSE)=1000000000,AA343="-",AA343=""),"",(HLOOKUP(SMALL(G!$Q$4:'G'!$Y$4,7),G!$Q$4:'G'!$Y$501,ROW(G!AI291)-3,FALSE))/VLOOKUP(F!$B291,E!$B$1:'E'!$AK$300,12,FALSE)*100),"")</f>
        <v/>
      </c>
      <c r="AD343" s="43"/>
      <c r="AE343" s="34"/>
      <c r="AF343" s="34"/>
      <c r="AH343" s="72">
        <f t="shared" si="7"/>
        <v>1</v>
      </c>
      <c r="AJ343" s="34"/>
      <c r="AK343" s="34"/>
    </row>
    <row r="344" spans="1:37" s="72" customFormat="1" ht="9" hidden="1" customHeight="1" x14ac:dyDescent="0.15">
      <c r="A344" s="195" t="str">
        <f>F!A292</f>
        <v>Nitrobenzeen</v>
      </c>
      <c r="B344" s="195"/>
      <c r="C344" s="195"/>
      <c r="D344" s="44" t="str">
        <f>G!AQ292</f>
        <v/>
      </c>
      <c r="E344" s="43" t="str">
        <f>G!AP292</f>
        <v>--</v>
      </c>
      <c r="F344" s="42"/>
      <c r="G344" s="42" t="str">
        <f>G!AS292</f>
        <v/>
      </c>
      <c r="H344" s="43" t="str">
        <f>G!AR292</f>
        <v>--</v>
      </c>
      <c r="I344" s="42" t="str">
        <f>G!AT292</f>
        <v/>
      </c>
      <c r="J344" s="42" t="str">
        <f>G!AU292</f>
        <v/>
      </c>
      <c r="K344" s="43" t="str">
        <f>IFERROR(IF(OR(H344="--",H344="rg",VLOOKUP(F!$B292,E!$B$1:'E'!$AK$300,12,FALSE)=1000000000,I344="-",I344=""),"",(HLOOKUP(SMALL(G!$Q$4:'G'!$Y$4,1),G!$Q$4:'G'!$Y$501,ROW(G!Q292)-3,FALSE))/VLOOKUP(F!$B292,E!$B$1:'E'!$AK$300,12,FALSE)*100),"")</f>
        <v/>
      </c>
      <c r="L344" s="43"/>
      <c r="M344" s="43" t="str">
        <f>G!AW292</f>
        <v/>
      </c>
      <c r="N344" s="43" t="str">
        <f>G!AV292</f>
        <v>--</v>
      </c>
      <c r="O344" s="42"/>
      <c r="P344" s="42" t="str">
        <f>G!AY292</f>
        <v/>
      </c>
      <c r="Q344" s="43" t="str">
        <f>G!AX292</f>
        <v>--</v>
      </c>
      <c r="R344" s="42" t="str">
        <f>G!AZ292</f>
        <v/>
      </c>
      <c r="S344" s="42" t="str">
        <f>G!BA292</f>
        <v/>
      </c>
      <c r="T344" s="43" t="str">
        <f>IFERROR(IF(OR(Q344="--",Q344="rg",VLOOKUP(F!$B292,E!$B$1:'E'!$AK$300,12,FALSE)=1000000000,R344="-",R344=""),"",(HLOOKUP(SMALL(G!$Q$4:'G'!$Y$4,4),G!$Q$4:'G'!$Y$501,ROW(G!Z292)-3,FALSE))/VLOOKUP(F!$B292,E!$B$1:'E'!$AK$300,12,FALSE)*100),"")</f>
        <v/>
      </c>
      <c r="U344" s="43"/>
      <c r="V344" s="43" t="str">
        <f>G!BC292</f>
        <v/>
      </c>
      <c r="W344" s="43" t="str">
        <f>G!BB292</f>
        <v>--</v>
      </c>
      <c r="X344" s="43"/>
      <c r="Y344" s="42" t="str">
        <f>G!BE292</f>
        <v/>
      </c>
      <c r="Z344" s="43" t="str">
        <f>G!BD292</f>
        <v>--</v>
      </c>
      <c r="AA344" s="42" t="str">
        <f>G!BF292</f>
        <v/>
      </c>
      <c r="AB344" s="42" t="str">
        <f>G!BG292</f>
        <v/>
      </c>
      <c r="AC344" s="43" t="str">
        <f>IFERROR(IF(OR(Z344="--",Z344="rg",VLOOKUP(F!$B292,E!$B$1:'E'!$AK$300,12,FALSE)=1000000000,AA344="-",AA344=""),"",(HLOOKUP(SMALL(G!$Q$4:'G'!$Y$4,7),G!$Q$4:'G'!$Y$501,ROW(G!AI292)-3,FALSE))/VLOOKUP(F!$B292,E!$B$1:'E'!$AK$300,12,FALSE)*100),"")</f>
        <v/>
      </c>
      <c r="AD344" s="43"/>
      <c r="AE344" s="34"/>
      <c r="AF344" s="34"/>
      <c r="AH344" s="72">
        <f t="shared" si="7"/>
        <v>1</v>
      </c>
      <c r="AJ344" s="34"/>
      <c r="AK344" s="34"/>
    </row>
    <row r="345" spans="1:37" s="72" customFormat="1" ht="9" hidden="1" customHeight="1" x14ac:dyDescent="0.15">
      <c r="A345" s="195" t="str">
        <f>F!A293</f>
        <v>Dedecylbenzeen</v>
      </c>
      <c r="B345" s="195"/>
      <c r="C345" s="195"/>
      <c r="D345" s="44" t="str">
        <f>G!AQ293</f>
        <v/>
      </c>
      <c r="E345" s="43" t="str">
        <f>G!AP293</f>
        <v>--</v>
      </c>
      <c r="F345" s="42"/>
      <c r="G345" s="42" t="str">
        <f>G!AS293</f>
        <v/>
      </c>
      <c r="H345" s="43" t="str">
        <f>G!AR293</f>
        <v>--</v>
      </c>
      <c r="I345" s="42" t="str">
        <f>G!AT293</f>
        <v/>
      </c>
      <c r="J345" s="42" t="str">
        <f>G!AU293</f>
        <v/>
      </c>
      <c r="K345" s="43" t="str">
        <f>IFERROR(IF(OR(H345="--",H345="rg",VLOOKUP(F!$B293,E!$B$1:'E'!$AK$300,12,FALSE)=1000000000,I345="-",I345=""),"",(HLOOKUP(SMALL(G!$Q$4:'G'!$Y$4,1),G!$Q$4:'G'!$Y$501,ROW(G!Q293)-3,FALSE))/VLOOKUP(F!$B293,E!$B$1:'E'!$AK$300,12,FALSE)*100),"")</f>
        <v/>
      </c>
      <c r="L345" s="43"/>
      <c r="M345" s="43" t="str">
        <f>G!AW293</f>
        <v/>
      </c>
      <c r="N345" s="43" t="str">
        <f>G!AV293</f>
        <v>--</v>
      </c>
      <c r="O345" s="42"/>
      <c r="P345" s="42" t="str">
        <f>G!AY293</f>
        <v/>
      </c>
      <c r="Q345" s="43" t="str">
        <f>G!AX293</f>
        <v>--</v>
      </c>
      <c r="R345" s="42" t="str">
        <f>G!AZ293</f>
        <v/>
      </c>
      <c r="S345" s="42" t="str">
        <f>G!BA293</f>
        <v/>
      </c>
      <c r="T345" s="43" t="str">
        <f>IFERROR(IF(OR(Q345="--",Q345="rg",VLOOKUP(F!$B293,E!$B$1:'E'!$AK$300,12,FALSE)=1000000000,R345="-",R345=""),"",(HLOOKUP(SMALL(G!$Q$4:'G'!$Y$4,4),G!$Q$4:'G'!$Y$501,ROW(G!Z293)-3,FALSE))/VLOOKUP(F!$B293,E!$B$1:'E'!$AK$300,12,FALSE)*100),"")</f>
        <v/>
      </c>
      <c r="U345" s="43"/>
      <c r="V345" s="43" t="str">
        <f>G!BC293</f>
        <v/>
      </c>
      <c r="W345" s="43" t="str">
        <f>G!BB293</f>
        <v>--</v>
      </c>
      <c r="X345" s="43"/>
      <c r="Y345" s="42" t="str">
        <f>G!BE293</f>
        <v/>
      </c>
      <c r="Z345" s="43" t="str">
        <f>G!BD293</f>
        <v>--</v>
      </c>
      <c r="AA345" s="42" t="str">
        <f>G!BF293</f>
        <v/>
      </c>
      <c r="AB345" s="42" t="str">
        <f>G!BG293</f>
        <v/>
      </c>
      <c r="AC345" s="43" t="str">
        <f>IFERROR(IF(OR(Z345="--",Z345="rg",VLOOKUP(F!$B293,E!$B$1:'E'!$AK$300,12,FALSE)=1000000000,AA345="-",AA345=""),"",(HLOOKUP(SMALL(G!$Q$4:'G'!$Y$4,7),G!$Q$4:'G'!$Y$501,ROW(G!AI293)-3,FALSE))/VLOOKUP(F!$B293,E!$B$1:'E'!$AK$300,12,FALSE)*100),"")</f>
        <v/>
      </c>
      <c r="AD345" s="43"/>
      <c r="AE345" s="34"/>
      <c r="AF345" s="34"/>
      <c r="AH345" s="72">
        <f t="shared" si="7"/>
        <v>1</v>
      </c>
      <c r="AJ345" s="34"/>
      <c r="AK345" s="34"/>
    </row>
    <row r="346" spans="1:37" s="72" customFormat="1" ht="9" hidden="1" customHeight="1" x14ac:dyDescent="0.15">
      <c r="A346" s="195" t="str">
        <f>F!A294</f>
        <v>Aromatische oplosmiddelen</v>
      </c>
      <c r="B346" s="195"/>
      <c r="C346" s="195"/>
      <c r="D346" s="44" t="str">
        <f>G!AQ294</f>
        <v/>
      </c>
      <c r="E346" s="43" t="str">
        <f>G!AP294</f>
        <v>--</v>
      </c>
      <c r="F346" s="42"/>
      <c r="G346" s="42" t="str">
        <f>G!AS294</f>
        <v/>
      </c>
      <c r="H346" s="43" t="str">
        <f>G!AR294</f>
        <v>--</v>
      </c>
      <c r="I346" s="42" t="str">
        <f>G!AT294</f>
        <v/>
      </c>
      <c r="J346" s="42" t="str">
        <f>G!AU294</f>
        <v/>
      </c>
      <c r="K346" s="43" t="str">
        <f>IFERROR(IF(OR(H346="--",H346="rg",VLOOKUP(F!$B294,E!$B$1:'E'!$AK$300,12,FALSE)=1000000000,I346="-",I346=""),"",(HLOOKUP(SMALL(G!$Q$4:'G'!$Y$4,1),G!$Q$4:'G'!$Y$501,ROW(G!Q294)-3,FALSE))/VLOOKUP(F!$B294,E!$B$1:'E'!$AK$300,12,FALSE)*100),"")</f>
        <v/>
      </c>
      <c r="L346" s="43"/>
      <c r="M346" s="43" t="str">
        <f>G!AW294</f>
        <v/>
      </c>
      <c r="N346" s="43" t="str">
        <f>G!AV294</f>
        <v>--</v>
      </c>
      <c r="O346" s="42"/>
      <c r="P346" s="42" t="str">
        <f>G!AY294</f>
        <v/>
      </c>
      <c r="Q346" s="43" t="str">
        <f>G!AX294</f>
        <v>--</v>
      </c>
      <c r="R346" s="42" t="str">
        <f>G!AZ294</f>
        <v/>
      </c>
      <c r="S346" s="42" t="str">
        <f>G!BA294</f>
        <v/>
      </c>
      <c r="T346" s="43" t="str">
        <f>IFERROR(IF(OR(Q346="--",Q346="rg",VLOOKUP(F!$B294,E!$B$1:'E'!$AK$300,12,FALSE)=1000000000,R346="-",R346=""),"",(HLOOKUP(SMALL(G!$Q$4:'G'!$Y$4,4),G!$Q$4:'G'!$Y$501,ROW(G!Z294)-3,FALSE))/VLOOKUP(F!$B294,E!$B$1:'E'!$AK$300,12,FALSE)*100),"")</f>
        <v/>
      </c>
      <c r="U346" s="43"/>
      <c r="V346" s="43" t="str">
        <f>G!BC294</f>
        <v/>
      </c>
      <c r="W346" s="43" t="str">
        <f>G!BB294</f>
        <v>--</v>
      </c>
      <c r="X346" s="43"/>
      <c r="Y346" s="42" t="str">
        <f>G!BE294</f>
        <v/>
      </c>
      <c r="Z346" s="43" t="str">
        <f>G!BD294</f>
        <v>--</v>
      </c>
      <c r="AA346" s="42" t="str">
        <f>G!BF294</f>
        <v/>
      </c>
      <c r="AB346" s="42" t="str">
        <f>G!BG294</f>
        <v/>
      </c>
      <c r="AC346" s="43" t="str">
        <f>IFERROR(IF(OR(Z346="--",Z346="rg",VLOOKUP(F!$B294,E!$B$1:'E'!$AK$300,12,FALSE)=1000000000,AA346="-",AA346=""),"",(HLOOKUP(SMALL(G!$Q$4:'G'!$Y$4,7),G!$Q$4:'G'!$Y$501,ROW(G!AI294)-3,FALSE))/VLOOKUP(F!$B294,E!$B$1:'E'!$AK$300,12,FALSE)*100),"")</f>
        <v/>
      </c>
      <c r="AD346" s="43"/>
      <c r="AE346" s="34"/>
      <c r="AF346" s="34"/>
      <c r="AH346" s="72">
        <f t="shared" si="7"/>
        <v>1</v>
      </c>
      <c r="AJ346" s="34"/>
      <c r="AK346" s="34"/>
    </row>
    <row r="347" spans="1:37" s="72" customFormat="1" ht="9" hidden="1" customHeight="1" x14ac:dyDescent="0.15">
      <c r="A347" s="195" t="str">
        <f>F!A295</f>
        <v>Chloornaftaleen (som)</v>
      </c>
      <c r="B347" s="195"/>
      <c r="C347" s="195"/>
      <c r="D347" s="44" t="str">
        <f>G!AQ295</f>
        <v/>
      </c>
      <c r="E347" s="43" t="str">
        <f>G!AP295</f>
        <v>--</v>
      </c>
      <c r="F347" s="42"/>
      <c r="G347" s="42" t="str">
        <f>G!AS295</f>
        <v/>
      </c>
      <c r="H347" s="43" t="str">
        <f>G!AR295</f>
        <v>--</v>
      </c>
      <c r="I347" s="42" t="str">
        <f>G!AT295</f>
        <v/>
      </c>
      <c r="J347" s="42" t="str">
        <f>G!AU295</f>
        <v/>
      </c>
      <c r="K347" s="43" t="str">
        <f>IFERROR(IF(OR(H347="--",H347="rg",VLOOKUP(F!$B295,E!$B$1:'E'!$AK$300,12,FALSE)=1000000000,I347="-",I347=""),"",(HLOOKUP(SMALL(G!$Q$4:'G'!$Y$4,1),G!$Q$4:'G'!$Y$501,ROW(G!Q295)-3,FALSE))/VLOOKUP(F!$B295,E!$B$1:'E'!$AK$300,12,FALSE)*100),"")</f>
        <v/>
      </c>
      <c r="L347" s="43"/>
      <c r="M347" s="43" t="str">
        <f>G!AW295</f>
        <v/>
      </c>
      <c r="N347" s="43" t="str">
        <f>G!AV295</f>
        <v>--</v>
      </c>
      <c r="O347" s="42"/>
      <c r="P347" s="42" t="str">
        <f>G!AY295</f>
        <v/>
      </c>
      <c r="Q347" s="43" t="str">
        <f>G!AX295</f>
        <v>--</v>
      </c>
      <c r="R347" s="42" t="str">
        <f>G!AZ295</f>
        <v/>
      </c>
      <c r="S347" s="42" t="str">
        <f>G!BA295</f>
        <v/>
      </c>
      <c r="T347" s="43" t="str">
        <f>IFERROR(IF(OR(Q347="--",Q347="rg",VLOOKUP(F!$B295,E!$B$1:'E'!$AK$300,12,FALSE)=1000000000,R347="-",R347=""),"",(HLOOKUP(SMALL(G!$Q$4:'G'!$Y$4,4),G!$Q$4:'G'!$Y$501,ROW(G!Z295)-3,FALSE))/VLOOKUP(F!$B295,E!$B$1:'E'!$AK$300,12,FALSE)*100),"")</f>
        <v/>
      </c>
      <c r="U347" s="43"/>
      <c r="V347" s="43" t="str">
        <f>G!BC295</f>
        <v/>
      </c>
      <c r="W347" s="43" t="str">
        <f>G!BB295</f>
        <v>--</v>
      </c>
      <c r="X347" s="43"/>
      <c r="Y347" s="42" t="str">
        <f>G!BE295</f>
        <v/>
      </c>
      <c r="Z347" s="43" t="str">
        <f>G!BD295</f>
        <v>--</v>
      </c>
      <c r="AA347" s="42" t="str">
        <f>G!BF295</f>
        <v/>
      </c>
      <c r="AB347" s="42" t="str">
        <f>G!BG295</f>
        <v/>
      </c>
      <c r="AC347" s="43" t="str">
        <f>IFERROR(IF(OR(Z347="--",Z347="rg",VLOOKUP(F!$B295,E!$B$1:'E'!$AK$300,12,FALSE)=1000000000,AA347="-",AA347=""),"",(HLOOKUP(SMALL(G!$Q$4:'G'!$Y$4,7),G!$Q$4:'G'!$Y$501,ROW(G!AI295)-3,FALSE))/VLOOKUP(F!$B295,E!$B$1:'E'!$AK$300,12,FALSE)*100),"")</f>
        <v/>
      </c>
      <c r="AD347" s="43"/>
      <c r="AE347" s="34"/>
      <c r="AF347" s="34"/>
      <c r="AH347" s="72">
        <f t="shared" si="7"/>
        <v>1</v>
      </c>
      <c r="AJ347" s="34"/>
      <c r="AK347" s="34"/>
    </row>
    <row r="348" spans="1:37" s="72" customFormat="1" ht="9" hidden="1" customHeight="1" x14ac:dyDescent="0.15">
      <c r="A348" s="195" t="str">
        <f>F!A296</f>
        <v>Ethyl(tert)butylether (ETBE)</v>
      </c>
      <c r="B348" s="195"/>
      <c r="C348" s="195"/>
      <c r="D348" s="44" t="str">
        <f>G!AQ296</f>
        <v/>
      </c>
      <c r="E348" s="43" t="str">
        <f>G!AP296</f>
        <v>--</v>
      </c>
      <c r="F348" s="42"/>
      <c r="G348" s="42" t="str">
        <f>G!AS296</f>
        <v/>
      </c>
      <c r="H348" s="43" t="str">
        <f>G!AR296</f>
        <v>--</v>
      </c>
      <c r="I348" s="42" t="str">
        <f>G!AT296</f>
        <v/>
      </c>
      <c r="J348" s="42" t="str">
        <f>G!AU296</f>
        <v/>
      </c>
      <c r="K348" s="43" t="str">
        <f>IFERROR(IF(OR(H348="--",H348="rg",VLOOKUP(F!$B296,E!$B$1:'E'!$AK$300,12,FALSE)=1000000000,I348="-",I348=""),"",(HLOOKUP(SMALL(G!$Q$4:'G'!$Y$4,1),G!$Q$4:'G'!$Y$501,ROW(G!Q296)-3,FALSE))/VLOOKUP(F!$B296,E!$B$1:'E'!$AK$300,12,FALSE)*100),"")</f>
        <v/>
      </c>
      <c r="L348" s="43"/>
      <c r="M348" s="43" t="str">
        <f>G!AW296</f>
        <v/>
      </c>
      <c r="N348" s="43" t="str">
        <f>G!AV296</f>
        <v>--</v>
      </c>
      <c r="O348" s="42"/>
      <c r="P348" s="42" t="str">
        <f>G!AY296</f>
        <v/>
      </c>
      <c r="Q348" s="43" t="str">
        <f>G!AX296</f>
        <v>--</v>
      </c>
      <c r="R348" s="42" t="str">
        <f>G!AZ296</f>
        <v/>
      </c>
      <c r="S348" s="42" t="str">
        <f>G!BA296</f>
        <v/>
      </c>
      <c r="T348" s="43" t="str">
        <f>IFERROR(IF(OR(Q348="--",Q348="rg",VLOOKUP(F!$B296,E!$B$1:'E'!$AK$300,12,FALSE)=1000000000,R348="-",R348=""),"",(HLOOKUP(SMALL(G!$Q$4:'G'!$Y$4,4),G!$Q$4:'G'!$Y$501,ROW(G!Z296)-3,FALSE))/VLOOKUP(F!$B296,E!$B$1:'E'!$AK$300,12,FALSE)*100),"")</f>
        <v/>
      </c>
      <c r="U348" s="43"/>
      <c r="V348" s="43" t="str">
        <f>G!BC296</f>
        <v/>
      </c>
      <c r="W348" s="43" t="str">
        <f>G!BB296</f>
        <v>--</v>
      </c>
      <c r="X348" s="43"/>
      <c r="Y348" s="42" t="str">
        <f>G!BE296</f>
        <v/>
      </c>
      <c r="Z348" s="43" t="str">
        <f>G!BD296</f>
        <v>--</v>
      </c>
      <c r="AA348" s="42" t="str">
        <f>G!BF296</f>
        <v/>
      </c>
      <c r="AB348" s="42" t="str">
        <f>G!BG296</f>
        <v/>
      </c>
      <c r="AC348" s="43" t="str">
        <f>IFERROR(IF(OR(Z348="--",Z348="rg",VLOOKUP(F!$B296,E!$B$1:'E'!$AK$300,12,FALSE)=1000000000,AA348="-",AA348=""),"",(HLOOKUP(SMALL(G!$Q$4:'G'!$Y$4,7),G!$Q$4:'G'!$Y$501,ROW(G!AI296)-3,FALSE))/VLOOKUP(F!$B296,E!$B$1:'E'!$AK$300,12,FALSE)*100),"")</f>
        <v/>
      </c>
      <c r="AD348" s="43"/>
      <c r="AE348" s="34"/>
      <c r="AF348" s="34"/>
      <c r="AH348" s="72">
        <f t="shared" si="7"/>
        <v>1</v>
      </c>
      <c r="AJ348" s="34"/>
      <c r="AK348" s="34"/>
    </row>
    <row r="349" spans="1:37" s="72" customFormat="1" ht="9" hidden="1" customHeight="1" x14ac:dyDescent="0.15">
      <c r="A349" s="195" t="str">
        <f>F!A297</f>
        <v>Methyl(tert)butylether (MTBE)</v>
      </c>
      <c r="B349" s="195"/>
      <c r="C349" s="195"/>
      <c r="D349" s="44" t="str">
        <f>G!AQ297</f>
        <v/>
      </c>
      <c r="E349" s="43" t="str">
        <f>G!AP297</f>
        <v>--</v>
      </c>
      <c r="F349" s="42"/>
      <c r="G349" s="42" t="str">
        <f>G!AS297</f>
        <v/>
      </c>
      <c r="H349" s="43" t="str">
        <f>G!AR297</f>
        <v>--</v>
      </c>
      <c r="I349" s="42" t="str">
        <f>G!AT297</f>
        <v/>
      </c>
      <c r="J349" s="42" t="str">
        <f>G!AU297</f>
        <v/>
      </c>
      <c r="K349" s="43" t="str">
        <f>IFERROR(IF(OR(H349="--",H349="rg",VLOOKUP(F!$B297,E!$B$1:'E'!$AK$300,12,FALSE)=1000000000,I349="-",I349=""),"",(HLOOKUP(SMALL(G!$Q$4:'G'!$Y$4,1),G!$Q$4:'G'!$Y$501,ROW(G!Q297)-3,FALSE))/VLOOKUP(F!$B297,E!$B$1:'E'!$AK$300,12,FALSE)*100),"")</f>
        <v/>
      </c>
      <c r="L349" s="43"/>
      <c r="M349" s="43" t="str">
        <f>G!AW297</f>
        <v/>
      </c>
      <c r="N349" s="43" t="str">
        <f>G!AV297</f>
        <v>--</v>
      </c>
      <c r="O349" s="42"/>
      <c r="P349" s="42" t="str">
        <f>G!AY297</f>
        <v/>
      </c>
      <c r="Q349" s="43" t="str">
        <f>G!AX297</f>
        <v>--</v>
      </c>
      <c r="R349" s="42" t="str">
        <f>G!AZ297</f>
        <v/>
      </c>
      <c r="S349" s="42" t="str">
        <f>G!BA297</f>
        <v/>
      </c>
      <c r="T349" s="43" t="str">
        <f>IFERROR(IF(OR(Q349="--",Q349="rg",VLOOKUP(F!$B297,E!$B$1:'E'!$AK$300,12,FALSE)=1000000000,R349="-",R349=""),"",(HLOOKUP(SMALL(G!$Q$4:'G'!$Y$4,4),G!$Q$4:'G'!$Y$501,ROW(G!Z297)-3,FALSE))/VLOOKUP(F!$B297,E!$B$1:'E'!$AK$300,12,FALSE)*100),"")</f>
        <v/>
      </c>
      <c r="U349" s="43"/>
      <c r="V349" s="43" t="str">
        <f>G!BC297</f>
        <v/>
      </c>
      <c r="W349" s="43" t="str">
        <f>G!BB297</f>
        <v>--</v>
      </c>
      <c r="X349" s="43"/>
      <c r="Y349" s="42" t="str">
        <f>G!BE297</f>
        <v/>
      </c>
      <c r="Z349" s="43" t="str">
        <f>G!BD297</f>
        <v>--</v>
      </c>
      <c r="AA349" s="42" t="str">
        <f>G!BF297</f>
        <v/>
      </c>
      <c r="AB349" s="42" t="str">
        <f>G!BG297</f>
        <v/>
      </c>
      <c r="AC349" s="43" t="str">
        <f>IFERROR(IF(OR(Z349="--",Z349="rg",VLOOKUP(F!$B297,E!$B$1:'E'!$AK$300,12,FALSE)=1000000000,AA349="-",AA349=""),"",(HLOOKUP(SMALL(G!$Q$4:'G'!$Y$4,7),G!$Q$4:'G'!$Y$501,ROW(G!AI297)-3,FALSE))/VLOOKUP(F!$B297,E!$B$1:'E'!$AK$300,12,FALSE)*100),"")</f>
        <v/>
      </c>
      <c r="AD349" s="43"/>
      <c r="AE349" s="34"/>
      <c r="AF349" s="34"/>
      <c r="AH349" s="72">
        <f t="shared" si="7"/>
        <v>1</v>
      </c>
      <c r="AJ349" s="34"/>
      <c r="AK349" s="34"/>
    </row>
    <row r="350" spans="1:37" s="72" customFormat="1" ht="9" hidden="1" customHeight="1" x14ac:dyDescent="0.15">
      <c r="A350" s="195" t="str">
        <f>F!A298</f>
        <v>Monochlooranilinen (som)</v>
      </c>
      <c r="B350" s="195"/>
      <c r="C350" s="195"/>
      <c r="D350" s="44" t="str">
        <f>G!AQ298</f>
        <v/>
      </c>
      <c r="E350" s="43" t="str">
        <f>G!AP298</f>
        <v>--</v>
      </c>
      <c r="F350" s="42"/>
      <c r="G350" s="42" t="str">
        <f>G!AS298</f>
        <v/>
      </c>
      <c r="H350" s="43" t="str">
        <f>G!AR298</f>
        <v>--</v>
      </c>
      <c r="I350" s="42" t="str">
        <f>G!AT298</f>
        <v/>
      </c>
      <c r="J350" s="42" t="str">
        <f>G!AU298</f>
        <v/>
      </c>
      <c r="K350" s="43" t="str">
        <f>IFERROR(IF(OR(H350="--",H350="rg",VLOOKUP(F!$B298,E!$B$1:'E'!$AK$300,12,FALSE)=1000000000,I350="-",I350=""),"",(HLOOKUP(SMALL(G!$Q$4:'G'!$Y$4,1),G!$Q$4:'G'!$Y$501,ROW(G!Q298)-3,FALSE))/VLOOKUP(F!$B298,E!$B$1:'E'!$AK$300,12,FALSE)*100),"")</f>
        <v/>
      </c>
      <c r="L350" s="43"/>
      <c r="M350" s="43" t="str">
        <f>G!AW298</f>
        <v/>
      </c>
      <c r="N350" s="43" t="str">
        <f>G!AV298</f>
        <v>--</v>
      </c>
      <c r="O350" s="42"/>
      <c r="P350" s="42" t="str">
        <f>G!AY298</f>
        <v/>
      </c>
      <c r="Q350" s="43" t="str">
        <f>G!AX298</f>
        <v>--</v>
      </c>
      <c r="R350" s="42" t="str">
        <f>G!AZ298</f>
        <v/>
      </c>
      <c r="S350" s="42" t="str">
        <f>G!BA298</f>
        <v/>
      </c>
      <c r="T350" s="43" t="str">
        <f>IFERROR(IF(OR(Q350="--",Q350="rg",VLOOKUP(F!$B298,E!$B$1:'E'!$AK$300,12,FALSE)=1000000000,R350="-",R350=""),"",(HLOOKUP(SMALL(G!$Q$4:'G'!$Y$4,4),G!$Q$4:'G'!$Y$501,ROW(G!Z298)-3,FALSE))/VLOOKUP(F!$B298,E!$B$1:'E'!$AK$300,12,FALSE)*100),"")</f>
        <v/>
      </c>
      <c r="U350" s="43"/>
      <c r="V350" s="43" t="str">
        <f>G!BC298</f>
        <v/>
      </c>
      <c r="W350" s="43" t="str">
        <f>G!BB298</f>
        <v>--</v>
      </c>
      <c r="X350" s="43"/>
      <c r="Y350" s="42" t="str">
        <f>G!BE298</f>
        <v/>
      </c>
      <c r="Z350" s="43" t="str">
        <f>G!BD298</f>
        <v>--</v>
      </c>
      <c r="AA350" s="42" t="str">
        <f>G!BF298</f>
        <v/>
      </c>
      <c r="AB350" s="42" t="str">
        <f>G!BG298</f>
        <v/>
      </c>
      <c r="AC350" s="43" t="str">
        <f>IFERROR(IF(OR(Z350="--",Z350="rg",VLOOKUP(F!$B298,E!$B$1:'E'!$AK$300,12,FALSE)=1000000000,AA350="-",AA350=""),"",(HLOOKUP(SMALL(G!$Q$4:'G'!$Y$4,7),G!$Q$4:'G'!$Y$501,ROW(G!AI298)-3,FALSE))/VLOOKUP(F!$B298,E!$B$1:'E'!$AK$300,12,FALSE)*100),"")</f>
        <v/>
      </c>
      <c r="AD350" s="43"/>
      <c r="AE350" s="34"/>
      <c r="AF350" s="34"/>
      <c r="AH350" s="72">
        <f t="shared" si="7"/>
        <v>1</v>
      </c>
      <c r="AJ350" s="34"/>
      <c r="AK350" s="34"/>
    </row>
    <row r="351" spans="1:37" s="72" customFormat="1" ht="9" hidden="1" customHeight="1" x14ac:dyDescent="0.15">
      <c r="A351" s="195" t="str">
        <f>F!A299</f>
        <v>Pentachlooranlinine (som)</v>
      </c>
      <c r="B351" s="195"/>
      <c r="C351" s="195"/>
      <c r="D351" s="44" t="str">
        <f>G!AQ299</f>
        <v/>
      </c>
      <c r="E351" s="43" t="str">
        <f>G!AP299</f>
        <v>--</v>
      </c>
      <c r="F351" s="42"/>
      <c r="G351" s="42" t="str">
        <f>G!AS299</f>
        <v/>
      </c>
      <c r="H351" s="43" t="str">
        <f>G!AR299</f>
        <v>--</v>
      </c>
      <c r="I351" s="42" t="str">
        <f>G!AT299</f>
        <v/>
      </c>
      <c r="J351" s="42" t="str">
        <f>G!AU299</f>
        <v/>
      </c>
      <c r="K351" s="43" t="str">
        <f>IFERROR(IF(OR(H351="--",H351="rg",VLOOKUP(F!$B299,E!$B$1:'E'!$AK$300,12,FALSE)=1000000000,I351="-",I351=""),"",(HLOOKUP(SMALL(G!$Q$4:'G'!$Y$4,1),G!$Q$4:'G'!$Y$501,ROW(G!Q299)-3,FALSE))/VLOOKUP(F!$B299,E!$B$1:'E'!$AK$300,12,FALSE)*100),"")</f>
        <v/>
      </c>
      <c r="L351" s="43"/>
      <c r="M351" s="43" t="str">
        <f>G!AW299</f>
        <v/>
      </c>
      <c r="N351" s="43" t="str">
        <f>G!AV299</f>
        <v>--</v>
      </c>
      <c r="O351" s="42"/>
      <c r="P351" s="42" t="str">
        <f>G!AY299</f>
        <v/>
      </c>
      <c r="Q351" s="43" t="str">
        <f>G!AX299</f>
        <v>--</v>
      </c>
      <c r="R351" s="42" t="str">
        <f>G!AZ299</f>
        <v/>
      </c>
      <c r="S351" s="42" t="str">
        <f>G!BA299</f>
        <v/>
      </c>
      <c r="T351" s="43" t="str">
        <f>IFERROR(IF(OR(Q351="--",Q351="rg",VLOOKUP(F!$B299,E!$B$1:'E'!$AK$300,12,FALSE)=1000000000,R351="-",R351=""),"",(HLOOKUP(SMALL(G!$Q$4:'G'!$Y$4,4),G!$Q$4:'G'!$Y$501,ROW(G!Z299)-3,FALSE))/VLOOKUP(F!$B299,E!$B$1:'E'!$AK$300,12,FALSE)*100),"")</f>
        <v/>
      </c>
      <c r="U351" s="43"/>
      <c r="V351" s="43" t="str">
        <f>G!BC299</f>
        <v/>
      </c>
      <c r="W351" s="43" t="str">
        <f>G!BB299</f>
        <v>--</v>
      </c>
      <c r="X351" s="43"/>
      <c r="Y351" s="42" t="str">
        <f>G!BE299</f>
        <v/>
      </c>
      <c r="Z351" s="43" t="str">
        <f>G!BD299</f>
        <v>--</v>
      </c>
      <c r="AA351" s="42" t="str">
        <f>G!BF299</f>
        <v/>
      </c>
      <c r="AB351" s="42" t="str">
        <f>G!BG299</f>
        <v/>
      </c>
      <c r="AC351" s="43" t="str">
        <f>IFERROR(IF(OR(Z351="--",Z351="rg",VLOOKUP(F!$B299,E!$B$1:'E'!$AK$300,12,FALSE)=1000000000,AA351="-",AA351=""),"",(HLOOKUP(SMALL(G!$Q$4:'G'!$Y$4,7),G!$Q$4:'G'!$Y$501,ROW(G!AI299)-3,FALSE))/VLOOKUP(F!$B299,E!$B$1:'E'!$AK$300,12,FALSE)*100),"")</f>
        <v/>
      </c>
      <c r="AD351" s="43"/>
      <c r="AE351" s="34"/>
      <c r="AF351" s="34"/>
      <c r="AH351" s="72">
        <f t="shared" si="7"/>
        <v>1</v>
      </c>
      <c r="AJ351" s="34"/>
      <c r="AK351" s="34"/>
    </row>
    <row r="352" spans="1:37" s="72" customFormat="1" ht="9" hidden="1" customHeight="1" x14ac:dyDescent="0.15">
      <c r="A352" s="195" t="str">
        <f>F!A300</f>
        <v>Dioxine (som I-TEQ)</v>
      </c>
      <c r="B352" s="195"/>
      <c r="C352" s="195"/>
      <c r="D352" s="44" t="str">
        <f>G!AQ300</f>
        <v/>
      </c>
      <c r="E352" s="43" t="str">
        <f>G!AP300</f>
        <v>--</v>
      </c>
      <c r="F352" s="42"/>
      <c r="G352" s="42" t="str">
        <f>G!AS300</f>
        <v/>
      </c>
      <c r="H352" s="43" t="str">
        <f>G!AR300</f>
        <v>--</v>
      </c>
      <c r="I352" s="42" t="str">
        <f>G!AT300</f>
        <v/>
      </c>
      <c r="J352" s="42" t="str">
        <f>G!AU300</f>
        <v/>
      </c>
      <c r="K352" s="43" t="str">
        <f>IFERROR(IF(OR(H352="--",H352="rg",VLOOKUP(F!$B300,E!$B$1:'E'!$AK$300,12,FALSE)=1000000000,I352="-",I352=""),"",(HLOOKUP(SMALL(G!$Q$4:'G'!$Y$4,1),G!$Q$4:'G'!$Y$501,ROW(G!Q300)-3,FALSE))/VLOOKUP(F!$B300,E!$B$1:'E'!$AK$300,12,FALSE)*100),"")</f>
        <v/>
      </c>
      <c r="L352" s="43"/>
      <c r="M352" s="43" t="str">
        <f>G!AW300</f>
        <v/>
      </c>
      <c r="N352" s="43" t="str">
        <f>G!AV300</f>
        <v>--</v>
      </c>
      <c r="O352" s="42"/>
      <c r="P352" s="42" t="str">
        <f>G!AY300</f>
        <v/>
      </c>
      <c r="Q352" s="43" t="str">
        <f>G!AX300</f>
        <v>--</v>
      </c>
      <c r="R352" s="42" t="str">
        <f>G!AZ300</f>
        <v/>
      </c>
      <c r="S352" s="42" t="str">
        <f>G!BA300</f>
        <v/>
      </c>
      <c r="T352" s="43" t="str">
        <f>IFERROR(IF(OR(Q352="--",Q352="rg",VLOOKUP(F!$B300,E!$B$1:'E'!$AK$300,12,FALSE)=1000000000,R352="-",R352=""),"",(HLOOKUP(SMALL(G!$Q$4:'G'!$Y$4,4),G!$Q$4:'G'!$Y$501,ROW(G!Z300)-3,FALSE))/VLOOKUP(F!$B300,E!$B$1:'E'!$AK$300,12,FALSE)*100),"")</f>
        <v/>
      </c>
      <c r="U352" s="43"/>
      <c r="V352" s="43" t="str">
        <f>G!BC300</f>
        <v/>
      </c>
      <c r="W352" s="43" t="str">
        <f>G!BB300</f>
        <v>--</v>
      </c>
      <c r="X352" s="43"/>
      <c r="Y352" s="42" t="str">
        <f>G!BE300</f>
        <v/>
      </c>
      <c r="Z352" s="43" t="str">
        <f>G!BD300</f>
        <v>--</v>
      </c>
      <c r="AA352" s="42" t="str">
        <f>G!BF300</f>
        <v/>
      </c>
      <c r="AB352" s="42" t="str">
        <f>G!BG300</f>
        <v/>
      </c>
      <c r="AC352" s="43" t="str">
        <f>IFERROR(IF(OR(Z352="--",Z352="rg",VLOOKUP(F!$B300,E!$B$1:'E'!$AK$300,12,FALSE)=1000000000,AA352="-",AA352=""),"",(HLOOKUP(SMALL(G!$Q$4:'G'!$Y$4,7),G!$Q$4:'G'!$Y$501,ROW(G!AI300)-3,FALSE))/VLOOKUP(F!$B300,E!$B$1:'E'!$AK$300,12,FALSE)*100),"")</f>
        <v/>
      </c>
      <c r="AD352" s="43"/>
      <c r="AE352" s="34"/>
      <c r="AF352" s="34"/>
      <c r="AH352" s="72">
        <f t="shared" si="7"/>
        <v>1</v>
      </c>
      <c r="AJ352" s="34"/>
      <c r="AK352" s="34"/>
    </row>
    <row r="353" spans="1:37" s="72" customFormat="1" ht="9" hidden="1" customHeight="1" x14ac:dyDescent="0.15">
      <c r="A353" s="195" t="str">
        <f>F!A301</f>
        <v>Zwavelkoolstof</v>
      </c>
      <c r="B353" s="195"/>
      <c r="C353" s="195"/>
      <c r="D353" s="44" t="str">
        <f>G!AQ301</f>
        <v/>
      </c>
      <c r="E353" s="43" t="str">
        <f>G!AP301</f>
        <v>--</v>
      </c>
      <c r="F353" s="42"/>
      <c r="G353" s="42" t="str">
        <f>G!AS301</f>
        <v/>
      </c>
      <c r="H353" s="43" t="str">
        <f>G!AR301</f>
        <v>--</v>
      </c>
      <c r="I353" s="42" t="str">
        <f>G!AT301</f>
        <v/>
      </c>
      <c r="J353" s="42" t="str">
        <f>G!AU301</f>
        <v/>
      </c>
      <c r="K353" s="43" t="str">
        <f>IFERROR(IF(OR(H353="--",H353="rg",VLOOKUP(F!$B301,E!$B$1:'E'!$AK$300,12,FALSE)=1000000000,I353="-",I353=""),"",(HLOOKUP(SMALL(G!$Q$4:'G'!$Y$4,1),G!$Q$4:'G'!$Y$501,ROW(G!Q301)-3,FALSE))/VLOOKUP(F!$B301,E!$B$1:'E'!$AK$300,12,FALSE)*100),"")</f>
        <v/>
      </c>
      <c r="L353" s="43"/>
      <c r="M353" s="43" t="str">
        <f>G!AW301</f>
        <v/>
      </c>
      <c r="N353" s="43" t="str">
        <f>G!AV301</f>
        <v>--</v>
      </c>
      <c r="O353" s="42"/>
      <c r="P353" s="42" t="str">
        <f>G!AY301</f>
        <v/>
      </c>
      <c r="Q353" s="43" t="str">
        <f>G!AX301</f>
        <v>--</v>
      </c>
      <c r="R353" s="42" t="str">
        <f>G!AZ301</f>
        <v/>
      </c>
      <c r="S353" s="42" t="str">
        <f>G!BA301</f>
        <v/>
      </c>
      <c r="T353" s="43" t="str">
        <f>IFERROR(IF(OR(Q353="--",Q353="rg",VLOOKUP(F!$B301,E!$B$1:'E'!$AK$300,12,FALSE)=1000000000,R353="-",R353=""),"",(HLOOKUP(SMALL(G!$Q$4:'G'!$Y$4,4),G!$Q$4:'G'!$Y$501,ROW(G!Z301)-3,FALSE))/VLOOKUP(F!$B301,E!$B$1:'E'!$AK$300,12,FALSE)*100),"")</f>
        <v/>
      </c>
      <c r="U353" s="43"/>
      <c r="V353" s="43" t="str">
        <f>G!BC301</f>
        <v/>
      </c>
      <c r="W353" s="43" t="str">
        <f>G!BB301</f>
        <v>--</v>
      </c>
      <c r="X353" s="43"/>
      <c r="Y353" s="42" t="str">
        <f>G!BE301</f>
        <v/>
      </c>
      <c r="Z353" s="43" t="str">
        <f>G!BD301</f>
        <v>--</v>
      </c>
      <c r="AA353" s="42" t="str">
        <f>G!BF301</f>
        <v/>
      </c>
      <c r="AB353" s="42" t="str">
        <f>G!BG301</f>
        <v/>
      </c>
      <c r="AC353" s="43" t="str">
        <f>IFERROR(IF(OR(Z353="--",Z353="rg",VLOOKUP(F!$B301,E!$B$1:'E'!$AK$300,12,FALSE)=1000000000,AA353="-",AA353=""),"",(HLOOKUP(SMALL(G!$Q$4:'G'!$Y$4,7),G!$Q$4:'G'!$Y$501,ROW(G!AI301)-3,FALSE))/VLOOKUP(F!$B301,E!$B$1:'E'!$AK$300,12,FALSE)*100),"")</f>
        <v/>
      </c>
      <c r="AD353" s="43"/>
      <c r="AE353" s="34"/>
      <c r="AF353" s="34"/>
      <c r="AH353" s="72">
        <f t="shared" si="7"/>
        <v>1</v>
      </c>
      <c r="AJ353" s="34"/>
      <c r="AK353" s="34"/>
    </row>
    <row r="354" spans="1:37" s="72" customFormat="1" ht="9" hidden="1" customHeight="1" x14ac:dyDescent="0.15">
      <c r="A354" s="195" t="str">
        <f>F!A302</f>
        <v>Aceton</v>
      </c>
      <c r="B354" s="195"/>
      <c r="C354" s="195"/>
      <c r="D354" s="44" t="str">
        <f>G!AQ302</f>
        <v/>
      </c>
      <c r="E354" s="43" t="str">
        <f>G!AP302</f>
        <v>--</v>
      </c>
      <c r="F354" s="42"/>
      <c r="G354" s="42" t="str">
        <f>G!AS302</f>
        <v/>
      </c>
      <c r="H354" s="43" t="str">
        <f>G!AR302</f>
        <v>--</v>
      </c>
      <c r="I354" s="42" t="str">
        <f>G!AT302</f>
        <v/>
      </c>
      <c r="J354" s="42" t="str">
        <f>G!AU302</f>
        <v/>
      </c>
      <c r="K354" s="43" t="str">
        <f>IFERROR(IF(OR(H354="--",H354="rg",VLOOKUP(F!$B302,E!$B$1:'E'!$AK$300,12,FALSE)=1000000000,I354="-",I354=""),"",(HLOOKUP(SMALL(G!$Q$4:'G'!$Y$4,1),G!$Q$4:'G'!$Y$501,ROW(G!Q302)-3,FALSE))/VLOOKUP(F!$B302,E!$B$1:'E'!$AK$300,12,FALSE)*100),"")</f>
        <v/>
      </c>
      <c r="L354" s="43"/>
      <c r="M354" s="43" t="str">
        <f>G!AW302</f>
        <v/>
      </c>
      <c r="N354" s="43" t="str">
        <f>G!AV302</f>
        <v>--</v>
      </c>
      <c r="O354" s="42"/>
      <c r="P354" s="42" t="str">
        <f>G!AY302</f>
        <v/>
      </c>
      <c r="Q354" s="43" t="str">
        <f>G!AX302</f>
        <v>--</v>
      </c>
      <c r="R354" s="42" t="str">
        <f>G!AZ302</f>
        <v/>
      </c>
      <c r="S354" s="42" t="str">
        <f>G!BA302</f>
        <v/>
      </c>
      <c r="T354" s="43" t="str">
        <f>IFERROR(IF(OR(Q354="--",Q354="rg",VLOOKUP(F!$B302,E!$B$1:'E'!$AK$300,12,FALSE)=1000000000,R354="-",R354=""),"",(HLOOKUP(SMALL(G!$Q$4:'G'!$Y$4,4),G!$Q$4:'G'!$Y$501,ROW(G!Z302)-3,FALSE))/VLOOKUP(F!$B302,E!$B$1:'E'!$AK$300,12,FALSE)*100),"")</f>
        <v/>
      </c>
      <c r="U354" s="43"/>
      <c r="V354" s="43" t="str">
        <f>G!BC302</f>
        <v/>
      </c>
      <c r="W354" s="43" t="str">
        <f>G!BB302</f>
        <v>--</v>
      </c>
      <c r="X354" s="43"/>
      <c r="Y354" s="42" t="str">
        <f>G!BE302</f>
        <v/>
      </c>
      <c r="Z354" s="43" t="str">
        <f>G!BD302</f>
        <v>--</v>
      </c>
      <c r="AA354" s="42" t="str">
        <f>G!BF302</f>
        <v/>
      </c>
      <c r="AB354" s="42" t="str">
        <f>G!BG302</f>
        <v/>
      </c>
      <c r="AC354" s="43" t="str">
        <f>IFERROR(IF(OR(Z354="--",Z354="rg",VLOOKUP(F!$B302,E!$B$1:'E'!$AK$300,12,FALSE)=1000000000,AA354="-",AA354=""),"",(HLOOKUP(SMALL(G!$Q$4:'G'!$Y$4,7),G!$Q$4:'G'!$Y$501,ROW(G!AI302)-3,FALSE))/VLOOKUP(F!$B302,E!$B$1:'E'!$AK$300,12,FALSE)*100),"")</f>
        <v/>
      </c>
      <c r="AD354" s="43"/>
      <c r="AE354" s="34"/>
      <c r="AF354" s="34"/>
      <c r="AH354" s="72">
        <f t="shared" si="7"/>
        <v>1</v>
      </c>
      <c r="AJ354" s="34"/>
      <c r="AK354" s="34"/>
    </row>
    <row r="355" spans="1:37" s="72" customFormat="1" ht="9" hidden="1" customHeight="1" x14ac:dyDescent="0.15">
      <c r="A355" s="195" t="str">
        <f>F!A303</f>
        <v>Diethylether</v>
      </c>
      <c r="B355" s="195"/>
      <c r="C355" s="195"/>
      <c r="D355" s="44" t="str">
        <f>G!AQ303</f>
        <v/>
      </c>
      <c r="E355" s="43" t="str">
        <f>G!AP303</f>
        <v>--</v>
      </c>
      <c r="F355" s="42"/>
      <c r="G355" s="42" t="str">
        <f>G!AS303</f>
        <v/>
      </c>
      <c r="H355" s="43" t="str">
        <f>G!AR303</f>
        <v>--</v>
      </c>
      <c r="I355" s="42" t="str">
        <f>G!AT303</f>
        <v/>
      </c>
      <c r="J355" s="42" t="str">
        <f>G!AU303</f>
        <v/>
      </c>
      <c r="K355" s="43" t="str">
        <f>IFERROR(IF(OR(H355="--",H355="rg",VLOOKUP(F!$B303,E!$B$1:'E'!$AK$300,12,FALSE)=1000000000,I355="-",I355=""),"",(HLOOKUP(SMALL(G!$Q$4:'G'!$Y$4,1),G!$Q$4:'G'!$Y$501,ROW(G!Q303)-3,FALSE))/VLOOKUP(F!$B303,E!$B$1:'E'!$AK$300,12,FALSE)*100),"")</f>
        <v/>
      </c>
      <c r="L355" s="43"/>
      <c r="M355" s="43" t="str">
        <f>G!AW303</f>
        <v/>
      </c>
      <c r="N355" s="43" t="str">
        <f>G!AV303</f>
        <v>--</v>
      </c>
      <c r="O355" s="42"/>
      <c r="P355" s="42" t="str">
        <f>G!AY303</f>
        <v/>
      </c>
      <c r="Q355" s="43" t="str">
        <f>G!AX303</f>
        <v>--</v>
      </c>
      <c r="R355" s="42" t="str">
        <f>G!AZ303</f>
        <v/>
      </c>
      <c r="S355" s="42" t="str">
        <f>G!BA303</f>
        <v/>
      </c>
      <c r="T355" s="43" t="str">
        <f>IFERROR(IF(OR(Q355="--",Q355="rg",VLOOKUP(F!$B303,E!$B$1:'E'!$AK$300,12,FALSE)=1000000000,R355="-",R355=""),"",(HLOOKUP(SMALL(G!$Q$4:'G'!$Y$4,4),G!$Q$4:'G'!$Y$501,ROW(G!Z303)-3,FALSE))/VLOOKUP(F!$B303,E!$B$1:'E'!$AK$300,12,FALSE)*100),"")</f>
        <v/>
      </c>
      <c r="U355" s="43"/>
      <c r="V355" s="43" t="str">
        <f>G!BC303</f>
        <v/>
      </c>
      <c r="W355" s="43" t="str">
        <f>G!BB303</f>
        <v>--</v>
      </c>
      <c r="X355" s="43"/>
      <c r="Y355" s="42" t="str">
        <f>G!BE303</f>
        <v/>
      </c>
      <c r="Z355" s="43" t="str">
        <f>G!BD303</f>
        <v>--</v>
      </c>
      <c r="AA355" s="42" t="str">
        <f>G!BF303</f>
        <v/>
      </c>
      <c r="AB355" s="42" t="str">
        <f>G!BG303</f>
        <v/>
      </c>
      <c r="AC355" s="43" t="str">
        <f>IFERROR(IF(OR(Z355="--",Z355="rg",VLOOKUP(F!$B303,E!$B$1:'E'!$AK$300,12,FALSE)=1000000000,AA355="-",AA355=""),"",(HLOOKUP(SMALL(G!$Q$4:'G'!$Y$4,7),G!$Q$4:'G'!$Y$501,ROW(G!AI303)-3,FALSE))/VLOOKUP(F!$B303,E!$B$1:'E'!$AK$300,12,FALSE)*100),"")</f>
        <v/>
      </c>
      <c r="AD355" s="43"/>
      <c r="AE355" s="34"/>
      <c r="AF355" s="34"/>
      <c r="AH355" s="72">
        <f t="shared" si="7"/>
        <v>1</v>
      </c>
      <c r="AJ355" s="34"/>
      <c r="AK355" s="34"/>
    </row>
    <row r="356" spans="1:37" s="72" customFormat="1" ht="9" hidden="1" customHeight="1" x14ac:dyDescent="0.15">
      <c r="A356" s="195" t="str">
        <f>F!A304</f>
        <v>Methylisobutylketon (MIBK)</v>
      </c>
      <c r="B356" s="195"/>
      <c r="C356" s="195"/>
      <c r="D356" s="44" t="str">
        <f>G!AQ304</f>
        <v/>
      </c>
      <c r="E356" s="43" t="str">
        <f>G!AP304</f>
        <v>--</v>
      </c>
      <c r="F356" s="42"/>
      <c r="G356" s="42" t="str">
        <f>G!AS304</f>
        <v/>
      </c>
      <c r="H356" s="43" t="str">
        <f>G!AR304</f>
        <v>--</v>
      </c>
      <c r="I356" s="42" t="str">
        <f>G!AT304</f>
        <v/>
      </c>
      <c r="J356" s="42" t="str">
        <f>G!AU304</f>
        <v/>
      </c>
      <c r="K356" s="43" t="str">
        <f>IFERROR(IF(OR(H356="--",H356="rg",VLOOKUP(F!$B304,E!$B$1:'E'!$AK$300,12,FALSE)=1000000000,I356="-",I356=""),"",(HLOOKUP(SMALL(G!$Q$4:'G'!$Y$4,1),G!$Q$4:'G'!$Y$501,ROW(G!Q304)-3,FALSE))/VLOOKUP(F!$B304,E!$B$1:'E'!$AK$300,12,FALSE)*100),"")</f>
        <v/>
      </c>
      <c r="L356" s="43"/>
      <c r="M356" s="43" t="str">
        <f>G!AW304</f>
        <v/>
      </c>
      <c r="N356" s="43" t="str">
        <f>G!AV304</f>
        <v>--</v>
      </c>
      <c r="O356" s="42"/>
      <c r="P356" s="42" t="str">
        <f>G!AY304</f>
        <v/>
      </c>
      <c r="Q356" s="43" t="str">
        <f>G!AX304</f>
        <v>--</v>
      </c>
      <c r="R356" s="42" t="str">
        <f>G!AZ304</f>
        <v/>
      </c>
      <c r="S356" s="42" t="str">
        <f>G!BA304</f>
        <v/>
      </c>
      <c r="T356" s="43" t="str">
        <f>IFERROR(IF(OR(Q356="--",Q356="rg",VLOOKUP(F!$B304,E!$B$1:'E'!$AK$300,12,FALSE)=1000000000,R356="-",R356=""),"",(HLOOKUP(SMALL(G!$Q$4:'G'!$Y$4,4),G!$Q$4:'G'!$Y$501,ROW(G!Z304)-3,FALSE))/VLOOKUP(F!$B304,E!$B$1:'E'!$AK$300,12,FALSE)*100),"")</f>
        <v/>
      </c>
      <c r="U356" s="43"/>
      <c r="V356" s="43" t="str">
        <f>G!BC304</f>
        <v/>
      </c>
      <c r="W356" s="43" t="str">
        <f>G!BB304</f>
        <v>--</v>
      </c>
      <c r="X356" s="43"/>
      <c r="Y356" s="42" t="str">
        <f>G!BE304</f>
        <v/>
      </c>
      <c r="Z356" s="43" t="str">
        <f>G!BD304</f>
        <v>--</v>
      </c>
      <c r="AA356" s="42" t="str">
        <f>G!BF304</f>
        <v/>
      </c>
      <c r="AB356" s="42" t="str">
        <f>G!BG304</f>
        <v/>
      </c>
      <c r="AC356" s="43" t="str">
        <f>IFERROR(IF(OR(Z356="--",Z356="rg",VLOOKUP(F!$B304,E!$B$1:'E'!$AK$300,12,FALSE)=1000000000,AA356="-",AA356=""),"",(HLOOKUP(SMALL(G!$Q$4:'G'!$Y$4,7),G!$Q$4:'G'!$Y$501,ROW(G!AI304)-3,FALSE))/VLOOKUP(F!$B304,E!$B$1:'E'!$AK$300,12,FALSE)*100),"")</f>
        <v/>
      </c>
      <c r="AD356" s="43"/>
      <c r="AE356" s="34"/>
      <c r="AF356" s="34"/>
      <c r="AH356" s="72">
        <f t="shared" si="7"/>
        <v>1</v>
      </c>
      <c r="AJ356" s="34"/>
      <c r="AK356" s="34"/>
    </row>
    <row r="357" spans="1:37" s="72" customFormat="1" ht="9" hidden="1" customHeight="1" x14ac:dyDescent="0.15">
      <c r="A357" s="195" t="str">
        <f>F!A305</f>
        <v>Methylethylketon (MEK)</v>
      </c>
      <c r="B357" s="195"/>
      <c r="C357" s="195"/>
      <c r="D357" s="44" t="str">
        <f>G!AQ305</f>
        <v/>
      </c>
      <c r="E357" s="43" t="str">
        <f>G!AP305</f>
        <v>--</v>
      </c>
      <c r="F357" s="42"/>
      <c r="G357" s="42" t="str">
        <f>G!AS305</f>
        <v/>
      </c>
      <c r="H357" s="43" t="str">
        <f>G!AR305</f>
        <v>--</v>
      </c>
      <c r="I357" s="42" t="str">
        <f>G!AT305</f>
        <v/>
      </c>
      <c r="J357" s="42" t="str">
        <f>G!AU305</f>
        <v/>
      </c>
      <c r="K357" s="43" t="str">
        <f>IFERROR(IF(OR(H357="--",H357="rg",VLOOKUP(F!$B305,E!$B$1:'E'!$AK$300,12,FALSE)=1000000000,I357="-",I357=""),"",(HLOOKUP(SMALL(G!$Q$4:'G'!$Y$4,1),G!$Q$4:'G'!$Y$501,ROW(G!Q305)-3,FALSE))/VLOOKUP(F!$B305,E!$B$1:'E'!$AK$300,12,FALSE)*100),"")</f>
        <v/>
      </c>
      <c r="L357" s="43"/>
      <c r="M357" s="43" t="str">
        <f>G!AW305</f>
        <v/>
      </c>
      <c r="N357" s="43" t="str">
        <f>G!AV305</f>
        <v>--</v>
      </c>
      <c r="O357" s="42"/>
      <c r="P357" s="42" t="str">
        <f>G!AY305</f>
        <v/>
      </c>
      <c r="Q357" s="43" t="str">
        <f>G!AX305</f>
        <v>--</v>
      </c>
      <c r="R357" s="42" t="str">
        <f>G!AZ305</f>
        <v/>
      </c>
      <c r="S357" s="42" t="str">
        <f>G!BA305</f>
        <v/>
      </c>
      <c r="T357" s="43" t="str">
        <f>IFERROR(IF(OR(Q357="--",Q357="rg",VLOOKUP(F!$B305,E!$B$1:'E'!$AK$300,12,FALSE)=1000000000,R357="-",R357=""),"",(HLOOKUP(SMALL(G!$Q$4:'G'!$Y$4,4),G!$Q$4:'G'!$Y$501,ROW(G!Z305)-3,FALSE))/VLOOKUP(F!$B305,E!$B$1:'E'!$AK$300,12,FALSE)*100),"")</f>
        <v/>
      </c>
      <c r="U357" s="43"/>
      <c r="V357" s="43" t="str">
        <f>G!BC305</f>
        <v/>
      </c>
      <c r="W357" s="43" t="str">
        <f>G!BB305</f>
        <v>--</v>
      </c>
      <c r="X357" s="43"/>
      <c r="Y357" s="42" t="str">
        <f>G!BE305</f>
        <v/>
      </c>
      <c r="Z357" s="43" t="str">
        <f>G!BD305</f>
        <v>--</v>
      </c>
      <c r="AA357" s="42" t="str">
        <f>G!BF305</f>
        <v/>
      </c>
      <c r="AB357" s="42" t="str">
        <f>G!BG305</f>
        <v/>
      </c>
      <c r="AC357" s="43" t="str">
        <f>IFERROR(IF(OR(Z357="--",Z357="rg",VLOOKUP(F!$B305,E!$B$1:'E'!$AK$300,12,FALSE)=1000000000,AA357="-",AA357=""),"",(HLOOKUP(SMALL(G!$Q$4:'G'!$Y$4,7),G!$Q$4:'G'!$Y$501,ROW(G!AI305)-3,FALSE))/VLOOKUP(F!$B305,E!$B$1:'E'!$AK$300,12,FALSE)*100),"")</f>
        <v/>
      </c>
      <c r="AD357" s="43"/>
      <c r="AE357" s="34"/>
      <c r="AF357" s="34"/>
      <c r="AH357" s="72">
        <f t="shared" si="7"/>
        <v>1</v>
      </c>
      <c r="AJ357" s="34"/>
      <c r="AK357" s="34"/>
    </row>
    <row r="358" spans="1:37" s="72" customFormat="1" ht="9" hidden="1" customHeight="1" x14ac:dyDescent="0.15">
      <c r="A358" s="195" t="str">
        <f>F!A306</f>
        <v>Acetonitrile</v>
      </c>
      <c r="B358" s="195"/>
      <c r="C358" s="195"/>
      <c r="D358" s="44" t="str">
        <f>G!AQ306</f>
        <v/>
      </c>
      <c r="E358" s="43" t="str">
        <f>G!AP306</f>
        <v>--</v>
      </c>
      <c r="F358" s="42"/>
      <c r="G358" s="42" t="str">
        <f>G!AS306</f>
        <v/>
      </c>
      <c r="H358" s="43" t="str">
        <f>G!AR306</f>
        <v>--</v>
      </c>
      <c r="I358" s="42" t="str">
        <f>G!AT306</f>
        <v/>
      </c>
      <c r="J358" s="42" t="str">
        <f>G!AU306</f>
        <v/>
      </c>
      <c r="K358" s="43" t="str">
        <f>IFERROR(IF(OR(H358="--",H358="rg",VLOOKUP(F!$B306,E!$B$1:'E'!$AK$300,12,FALSE)=1000000000,I358="-",I358=""),"",(HLOOKUP(SMALL(G!$Q$4:'G'!$Y$4,1),G!$Q$4:'G'!$Y$501,ROW(G!Q306)-3,FALSE))/VLOOKUP(F!$B306,E!$B$1:'E'!$AK$300,12,FALSE)*100),"")</f>
        <v/>
      </c>
      <c r="L358" s="43"/>
      <c r="M358" s="43" t="str">
        <f>G!AW306</f>
        <v/>
      </c>
      <c r="N358" s="43" t="str">
        <f>G!AV306</f>
        <v>--</v>
      </c>
      <c r="O358" s="42"/>
      <c r="P358" s="42" t="str">
        <f>G!AY306</f>
        <v/>
      </c>
      <c r="Q358" s="43" t="str">
        <f>G!AX306</f>
        <v>--</v>
      </c>
      <c r="R358" s="42" t="str">
        <f>G!AZ306</f>
        <v/>
      </c>
      <c r="S358" s="42" t="str">
        <f>G!BA306</f>
        <v/>
      </c>
      <c r="T358" s="43" t="str">
        <f>IFERROR(IF(OR(Q358="--",Q358="rg",VLOOKUP(F!$B306,E!$B$1:'E'!$AK$300,12,FALSE)=1000000000,R358="-",R358=""),"",(HLOOKUP(SMALL(G!$Q$4:'G'!$Y$4,4),G!$Q$4:'G'!$Y$501,ROW(G!Z306)-3,FALSE))/VLOOKUP(F!$B306,E!$B$1:'E'!$AK$300,12,FALSE)*100),"")</f>
        <v/>
      </c>
      <c r="U358" s="43"/>
      <c r="V358" s="43" t="str">
        <f>G!BC306</f>
        <v/>
      </c>
      <c r="W358" s="43" t="str">
        <f>G!BB306</f>
        <v>--</v>
      </c>
      <c r="X358" s="43"/>
      <c r="Y358" s="42" t="str">
        <f>G!BE306</f>
        <v/>
      </c>
      <c r="Z358" s="43" t="str">
        <f>G!BD306</f>
        <v>--</v>
      </c>
      <c r="AA358" s="42" t="str">
        <f>G!BF306</f>
        <v/>
      </c>
      <c r="AB358" s="42" t="str">
        <f>G!BG306</f>
        <v/>
      </c>
      <c r="AC358" s="43" t="str">
        <f>IFERROR(IF(OR(Z358="--",Z358="rg",VLOOKUP(F!$B306,E!$B$1:'E'!$AK$300,12,FALSE)=1000000000,AA358="-",AA358=""),"",(HLOOKUP(SMALL(G!$Q$4:'G'!$Y$4,7),G!$Q$4:'G'!$Y$501,ROW(G!AI306)-3,FALSE))/VLOOKUP(F!$B306,E!$B$1:'E'!$AK$300,12,FALSE)*100),"")</f>
        <v/>
      </c>
      <c r="AD358" s="43"/>
      <c r="AE358" s="34"/>
      <c r="AF358" s="34"/>
      <c r="AH358" s="72">
        <f t="shared" si="7"/>
        <v>1</v>
      </c>
      <c r="AJ358" s="34"/>
      <c r="AK358" s="34"/>
    </row>
    <row r="359" spans="1:37" ht="3.95" hidden="1" customHeight="1" x14ac:dyDescent="0.15">
      <c r="A359" s="41"/>
      <c r="B359" s="41"/>
      <c r="C359" s="41"/>
      <c r="D359" s="44"/>
      <c r="E359" s="43"/>
      <c r="F359" s="42"/>
      <c r="G359" s="42"/>
      <c r="H359" s="43"/>
      <c r="I359" s="42"/>
      <c r="J359" s="42"/>
      <c r="K359" s="42"/>
      <c r="L359" s="43"/>
      <c r="M359" s="43"/>
      <c r="N359" s="42"/>
      <c r="O359" s="42"/>
      <c r="P359" s="43"/>
      <c r="Q359" s="42"/>
      <c r="R359" s="42"/>
      <c r="S359" s="42"/>
      <c r="T359" s="43"/>
      <c r="U359" s="43"/>
      <c r="V359" s="43"/>
      <c r="W359" s="42"/>
      <c r="X359" s="43"/>
      <c r="Y359" s="42"/>
      <c r="Z359" s="43"/>
      <c r="AA359" s="43"/>
      <c r="AC359" s="34"/>
      <c r="AD359" s="72"/>
      <c r="AF359" s="72"/>
      <c r="AG359" s="34"/>
      <c r="AH359" s="94">
        <f>AH360</f>
        <v>1</v>
      </c>
      <c r="AI359" s="34"/>
    </row>
    <row r="360" spans="1:37" ht="9" hidden="1" customHeight="1" x14ac:dyDescent="0.15">
      <c r="A360" s="198" t="str">
        <f>IF(COUNTIF(F!D304:D309,131)&gt;0,"Aminoachtige verbindingen (µg/kgds)","Aminoachtige verbindingen (mg/kgds)")</f>
        <v>Aminoachtige verbindingen (mg/kgds)</v>
      </c>
      <c r="B360" s="198"/>
      <c r="C360" s="198"/>
      <c r="D360" s="198"/>
      <c r="E360" s="198"/>
      <c r="F360" s="198"/>
      <c r="G360" s="198"/>
      <c r="H360" s="198"/>
      <c r="I360" s="198"/>
      <c r="J360" s="198"/>
      <c r="K360" s="198"/>
      <c r="L360" s="198"/>
      <c r="M360" s="198"/>
      <c r="N360" s="198"/>
      <c r="O360" s="198"/>
      <c r="P360" s="198"/>
      <c r="Q360" s="198"/>
      <c r="R360" s="198"/>
      <c r="S360" s="198"/>
      <c r="T360" s="198"/>
      <c r="U360" s="198"/>
      <c r="V360" s="198"/>
      <c r="W360" s="198"/>
      <c r="X360" s="198"/>
      <c r="Y360" s="198"/>
      <c r="Z360" s="198"/>
      <c r="AA360" s="198"/>
      <c r="AC360" s="34"/>
      <c r="AD360" s="72"/>
      <c r="AF360" s="72"/>
      <c r="AG360" s="34"/>
      <c r="AH360" s="94">
        <f>IF(COUNTIF(AH361:AH365,1)=COUNT(AH361:AH365),1,0)</f>
        <v>1</v>
      </c>
      <c r="AI360" s="34"/>
    </row>
    <row r="361" spans="1:37" s="72" customFormat="1" ht="9" hidden="1" customHeight="1" x14ac:dyDescent="0.15">
      <c r="A361" s="195" t="str">
        <f>F!A307</f>
        <v>3+4-Chlooraniline</v>
      </c>
      <c r="B361" s="195"/>
      <c r="C361" s="195"/>
      <c r="D361" s="44" t="str">
        <f>G!AQ307</f>
        <v/>
      </c>
      <c r="E361" s="43" t="str">
        <f>G!AP307</f>
        <v>--</v>
      </c>
      <c r="F361" s="42"/>
      <c r="G361" s="42" t="str">
        <f>G!AS307</f>
        <v/>
      </c>
      <c r="H361" s="43" t="str">
        <f>G!AR307</f>
        <v>--</v>
      </c>
      <c r="I361" s="42" t="str">
        <f>G!AT307</f>
        <v/>
      </c>
      <c r="J361" s="42" t="str">
        <f>G!AU307</f>
        <v/>
      </c>
      <c r="K361" s="43" t="str">
        <f>IFERROR(IF(OR(H361="--",H361="rg",VLOOKUP(F!$B307,E!$B$1:'E'!$AK$300,12,FALSE)=1000000000,I361="-",I361=""),"",(HLOOKUP(SMALL(G!$Q$4:'G'!$Y$4,1),G!$Q$4:'G'!$Y$501,ROW(G!Q307)-3,FALSE))/VLOOKUP(F!$B307,E!$B$1:'E'!$AK$300,12,FALSE)*100),"")</f>
        <v/>
      </c>
      <c r="L361" s="43"/>
      <c r="M361" s="43" t="str">
        <f>G!AW307</f>
        <v/>
      </c>
      <c r="N361" s="43" t="str">
        <f>G!AV307</f>
        <v>--</v>
      </c>
      <c r="O361" s="42"/>
      <c r="P361" s="42" t="str">
        <f>G!AY307</f>
        <v/>
      </c>
      <c r="Q361" s="43" t="str">
        <f>G!AX307</f>
        <v>--</v>
      </c>
      <c r="R361" s="42" t="str">
        <f>G!AZ307</f>
        <v/>
      </c>
      <c r="S361" s="42" t="str">
        <f>G!BA307</f>
        <v/>
      </c>
      <c r="T361" s="43" t="str">
        <f>IFERROR(IF(OR(Q361="--",Q361="rg",VLOOKUP(F!$B307,E!$B$1:'E'!$AK$300,12,FALSE)=1000000000,R361="-",R361=""),"",(HLOOKUP(SMALL(G!$Q$4:'G'!$Y$4,4),G!$Q$4:'G'!$Y$501,ROW(G!Z307)-3,FALSE))/VLOOKUP(F!$B307,E!$B$1:'E'!$AK$300,12,FALSE)*100),"")</f>
        <v/>
      </c>
      <c r="U361" s="43"/>
      <c r="V361" s="43" t="str">
        <f>G!BC307</f>
        <v/>
      </c>
      <c r="W361" s="43" t="str">
        <f>G!BB307</f>
        <v>--</v>
      </c>
      <c r="X361" s="43"/>
      <c r="Y361" s="42" t="str">
        <f>G!BE307</f>
        <v/>
      </c>
      <c r="Z361" s="43" t="str">
        <f>G!BD307</f>
        <v>--</v>
      </c>
      <c r="AA361" s="42" t="str">
        <f>G!BF307</f>
        <v/>
      </c>
      <c r="AB361" s="42" t="str">
        <f>G!BG307</f>
        <v/>
      </c>
      <c r="AC361" s="43" t="str">
        <f>IFERROR(IF(OR(Z361="--",Z361="rg",VLOOKUP(F!$B307,E!$B$1:'E'!$AK$300,12,FALSE)=1000000000,AA361="-",AA361=""),"",(HLOOKUP(SMALL(G!$Q$4:'G'!$Y$4,7),G!$Q$4:'G'!$Y$501,ROW(G!AI307)-3,FALSE))/VLOOKUP(F!$B307,E!$B$1:'E'!$AK$300,12,FALSE)*100),"")</f>
        <v/>
      </c>
      <c r="AD361" s="43"/>
      <c r="AE361" s="34"/>
      <c r="AF361" s="34"/>
      <c r="AH361" s="72">
        <f t="shared" si="7"/>
        <v>1</v>
      </c>
      <c r="AJ361" s="34"/>
      <c r="AK361" s="34"/>
    </row>
    <row r="362" spans="1:37" s="72" customFormat="1" ht="9" hidden="1" customHeight="1" x14ac:dyDescent="0.15">
      <c r="A362" s="195" t="str">
        <f>F!A308</f>
        <v>2-Nitroaniline</v>
      </c>
      <c r="B362" s="195"/>
      <c r="C362" s="195"/>
      <c r="D362" s="44" t="str">
        <f>G!AQ308</f>
        <v/>
      </c>
      <c r="E362" s="43" t="str">
        <f>G!AP308</f>
        <v>--</v>
      </c>
      <c r="F362" s="42"/>
      <c r="G362" s="42" t="str">
        <f>G!AS308</f>
        <v/>
      </c>
      <c r="H362" s="43" t="str">
        <f>G!AR308</f>
        <v>--</v>
      </c>
      <c r="I362" s="42" t="str">
        <f>G!AT308</f>
        <v/>
      </c>
      <c r="J362" s="42" t="str">
        <f>G!AU308</f>
        <v/>
      </c>
      <c r="K362" s="43" t="str">
        <f>IFERROR(IF(OR(H362="--",H362="rg",VLOOKUP(F!$B308,E!$B$1:'E'!$AK$300,12,FALSE)=1000000000,I362="-",I362=""),"",(HLOOKUP(SMALL(G!$Q$4:'G'!$Y$4,1),G!$Q$4:'G'!$Y$501,ROW(G!Q308)-3,FALSE))/VLOOKUP(F!$B308,E!$B$1:'E'!$AK$300,12,FALSE)*100),"")</f>
        <v/>
      </c>
      <c r="L362" s="43"/>
      <c r="M362" s="43" t="str">
        <f>G!AW308</f>
        <v/>
      </c>
      <c r="N362" s="43" t="str">
        <f>G!AV308</f>
        <v>--</v>
      </c>
      <c r="O362" s="42"/>
      <c r="P362" s="42" t="str">
        <f>G!AY308</f>
        <v/>
      </c>
      <c r="Q362" s="43" t="str">
        <f>G!AX308</f>
        <v>--</v>
      </c>
      <c r="R362" s="42" t="str">
        <f>G!AZ308</f>
        <v/>
      </c>
      <c r="S362" s="42" t="str">
        <f>G!BA308</f>
        <v/>
      </c>
      <c r="T362" s="43" t="str">
        <f>IFERROR(IF(OR(Q362="--",Q362="rg",VLOOKUP(F!$B308,E!$B$1:'E'!$AK$300,12,FALSE)=1000000000,R362="-",R362=""),"",(HLOOKUP(SMALL(G!$Q$4:'G'!$Y$4,4),G!$Q$4:'G'!$Y$501,ROW(G!Z308)-3,FALSE))/VLOOKUP(F!$B308,E!$B$1:'E'!$AK$300,12,FALSE)*100),"")</f>
        <v/>
      </c>
      <c r="U362" s="43"/>
      <c r="V362" s="43" t="str">
        <f>G!BC308</f>
        <v/>
      </c>
      <c r="W362" s="43" t="str">
        <f>G!BB308</f>
        <v>--</v>
      </c>
      <c r="X362" s="43"/>
      <c r="Y362" s="42" t="str">
        <f>G!BE308</f>
        <v/>
      </c>
      <c r="Z362" s="43" t="str">
        <f>G!BD308</f>
        <v>--</v>
      </c>
      <c r="AA362" s="42" t="str">
        <f>G!BF308</f>
        <v/>
      </c>
      <c r="AB362" s="42" t="str">
        <f>G!BG308</f>
        <v/>
      </c>
      <c r="AC362" s="43" t="str">
        <f>IFERROR(IF(OR(Z362="--",Z362="rg",VLOOKUP(F!$B308,E!$B$1:'E'!$AK$300,12,FALSE)=1000000000,AA362="-",AA362=""),"",(HLOOKUP(SMALL(G!$Q$4:'G'!$Y$4,7),G!$Q$4:'G'!$Y$501,ROW(G!AI308)-3,FALSE))/VLOOKUP(F!$B308,E!$B$1:'E'!$AK$300,12,FALSE)*100),"")</f>
        <v/>
      </c>
      <c r="AD362" s="43"/>
      <c r="AE362" s="34"/>
      <c r="AF362" s="34"/>
      <c r="AH362" s="72">
        <f t="shared" si="7"/>
        <v>1</v>
      </c>
      <c r="AJ362" s="34"/>
      <c r="AK362" s="34"/>
    </row>
    <row r="363" spans="1:37" s="72" customFormat="1" ht="9" hidden="1" customHeight="1" x14ac:dyDescent="0.15">
      <c r="A363" s="195" t="str">
        <f>F!A309</f>
        <v>3-Nitroaniline</v>
      </c>
      <c r="B363" s="195"/>
      <c r="C363" s="195"/>
      <c r="D363" s="44" t="str">
        <f>G!AQ309</f>
        <v/>
      </c>
      <c r="E363" s="43" t="str">
        <f>G!AP309</f>
        <v>--</v>
      </c>
      <c r="F363" s="42"/>
      <c r="G363" s="42" t="str">
        <f>G!AS309</f>
        <v/>
      </c>
      <c r="H363" s="43" t="str">
        <f>G!AR309</f>
        <v>--</v>
      </c>
      <c r="I363" s="42" t="str">
        <f>G!AT309</f>
        <v/>
      </c>
      <c r="J363" s="42" t="str">
        <f>G!AU309</f>
        <v/>
      </c>
      <c r="K363" s="43" t="str">
        <f>IFERROR(IF(OR(H363="--",H363="rg",VLOOKUP(F!$B309,E!$B$1:'E'!$AK$300,12,FALSE)=1000000000,I363="-",I363=""),"",(HLOOKUP(SMALL(G!$Q$4:'G'!$Y$4,1),G!$Q$4:'G'!$Y$501,ROW(G!Q309)-3,FALSE))/VLOOKUP(F!$B309,E!$B$1:'E'!$AK$300,12,FALSE)*100),"")</f>
        <v/>
      </c>
      <c r="L363" s="43"/>
      <c r="M363" s="43" t="str">
        <f>G!AW309</f>
        <v/>
      </c>
      <c r="N363" s="43" t="str">
        <f>G!AV309</f>
        <v>--</v>
      </c>
      <c r="O363" s="42"/>
      <c r="P363" s="42" t="str">
        <f>G!AY309</f>
        <v/>
      </c>
      <c r="Q363" s="43" t="str">
        <f>G!AX309</f>
        <v>--</v>
      </c>
      <c r="R363" s="42" t="str">
        <f>G!AZ309</f>
        <v/>
      </c>
      <c r="S363" s="42" t="str">
        <f>G!BA309</f>
        <v/>
      </c>
      <c r="T363" s="43" t="str">
        <f>IFERROR(IF(OR(Q363="--",Q363="rg",VLOOKUP(F!$B309,E!$B$1:'E'!$AK$300,12,FALSE)=1000000000,R363="-",R363=""),"",(HLOOKUP(SMALL(G!$Q$4:'G'!$Y$4,4),G!$Q$4:'G'!$Y$501,ROW(G!Z309)-3,FALSE))/VLOOKUP(F!$B309,E!$B$1:'E'!$AK$300,12,FALSE)*100),"")</f>
        <v/>
      </c>
      <c r="U363" s="43"/>
      <c r="V363" s="43" t="str">
        <f>G!BC309</f>
        <v/>
      </c>
      <c r="W363" s="43" t="str">
        <f>G!BB309</f>
        <v>--</v>
      </c>
      <c r="X363" s="43"/>
      <c r="Y363" s="42" t="str">
        <f>G!BE309</f>
        <v/>
      </c>
      <c r="Z363" s="43" t="str">
        <f>G!BD309</f>
        <v>--</v>
      </c>
      <c r="AA363" s="42" t="str">
        <f>G!BF309</f>
        <v/>
      </c>
      <c r="AB363" s="42" t="str">
        <f>G!BG309</f>
        <v/>
      </c>
      <c r="AC363" s="43" t="str">
        <f>IFERROR(IF(OR(Z363="--",Z363="rg",VLOOKUP(F!$B309,E!$B$1:'E'!$AK$300,12,FALSE)=1000000000,AA363="-",AA363=""),"",(HLOOKUP(SMALL(G!$Q$4:'G'!$Y$4,7),G!$Q$4:'G'!$Y$501,ROW(G!AI309)-3,FALSE))/VLOOKUP(F!$B309,E!$B$1:'E'!$AK$300,12,FALSE)*100),"")</f>
        <v/>
      </c>
      <c r="AD363" s="43"/>
      <c r="AE363" s="34"/>
      <c r="AF363" s="34"/>
      <c r="AH363" s="72">
        <f t="shared" si="7"/>
        <v>1</v>
      </c>
      <c r="AJ363" s="34"/>
      <c r="AK363" s="34"/>
    </row>
    <row r="364" spans="1:37" s="72" customFormat="1" ht="9" hidden="1" customHeight="1" x14ac:dyDescent="0.15">
      <c r="A364" s="195" t="str">
        <f>F!A310</f>
        <v>4-Nitroaniline</v>
      </c>
      <c r="B364" s="195"/>
      <c r="C364" s="195"/>
      <c r="D364" s="44" t="str">
        <f>G!AQ310</f>
        <v/>
      </c>
      <c r="E364" s="43" t="str">
        <f>G!AP310</f>
        <v>--</v>
      </c>
      <c r="F364" s="42"/>
      <c r="G364" s="42" t="str">
        <f>G!AS310</f>
        <v/>
      </c>
      <c r="H364" s="43" t="str">
        <f>G!AR310</f>
        <v>--</v>
      </c>
      <c r="I364" s="42" t="str">
        <f>G!AT310</f>
        <v/>
      </c>
      <c r="J364" s="42" t="str">
        <f>G!AU310</f>
        <v/>
      </c>
      <c r="K364" s="43" t="str">
        <f>IFERROR(IF(OR(H364="--",H364="rg",VLOOKUP(F!$B310,E!$B$1:'E'!$AK$300,12,FALSE)=1000000000,I364="-",I364=""),"",(HLOOKUP(SMALL(G!$Q$4:'G'!$Y$4,1),G!$Q$4:'G'!$Y$501,ROW(G!Q310)-3,FALSE))/VLOOKUP(F!$B310,E!$B$1:'E'!$AK$300,12,FALSE)*100),"")</f>
        <v/>
      </c>
      <c r="L364" s="43"/>
      <c r="M364" s="43" t="str">
        <f>G!AW310</f>
        <v/>
      </c>
      <c r="N364" s="43" t="str">
        <f>G!AV310</f>
        <v>--</v>
      </c>
      <c r="O364" s="42"/>
      <c r="P364" s="42" t="str">
        <f>G!AY310</f>
        <v/>
      </c>
      <c r="Q364" s="43" t="str">
        <f>G!AX310</f>
        <v>--</v>
      </c>
      <c r="R364" s="42" t="str">
        <f>G!AZ310</f>
        <v/>
      </c>
      <c r="S364" s="42" t="str">
        <f>G!BA310</f>
        <v/>
      </c>
      <c r="T364" s="43" t="str">
        <f>IFERROR(IF(OR(Q364="--",Q364="rg",VLOOKUP(F!$B310,E!$B$1:'E'!$AK$300,12,FALSE)=1000000000,R364="-",R364=""),"",(HLOOKUP(SMALL(G!$Q$4:'G'!$Y$4,4),G!$Q$4:'G'!$Y$501,ROW(G!Z310)-3,FALSE))/VLOOKUP(F!$B310,E!$B$1:'E'!$AK$300,12,FALSE)*100),"")</f>
        <v/>
      </c>
      <c r="U364" s="43"/>
      <c r="V364" s="43" t="str">
        <f>G!BC310</f>
        <v/>
      </c>
      <c r="W364" s="43" t="str">
        <f>G!BB310</f>
        <v>--</v>
      </c>
      <c r="X364" s="43"/>
      <c r="Y364" s="42" t="str">
        <f>G!BE310</f>
        <v/>
      </c>
      <c r="Z364" s="43" t="str">
        <f>G!BD310</f>
        <v>--</v>
      </c>
      <c r="AA364" s="42" t="str">
        <f>G!BF310</f>
        <v/>
      </c>
      <c r="AB364" s="42" t="str">
        <f>G!BG310</f>
        <v/>
      </c>
      <c r="AC364" s="43" t="str">
        <f>IFERROR(IF(OR(Z364="--",Z364="rg",VLOOKUP(F!$B310,E!$B$1:'E'!$AK$300,12,FALSE)=1000000000,AA364="-",AA364=""),"",(HLOOKUP(SMALL(G!$Q$4:'G'!$Y$4,7),G!$Q$4:'G'!$Y$501,ROW(G!AI310)-3,FALSE))/VLOOKUP(F!$B310,E!$B$1:'E'!$AK$300,12,FALSE)*100),"")</f>
        <v/>
      </c>
      <c r="AD364" s="43"/>
      <c r="AE364" s="34"/>
      <c r="AF364" s="34"/>
      <c r="AH364" s="72">
        <f t="shared" si="7"/>
        <v>1</v>
      </c>
      <c r="AJ364" s="34"/>
      <c r="AK364" s="34"/>
    </row>
    <row r="365" spans="1:37" s="72" customFormat="1" ht="9" hidden="1" customHeight="1" x14ac:dyDescent="0.15">
      <c r="A365" s="195" t="str">
        <f>F!A311</f>
        <v>n-Nitrosodi-n-propylamine</v>
      </c>
      <c r="B365" s="195"/>
      <c r="C365" s="195"/>
      <c r="D365" s="44" t="str">
        <f>G!AQ311</f>
        <v/>
      </c>
      <c r="E365" s="43" t="str">
        <f>G!AP311</f>
        <v>--</v>
      </c>
      <c r="F365" s="42"/>
      <c r="G365" s="42" t="str">
        <f>G!AS311</f>
        <v/>
      </c>
      <c r="H365" s="43" t="str">
        <f>G!AR311</f>
        <v>--</v>
      </c>
      <c r="I365" s="42" t="str">
        <f>G!AT311</f>
        <v/>
      </c>
      <c r="J365" s="42" t="str">
        <f>G!AU311</f>
        <v/>
      </c>
      <c r="K365" s="43" t="str">
        <f>IFERROR(IF(OR(H365="--",H365="rg",VLOOKUP(F!$B311,E!$B$1:'E'!$AK$300,12,FALSE)=1000000000,I365="-",I365=""),"",(HLOOKUP(SMALL(G!$Q$4:'G'!$Y$4,1),G!$Q$4:'G'!$Y$501,ROW(G!Q311)-3,FALSE))/VLOOKUP(F!$B311,E!$B$1:'E'!$AK$300,12,FALSE)*100),"")</f>
        <v/>
      </c>
      <c r="L365" s="43"/>
      <c r="M365" s="43" t="str">
        <f>G!AW311</f>
        <v/>
      </c>
      <c r="N365" s="43" t="str">
        <f>G!AV311</f>
        <v>--</v>
      </c>
      <c r="O365" s="42"/>
      <c r="P365" s="42" t="str">
        <f>G!AY311</f>
        <v/>
      </c>
      <c r="Q365" s="43" t="str">
        <f>G!AX311</f>
        <v>--</v>
      </c>
      <c r="R365" s="42" t="str">
        <f>G!AZ311</f>
        <v/>
      </c>
      <c r="S365" s="42" t="str">
        <f>G!BA311</f>
        <v/>
      </c>
      <c r="T365" s="43" t="str">
        <f>IFERROR(IF(OR(Q365="--",Q365="rg",VLOOKUP(F!$B311,E!$B$1:'E'!$AK$300,12,FALSE)=1000000000,R365="-",R365=""),"",(HLOOKUP(SMALL(G!$Q$4:'G'!$Y$4,4),G!$Q$4:'G'!$Y$501,ROW(G!Z311)-3,FALSE))/VLOOKUP(F!$B311,E!$B$1:'E'!$AK$300,12,FALSE)*100),"")</f>
        <v/>
      </c>
      <c r="U365" s="43"/>
      <c r="V365" s="43" t="str">
        <f>G!BC311</f>
        <v/>
      </c>
      <c r="W365" s="43" t="str">
        <f>G!BB311</f>
        <v>--</v>
      </c>
      <c r="X365" s="43"/>
      <c r="Y365" s="42" t="str">
        <f>G!BE311</f>
        <v/>
      </c>
      <c r="Z365" s="43" t="str">
        <f>G!BD311</f>
        <v>--</v>
      </c>
      <c r="AA365" s="42" t="str">
        <f>G!BF311</f>
        <v/>
      </c>
      <c r="AB365" s="42" t="str">
        <f>G!BG311</f>
        <v/>
      </c>
      <c r="AC365" s="43" t="str">
        <f>IFERROR(IF(OR(Z365="--",Z365="rg",VLOOKUP(F!$B311,E!$B$1:'E'!$AK$300,12,FALSE)=1000000000,AA365="-",AA365=""),"",(HLOOKUP(SMALL(G!$Q$4:'G'!$Y$4,7),G!$Q$4:'G'!$Y$501,ROW(G!AI311)-3,FALSE))/VLOOKUP(F!$B311,E!$B$1:'E'!$AK$300,12,FALSE)*100),"")</f>
        <v/>
      </c>
      <c r="AD365" s="43"/>
      <c r="AE365" s="34"/>
      <c r="AF365" s="34"/>
      <c r="AH365" s="72">
        <f t="shared" si="7"/>
        <v>1</v>
      </c>
      <c r="AJ365" s="34"/>
      <c r="AK365" s="34"/>
    </row>
    <row r="366" spans="1:37" ht="3.95" hidden="1" customHeight="1" x14ac:dyDescent="0.15">
      <c r="A366" s="41"/>
      <c r="B366" s="41"/>
      <c r="C366" s="41"/>
      <c r="D366" s="44"/>
      <c r="E366" s="43"/>
      <c r="F366" s="42"/>
      <c r="G366" s="42"/>
      <c r="H366" s="43"/>
      <c r="I366" s="42"/>
      <c r="J366" s="42"/>
      <c r="K366" s="42"/>
      <c r="L366" s="43"/>
      <c r="M366" s="43"/>
      <c r="N366" s="42"/>
      <c r="O366" s="42"/>
      <c r="P366" s="43"/>
      <c r="Q366" s="42"/>
      <c r="R366" s="42"/>
      <c r="S366" s="42"/>
      <c r="T366" s="43"/>
      <c r="U366" s="43"/>
      <c r="V366" s="43"/>
      <c r="W366" s="42"/>
      <c r="X366" s="43"/>
      <c r="Y366" s="42"/>
      <c r="Z366" s="43"/>
      <c r="AA366" s="43"/>
      <c r="AC366" s="34"/>
      <c r="AD366" s="72"/>
      <c r="AF366" s="72"/>
      <c r="AG366" s="34"/>
      <c r="AH366" s="94">
        <f>AH367</f>
        <v>1</v>
      </c>
      <c r="AI366" s="34"/>
    </row>
    <row r="367" spans="1:37" ht="9" hidden="1" customHeight="1" x14ac:dyDescent="0.15">
      <c r="A367" s="198" t="str">
        <f>IF(COUNTIF(F!D310:D316,131)&gt;0,"Alcoholen (µg/kgds)","Alcoholen (mg/kgds)")</f>
        <v>Alcoholen (mg/kgds)</v>
      </c>
      <c r="B367" s="198"/>
      <c r="C367" s="198"/>
      <c r="D367" s="198"/>
      <c r="E367" s="198"/>
      <c r="F367" s="198"/>
      <c r="G367" s="198"/>
      <c r="H367" s="198"/>
      <c r="I367" s="198"/>
      <c r="J367" s="198"/>
      <c r="K367" s="198"/>
      <c r="L367" s="198"/>
      <c r="M367" s="198"/>
      <c r="N367" s="198"/>
      <c r="O367" s="198"/>
      <c r="P367" s="198"/>
      <c r="Q367" s="198"/>
      <c r="R367" s="198"/>
      <c r="S367" s="198"/>
      <c r="T367" s="198"/>
      <c r="U367" s="198"/>
      <c r="V367" s="198"/>
      <c r="W367" s="198"/>
      <c r="X367" s="198"/>
      <c r="Y367" s="198"/>
      <c r="Z367" s="198"/>
      <c r="AA367" s="198"/>
      <c r="AC367" s="34"/>
      <c r="AD367" s="72"/>
      <c r="AF367" s="72"/>
      <c r="AG367" s="34"/>
      <c r="AH367" s="94">
        <f>IF(COUNTIF(AH368:AH374,1)=COUNT(AH368:AH374),1,0)</f>
        <v>1</v>
      </c>
      <c r="AI367" s="34"/>
    </row>
    <row r="368" spans="1:37" s="72" customFormat="1" ht="9" hidden="1" customHeight="1" x14ac:dyDescent="0.15">
      <c r="A368" s="195" t="str">
        <f>F!A312</f>
        <v>Methanol</v>
      </c>
      <c r="B368" s="195"/>
      <c r="C368" s="195"/>
      <c r="D368" s="44" t="str">
        <f>G!AQ312</f>
        <v/>
      </c>
      <c r="E368" s="43" t="str">
        <f>G!AP312</f>
        <v>--</v>
      </c>
      <c r="F368" s="42"/>
      <c r="G368" s="42" t="str">
        <f>G!AS312</f>
        <v/>
      </c>
      <c r="H368" s="43" t="str">
        <f>G!AR312</f>
        <v>--</v>
      </c>
      <c r="I368" s="42" t="str">
        <f>G!AT312</f>
        <v/>
      </c>
      <c r="J368" s="42" t="str">
        <f>G!AU312</f>
        <v/>
      </c>
      <c r="K368" s="43" t="str">
        <f>IFERROR(IF(OR(H368="--",H368="rg",VLOOKUP(F!$B312,E!$B$1:'E'!$AK$300,12,FALSE)=1000000000,I368="-",I368=""),"",(HLOOKUP(SMALL(G!$Q$4:'G'!$Y$4,1),G!$Q$4:'G'!$Y$501,ROW(G!Q312)-3,FALSE))/VLOOKUP(F!$B312,E!$B$1:'E'!$AK$300,12,FALSE)*100),"")</f>
        <v/>
      </c>
      <c r="L368" s="43"/>
      <c r="M368" s="43" t="str">
        <f>G!AW312</f>
        <v/>
      </c>
      <c r="N368" s="43" t="str">
        <f>G!AV312</f>
        <v>--</v>
      </c>
      <c r="O368" s="42"/>
      <c r="P368" s="42" t="str">
        <f>G!AY312</f>
        <v/>
      </c>
      <c r="Q368" s="43" t="str">
        <f>G!AX312</f>
        <v>--</v>
      </c>
      <c r="R368" s="42" t="str">
        <f>G!AZ312</f>
        <v/>
      </c>
      <c r="S368" s="42" t="str">
        <f>G!BA312</f>
        <v/>
      </c>
      <c r="T368" s="43" t="str">
        <f>IFERROR(IF(OR(Q368="--",Q368="rg",VLOOKUP(F!$B312,E!$B$1:'E'!$AK$300,12,FALSE)=1000000000,R368="-",R368=""),"",(HLOOKUP(SMALL(G!$Q$4:'G'!$Y$4,4),G!$Q$4:'G'!$Y$501,ROW(G!Z312)-3,FALSE))/VLOOKUP(F!$B312,E!$B$1:'E'!$AK$300,12,FALSE)*100),"")</f>
        <v/>
      </c>
      <c r="U368" s="43"/>
      <c r="V368" s="43" t="str">
        <f>G!BC312</f>
        <v/>
      </c>
      <c r="W368" s="43" t="str">
        <f>G!BB312</f>
        <v>--</v>
      </c>
      <c r="X368" s="43"/>
      <c r="Y368" s="42" t="str">
        <f>G!BE312</f>
        <v/>
      </c>
      <c r="Z368" s="43" t="str">
        <f>G!BD312</f>
        <v>--</v>
      </c>
      <c r="AA368" s="42" t="str">
        <f>G!BF312</f>
        <v/>
      </c>
      <c r="AB368" s="42" t="str">
        <f>G!BG312</f>
        <v/>
      </c>
      <c r="AC368" s="43" t="str">
        <f>IFERROR(IF(OR(Z368="--",Z368="rg",VLOOKUP(F!$B312,E!$B$1:'E'!$AK$300,12,FALSE)=1000000000,AA368="-",AA368=""),"",(HLOOKUP(SMALL(G!$Q$4:'G'!$Y$4,7),G!$Q$4:'G'!$Y$501,ROW(G!AI312)-3,FALSE))/VLOOKUP(F!$B312,E!$B$1:'E'!$AK$300,12,FALSE)*100),"")</f>
        <v/>
      </c>
      <c r="AD368" s="43"/>
      <c r="AE368" s="34"/>
      <c r="AF368" s="34"/>
      <c r="AH368" s="72">
        <f t="shared" si="7"/>
        <v>1</v>
      </c>
      <c r="AJ368" s="34"/>
      <c r="AK368" s="34"/>
    </row>
    <row r="369" spans="1:37" s="72" customFormat="1" ht="9" hidden="1" customHeight="1" x14ac:dyDescent="0.15">
      <c r="A369" s="195" t="str">
        <f>F!A313</f>
        <v>Ethanol</v>
      </c>
      <c r="B369" s="195"/>
      <c r="C369" s="195"/>
      <c r="D369" s="44" t="str">
        <f>G!AQ313</f>
        <v/>
      </c>
      <c r="E369" s="43" t="str">
        <f>G!AP313</f>
        <v>--</v>
      </c>
      <c r="F369" s="42"/>
      <c r="G369" s="42" t="str">
        <f>G!AS313</f>
        <v/>
      </c>
      <c r="H369" s="43" t="str">
        <f>G!AR313</f>
        <v>--</v>
      </c>
      <c r="I369" s="42" t="str">
        <f>G!AT313</f>
        <v/>
      </c>
      <c r="J369" s="42" t="str">
        <f>G!AU313</f>
        <v/>
      </c>
      <c r="K369" s="43" t="str">
        <f>IFERROR(IF(OR(H369="--",H369="rg",VLOOKUP(F!$B313,E!$B$1:'E'!$AK$300,12,FALSE)=1000000000,I369="-",I369=""),"",(HLOOKUP(SMALL(G!$Q$4:'G'!$Y$4,1),G!$Q$4:'G'!$Y$501,ROW(G!Q313)-3,FALSE))/VLOOKUP(F!$B313,E!$B$1:'E'!$AK$300,12,FALSE)*100),"")</f>
        <v/>
      </c>
      <c r="L369" s="43"/>
      <c r="M369" s="43" t="str">
        <f>G!AW313</f>
        <v/>
      </c>
      <c r="N369" s="43" t="str">
        <f>G!AV313</f>
        <v>--</v>
      </c>
      <c r="O369" s="42"/>
      <c r="P369" s="42" t="str">
        <f>G!AY313</f>
        <v/>
      </c>
      <c r="Q369" s="43" t="str">
        <f>G!AX313</f>
        <v>--</v>
      </c>
      <c r="R369" s="42" t="str">
        <f>G!AZ313</f>
        <v/>
      </c>
      <c r="S369" s="42" t="str">
        <f>G!BA313</f>
        <v/>
      </c>
      <c r="T369" s="43" t="str">
        <f>IFERROR(IF(OR(Q369="--",Q369="rg",VLOOKUP(F!$B313,E!$B$1:'E'!$AK$300,12,FALSE)=1000000000,R369="-",R369=""),"",(HLOOKUP(SMALL(G!$Q$4:'G'!$Y$4,4),G!$Q$4:'G'!$Y$501,ROW(G!Z313)-3,FALSE))/VLOOKUP(F!$B313,E!$B$1:'E'!$AK$300,12,FALSE)*100),"")</f>
        <v/>
      </c>
      <c r="U369" s="43"/>
      <c r="V369" s="43" t="str">
        <f>G!BC313</f>
        <v/>
      </c>
      <c r="W369" s="43" t="str">
        <f>G!BB313</f>
        <v>--</v>
      </c>
      <c r="X369" s="43"/>
      <c r="Y369" s="42" t="str">
        <f>G!BE313</f>
        <v/>
      </c>
      <c r="Z369" s="43" t="str">
        <f>G!BD313</f>
        <v>--</v>
      </c>
      <c r="AA369" s="42" t="str">
        <f>G!BF313</f>
        <v/>
      </c>
      <c r="AB369" s="42" t="str">
        <f>G!BG313</f>
        <v/>
      </c>
      <c r="AC369" s="43" t="str">
        <f>IFERROR(IF(OR(Z369="--",Z369="rg",VLOOKUP(F!$B313,E!$B$1:'E'!$AK$300,12,FALSE)=1000000000,AA369="-",AA369=""),"",(HLOOKUP(SMALL(G!$Q$4:'G'!$Y$4,7),G!$Q$4:'G'!$Y$501,ROW(G!AI313)-3,FALSE))/VLOOKUP(F!$B313,E!$B$1:'E'!$AK$300,12,FALSE)*100),"")</f>
        <v/>
      </c>
      <c r="AD369" s="43"/>
      <c r="AE369" s="34"/>
      <c r="AF369" s="34"/>
      <c r="AH369" s="72">
        <f t="shared" si="7"/>
        <v>1</v>
      </c>
      <c r="AJ369" s="34"/>
      <c r="AK369" s="34"/>
    </row>
    <row r="370" spans="1:37" s="72" customFormat="1" ht="9" hidden="1" customHeight="1" x14ac:dyDescent="0.15">
      <c r="A370" s="195" t="str">
        <f>F!A314</f>
        <v>1-Propanol</v>
      </c>
      <c r="B370" s="195"/>
      <c r="C370" s="195"/>
      <c r="D370" s="44" t="str">
        <f>G!AQ314</f>
        <v/>
      </c>
      <c r="E370" s="43" t="str">
        <f>G!AP314</f>
        <v>--</v>
      </c>
      <c r="F370" s="42"/>
      <c r="G370" s="42" t="str">
        <f>G!AS314</f>
        <v/>
      </c>
      <c r="H370" s="43" t="str">
        <f>G!AR314</f>
        <v>--</v>
      </c>
      <c r="I370" s="42" t="str">
        <f>G!AT314</f>
        <v/>
      </c>
      <c r="J370" s="42" t="str">
        <f>G!AU314</f>
        <v/>
      </c>
      <c r="K370" s="43" t="str">
        <f>IFERROR(IF(OR(H370="--",H370="rg",VLOOKUP(F!$B314,E!$B$1:'E'!$AK$300,12,FALSE)=1000000000,I370="-",I370=""),"",(HLOOKUP(SMALL(G!$Q$4:'G'!$Y$4,1),G!$Q$4:'G'!$Y$501,ROW(G!Q314)-3,FALSE))/VLOOKUP(F!$B314,E!$B$1:'E'!$AK$300,12,FALSE)*100),"")</f>
        <v/>
      </c>
      <c r="L370" s="43"/>
      <c r="M370" s="43" t="str">
        <f>G!AW314</f>
        <v/>
      </c>
      <c r="N370" s="43" t="str">
        <f>G!AV314</f>
        <v>--</v>
      </c>
      <c r="O370" s="42"/>
      <c r="P370" s="42" t="str">
        <f>G!AY314</f>
        <v/>
      </c>
      <c r="Q370" s="43" t="str">
        <f>G!AX314</f>
        <v>--</v>
      </c>
      <c r="R370" s="42" t="str">
        <f>G!AZ314</f>
        <v/>
      </c>
      <c r="S370" s="42" t="str">
        <f>G!BA314</f>
        <v/>
      </c>
      <c r="T370" s="43" t="str">
        <f>IFERROR(IF(OR(Q370="--",Q370="rg",VLOOKUP(F!$B314,E!$B$1:'E'!$AK$300,12,FALSE)=1000000000,R370="-",R370=""),"",(HLOOKUP(SMALL(G!$Q$4:'G'!$Y$4,4),G!$Q$4:'G'!$Y$501,ROW(G!Z314)-3,FALSE))/VLOOKUP(F!$B314,E!$B$1:'E'!$AK$300,12,FALSE)*100),"")</f>
        <v/>
      </c>
      <c r="U370" s="43"/>
      <c r="V370" s="43" t="str">
        <f>G!BC314</f>
        <v/>
      </c>
      <c r="W370" s="43" t="str">
        <f>G!BB314</f>
        <v>--</v>
      </c>
      <c r="X370" s="43"/>
      <c r="Y370" s="42" t="str">
        <f>G!BE314</f>
        <v/>
      </c>
      <c r="Z370" s="43" t="str">
        <f>G!BD314</f>
        <v>--</v>
      </c>
      <c r="AA370" s="42" t="str">
        <f>G!BF314</f>
        <v/>
      </c>
      <c r="AB370" s="42" t="str">
        <f>G!BG314</f>
        <v/>
      </c>
      <c r="AC370" s="43" t="str">
        <f>IFERROR(IF(OR(Z370="--",Z370="rg",VLOOKUP(F!$B314,E!$B$1:'E'!$AK$300,12,FALSE)=1000000000,AA370="-",AA370=""),"",(HLOOKUP(SMALL(G!$Q$4:'G'!$Y$4,7),G!$Q$4:'G'!$Y$501,ROW(G!AI314)-3,FALSE))/VLOOKUP(F!$B314,E!$B$1:'E'!$AK$300,12,FALSE)*100),"")</f>
        <v/>
      </c>
      <c r="AD370" s="43"/>
      <c r="AE370" s="34"/>
      <c r="AF370" s="34"/>
      <c r="AH370" s="72">
        <f t="shared" si="7"/>
        <v>1</v>
      </c>
      <c r="AJ370" s="34"/>
      <c r="AK370" s="34"/>
    </row>
    <row r="371" spans="1:37" s="72" customFormat="1" ht="9" hidden="1" customHeight="1" x14ac:dyDescent="0.15">
      <c r="A371" s="195" t="str">
        <f>F!A315</f>
        <v>2-Propanol (IPA)</v>
      </c>
      <c r="B371" s="195"/>
      <c r="C371" s="195"/>
      <c r="D371" s="44" t="str">
        <f>G!AQ315</f>
        <v/>
      </c>
      <c r="E371" s="43" t="str">
        <f>G!AP315</f>
        <v>--</v>
      </c>
      <c r="F371" s="42"/>
      <c r="G371" s="42" t="str">
        <f>G!AS315</f>
        <v/>
      </c>
      <c r="H371" s="43" t="str">
        <f>G!AR315</f>
        <v>--</v>
      </c>
      <c r="I371" s="42" t="str">
        <f>G!AT315</f>
        <v/>
      </c>
      <c r="J371" s="42" t="str">
        <f>G!AU315</f>
        <v/>
      </c>
      <c r="K371" s="43" t="str">
        <f>IFERROR(IF(OR(H371="--",H371="rg",VLOOKUP(F!$B315,E!$B$1:'E'!$AK$300,12,FALSE)=1000000000,I371="-",I371=""),"",(HLOOKUP(SMALL(G!$Q$4:'G'!$Y$4,1),G!$Q$4:'G'!$Y$501,ROW(G!Q315)-3,FALSE))/VLOOKUP(F!$B315,E!$B$1:'E'!$AK$300,12,FALSE)*100),"")</f>
        <v/>
      </c>
      <c r="L371" s="43"/>
      <c r="M371" s="43" t="str">
        <f>G!AW315</f>
        <v/>
      </c>
      <c r="N371" s="43" t="str">
        <f>G!AV315</f>
        <v>--</v>
      </c>
      <c r="O371" s="42"/>
      <c r="P371" s="42" t="str">
        <f>G!AY315</f>
        <v/>
      </c>
      <c r="Q371" s="43" t="str">
        <f>G!AX315</f>
        <v>--</v>
      </c>
      <c r="R371" s="42" t="str">
        <f>G!AZ315</f>
        <v/>
      </c>
      <c r="S371" s="42" t="str">
        <f>G!BA315</f>
        <v/>
      </c>
      <c r="T371" s="43" t="str">
        <f>IFERROR(IF(OR(Q371="--",Q371="rg",VLOOKUP(F!$B315,E!$B$1:'E'!$AK$300,12,FALSE)=1000000000,R371="-",R371=""),"",(HLOOKUP(SMALL(G!$Q$4:'G'!$Y$4,4),G!$Q$4:'G'!$Y$501,ROW(G!Z315)-3,FALSE))/VLOOKUP(F!$B315,E!$B$1:'E'!$AK$300,12,FALSE)*100),"")</f>
        <v/>
      </c>
      <c r="U371" s="43"/>
      <c r="V371" s="43" t="str">
        <f>G!BC315</f>
        <v/>
      </c>
      <c r="W371" s="43" t="str">
        <f>G!BB315</f>
        <v>--</v>
      </c>
      <c r="X371" s="43"/>
      <c r="Y371" s="42" t="str">
        <f>G!BE315</f>
        <v/>
      </c>
      <c r="Z371" s="43" t="str">
        <f>G!BD315</f>
        <v>--</v>
      </c>
      <c r="AA371" s="42" t="str">
        <f>G!BF315</f>
        <v/>
      </c>
      <c r="AB371" s="42" t="str">
        <f>G!BG315</f>
        <v/>
      </c>
      <c r="AC371" s="43" t="str">
        <f>IFERROR(IF(OR(Z371="--",Z371="rg",VLOOKUP(F!$B315,E!$B$1:'E'!$AK$300,12,FALSE)=1000000000,AA371="-",AA371=""),"",(HLOOKUP(SMALL(G!$Q$4:'G'!$Y$4,7),G!$Q$4:'G'!$Y$501,ROW(G!AI315)-3,FALSE))/VLOOKUP(F!$B315,E!$B$1:'E'!$AK$300,12,FALSE)*100),"")</f>
        <v/>
      </c>
      <c r="AD371" s="43"/>
      <c r="AE371" s="34"/>
      <c r="AF371" s="34"/>
      <c r="AH371" s="72">
        <f t="shared" si="7"/>
        <v>1</v>
      </c>
      <c r="AJ371" s="34"/>
      <c r="AK371" s="34"/>
    </row>
    <row r="372" spans="1:37" s="72" customFormat="1" ht="9" hidden="1" customHeight="1" x14ac:dyDescent="0.15">
      <c r="A372" s="195" t="str">
        <f>F!A316</f>
        <v>1-Butanol</v>
      </c>
      <c r="B372" s="195"/>
      <c r="C372" s="195"/>
      <c r="D372" s="44" t="str">
        <f>G!AQ316</f>
        <v/>
      </c>
      <c r="E372" s="43" t="str">
        <f>G!AP316</f>
        <v>--</v>
      </c>
      <c r="F372" s="42"/>
      <c r="G372" s="42" t="str">
        <f>G!AS316</f>
        <v/>
      </c>
      <c r="H372" s="43" t="str">
        <f>G!AR316</f>
        <v>--</v>
      </c>
      <c r="I372" s="42" t="str">
        <f>G!AT316</f>
        <v/>
      </c>
      <c r="J372" s="42" t="str">
        <f>G!AU316</f>
        <v/>
      </c>
      <c r="K372" s="43" t="str">
        <f>IFERROR(IF(OR(H372="--",H372="rg",VLOOKUP(F!$B316,E!$B$1:'E'!$AK$300,12,FALSE)=1000000000,I372="-",I372=""),"",(HLOOKUP(SMALL(G!$Q$4:'G'!$Y$4,1),G!$Q$4:'G'!$Y$501,ROW(G!Q316)-3,FALSE))/VLOOKUP(F!$B316,E!$B$1:'E'!$AK$300,12,FALSE)*100),"")</f>
        <v/>
      </c>
      <c r="L372" s="43"/>
      <c r="M372" s="43" t="str">
        <f>G!AW316</f>
        <v/>
      </c>
      <c r="N372" s="43" t="str">
        <f>G!AV316</f>
        <v>--</v>
      </c>
      <c r="O372" s="42"/>
      <c r="P372" s="42" t="str">
        <f>G!AY316</f>
        <v/>
      </c>
      <c r="Q372" s="43" t="str">
        <f>G!AX316</f>
        <v>--</v>
      </c>
      <c r="R372" s="42" t="str">
        <f>G!AZ316</f>
        <v/>
      </c>
      <c r="S372" s="42" t="str">
        <f>G!BA316</f>
        <v/>
      </c>
      <c r="T372" s="43" t="str">
        <f>IFERROR(IF(OR(Q372="--",Q372="rg",VLOOKUP(F!$B316,E!$B$1:'E'!$AK$300,12,FALSE)=1000000000,R372="-",R372=""),"",(HLOOKUP(SMALL(G!$Q$4:'G'!$Y$4,4),G!$Q$4:'G'!$Y$501,ROW(G!Z316)-3,FALSE))/VLOOKUP(F!$B316,E!$B$1:'E'!$AK$300,12,FALSE)*100),"")</f>
        <v/>
      </c>
      <c r="U372" s="43"/>
      <c r="V372" s="43" t="str">
        <f>G!BC316</f>
        <v/>
      </c>
      <c r="W372" s="43" t="str">
        <f>G!BB316</f>
        <v>--</v>
      </c>
      <c r="X372" s="43"/>
      <c r="Y372" s="42" t="str">
        <f>G!BE316</f>
        <v/>
      </c>
      <c r="Z372" s="43" t="str">
        <f>G!BD316</f>
        <v>--</v>
      </c>
      <c r="AA372" s="42" t="str">
        <f>G!BF316</f>
        <v/>
      </c>
      <c r="AB372" s="42" t="str">
        <f>G!BG316</f>
        <v/>
      </c>
      <c r="AC372" s="43" t="str">
        <f>IFERROR(IF(OR(Z372="--",Z372="rg",VLOOKUP(F!$B316,E!$B$1:'E'!$AK$300,12,FALSE)=1000000000,AA372="-",AA372=""),"",(HLOOKUP(SMALL(G!$Q$4:'G'!$Y$4,7),G!$Q$4:'G'!$Y$501,ROW(G!AI316)-3,FALSE))/VLOOKUP(F!$B316,E!$B$1:'E'!$AK$300,12,FALSE)*100),"")</f>
        <v/>
      </c>
      <c r="AD372" s="43"/>
      <c r="AE372" s="34"/>
      <c r="AF372" s="34"/>
      <c r="AH372" s="72">
        <f t="shared" si="7"/>
        <v>1</v>
      </c>
      <c r="AJ372" s="34"/>
      <c r="AK372" s="34"/>
    </row>
    <row r="373" spans="1:37" s="72" customFormat="1" ht="9" hidden="1" customHeight="1" x14ac:dyDescent="0.15">
      <c r="A373" s="195" t="str">
        <f>F!A317</f>
        <v>Iso-butanol</v>
      </c>
      <c r="B373" s="195"/>
      <c r="C373" s="195"/>
      <c r="D373" s="44" t="str">
        <f>G!AQ317</f>
        <v/>
      </c>
      <c r="E373" s="43" t="str">
        <f>G!AP317</f>
        <v>--</v>
      </c>
      <c r="F373" s="42"/>
      <c r="G373" s="42" t="str">
        <f>G!AS317</f>
        <v/>
      </c>
      <c r="H373" s="43" t="str">
        <f>G!AR317</f>
        <v>--</v>
      </c>
      <c r="I373" s="42" t="str">
        <f>G!AT317</f>
        <v/>
      </c>
      <c r="J373" s="42" t="str">
        <f>G!AU317</f>
        <v/>
      </c>
      <c r="K373" s="43" t="str">
        <f>IFERROR(IF(OR(H373="--",H373="rg",VLOOKUP(F!$B317,E!$B$1:'E'!$AK$300,12,FALSE)=1000000000,I373="-",I373=""),"",(HLOOKUP(SMALL(G!$Q$4:'G'!$Y$4,1),G!$Q$4:'G'!$Y$501,ROW(G!Q317)-3,FALSE))/VLOOKUP(F!$B317,E!$B$1:'E'!$AK$300,12,FALSE)*100),"")</f>
        <v/>
      </c>
      <c r="L373" s="43"/>
      <c r="M373" s="43" t="str">
        <f>G!AW317</f>
        <v/>
      </c>
      <c r="N373" s="43" t="str">
        <f>G!AV317</f>
        <v>--</v>
      </c>
      <c r="O373" s="42"/>
      <c r="P373" s="42" t="str">
        <f>G!AY317</f>
        <v/>
      </c>
      <c r="Q373" s="43" t="str">
        <f>G!AX317</f>
        <v>--</v>
      </c>
      <c r="R373" s="42" t="str">
        <f>G!AZ317</f>
        <v/>
      </c>
      <c r="S373" s="42" t="str">
        <f>G!BA317</f>
        <v/>
      </c>
      <c r="T373" s="43" t="str">
        <f>IFERROR(IF(OR(Q373="--",Q373="rg",VLOOKUP(F!$B317,E!$B$1:'E'!$AK$300,12,FALSE)=1000000000,R373="-",R373=""),"",(HLOOKUP(SMALL(G!$Q$4:'G'!$Y$4,4),G!$Q$4:'G'!$Y$501,ROW(G!Z317)-3,FALSE))/VLOOKUP(F!$B317,E!$B$1:'E'!$AK$300,12,FALSE)*100),"")</f>
        <v/>
      </c>
      <c r="U373" s="43"/>
      <c r="V373" s="43" t="str">
        <f>G!BC317</f>
        <v/>
      </c>
      <c r="W373" s="43" t="str">
        <f>G!BB317</f>
        <v>--</v>
      </c>
      <c r="X373" s="43"/>
      <c r="Y373" s="42" t="str">
        <f>G!BE317</f>
        <v/>
      </c>
      <c r="Z373" s="43" t="str">
        <f>G!BD317</f>
        <v>--</v>
      </c>
      <c r="AA373" s="42" t="str">
        <f>G!BF317</f>
        <v/>
      </c>
      <c r="AB373" s="42" t="str">
        <f>G!BG317</f>
        <v/>
      </c>
      <c r="AC373" s="43" t="str">
        <f>IFERROR(IF(OR(Z373="--",Z373="rg",VLOOKUP(F!$B317,E!$B$1:'E'!$AK$300,12,FALSE)=1000000000,AA373="-",AA373=""),"",(HLOOKUP(SMALL(G!$Q$4:'G'!$Y$4,7),G!$Q$4:'G'!$Y$501,ROW(G!AI317)-3,FALSE))/VLOOKUP(F!$B317,E!$B$1:'E'!$AK$300,12,FALSE)*100),"")</f>
        <v/>
      </c>
      <c r="AD373" s="43"/>
      <c r="AE373" s="34"/>
      <c r="AF373" s="34"/>
      <c r="AH373" s="72">
        <f t="shared" si="7"/>
        <v>1</v>
      </c>
      <c r="AJ373" s="34"/>
      <c r="AK373" s="34"/>
    </row>
    <row r="374" spans="1:37" s="72" customFormat="1" ht="9" hidden="1" customHeight="1" x14ac:dyDescent="0.15">
      <c r="A374" s="195" t="str">
        <f>F!A318</f>
        <v>Tert-butanol</v>
      </c>
      <c r="B374" s="195"/>
      <c r="C374" s="195"/>
      <c r="D374" s="44" t="str">
        <f>G!AQ318</f>
        <v/>
      </c>
      <c r="E374" s="43" t="str">
        <f>G!AP318</f>
        <v>--</v>
      </c>
      <c r="F374" s="42"/>
      <c r="G374" s="42" t="str">
        <f>G!AS318</f>
        <v/>
      </c>
      <c r="H374" s="43" t="str">
        <f>G!AR318</f>
        <v>--</v>
      </c>
      <c r="I374" s="42" t="str">
        <f>G!AT318</f>
        <v/>
      </c>
      <c r="J374" s="42" t="str">
        <f>G!AU318</f>
        <v/>
      </c>
      <c r="K374" s="43" t="str">
        <f>IFERROR(IF(OR(H374="--",H374="rg",VLOOKUP(F!$B318,E!$B$1:'E'!$AK$300,12,FALSE)=1000000000,I374="-",I374=""),"",(HLOOKUP(SMALL(G!$Q$4:'G'!$Y$4,1),G!$Q$4:'G'!$Y$501,ROW(G!Q318)-3,FALSE))/VLOOKUP(F!$B318,E!$B$1:'E'!$AK$300,12,FALSE)*100),"")</f>
        <v/>
      </c>
      <c r="L374" s="43"/>
      <c r="M374" s="43" t="str">
        <f>G!AW318</f>
        <v/>
      </c>
      <c r="N374" s="43" t="str">
        <f>G!AV318</f>
        <v>--</v>
      </c>
      <c r="O374" s="42"/>
      <c r="P374" s="42" t="str">
        <f>G!AY318</f>
        <v/>
      </c>
      <c r="Q374" s="43" t="str">
        <f>G!AX318</f>
        <v>--</v>
      </c>
      <c r="R374" s="42" t="str">
        <f>G!AZ318</f>
        <v/>
      </c>
      <c r="S374" s="42" t="str">
        <f>G!BA318</f>
        <v/>
      </c>
      <c r="T374" s="43" t="str">
        <f>IFERROR(IF(OR(Q374="--",Q374="rg",VLOOKUP(F!$B318,E!$B$1:'E'!$AK$300,12,FALSE)=1000000000,R374="-",R374=""),"",(HLOOKUP(SMALL(G!$Q$4:'G'!$Y$4,4),G!$Q$4:'G'!$Y$501,ROW(G!Z318)-3,FALSE))/VLOOKUP(F!$B318,E!$B$1:'E'!$AK$300,12,FALSE)*100),"")</f>
        <v/>
      </c>
      <c r="U374" s="43"/>
      <c r="V374" s="43" t="str">
        <f>G!BC318</f>
        <v/>
      </c>
      <c r="W374" s="43" t="str">
        <f>G!BB318</f>
        <v>--</v>
      </c>
      <c r="X374" s="43"/>
      <c r="Y374" s="42" t="str">
        <f>G!BE318</f>
        <v/>
      </c>
      <c r="Z374" s="43" t="str">
        <f>G!BD318</f>
        <v>--</v>
      </c>
      <c r="AA374" s="42" t="str">
        <f>G!BF318</f>
        <v/>
      </c>
      <c r="AB374" s="42" t="str">
        <f>G!BG318</f>
        <v/>
      </c>
      <c r="AC374" s="43" t="str">
        <f>IFERROR(IF(OR(Z374="--",Z374="rg",VLOOKUP(F!$B318,E!$B$1:'E'!$AK$300,12,FALSE)=1000000000,AA374="-",AA374=""),"",(HLOOKUP(SMALL(G!$Q$4:'G'!$Y$4,7),G!$Q$4:'G'!$Y$501,ROW(G!AI318)-3,FALSE))/VLOOKUP(F!$B318,E!$B$1:'E'!$AK$300,12,FALSE)*100),"")</f>
        <v/>
      </c>
      <c r="AD374" s="43"/>
      <c r="AE374" s="34"/>
      <c r="AF374" s="34"/>
      <c r="AH374" s="72">
        <f t="shared" si="7"/>
        <v>1</v>
      </c>
      <c r="AJ374" s="34"/>
      <c r="AK374" s="34"/>
    </row>
    <row r="375" spans="1:37" ht="3.95" hidden="1" customHeight="1" x14ac:dyDescent="0.15">
      <c r="A375" s="41"/>
      <c r="B375" s="41"/>
      <c r="C375" s="41"/>
      <c r="D375" s="44"/>
      <c r="E375" s="43"/>
      <c r="F375" s="42"/>
      <c r="G375" s="42"/>
      <c r="H375" s="43"/>
      <c r="I375" s="42"/>
      <c r="J375" s="42"/>
      <c r="K375" s="42"/>
      <c r="L375" s="43"/>
      <c r="M375" s="43"/>
      <c r="N375" s="42"/>
      <c r="O375" s="42"/>
      <c r="P375" s="43"/>
      <c r="Q375" s="42"/>
      <c r="R375" s="42"/>
      <c r="S375" s="42"/>
      <c r="T375" s="43"/>
      <c r="U375" s="43"/>
      <c r="V375" s="43"/>
      <c r="W375" s="42"/>
      <c r="X375" s="43"/>
      <c r="Y375" s="42"/>
      <c r="Z375" s="43"/>
      <c r="AA375" s="43"/>
      <c r="AC375" s="34"/>
      <c r="AD375" s="72"/>
      <c r="AF375" s="72"/>
      <c r="AG375" s="34"/>
      <c r="AH375" s="94">
        <f>AH376</f>
        <v>1</v>
      </c>
      <c r="AI375" s="34"/>
    </row>
    <row r="376" spans="1:37" ht="9" hidden="1" customHeight="1" x14ac:dyDescent="0.15">
      <c r="A376" s="198" t="str">
        <f>IF(COUNTIF(F!D317:D319,131)&gt;0,"Acetaten (µg/kgds)","Acetaten (mg/kgds)")</f>
        <v>Acetaten (mg/kgds)</v>
      </c>
      <c r="B376" s="198"/>
      <c r="C376" s="198"/>
      <c r="D376" s="198"/>
      <c r="E376" s="198"/>
      <c r="F376" s="198"/>
      <c r="G376" s="198"/>
      <c r="H376" s="198"/>
      <c r="I376" s="198"/>
      <c r="J376" s="198"/>
      <c r="K376" s="198"/>
      <c r="L376" s="198"/>
      <c r="M376" s="198"/>
      <c r="N376" s="198"/>
      <c r="O376" s="198"/>
      <c r="P376" s="198"/>
      <c r="Q376" s="198"/>
      <c r="R376" s="198"/>
      <c r="S376" s="198"/>
      <c r="T376" s="198"/>
      <c r="U376" s="198"/>
      <c r="V376" s="198"/>
      <c r="W376" s="198"/>
      <c r="X376" s="198"/>
      <c r="Y376" s="198"/>
      <c r="Z376" s="198"/>
      <c r="AA376" s="198"/>
      <c r="AC376" s="34"/>
      <c r="AD376" s="72"/>
      <c r="AF376" s="72"/>
      <c r="AG376" s="34"/>
      <c r="AH376" s="94">
        <f>IF(COUNTIF(AH377:AH379,1)=COUNT(AH377:AH379),1,0)</f>
        <v>1</v>
      </c>
      <c r="AI376" s="34"/>
    </row>
    <row r="377" spans="1:37" s="72" customFormat="1" ht="9" hidden="1" customHeight="1" x14ac:dyDescent="0.15">
      <c r="A377" s="195" t="str">
        <f>F!A319</f>
        <v>Methylacetaat</v>
      </c>
      <c r="B377" s="195"/>
      <c r="C377" s="195"/>
      <c r="D377" s="44" t="str">
        <f>G!AQ319</f>
        <v/>
      </c>
      <c r="E377" s="43" t="str">
        <f>G!AP319</f>
        <v>--</v>
      </c>
      <c r="F377" s="42"/>
      <c r="G377" s="42" t="str">
        <f>G!AS319</f>
        <v/>
      </c>
      <c r="H377" s="43" t="str">
        <f>G!AR319</f>
        <v>--</v>
      </c>
      <c r="I377" s="42" t="str">
        <f>G!AT319</f>
        <v/>
      </c>
      <c r="J377" s="42" t="str">
        <f>G!AU319</f>
        <v/>
      </c>
      <c r="K377" s="43" t="str">
        <f>IFERROR(IF(OR(H377="--",H377="rg",VLOOKUP(F!$B319,E!$B$1:'E'!$AK$300,12,FALSE)=1000000000,I377="-",I377=""),"",(HLOOKUP(SMALL(G!$Q$4:'G'!$Y$4,1),G!$Q$4:'G'!$Y$501,ROW(G!Q319)-3,FALSE))/VLOOKUP(F!$B319,E!$B$1:'E'!$AK$300,12,FALSE)*100),"")</f>
        <v/>
      </c>
      <c r="L377" s="43"/>
      <c r="M377" s="43" t="str">
        <f>G!AW319</f>
        <v/>
      </c>
      <c r="N377" s="43" t="str">
        <f>G!AV319</f>
        <v>--</v>
      </c>
      <c r="O377" s="42"/>
      <c r="P377" s="42" t="str">
        <f>G!AY319</f>
        <v/>
      </c>
      <c r="Q377" s="43" t="str">
        <f>G!AX319</f>
        <v>--</v>
      </c>
      <c r="R377" s="42" t="str">
        <f>G!AZ319</f>
        <v/>
      </c>
      <c r="S377" s="42" t="str">
        <f>G!BA319</f>
        <v/>
      </c>
      <c r="T377" s="43" t="str">
        <f>IFERROR(IF(OR(Q377="--",Q377="rg",VLOOKUP(F!$B319,E!$B$1:'E'!$AK$300,12,FALSE)=1000000000,R377="-",R377=""),"",(HLOOKUP(SMALL(G!$Q$4:'G'!$Y$4,4),G!$Q$4:'G'!$Y$501,ROW(G!Z319)-3,FALSE))/VLOOKUP(F!$B319,E!$B$1:'E'!$AK$300,12,FALSE)*100),"")</f>
        <v/>
      </c>
      <c r="U377" s="43"/>
      <c r="V377" s="43" t="str">
        <f>G!BC319</f>
        <v/>
      </c>
      <c r="W377" s="43" t="str">
        <f>G!BB319</f>
        <v>--</v>
      </c>
      <c r="X377" s="43"/>
      <c r="Y377" s="42" t="str">
        <f>G!BE319</f>
        <v/>
      </c>
      <c r="Z377" s="43" t="str">
        <f>G!BD319</f>
        <v>--</v>
      </c>
      <c r="AA377" s="42" t="str">
        <f>G!BF319</f>
        <v/>
      </c>
      <c r="AB377" s="42" t="str">
        <f>G!BG319</f>
        <v/>
      </c>
      <c r="AC377" s="43" t="str">
        <f>IFERROR(IF(OR(Z377="--",Z377="rg",VLOOKUP(F!$B319,E!$B$1:'E'!$AK$300,12,FALSE)=1000000000,AA377="-",AA377=""),"",(HLOOKUP(SMALL(G!$Q$4:'G'!$Y$4,7),G!$Q$4:'G'!$Y$501,ROW(G!AI319)-3,FALSE))/VLOOKUP(F!$B319,E!$B$1:'E'!$AK$300,12,FALSE)*100),"")</f>
        <v/>
      </c>
      <c r="AD377" s="43"/>
      <c r="AE377" s="34"/>
      <c r="AF377" s="34"/>
      <c r="AH377" s="72">
        <f t="shared" si="7"/>
        <v>1</v>
      </c>
      <c r="AJ377" s="34"/>
      <c r="AK377" s="34"/>
    </row>
    <row r="378" spans="1:37" s="72" customFormat="1" ht="9" hidden="1" customHeight="1" x14ac:dyDescent="0.15">
      <c r="A378" s="195" t="str">
        <f>F!A320</f>
        <v>Ethylacetaat</v>
      </c>
      <c r="B378" s="195"/>
      <c r="C378" s="195"/>
      <c r="D378" s="44" t="str">
        <f>G!AQ320</f>
        <v/>
      </c>
      <c r="E378" s="43" t="str">
        <f>G!AP320</f>
        <v>--</v>
      </c>
      <c r="F378" s="42"/>
      <c r="G378" s="42" t="str">
        <f>G!AS320</f>
        <v/>
      </c>
      <c r="H378" s="43" t="str">
        <f>G!AR320</f>
        <v>--</v>
      </c>
      <c r="I378" s="42" t="str">
        <f>G!AT320</f>
        <v/>
      </c>
      <c r="J378" s="42" t="str">
        <f>G!AU320</f>
        <v/>
      </c>
      <c r="K378" s="43" t="str">
        <f>IFERROR(IF(OR(H378="--",H378="rg",VLOOKUP(F!$B320,E!$B$1:'E'!$AK$300,12,FALSE)=1000000000,I378="-",I378=""),"",(HLOOKUP(SMALL(G!$Q$4:'G'!$Y$4,1),G!$Q$4:'G'!$Y$501,ROW(G!Q320)-3,FALSE))/VLOOKUP(F!$B320,E!$B$1:'E'!$AK$300,12,FALSE)*100),"")</f>
        <v/>
      </c>
      <c r="L378" s="43"/>
      <c r="M378" s="43" t="str">
        <f>G!AW320</f>
        <v/>
      </c>
      <c r="N378" s="43" t="str">
        <f>G!AV320</f>
        <v>--</v>
      </c>
      <c r="O378" s="42"/>
      <c r="P378" s="42" t="str">
        <f>G!AY320</f>
        <v/>
      </c>
      <c r="Q378" s="43" t="str">
        <f>G!AX320</f>
        <v>--</v>
      </c>
      <c r="R378" s="42" t="str">
        <f>G!AZ320</f>
        <v/>
      </c>
      <c r="S378" s="42" t="str">
        <f>G!BA320</f>
        <v/>
      </c>
      <c r="T378" s="43" t="str">
        <f>IFERROR(IF(OR(Q378="--",Q378="rg",VLOOKUP(F!$B320,E!$B$1:'E'!$AK$300,12,FALSE)=1000000000,R378="-",R378=""),"",(HLOOKUP(SMALL(G!$Q$4:'G'!$Y$4,4),G!$Q$4:'G'!$Y$501,ROW(G!Z320)-3,FALSE))/VLOOKUP(F!$B320,E!$B$1:'E'!$AK$300,12,FALSE)*100),"")</f>
        <v/>
      </c>
      <c r="U378" s="43"/>
      <c r="V378" s="43" t="str">
        <f>G!BC320</f>
        <v/>
      </c>
      <c r="W378" s="43" t="str">
        <f>G!BB320</f>
        <v>--</v>
      </c>
      <c r="X378" s="43"/>
      <c r="Y378" s="42" t="str">
        <f>G!BE320</f>
        <v/>
      </c>
      <c r="Z378" s="43" t="str">
        <f>G!BD320</f>
        <v>--</v>
      </c>
      <c r="AA378" s="42" t="str">
        <f>G!BF320</f>
        <v/>
      </c>
      <c r="AB378" s="42" t="str">
        <f>G!BG320</f>
        <v/>
      </c>
      <c r="AC378" s="43" t="str">
        <f>IFERROR(IF(OR(Z378="--",Z378="rg",VLOOKUP(F!$B320,E!$B$1:'E'!$AK$300,12,FALSE)=1000000000,AA378="-",AA378=""),"",(HLOOKUP(SMALL(G!$Q$4:'G'!$Y$4,7),G!$Q$4:'G'!$Y$501,ROW(G!AI320)-3,FALSE))/VLOOKUP(F!$B320,E!$B$1:'E'!$AK$300,12,FALSE)*100),"")</f>
        <v/>
      </c>
      <c r="AD378" s="43"/>
      <c r="AE378" s="34"/>
      <c r="AF378" s="34"/>
      <c r="AH378" s="72">
        <f t="shared" si="7"/>
        <v>1</v>
      </c>
      <c r="AJ378" s="34"/>
      <c r="AK378" s="34"/>
    </row>
    <row r="379" spans="1:37" s="72" customFormat="1" ht="9" hidden="1" customHeight="1" x14ac:dyDescent="0.15">
      <c r="A379" s="195" t="str">
        <f>F!A321</f>
        <v>Butylacetaat</v>
      </c>
      <c r="B379" s="195"/>
      <c r="C379" s="195"/>
      <c r="D379" s="44" t="str">
        <f>G!AQ321</f>
        <v/>
      </c>
      <c r="E379" s="43" t="str">
        <f>G!AP321</f>
        <v>--</v>
      </c>
      <c r="F379" s="42"/>
      <c r="G379" s="42" t="str">
        <f>G!AS321</f>
        <v/>
      </c>
      <c r="H379" s="43" t="str">
        <f>G!AR321</f>
        <v>--</v>
      </c>
      <c r="I379" s="42" t="str">
        <f>G!AT321</f>
        <v/>
      </c>
      <c r="J379" s="42" t="str">
        <f>G!AU321</f>
        <v/>
      </c>
      <c r="K379" s="43" t="str">
        <f>IFERROR(IF(OR(H379="--",H379="rg",VLOOKUP(F!$B321,E!$B$1:'E'!$AK$300,12,FALSE)=1000000000,I379="-",I379=""),"",(HLOOKUP(SMALL(G!$Q$4:'G'!$Y$4,1),G!$Q$4:'G'!$Y$501,ROW(G!Q321)-3,FALSE))/VLOOKUP(F!$B321,E!$B$1:'E'!$AK$300,12,FALSE)*100),"")</f>
        <v/>
      </c>
      <c r="L379" s="43"/>
      <c r="M379" s="43" t="str">
        <f>G!AW321</f>
        <v/>
      </c>
      <c r="N379" s="43" t="str">
        <f>G!AV321</f>
        <v>--</v>
      </c>
      <c r="O379" s="42"/>
      <c r="P379" s="42" t="str">
        <f>G!AY321</f>
        <v/>
      </c>
      <c r="Q379" s="43" t="str">
        <f>G!AX321</f>
        <v>--</v>
      </c>
      <c r="R379" s="42" t="str">
        <f>G!AZ321</f>
        <v/>
      </c>
      <c r="S379" s="42" t="str">
        <f>G!BA321</f>
        <v/>
      </c>
      <c r="T379" s="43" t="str">
        <f>IFERROR(IF(OR(Q379="--",Q379="rg",VLOOKUP(F!$B321,E!$B$1:'E'!$AK$300,12,FALSE)=1000000000,R379="-",R379=""),"",(HLOOKUP(SMALL(G!$Q$4:'G'!$Y$4,4),G!$Q$4:'G'!$Y$501,ROW(G!Z321)-3,FALSE))/VLOOKUP(F!$B321,E!$B$1:'E'!$AK$300,12,FALSE)*100),"")</f>
        <v/>
      </c>
      <c r="U379" s="43"/>
      <c r="V379" s="43" t="str">
        <f>G!BC321</f>
        <v/>
      </c>
      <c r="W379" s="43" t="str">
        <f>G!BB321</f>
        <v>--</v>
      </c>
      <c r="X379" s="43"/>
      <c r="Y379" s="42" t="str">
        <f>G!BE321</f>
        <v/>
      </c>
      <c r="Z379" s="43" t="str">
        <f>G!BD321</f>
        <v>--</v>
      </c>
      <c r="AA379" s="42" t="str">
        <f>G!BF321</f>
        <v/>
      </c>
      <c r="AB379" s="42" t="str">
        <f>G!BG321</f>
        <v/>
      </c>
      <c r="AC379" s="43" t="str">
        <f>IFERROR(IF(OR(Z379="--",Z379="rg",VLOOKUP(F!$B321,E!$B$1:'E'!$AK$300,12,FALSE)=1000000000,AA379="-",AA379=""),"",(HLOOKUP(SMALL(G!$Q$4:'G'!$Y$4,7),G!$Q$4:'G'!$Y$501,ROW(G!AI321)-3,FALSE))/VLOOKUP(F!$B321,E!$B$1:'E'!$AK$300,12,FALSE)*100),"")</f>
        <v/>
      </c>
      <c r="AD379" s="43"/>
      <c r="AE379" s="34"/>
      <c r="AF379" s="34"/>
      <c r="AH379" s="72">
        <f t="shared" si="7"/>
        <v>1</v>
      </c>
      <c r="AJ379" s="34"/>
      <c r="AK379" s="34"/>
    </row>
    <row r="380" spans="1:37" ht="3.95" hidden="1" customHeight="1" x14ac:dyDescent="0.15">
      <c r="A380" s="41"/>
      <c r="B380" s="41"/>
      <c r="C380" s="41"/>
      <c r="D380" s="44"/>
      <c r="E380" s="43"/>
      <c r="F380" s="42"/>
      <c r="G380" s="42"/>
      <c r="H380" s="43"/>
      <c r="I380" s="42"/>
      <c r="J380" s="42"/>
      <c r="K380" s="42"/>
      <c r="L380" s="43"/>
      <c r="M380" s="43"/>
      <c r="N380" s="42"/>
      <c r="O380" s="42"/>
      <c r="P380" s="43"/>
      <c r="Q380" s="42"/>
      <c r="R380" s="42"/>
      <c r="S380" s="42"/>
      <c r="T380" s="43"/>
      <c r="U380" s="43"/>
      <c r="V380" s="43"/>
      <c r="W380" s="42"/>
      <c r="X380" s="43"/>
      <c r="Y380" s="42"/>
      <c r="Z380" s="43"/>
      <c r="AA380" s="43"/>
      <c r="AC380" s="34"/>
      <c r="AD380" s="72"/>
      <c r="AF380" s="72"/>
      <c r="AG380" s="34"/>
      <c r="AH380" s="94">
        <f>AH381</f>
        <v>1</v>
      </c>
      <c r="AI380" s="34"/>
    </row>
    <row r="381" spans="1:37" ht="9" hidden="1" customHeight="1" x14ac:dyDescent="0.15">
      <c r="A381" s="198" t="str">
        <f>IF(COUNTIF(F!D320:D324,131)&gt;0,"Anorganische verbindingen (µg/kgds)","Anorganische verbindingen (mg/kgds)")</f>
        <v>Anorganische verbindingen (mg/kgds)</v>
      </c>
      <c r="B381" s="198"/>
      <c r="C381" s="198"/>
      <c r="D381" s="198"/>
      <c r="E381" s="198"/>
      <c r="F381" s="198"/>
      <c r="G381" s="198"/>
      <c r="H381" s="198"/>
      <c r="I381" s="198"/>
      <c r="J381" s="198"/>
      <c r="K381" s="198"/>
      <c r="L381" s="198"/>
      <c r="M381" s="198"/>
      <c r="N381" s="198"/>
      <c r="O381" s="198"/>
      <c r="P381" s="198"/>
      <c r="Q381" s="198"/>
      <c r="R381" s="198"/>
      <c r="S381" s="198"/>
      <c r="T381" s="198"/>
      <c r="U381" s="198"/>
      <c r="V381" s="198"/>
      <c r="W381" s="198"/>
      <c r="X381" s="198"/>
      <c r="Y381" s="198"/>
      <c r="Z381" s="198"/>
      <c r="AA381" s="198"/>
      <c r="AC381" s="34"/>
      <c r="AD381" s="72"/>
      <c r="AF381" s="72"/>
      <c r="AG381" s="34"/>
      <c r="AH381" s="94">
        <f>IF(COUNTIF(AH382:AH386,1)=COUNT(AH382:AH386),1,0)</f>
        <v>1</v>
      </c>
      <c r="AI381" s="34"/>
    </row>
    <row r="382" spans="1:37" s="72" customFormat="1" ht="9" hidden="1" customHeight="1" x14ac:dyDescent="0.15">
      <c r="A382" s="195" t="str">
        <f>F!A322</f>
        <v>Ammonium</v>
      </c>
      <c r="B382" s="195"/>
      <c r="C382" s="195"/>
      <c r="D382" s="44" t="str">
        <f>G!AQ322</f>
        <v/>
      </c>
      <c r="E382" s="43" t="str">
        <f>G!AP322</f>
        <v>--</v>
      </c>
      <c r="F382" s="42"/>
      <c r="G382" s="42" t="str">
        <f>G!AS322</f>
        <v/>
      </c>
      <c r="H382" s="43" t="str">
        <f>G!AR322</f>
        <v>--</v>
      </c>
      <c r="I382" s="42" t="str">
        <f>G!AT322</f>
        <v/>
      </c>
      <c r="J382" s="42" t="str">
        <f>G!AU322</f>
        <v/>
      </c>
      <c r="K382" s="43" t="str">
        <f>IFERROR(IF(OR(H382="--",H382="rg",VLOOKUP(F!$B322,E!$B$1:'E'!$AK$300,12,FALSE)=1000000000,I382="-",I382=""),"",(HLOOKUP(SMALL(G!$Q$4:'G'!$Y$4,1),G!$Q$4:'G'!$Y$501,ROW(G!Q322)-3,FALSE))/VLOOKUP(F!$B322,E!$B$1:'E'!$AK$300,12,FALSE)*100),"")</f>
        <v/>
      </c>
      <c r="L382" s="43"/>
      <c r="M382" s="43" t="str">
        <f>G!AW322</f>
        <v/>
      </c>
      <c r="N382" s="43" t="str">
        <f>G!AV322</f>
        <v>--</v>
      </c>
      <c r="O382" s="42"/>
      <c r="P382" s="42" t="str">
        <f>G!AY322</f>
        <v/>
      </c>
      <c r="Q382" s="43" t="str">
        <f>G!AX322</f>
        <v>--</v>
      </c>
      <c r="R382" s="42" t="str">
        <f>G!AZ322</f>
        <v/>
      </c>
      <c r="S382" s="42" t="str">
        <f>G!BA322</f>
        <v/>
      </c>
      <c r="T382" s="43" t="str">
        <f>IFERROR(IF(OR(Q382="--",Q382="rg",VLOOKUP(F!$B322,E!$B$1:'E'!$AK$300,12,FALSE)=1000000000,R382="-",R382=""),"",(HLOOKUP(SMALL(G!$Q$4:'G'!$Y$4,4),G!$Q$4:'G'!$Y$501,ROW(G!Z322)-3,FALSE))/VLOOKUP(F!$B322,E!$B$1:'E'!$AK$300,12,FALSE)*100),"")</f>
        <v/>
      </c>
      <c r="U382" s="43"/>
      <c r="V382" s="43" t="str">
        <f>G!BC322</f>
        <v/>
      </c>
      <c r="W382" s="43" t="str">
        <f>G!BB322</f>
        <v>--</v>
      </c>
      <c r="X382" s="43"/>
      <c r="Y382" s="42" t="str">
        <f>G!BE322</f>
        <v/>
      </c>
      <c r="Z382" s="43" t="str">
        <f>G!BD322</f>
        <v>--</v>
      </c>
      <c r="AA382" s="42" t="str">
        <f>G!BF322</f>
        <v/>
      </c>
      <c r="AB382" s="42" t="str">
        <f>G!BG322</f>
        <v/>
      </c>
      <c r="AC382" s="43" t="str">
        <f>IFERROR(IF(OR(Z382="--",Z382="rg",VLOOKUP(F!$B322,E!$B$1:'E'!$AK$300,12,FALSE)=1000000000,AA382="-",AA382=""),"",(HLOOKUP(SMALL(G!$Q$4:'G'!$Y$4,7),G!$Q$4:'G'!$Y$501,ROW(G!AI322)-3,FALSE))/VLOOKUP(F!$B322,E!$B$1:'E'!$AK$300,12,FALSE)*100),"")</f>
        <v/>
      </c>
      <c r="AD382" s="43"/>
      <c r="AE382" s="34"/>
      <c r="AF382" s="34"/>
      <c r="AH382" s="72">
        <f t="shared" si="7"/>
        <v>1</v>
      </c>
      <c r="AJ382" s="34"/>
      <c r="AK382" s="34"/>
    </row>
    <row r="383" spans="1:37" s="72" customFormat="1" ht="9" hidden="1" customHeight="1" x14ac:dyDescent="0.15">
      <c r="A383" s="195" t="str">
        <f>F!A323</f>
        <v>Chloride</v>
      </c>
      <c r="B383" s="195"/>
      <c r="C383" s="195"/>
      <c r="D383" s="44" t="str">
        <f>G!AQ323</f>
        <v/>
      </c>
      <c r="E383" s="43" t="str">
        <f>G!AP323</f>
        <v>--</v>
      </c>
      <c r="F383" s="42"/>
      <c r="G383" s="42" t="str">
        <f>G!AS323</f>
        <v/>
      </c>
      <c r="H383" s="43" t="str">
        <f>G!AR323</f>
        <v>--</v>
      </c>
      <c r="I383" s="42" t="str">
        <f>G!AT323</f>
        <v/>
      </c>
      <c r="J383" s="42" t="str">
        <f>G!AU323</f>
        <v/>
      </c>
      <c r="K383" s="43" t="str">
        <f>IFERROR(IF(OR(H383="--",H383="rg",VLOOKUP(F!$B323,E!$B$1:'E'!$AK$300,12,FALSE)=1000000000,I383="-",I383=""),"",(HLOOKUP(SMALL(G!$Q$4:'G'!$Y$4,1),G!$Q$4:'G'!$Y$501,ROW(G!Q323)-3,FALSE))/VLOOKUP(F!$B323,E!$B$1:'E'!$AK$300,12,FALSE)*100),"")</f>
        <v/>
      </c>
      <c r="L383" s="43"/>
      <c r="M383" s="43" t="str">
        <f>G!AW323</f>
        <v/>
      </c>
      <c r="N383" s="43" t="str">
        <f>G!AV323</f>
        <v>--</v>
      </c>
      <c r="O383" s="42"/>
      <c r="P383" s="42" t="str">
        <f>G!AY323</f>
        <v/>
      </c>
      <c r="Q383" s="43" t="str">
        <f>G!AX323</f>
        <v>--</v>
      </c>
      <c r="R383" s="42" t="str">
        <f>G!AZ323</f>
        <v/>
      </c>
      <c r="S383" s="42" t="str">
        <f>G!BA323</f>
        <v/>
      </c>
      <c r="T383" s="43" t="str">
        <f>IFERROR(IF(OR(Q383="--",Q383="rg",VLOOKUP(F!$B323,E!$B$1:'E'!$AK$300,12,FALSE)=1000000000,R383="-",R383=""),"",(HLOOKUP(SMALL(G!$Q$4:'G'!$Y$4,4),G!$Q$4:'G'!$Y$501,ROW(G!Z323)-3,FALSE))/VLOOKUP(F!$B323,E!$B$1:'E'!$AK$300,12,FALSE)*100),"")</f>
        <v/>
      </c>
      <c r="U383" s="43"/>
      <c r="V383" s="43" t="str">
        <f>G!BC323</f>
        <v/>
      </c>
      <c r="W383" s="43" t="str">
        <f>G!BB323</f>
        <v>--</v>
      </c>
      <c r="X383" s="43"/>
      <c r="Y383" s="42" t="str">
        <f>G!BE323</f>
        <v/>
      </c>
      <c r="Z383" s="43" t="str">
        <f>G!BD323</f>
        <v>--</v>
      </c>
      <c r="AA383" s="42" t="str">
        <f>G!BF323</f>
        <v/>
      </c>
      <c r="AB383" s="42" t="str">
        <f>G!BG323</f>
        <v/>
      </c>
      <c r="AC383" s="43" t="str">
        <f>IFERROR(IF(OR(Z383="--",Z383="rg",VLOOKUP(F!$B323,E!$B$1:'E'!$AK$300,12,FALSE)=1000000000,AA383="-",AA383=""),"",(HLOOKUP(SMALL(G!$Q$4:'G'!$Y$4,7),G!$Q$4:'G'!$Y$501,ROW(G!AI323)-3,FALSE))/VLOOKUP(F!$B323,E!$B$1:'E'!$AK$300,12,FALSE)*100),"")</f>
        <v/>
      </c>
      <c r="AD383" s="43"/>
      <c r="AE383" s="34"/>
      <c r="AF383" s="34"/>
      <c r="AH383" s="72">
        <f t="shared" si="7"/>
        <v>1</v>
      </c>
      <c r="AJ383" s="34"/>
      <c r="AK383" s="34"/>
    </row>
    <row r="384" spans="1:37" s="72" customFormat="1" ht="9" hidden="1" customHeight="1" x14ac:dyDescent="0.15">
      <c r="A384" s="195" t="str">
        <f>F!A324</f>
        <v>Cyanide (vrij)</v>
      </c>
      <c r="B384" s="195"/>
      <c r="C384" s="195"/>
      <c r="D384" s="44" t="str">
        <f>G!AQ324</f>
        <v/>
      </c>
      <c r="E384" s="43" t="str">
        <f>G!AP324</f>
        <v>--</v>
      </c>
      <c r="F384" s="42"/>
      <c r="G384" s="42" t="str">
        <f>G!AS324</f>
        <v/>
      </c>
      <c r="H384" s="43" t="str">
        <f>G!AR324</f>
        <v>--</v>
      </c>
      <c r="I384" s="42" t="str">
        <f>G!AT324</f>
        <v/>
      </c>
      <c r="J384" s="42" t="str">
        <f>G!AU324</f>
        <v/>
      </c>
      <c r="K384" s="43" t="str">
        <f>IFERROR(IF(OR(H384="--",H384="rg",VLOOKUP(F!$B324,E!$B$1:'E'!$AK$300,12,FALSE)=1000000000,I384="-",I384=""),"",(HLOOKUP(SMALL(G!$Q$4:'G'!$Y$4,1),G!$Q$4:'G'!$Y$501,ROW(G!Q324)-3,FALSE))/VLOOKUP(F!$B324,E!$B$1:'E'!$AK$300,12,FALSE)*100),"")</f>
        <v/>
      </c>
      <c r="L384" s="43"/>
      <c r="M384" s="43" t="str">
        <f>G!AW324</f>
        <v/>
      </c>
      <c r="N384" s="43" t="str">
        <f>G!AV324</f>
        <v>--</v>
      </c>
      <c r="O384" s="42"/>
      <c r="P384" s="42" t="str">
        <f>G!AY324</f>
        <v/>
      </c>
      <c r="Q384" s="43" t="str">
        <f>G!AX324</f>
        <v>--</v>
      </c>
      <c r="R384" s="42" t="str">
        <f>G!AZ324</f>
        <v/>
      </c>
      <c r="S384" s="42" t="str">
        <f>G!BA324</f>
        <v/>
      </c>
      <c r="T384" s="43" t="str">
        <f>IFERROR(IF(OR(Q384="--",Q384="rg",VLOOKUP(F!$B324,E!$B$1:'E'!$AK$300,12,FALSE)=1000000000,R384="-",R384=""),"",(HLOOKUP(SMALL(G!$Q$4:'G'!$Y$4,4),G!$Q$4:'G'!$Y$501,ROW(G!Z324)-3,FALSE))/VLOOKUP(F!$B324,E!$B$1:'E'!$AK$300,12,FALSE)*100),"")</f>
        <v/>
      </c>
      <c r="U384" s="43"/>
      <c r="V384" s="43" t="str">
        <f>G!BC324</f>
        <v/>
      </c>
      <c r="W384" s="43" t="str">
        <f>G!BB324</f>
        <v>--</v>
      </c>
      <c r="X384" s="43"/>
      <c r="Y384" s="42" t="str">
        <f>G!BE324</f>
        <v/>
      </c>
      <c r="Z384" s="43" t="str">
        <f>G!BD324</f>
        <v>--</v>
      </c>
      <c r="AA384" s="42" t="str">
        <f>G!BF324</f>
        <v/>
      </c>
      <c r="AB384" s="42" t="str">
        <f>G!BG324</f>
        <v/>
      </c>
      <c r="AC384" s="43" t="str">
        <f>IFERROR(IF(OR(Z384="--",Z384="rg",VLOOKUP(F!$B324,E!$B$1:'E'!$AK$300,12,FALSE)=1000000000,AA384="-",AA384=""),"",(HLOOKUP(SMALL(G!$Q$4:'G'!$Y$4,7),G!$Q$4:'G'!$Y$501,ROW(G!AI324)-3,FALSE))/VLOOKUP(F!$B324,E!$B$1:'E'!$AK$300,12,FALSE)*100),"")</f>
        <v/>
      </c>
      <c r="AD384" s="43"/>
      <c r="AE384" s="34"/>
      <c r="AF384" s="34"/>
      <c r="AH384" s="72">
        <f t="shared" si="7"/>
        <v>1</v>
      </c>
      <c r="AJ384" s="34"/>
      <c r="AK384" s="34"/>
    </row>
    <row r="385" spans="1:37" s="72" customFormat="1" ht="9" hidden="1" customHeight="1" x14ac:dyDescent="0.15">
      <c r="A385" s="195" t="str">
        <f>F!A325</f>
        <v>Cyanide (complex)</v>
      </c>
      <c r="B385" s="195"/>
      <c r="C385" s="195"/>
      <c r="D385" s="44" t="str">
        <f>G!AQ325</f>
        <v/>
      </c>
      <c r="E385" s="43" t="str">
        <f>G!AP325</f>
        <v>--</v>
      </c>
      <c r="F385" s="42"/>
      <c r="G385" s="42" t="str">
        <f>G!AS325</f>
        <v/>
      </c>
      <c r="H385" s="43" t="str">
        <f>G!AR325</f>
        <v>--</v>
      </c>
      <c r="I385" s="42" t="str">
        <f>G!AT325</f>
        <v/>
      </c>
      <c r="J385" s="42" t="str">
        <f>G!AU325</f>
        <v/>
      </c>
      <c r="K385" s="43" t="str">
        <f>IFERROR(IF(OR(H385="--",H385="rg",VLOOKUP(F!$B325,E!$B$1:'E'!$AK$300,12,FALSE)=1000000000,I385="-",I385=""),"",(HLOOKUP(SMALL(G!$Q$4:'G'!$Y$4,1),G!$Q$4:'G'!$Y$501,ROW(G!Q325)-3,FALSE))/VLOOKUP(F!$B325,E!$B$1:'E'!$AK$300,12,FALSE)*100),"")</f>
        <v/>
      </c>
      <c r="L385" s="43"/>
      <c r="M385" s="43" t="str">
        <f>G!AW325</f>
        <v/>
      </c>
      <c r="N385" s="43" t="str">
        <f>G!AV325</f>
        <v>--</v>
      </c>
      <c r="O385" s="42"/>
      <c r="P385" s="42" t="str">
        <f>G!AY325</f>
        <v/>
      </c>
      <c r="Q385" s="43" t="str">
        <f>G!AX325</f>
        <v>--</v>
      </c>
      <c r="R385" s="42" t="str">
        <f>G!AZ325</f>
        <v/>
      </c>
      <c r="S385" s="42" t="str">
        <f>G!BA325</f>
        <v/>
      </c>
      <c r="T385" s="43" t="str">
        <f>IFERROR(IF(OR(Q385="--",Q385="rg",VLOOKUP(F!$B325,E!$B$1:'E'!$AK$300,12,FALSE)=1000000000,R385="-",R385=""),"",(HLOOKUP(SMALL(G!$Q$4:'G'!$Y$4,4),G!$Q$4:'G'!$Y$501,ROW(G!Z325)-3,FALSE))/VLOOKUP(F!$B325,E!$B$1:'E'!$AK$300,12,FALSE)*100),"")</f>
        <v/>
      </c>
      <c r="U385" s="43"/>
      <c r="V385" s="43" t="str">
        <f>G!BC325</f>
        <v/>
      </c>
      <c r="W385" s="43" t="str">
        <f>G!BB325</f>
        <v>--</v>
      </c>
      <c r="X385" s="43"/>
      <c r="Y385" s="42" t="str">
        <f>G!BE325</f>
        <v/>
      </c>
      <c r="Z385" s="43" t="str">
        <f>G!BD325</f>
        <v>--</v>
      </c>
      <c r="AA385" s="42" t="str">
        <f>G!BF325</f>
        <v/>
      </c>
      <c r="AB385" s="42" t="str">
        <f>G!BG325</f>
        <v/>
      </c>
      <c r="AC385" s="43" t="str">
        <f>IFERROR(IF(OR(Z385="--",Z385="rg",VLOOKUP(F!$B325,E!$B$1:'E'!$AK$300,12,FALSE)=1000000000,AA385="-",AA385=""),"",(HLOOKUP(SMALL(G!$Q$4:'G'!$Y$4,7),G!$Q$4:'G'!$Y$501,ROW(G!AI325)-3,FALSE))/VLOOKUP(F!$B325,E!$B$1:'E'!$AK$300,12,FALSE)*100),"")</f>
        <v/>
      </c>
      <c r="AD385" s="43"/>
      <c r="AE385" s="34"/>
      <c r="AF385" s="34"/>
      <c r="AH385" s="72">
        <f t="shared" si="7"/>
        <v>1</v>
      </c>
      <c r="AJ385" s="34"/>
      <c r="AK385" s="34"/>
    </row>
    <row r="386" spans="1:37" s="72" customFormat="1" ht="9" hidden="1" customHeight="1" x14ac:dyDescent="0.15">
      <c r="A386" s="195" t="str">
        <f>F!A326</f>
        <v>Thiocyanaten</v>
      </c>
      <c r="B386" s="195"/>
      <c r="C386" s="195"/>
      <c r="D386" s="44" t="str">
        <f>G!AQ326</f>
        <v/>
      </c>
      <c r="E386" s="43" t="str">
        <f>G!AP326</f>
        <v>--</v>
      </c>
      <c r="F386" s="42"/>
      <c r="G386" s="42" t="str">
        <f>G!AS326</f>
        <v/>
      </c>
      <c r="H386" s="43" t="str">
        <f>G!AR326</f>
        <v>--</v>
      </c>
      <c r="I386" s="42" t="str">
        <f>G!AT326</f>
        <v/>
      </c>
      <c r="J386" s="42" t="str">
        <f>G!AU326</f>
        <v/>
      </c>
      <c r="K386" s="43" t="str">
        <f>IFERROR(IF(OR(H386="--",H386="rg",VLOOKUP(F!$B326,E!$B$1:'E'!$AK$300,12,FALSE)=1000000000,I386="-",I386=""),"",(HLOOKUP(SMALL(G!$Q$4:'G'!$Y$4,1),G!$Q$4:'G'!$Y$501,ROW(G!Q326)-3,FALSE))/VLOOKUP(F!$B326,E!$B$1:'E'!$AK$300,12,FALSE)*100),"")</f>
        <v/>
      </c>
      <c r="L386" s="43"/>
      <c r="M386" s="43" t="str">
        <f>G!AW326</f>
        <v/>
      </c>
      <c r="N386" s="43" t="str">
        <f>G!AV326</f>
        <v>--</v>
      </c>
      <c r="O386" s="42"/>
      <c r="P386" s="42" t="str">
        <f>G!AY326</f>
        <v/>
      </c>
      <c r="Q386" s="43" t="str">
        <f>G!AX326</f>
        <v>--</v>
      </c>
      <c r="R386" s="42" t="str">
        <f>G!AZ326</f>
        <v/>
      </c>
      <c r="S386" s="42" t="str">
        <f>G!BA326</f>
        <v/>
      </c>
      <c r="T386" s="43" t="str">
        <f>IFERROR(IF(OR(Q386="--",Q386="rg",VLOOKUP(F!$B326,E!$B$1:'E'!$AK$300,12,FALSE)=1000000000,R386="-",R386=""),"",(HLOOKUP(SMALL(G!$Q$4:'G'!$Y$4,4),G!$Q$4:'G'!$Y$501,ROW(G!Z326)-3,FALSE))/VLOOKUP(F!$B326,E!$B$1:'E'!$AK$300,12,FALSE)*100),"")</f>
        <v/>
      </c>
      <c r="U386" s="43"/>
      <c r="V386" s="43" t="str">
        <f>G!BC326</f>
        <v/>
      </c>
      <c r="W386" s="43" t="str">
        <f>G!BB326</f>
        <v>--</v>
      </c>
      <c r="X386" s="43"/>
      <c r="Y386" s="42" t="str">
        <f>G!BE326</f>
        <v/>
      </c>
      <c r="Z386" s="43" t="str">
        <f>G!BD326</f>
        <v>--</v>
      </c>
      <c r="AA386" s="42" t="str">
        <f>G!BF326</f>
        <v/>
      </c>
      <c r="AB386" s="42" t="str">
        <f>G!BG326</f>
        <v/>
      </c>
      <c r="AC386" s="43" t="str">
        <f>IFERROR(IF(OR(Z386="--",Z386="rg",VLOOKUP(F!$B326,E!$B$1:'E'!$AK$300,12,FALSE)=1000000000,AA386="-",AA386=""),"",(HLOOKUP(SMALL(G!$Q$4:'G'!$Y$4,7),G!$Q$4:'G'!$Y$501,ROW(G!AI326)-3,FALSE))/VLOOKUP(F!$B326,E!$B$1:'E'!$AK$300,12,FALSE)*100),"")</f>
        <v/>
      </c>
      <c r="AD386" s="43"/>
      <c r="AE386" s="34"/>
      <c r="AF386" s="34"/>
      <c r="AH386" s="72">
        <f t="shared" si="7"/>
        <v>1</v>
      </c>
      <c r="AJ386" s="34"/>
      <c r="AK386" s="34"/>
    </row>
    <row r="387" spans="1:37" ht="3.95" customHeight="1" x14ac:dyDescent="0.15">
      <c r="A387" s="41"/>
      <c r="B387" s="41"/>
      <c r="C387" s="41"/>
      <c r="D387" s="44"/>
      <c r="E387" s="43"/>
      <c r="F387" s="42"/>
      <c r="G387" s="42"/>
      <c r="H387" s="43"/>
      <c r="I387" s="42"/>
      <c r="J387" s="42"/>
      <c r="K387" s="42"/>
      <c r="L387" s="43"/>
      <c r="M387" s="43"/>
      <c r="N387" s="42"/>
      <c r="O387" s="42"/>
      <c r="P387" s="43"/>
      <c r="Q387" s="42"/>
      <c r="R387" s="42"/>
      <c r="S387" s="42"/>
      <c r="T387" s="43"/>
      <c r="U387" s="43"/>
      <c r="V387" s="43"/>
      <c r="W387" s="42"/>
      <c r="X387" s="43"/>
      <c r="Y387" s="42"/>
      <c r="Z387" s="43"/>
      <c r="AA387" s="43"/>
      <c r="AC387" s="34"/>
      <c r="AD387" s="72"/>
      <c r="AF387" s="72"/>
      <c r="AG387" s="34"/>
      <c r="AH387" s="94">
        <f>AH388</f>
        <v>0</v>
      </c>
      <c r="AI387" s="34"/>
    </row>
    <row r="388" spans="1:37" ht="9" customHeight="1" x14ac:dyDescent="0.15">
      <c r="A388" s="198" t="str">
        <f>IF(COUNTIF(F!D325:D359,131)&gt;0,"PFAS (µg/kgds)","PFAS (mg/kgds)")</f>
        <v>PFAS (µg/kgds)</v>
      </c>
      <c r="B388" s="198"/>
      <c r="C388" s="198"/>
      <c r="D388" s="198"/>
      <c r="E388" s="198"/>
      <c r="F388" s="198"/>
      <c r="G388" s="198"/>
      <c r="H388" s="198"/>
      <c r="I388" s="198"/>
      <c r="J388" s="198"/>
      <c r="K388" s="198"/>
      <c r="L388" s="198"/>
      <c r="M388" s="198"/>
      <c r="N388" s="198"/>
      <c r="O388" s="198"/>
      <c r="P388" s="198"/>
      <c r="Q388" s="198"/>
      <c r="R388" s="198"/>
      <c r="S388" s="198"/>
      <c r="T388" s="198"/>
      <c r="U388" s="198"/>
      <c r="V388" s="198"/>
      <c r="W388" s="198"/>
      <c r="X388" s="198"/>
      <c r="Y388" s="198"/>
      <c r="Z388" s="198"/>
      <c r="AA388" s="198"/>
      <c r="AC388" s="34"/>
      <c r="AD388" s="72"/>
      <c r="AF388" s="72"/>
      <c r="AG388" s="34"/>
      <c r="AH388" s="94">
        <f>IF(COUNTIF(AH389:AH423,1)=COUNT(AH389:AH423),1,0)</f>
        <v>0</v>
      </c>
      <c r="AI388" s="34"/>
    </row>
    <row r="389" spans="1:37" s="72" customFormat="1" ht="9" customHeight="1" x14ac:dyDescent="0.15">
      <c r="A389" s="195" t="str">
        <f>F!A327</f>
        <v>PFBA</v>
      </c>
      <c r="B389" s="195"/>
      <c r="C389" s="195"/>
      <c r="D389" s="44" t="str">
        <f>G!AQ327</f>
        <v>&lt;</v>
      </c>
      <c r="E389" s="43" t="str">
        <f>G!AP327</f>
        <v>0,10</v>
      </c>
      <c r="F389" s="42"/>
      <c r="G389" s="42" t="str">
        <f>G!AS327</f>
        <v>&lt;</v>
      </c>
      <c r="H389" s="43" t="str">
        <f>G!AR327</f>
        <v>rg</v>
      </c>
      <c r="I389" s="42" t="str">
        <f>G!AT327</f>
        <v>-</v>
      </c>
      <c r="J389" s="42" t="str">
        <f>G!AU327</f>
        <v/>
      </c>
      <c r="K389" s="43" t="str">
        <f>IFERROR(IF(OR(H389="--",H389="rg",VLOOKUP(F!$B327,E!$B$1:'E'!$AK$300,12,FALSE)=1000000000,I389="-",I389=""),"",(HLOOKUP(SMALL(G!$Q$4:'G'!$Y$4,1),G!$Q$4:'G'!$Y$501,ROW(G!Q327)-3,FALSE))/VLOOKUP(F!$B327,E!$B$1:'E'!$AK$300,12,FALSE)*100),"")</f>
        <v/>
      </c>
      <c r="L389" s="43"/>
      <c r="M389" s="43" t="str">
        <f>G!AW327</f>
        <v>&lt;</v>
      </c>
      <c r="N389" s="43" t="str">
        <f>G!AV327</f>
        <v>0,10</v>
      </c>
      <c r="O389" s="42"/>
      <c r="P389" s="42" t="str">
        <f>G!AY327</f>
        <v>&lt;</v>
      </c>
      <c r="Q389" s="43" t="str">
        <f>G!AX327</f>
        <v>rg</v>
      </c>
      <c r="R389" s="42" t="str">
        <f>G!AZ327</f>
        <v>-</v>
      </c>
      <c r="S389" s="42" t="str">
        <f>G!BA327</f>
        <v/>
      </c>
      <c r="T389" s="43" t="str">
        <f>IFERROR(IF(OR(Q389="--",Q389="rg",VLOOKUP(F!$B327,E!$B$1:'E'!$AK$300,12,FALSE)=1000000000,R389="-",R389=""),"",(HLOOKUP(SMALL(G!$Q$4:'G'!$Y$4,4),G!$Q$4:'G'!$Y$501,ROW(G!Z327)-3,FALSE))/VLOOKUP(F!$B327,E!$B$1:'E'!$AK$300,12,FALSE)*100),"")</f>
        <v/>
      </c>
      <c r="U389" s="43"/>
      <c r="V389" s="43" t="str">
        <f>G!BC327</f>
        <v>&lt;</v>
      </c>
      <c r="W389" s="43" t="str">
        <f>G!BB327</f>
        <v>0,10</v>
      </c>
      <c r="X389" s="43"/>
      <c r="Y389" s="42" t="str">
        <f>G!BE327</f>
        <v>&lt;</v>
      </c>
      <c r="Z389" s="43" t="str">
        <f>G!BD327</f>
        <v>rg</v>
      </c>
      <c r="AA389" s="42" t="str">
        <f>G!BF327</f>
        <v>-</v>
      </c>
      <c r="AB389" s="42" t="str">
        <f>G!BG327</f>
        <v/>
      </c>
      <c r="AC389" s="43" t="str">
        <f>IFERROR(IF(OR(Z389="--",Z389="rg",VLOOKUP(F!$B327,E!$B$1:'E'!$AK$300,12,FALSE)=1000000000,AA389="-",AA389=""),"",(HLOOKUP(SMALL(G!$Q$4:'G'!$Y$4,7),G!$Q$4:'G'!$Y$501,ROW(G!AI327)-3,FALSE))/VLOOKUP(F!$B327,E!$B$1:'E'!$AK$300,12,FALSE)*100),"")</f>
        <v/>
      </c>
      <c r="AD389" s="43"/>
      <c r="AE389" s="34"/>
      <c r="AF389" s="34"/>
      <c r="AH389" s="72">
        <f t="shared" si="7"/>
        <v>0</v>
      </c>
      <c r="AJ389" s="34"/>
      <c r="AK389" s="34"/>
    </row>
    <row r="390" spans="1:37" s="72" customFormat="1" ht="9" customHeight="1" x14ac:dyDescent="0.15">
      <c r="A390" s="195" t="str">
        <f>F!A328</f>
        <v>PFPeA</v>
      </c>
      <c r="B390" s="195"/>
      <c r="C390" s="195"/>
      <c r="D390" s="44" t="str">
        <f>G!AQ328</f>
        <v>&lt;</v>
      </c>
      <c r="E390" s="43" t="str">
        <f>G!AP328</f>
        <v>0,10</v>
      </c>
      <c r="F390" s="42"/>
      <c r="G390" s="42" t="str">
        <f>G!AS328</f>
        <v>&lt;</v>
      </c>
      <c r="H390" s="43" t="str">
        <f>G!AR328</f>
        <v>rg</v>
      </c>
      <c r="I390" s="42" t="str">
        <f>G!AT328</f>
        <v>-</v>
      </c>
      <c r="J390" s="42" t="str">
        <f>G!AU328</f>
        <v/>
      </c>
      <c r="K390" s="43" t="str">
        <f>IFERROR(IF(OR(H390="--",H390="rg",VLOOKUP(F!$B328,E!$B$1:'E'!$AK$300,12,FALSE)=1000000000,I390="-",I390=""),"",(HLOOKUP(SMALL(G!$Q$4:'G'!$Y$4,1),G!$Q$4:'G'!$Y$501,ROW(G!Q328)-3,FALSE))/VLOOKUP(F!$B328,E!$B$1:'E'!$AK$300,12,FALSE)*100),"")</f>
        <v/>
      </c>
      <c r="L390" s="43"/>
      <c r="M390" s="43" t="str">
        <f>G!AW328</f>
        <v>&lt;</v>
      </c>
      <c r="N390" s="43" t="str">
        <f>G!AV328</f>
        <v>0,10</v>
      </c>
      <c r="O390" s="42"/>
      <c r="P390" s="42" t="str">
        <f>G!AY328</f>
        <v>&lt;</v>
      </c>
      <c r="Q390" s="43" t="str">
        <f>G!AX328</f>
        <v>rg</v>
      </c>
      <c r="R390" s="42" t="str">
        <f>G!AZ328</f>
        <v>-</v>
      </c>
      <c r="S390" s="42" t="str">
        <f>G!BA328</f>
        <v/>
      </c>
      <c r="T390" s="43" t="str">
        <f>IFERROR(IF(OR(Q390="--",Q390="rg",VLOOKUP(F!$B328,E!$B$1:'E'!$AK$300,12,FALSE)=1000000000,R390="-",R390=""),"",(HLOOKUP(SMALL(G!$Q$4:'G'!$Y$4,4),G!$Q$4:'G'!$Y$501,ROW(G!Z328)-3,FALSE))/VLOOKUP(F!$B328,E!$B$1:'E'!$AK$300,12,FALSE)*100),"")</f>
        <v/>
      </c>
      <c r="U390" s="43"/>
      <c r="V390" s="43" t="str">
        <f>G!BC328</f>
        <v>&lt;</v>
      </c>
      <c r="W390" s="43" t="str">
        <f>G!BB328</f>
        <v>0,10</v>
      </c>
      <c r="X390" s="43"/>
      <c r="Y390" s="42" t="str">
        <f>G!BE328</f>
        <v>&lt;</v>
      </c>
      <c r="Z390" s="43" t="str">
        <f>G!BD328</f>
        <v>rg</v>
      </c>
      <c r="AA390" s="42" t="str">
        <f>G!BF328</f>
        <v>-</v>
      </c>
      <c r="AB390" s="42" t="str">
        <f>G!BG328</f>
        <v/>
      </c>
      <c r="AC390" s="43" t="str">
        <f>IFERROR(IF(OR(Z390="--",Z390="rg",VLOOKUP(F!$B328,E!$B$1:'E'!$AK$300,12,FALSE)=1000000000,AA390="-",AA390=""),"",(HLOOKUP(SMALL(G!$Q$4:'G'!$Y$4,7),G!$Q$4:'G'!$Y$501,ROW(G!AI328)-3,FALSE))/VLOOKUP(F!$B328,E!$B$1:'E'!$AK$300,12,FALSE)*100),"")</f>
        <v/>
      </c>
      <c r="AD390" s="43"/>
      <c r="AE390" s="34"/>
      <c r="AF390" s="34"/>
      <c r="AH390" s="72">
        <f t="shared" si="7"/>
        <v>0</v>
      </c>
      <c r="AJ390" s="34"/>
      <c r="AK390" s="34"/>
    </row>
    <row r="391" spans="1:37" s="72" customFormat="1" ht="9" customHeight="1" x14ac:dyDescent="0.15">
      <c r="A391" s="195" t="str">
        <f>F!A329</f>
        <v>PFHxA</v>
      </c>
      <c r="B391" s="195"/>
      <c r="C391" s="195"/>
      <c r="D391" s="44" t="str">
        <f>G!AQ329</f>
        <v>&lt;</v>
      </c>
      <c r="E391" s="43" t="str">
        <f>G!AP329</f>
        <v>0,10</v>
      </c>
      <c r="F391" s="42"/>
      <c r="G391" s="42" t="str">
        <f>G!AS329</f>
        <v>&lt;</v>
      </c>
      <c r="H391" s="43" t="str">
        <f>G!AR329</f>
        <v>rg</v>
      </c>
      <c r="I391" s="42" t="str">
        <f>G!AT329</f>
        <v>-</v>
      </c>
      <c r="J391" s="42" t="str">
        <f>G!AU329</f>
        <v/>
      </c>
      <c r="K391" s="43" t="str">
        <f>IFERROR(IF(OR(H391="--",H391="rg",VLOOKUP(F!$B329,E!$B$1:'E'!$AK$300,12,FALSE)=1000000000,I391="-",I391=""),"",(HLOOKUP(SMALL(G!$Q$4:'G'!$Y$4,1),G!$Q$4:'G'!$Y$501,ROW(G!Q329)-3,FALSE))/VLOOKUP(F!$B329,E!$B$1:'E'!$AK$300,12,FALSE)*100),"")</f>
        <v/>
      </c>
      <c r="L391" s="43"/>
      <c r="M391" s="43" t="str">
        <f>G!AW329</f>
        <v>&lt;</v>
      </c>
      <c r="N391" s="43" t="str">
        <f>G!AV329</f>
        <v>0,10</v>
      </c>
      <c r="O391" s="42"/>
      <c r="P391" s="42" t="str">
        <f>G!AY329</f>
        <v>&lt;</v>
      </c>
      <c r="Q391" s="43" t="str">
        <f>G!AX329</f>
        <v>rg</v>
      </c>
      <c r="R391" s="42" t="str">
        <f>G!AZ329</f>
        <v>-</v>
      </c>
      <c r="S391" s="42" t="str">
        <f>G!BA329</f>
        <v/>
      </c>
      <c r="T391" s="43" t="str">
        <f>IFERROR(IF(OR(Q391="--",Q391="rg",VLOOKUP(F!$B329,E!$B$1:'E'!$AK$300,12,FALSE)=1000000000,R391="-",R391=""),"",(HLOOKUP(SMALL(G!$Q$4:'G'!$Y$4,4),G!$Q$4:'G'!$Y$501,ROW(G!Z329)-3,FALSE))/VLOOKUP(F!$B329,E!$B$1:'E'!$AK$300,12,FALSE)*100),"")</f>
        <v/>
      </c>
      <c r="U391" s="43"/>
      <c r="V391" s="43" t="str">
        <f>G!BC329</f>
        <v>&lt;</v>
      </c>
      <c r="W391" s="43" t="str">
        <f>G!BB329</f>
        <v>0,10</v>
      </c>
      <c r="X391" s="43"/>
      <c r="Y391" s="42" t="str">
        <f>G!BE329</f>
        <v>&lt;</v>
      </c>
      <c r="Z391" s="43" t="str">
        <f>G!BD329</f>
        <v>rg</v>
      </c>
      <c r="AA391" s="42" t="str">
        <f>G!BF329</f>
        <v>-</v>
      </c>
      <c r="AB391" s="42" t="str">
        <f>G!BG329</f>
        <v/>
      </c>
      <c r="AC391" s="43" t="str">
        <f>IFERROR(IF(OR(Z391="--",Z391="rg",VLOOKUP(F!$B329,E!$B$1:'E'!$AK$300,12,FALSE)=1000000000,AA391="-",AA391=""),"",(HLOOKUP(SMALL(G!$Q$4:'G'!$Y$4,7),G!$Q$4:'G'!$Y$501,ROW(G!AI329)-3,FALSE))/VLOOKUP(F!$B329,E!$B$1:'E'!$AK$300,12,FALSE)*100),"")</f>
        <v/>
      </c>
      <c r="AD391" s="43"/>
      <c r="AE391" s="34"/>
      <c r="AF391" s="34"/>
      <c r="AH391" s="72">
        <f t="shared" si="7"/>
        <v>0</v>
      </c>
      <c r="AJ391" s="34"/>
      <c r="AK391" s="34"/>
    </row>
    <row r="392" spans="1:37" s="72" customFormat="1" ht="9" customHeight="1" x14ac:dyDescent="0.15">
      <c r="A392" s="195" t="str">
        <f>F!A330</f>
        <v>PFHpA</v>
      </c>
      <c r="B392" s="195"/>
      <c r="C392" s="195"/>
      <c r="D392" s="44" t="str">
        <f>G!AQ330</f>
        <v>&lt;</v>
      </c>
      <c r="E392" s="43" t="str">
        <f>G!AP330</f>
        <v>0,10</v>
      </c>
      <c r="F392" s="42"/>
      <c r="G392" s="42" t="str">
        <f>G!AS330</f>
        <v>&lt;</v>
      </c>
      <c r="H392" s="43" t="str">
        <f>G!AR330</f>
        <v>rg</v>
      </c>
      <c r="I392" s="42" t="str">
        <f>G!AT330</f>
        <v>-</v>
      </c>
      <c r="J392" s="42" t="str">
        <f>G!AU330</f>
        <v/>
      </c>
      <c r="K392" s="43" t="str">
        <f>IFERROR(IF(OR(H392="--",H392="rg",VLOOKUP(F!$B330,E!$B$1:'E'!$AK$300,12,FALSE)=1000000000,I392="-",I392=""),"",(HLOOKUP(SMALL(G!$Q$4:'G'!$Y$4,1),G!$Q$4:'G'!$Y$501,ROW(G!Q330)-3,FALSE))/VLOOKUP(F!$B330,E!$B$1:'E'!$AK$300,12,FALSE)*100),"")</f>
        <v/>
      </c>
      <c r="L392" s="43"/>
      <c r="M392" s="43" t="str">
        <f>G!AW330</f>
        <v>&lt;</v>
      </c>
      <c r="N392" s="43" t="str">
        <f>G!AV330</f>
        <v>0,10</v>
      </c>
      <c r="O392" s="42"/>
      <c r="P392" s="42" t="str">
        <f>G!AY330</f>
        <v>&lt;</v>
      </c>
      <c r="Q392" s="43" t="str">
        <f>G!AX330</f>
        <v>rg</v>
      </c>
      <c r="R392" s="42" t="str">
        <f>G!AZ330</f>
        <v>-</v>
      </c>
      <c r="S392" s="42" t="str">
        <f>G!BA330</f>
        <v/>
      </c>
      <c r="T392" s="43" t="str">
        <f>IFERROR(IF(OR(Q392="--",Q392="rg",VLOOKUP(F!$B330,E!$B$1:'E'!$AK$300,12,FALSE)=1000000000,R392="-",R392=""),"",(HLOOKUP(SMALL(G!$Q$4:'G'!$Y$4,4),G!$Q$4:'G'!$Y$501,ROW(G!Z330)-3,FALSE))/VLOOKUP(F!$B330,E!$B$1:'E'!$AK$300,12,FALSE)*100),"")</f>
        <v/>
      </c>
      <c r="U392" s="43"/>
      <c r="V392" s="43" t="str">
        <f>G!BC330</f>
        <v>&lt;</v>
      </c>
      <c r="W392" s="43" t="str">
        <f>G!BB330</f>
        <v>0,10</v>
      </c>
      <c r="X392" s="43"/>
      <c r="Y392" s="42" t="str">
        <f>G!BE330</f>
        <v>&lt;</v>
      </c>
      <c r="Z392" s="43" t="str">
        <f>G!BD330</f>
        <v>rg</v>
      </c>
      <c r="AA392" s="42" t="str">
        <f>G!BF330</f>
        <v>-</v>
      </c>
      <c r="AB392" s="42" t="str">
        <f>G!BG330</f>
        <v/>
      </c>
      <c r="AC392" s="43" t="str">
        <f>IFERROR(IF(OR(Z392="--",Z392="rg",VLOOKUP(F!$B330,E!$B$1:'E'!$AK$300,12,FALSE)=1000000000,AA392="-",AA392=""),"",(HLOOKUP(SMALL(G!$Q$4:'G'!$Y$4,7),G!$Q$4:'G'!$Y$501,ROW(G!AI330)-3,FALSE))/VLOOKUP(F!$B330,E!$B$1:'E'!$AK$300,12,FALSE)*100),"")</f>
        <v/>
      </c>
      <c r="AD392" s="43"/>
      <c r="AE392" s="34"/>
      <c r="AF392" s="34"/>
      <c r="AH392" s="72">
        <f t="shared" si="7"/>
        <v>0</v>
      </c>
      <c r="AJ392" s="34"/>
      <c r="AK392" s="34"/>
    </row>
    <row r="393" spans="1:37" s="72" customFormat="1" ht="9" customHeight="1" x14ac:dyDescent="0.15">
      <c r="A393" s="195" t="str">
        <f>F!A331</f>
        <v>PFOA lineair</v>
      </c>
      <c r="B393" s="195"/>
      <c r="C393" s="195"/>
      <c r="D393" s="44" t="str">
        <f>G!AQ331</f>
        <v>&lt;</v>
      </c>
      <c r="E393" s="43" t="str">
        <f>G!AP331</f>
        <v>0,10</v>
      </c>
      <c r="F393" s="42"/>
      <c r="G393" s="42" t="str">
        <f>G!AS331</f>
        <v>&lt;</v>
      </c>
      <c r="H393" s="43" t="str">
        <f>G!AR331</f>
        <v>rg</v>
      </c>
      <c r="I393" s="42" t="str">
        <f>G!AT331</f>
        <v/>
      </c>
      <c r="J393" s="42" t="str">
        <f>G!AU331</f>
        <v/>
      </c>
      <c r="K393" s="43" t="str">
        <f>IFERROR(IF(OR(H393="--",H393="rg",VLOOKUP(F!$B331,E!$B$1:'E'!$AK$300,12,FALSE)=1000000000,I393="-",I393=""),"",(HLOOKUP(SMALL(G!$Q$4:'G'!$Y$4,1),G!$Q$4:'G'!$Y$501,ROW(G!Q331)-3,FALSE))/VLOOKUP(F!$B331,E!$B$1:'E'!$AK$300,12,FALSE)*100),"")</f>
        <v/>
      </c>
      <c r="L393" s="43"/>
      <c r="M393" s="43" t="str">
        <f>G!AW331</f>
        <v>&lt;</v>
      </c>
      <c r="N393" s="43" t="str">
        <f>G!AV331</f>
        <v>0,10</v>
      </c>
      <c r="O393" s="42"/>
      <c r="P393" s="42" t="str">
        <f>G!AY331</f>
        <v>&lt;</v>
      </c>
      <c r="Q393" s="43" t="str">
        <f>G!AX331</f>
        <v>rg</v>
      </c>
      <c r="R393" s="42" t="str">
        <f>G!AZ331</f>
        <v/>
      </c>
      <c r="S393" s="42" t="str">
        <f>G!BA331</f>
        <v/>
      </c>
      <c r="T393" s="43" t="str">
        <f>IFERROR(IF(OR(Q393="--",Q393="rg",VLOOKUP(F!$B331,E!$B$1:'E'!$AK$300,12,FALSE)=1000000000,R393="-",R393=""),"",(HLOOKUP(SMALL(G!$Q$4:'G'!$Y$4,4),G!$Q$4:'G'!$Y$501,ROW(G!Z331)-3,FALSE))/VLOOKUP(F!$B331,E!$B$1:'E'!$AK$300,12,FALSE)*100),"")</f>
        <v/>
      </c>
      <c r="U393" s="43"/>
      <c r="V393" s="43" t="str">
        <f>G!BC331</f>
        <v>&lt;</v>
      </c>
      <c r="W393" s="43" t="str">
        <f>G!BB331</f>
        <v>0,10</v>
      </c>
      <c r="X393" s="43"/>
      <c r="Y393" s="42" t="str">
        <f>G!BE331</f>
        <v>&lt;</v>
      </c>
      <c r="Z393" s="43" t="str">
        <f>G!BD331</f>
        <v>rg</v>
      </c>
      <c r="AA393" s="42" t="str">
        <f>G!BF331</f>
        <v/>
      </c>
      <c r="AB393" s="42" t="str">
        <f>G!BG331</f>
        <v/>
      </c>
      <c r="AC393" s="43" t="str">
        <f>IFERROR(IF(OR(Z393="--",Z393="rg",VLOOKUP(F!$B331,E!$B$1:'E'!$AK$300,12,FALSE)=1000000000,AA393="-",AA393=""),"",(HLOOKUP(SMALL(G!$Q$4:'G'!$Y$4,7),G!$Q$4:'G'!$Y$501,ROW(G!AI331)-3,FALSE))/VLOOKUP(F!$B331,E!$B$1:'E'!$AK$300,12,FALSE)*100),"")</f>
        <v/>
      </c>
      <c r="AD393" s="43"/>
      <c r="AE393" s="34"/>
      <c r="AF393" s="34"/>
      <c r="AH393" s="72">
        <f t="shared" si="7"/>
        <v>0</v>
      </c>
      <c r="AJ393" s="34"/>
      <c r="AK393" s="34"/>
    </row>
    <row r="394" spans="1:37" s="72" customFormat="1" ht="9" customHeight="1" x14ac:dyDescent="0.15">
      <c r="A394" s="195" t="str">
        <f>F!A332</f>
        <v>PFOA vertakt</v>
      </c>
      <c r="B394" s="195"/>
      <c r="C394" s="195"/>
      <c r="D394" s="44" t="str">
        <f>G!AQ332</f>
        <v>&lt;</v>
      </c>
      <c r="E394" s="43" t="str">
        <f>G!AP332</f>
        <v>0,10</v>
      </c>
      <c r="F394" s="42"/>
      <c r="G394" s="42" t="str">
        <f>G!AS332</f>
        <v>&lt;</v>
      </c>
      <c r="H394" s="43" t="str">
        <f>G!AR332</f>
        <v>rg</v>
      </c>
      <c r="I394" s="42" t="str">
        <f>G!AT332</f>
        <v/>
      </c>
      <c r="J394" s="42" t="str">
        <f>G!AU332</f>
        <v/>
      </c>
      <c r="K394" s="43" t="str">
        <f>IFERROR(IF(OR(H394="--",H394="rg",VLOOKUP(F!$B332,E!$B$1:'E'!$AK$300,12,FALSE)=1000000000,I394="-",I394=""),"",(HLOOKUP(SMALL(G!$Q$4:'G'!$Y$4,1),G!$Q$4:'G'!$Y$501,ROW(G!Q332)-3,FALSE))/VLOOKUP(F!$B332,E!$B$1:'E'!$AK$300,12,FALSE)*100),"")</f>
        <v/>
      </c>
      <c r="L394" s="43"/>
      <c r="M394" s="43" t="str">
        <f>G!AW332</f>
        <v>&lt;</v>
      </c>
      <c r="N394" s="43" t="str">
        <f>G!AV332</f>
        <v>0,10</v>
      </c>
      <c r="O394" s="42"/>
      <c r="P394" s="42" t="str">
        <f>G!AY332</f>
        <v>&lt;</v>
      </c>
      <c r="Q394" s="43" t="str">
        <f>G!AX332</f>
        <v>rg</v>
      </c>
      <c r="R394" s="42" t="str">
        <f>G!AZ332</f>
        <v/>
      </c>
      <c r="S394" s="42" t="str">
        <f>G!BA332</f>
        <v/>
      </c>
      <c r="T394" s="43" t="str">
        <f>IFERROR(IF(OR(Q394="--",Q394="rg",VLOOKUP(F!$B332,E!$B$1:'E'!$AK$300,12,FALSE)=1000000000,R394="-",R394=""),"",(HLOOKUP(SMALL(G!$Q$4:'G'!$Y$4,4),G!$Q$4:'G'!$Y$501,ROW(G!Z332)-3,FALSE))/VLOOKUP(F!$B332,E!$B$1:'E'!$AK$300,12,FALSE)*100),"")</f>
        <v/>
      </c>
      <c r="U394" s="43"/>
      <c r="V394" s="43" t="str">
        <f>G!BC332</f>
        <v>&lt;</v>
      </c>
      <c r="W394" s="43" t="str">
        <f>G!BB332</f>
        <v>0,10</v>
      </c>
      <c r="X394" s="43"/>
      <c r="Y394" s="42" t="str">
        <f>G!BE332</f>
        <v>&lt;</v>
      </c>
      <c r="Z394" s="43" t="str">
        <f>G!BD332</f>
        <v>rg</v>
      </c>
      <c r="AA394" s="42" t="str">
        <f>G!BF332</f>
        <v/>
      </c>
      <c r="AB394" s="42" t="str">
        <f>G!BG332</f>
        <v/>
      </c>
      <c r="AC394" s="43" t="str">
        <f>IFERROR(IF(OR(Z394="--",Z394="rg",VLOOKUP(F!$B332,E!$B$1:'E'!$AK$300,12,FALSE)=1000000000,AA394="-",AA394=""),"",(HLOOKUP(SMALL(G!$Q$4:'G'!$Y$4,7),G!$Q$4:'G'!$Y$501,ROW(G!AI332)-3,FALSE))/VLOOKUP(F!$B332,E!$B$1:'E'!$AK$300,12,FALSE)*100),"")</f>
        <v/>
      </c>
      <c r="AD394" s="43"/>
      <c r="AE394" s="34"/>
      <c r="AF394" s="34"/>
      <c r="AH394" s="72">
        <f t="shared" si="7"/>
        <v>0</v>
      </c>
      <c r="AJ394" s="34"/>
      <c r="AK394" s="34"/>
    </row>
    <row r="395" spans="1:37" s="72" customFormat="1" ht="9" customHeight="1" x14ac:dyDescent="0.15">
      <c r="A395" s="195" t="str">
        <f>F!A333</f>
        <v>PFOA totaal</v>
      </c>
      <c r="B395" s="195"/>
      <c r="C395" s="195"/>
      <c r="D395" s="44" t="str">
        <f>G!AQ333</f>
        <v>&lt;</v>
      </c>
      <c r="E395" s="43" t="str">
        <f>G!AP333</f>
        <v>0,10</v>
      </c>
      <c r="F395" s="42"/>
      <c r="G395" s="42" t="str">
        <f>G!AS333</f>
        <v>&lt;</v>
      </c>
      <c r="H395" s="43" t="str">
        <f>G!AR333</f>
        <v>rg</v>
      </c>
      <c r="I395" s="42" t="str">
        <f>G!AT333</f>
        <v>-</v>
      </c>
      <c r="J395" s="42" t="str">
        <f>G!AU333</f>
        <v/>
      </c>
      <c r="K395" s="43" t="str">
        <f>IFERROR(IF(OR(H395="--",H395="rg",VLOOKUP(F!$B333,E!$B$1:'E'!$AK$300,12,FALSE)=1000000000,I395="-",I395=""),"",(HLOOKUP(SMALL(G!$Q$4:'G'!$Y$4,1),G!$Q$4:'G'!$Y$501,ROW(G!Q333)-3,FALSE))/VLOOKUP(F!$B333,E!$B$1:'E'!$AK$300,12,FALSE)*100),"")</f>
        <v/>
      </c>
      <c r="L395" s="43"/>
      <c r="M395" s="43" t="str">
        <f>G!AW333</f>
        <v>&lt;</v>
      </c>
      <c r="N395" s="43" t="str">
        <f>G!AV333</f>
        <v>0,10</v>
      </c>
      <c r="O395" s="42"/>
      <c r="P395" s="42" t="str">
        <f>G!AY333</f>
        <v>&lt;</v>
      </c>
      <c r="Q395" s="43" t="str">
        <f>G!AX333</f>
        <v>rg</v>
      </c>
      <c r="R395" s="42" t="str">
        <f>G!AZ333</f>
        <v>-</v>
      </c>
      <c r="S395" s="42" t="str">
        <f>G!BA333</f>
        <v/>
      </c>
      <c r="T395" s="43" t="str">
        <f>IFERROR(IF(OR(Q395="--",Q395="rg",VLOOKUP(F!$B333,E!$B$1:'E'!$AK$300,12,FALSE)=1000000000,R395="-",R395=""),"",(HLOOKUP(SMALL(G!$Q$4:'G'!$Y$4,4),G!$Q$4:'G'!$Y$501,ROW(G!Z333)-3,FALSE))/VLOOKUP(F!$B333,E!$B$1:'E'!$AK$300,12,FALSE)*100),"")</f>
        <v/>
      </c>
      <c r="U395" s="43"/>
      <c r="V395" s="43" t="str">
        <f>G!BC333</f>
        <v>&lt;</v>
      </c>
      <c r="W395" s="43" t="str">
        <f>G!BB333</f>
        <v>0,10</v>
      </c>
      <c r="X395" s="43"/>
      <c r="Y395" s="42" t="str">
        <f>G!BE333</f>
        <v>&lt;</v>
      </c>
      <c r="Z395" s="43" t="str">
        <f>G!BD333</f>
        <v>rg</v>
      </c>
      <c r="AA395" s="42" t="str">
        <f>G!BF333</f>
        <v>-</v>
      </c>
      <c r="AB395" s="42" t="str">
        <f>G!BG333</f>
        <v/>
      </c>
      <c r="AC395" s="43" t="str">
        <f>IFERROR(IF(OR(Z395="--",Z395="rg",VLOOKUP(F!$B333,E!$B$1:'E'!$AK$300,12,FALSE)=1000000000,AA395="-",AA395=""),"",(HLOOKUP(SMALL(G!$Q$4:'G'!$Y$4,7),G!$Q$4:'G'!$Y$501,ROW(G!AI333)-3,FALSE))/VLOOKUP(F!$B333,E!$B$1:'E'!$AK$300,12,FALSE)*100),"")</f>
        <v/>
      </c>
      <c r="AD395" s="43"/>
      <c r="AE395" s="34"/>
      <c r="AF395" s="34"/>
      <c r="AH395" s="72">
        <f t="shared" si="7"/>
        <v>0</v>
      </c>
      <c r="AJ395" s="34"/>
      <c r="AK395" s="34"/>
    </row>
    <row r="396" spans="1:37" s="72" customFormat="1" ht="9" customHeight="1" x14ac:dyDescent="0.15">
      <c r="A396" s="195" t="str">
        <f>F!A334</f>
        <v>PFNA</v>
      </c>
      <c r="B396" s="195"/>
      <c r="C396" s="195"/>
      <c r="D396" s="44" t="str">
        <f>G!AQ334</f>
        <v>&lt;</v>
      </c>
      <c r="E396" s="43" t="str">
        <f>G!AP334</f>
        <v>0,10</v>
      </c>
      <c r="F396" s="42"/>
      <c r="G396" s="42" t="str">
        <f>G!AS334</f>
        <v>&lt;</v>
      </c>
      <c r="H396" s="43" t="str">
        <f>G!AR334</f>
        <v>rg</v>
      </c>
      <c r="I396" s="42" t="str">
        <f>G!AT334</f>
        <v>-</v>
      </c>
      <c r="J396" s="42" t="str">
        <f>G!AU334</f>
        <v/>
      </c>
      <c r="K396" s="43" t="str">
        <f>IFERROR(IF(OR(H396="--",H396="rg",VLOOKUP(F!$B334,E!$B$1:'E'!$AK$300,12,FALSE)=1000000000,I396="-",I396=""),"",(HLOOKUP(SMALL(G!$Q$4:'G'!$Y$4,1),G!$Q$4:'G'!$Y$501,ROW(G!Q334)-3,FALSE))/VLOOKUP(F!$B334,E!$B$1:'E'!$AK$300,12,FALSE)*100),"")</f>
        <v/>
      </c>
      <c r="L396" s="43"/>
      <c r="M396" s="43" t="str">
        <f>G!AW334</f>
        <v>&lt;</v>
      </c>
      <c r="N396" s="43" t="str">
        <f>G!AV334</f>
        <v>0,10</v>
      </c>
      <c r="O396" s="42"/>
      <c r="P396" s="42" t="str">
        <f>G!AY334</f>
        <v>&lt;</v>
      </c>
      <c r="Q396" s="43" t="str">
        <f>G!AX334</f>
        <v>rg</v>
      </c>
      <c r="R396" s="42" t="str">
        <f>G!AZ334</f>
        <v>-</v>
      </c>
      <c r="S396" s="42" t="str">
        <f>G!BA334</f>
        <v/>
      </c>
      <c r="T396" s="43" t="str">
        <f>IFERROR(IF(OR(Q396="--",Q396="rg",VLOOKUP(F!$B334,E!$B$1:'E'!$AK$300,12,FALSE)=1000000000,R396="-",R396=""),"",(HLOOKUP(SMALL(G!$Q$4:'G'!$Y$4,4),G!$Q$4:'G'!$Y$501,ROW(G!Z334)-3,FALSE))/VLOOKUP(F!$B334,E!$B$1:'E'!$AK$300,12,FALSE)*100),"")</f>
        <v/>
      </c>
      <c r="U396" s="43"/>
      <c r="V396" s="43" t="str">
        <f>G!BC334</f>
        <v>&lt;</v>
      </c>
      <c r="W396" s="43" t="str">
        <f>G!BB334</f>
        <v>0,10</v>
      </c>
      <c r="X396" s="43"/>
      <c r="Y396" s="42" t="str">
        <f>G!BE334</f>
        <v>&lt;</v>
      </c>
      <c r="Z396" s="43" t="str">
        <f>G!BD334</f>
        <v>rg</v>
      </c>
      <c r="AA396" s="42" t="str">
        <f>G!BF334</f>
        <v>-</v>
      </c>
      <c r="AB396" s="42" t="str">
        <f>G!BG334</f>
        <v/>
      </c>
      <c r="AC396" s="43" t="str">
        <f>IFERROR(IF(OR(Z396="--",Z396="rg",VLOOKUP(F!$B334,E!$B$1:'E'!$AK$300,12,FALSE)=1000000000,AA396="-",AA396=""),"",(HLOOKUP(SMALL(G!$Q$4:'G'!$Y$4,7),G!$Q$4:'G'!$Y$501,ROW(G!AI334)-3,FALSE))/VLOOKUP(F!$B334,E!$B$1:'E'!$AK$300,12,FALSE)*100),"")</f>
        <v/>
      </c>
      <c r="AD396" s="43"/>
      <c r="AE396" s="34"/>
      <c r="AF396" s="34"/>
      <c r="AH396" s="72">
        <f t="shared" si="7"/>
        <v>0</v>
      </c>
      <c r="AJ396" s="34"/>
      <c r="AK396" s="34"/>
    </row>
    <row r="397" spans="1:37" s="72" customFormat="1" ht="9" customHeight="1" x14ac:dyDescent="0.15">
      <c r="A397" s="195" t="str">
        <f>F!A335</f>
        <v>PFDA</v>
      </c>
      <c r="B397" s="195"/>
      <c r="C397" s="195"/>
      <c r="D397" s="44" t="str">
        <f>G!AQ335</f>
        <v>&lt;</v>
      </c>
      <c r="E397" s="43" t="str">
        <f>G!AP335</f>
        <v>0,10</v>
      </c>
      <c r="F397" s="42"/>
      <c r="G397" s="42" t="str">
        <f>G!AS335</f>
        <v>&lt;</v>
      </c>
      <c r="H397" s="43" t="str">
        <f>G!AR335</f>
        <v>rg</v>
      </c>
      <c r="I397" s="42" t="str">
        <f>G!AT335</f>
        <v>-</v>
      </c>
      <c r="J397" s="42" t="str">
        <f>G!AU335</f>
        <v/>
      </c>
      <c r="K397" s="43" t="str">
        <f>IFERROR(IF(OR(H397="--",H397="rg",VLOOKUP(F!$B335,E!$B$1:'E'!$AK$300,12,FALSE)=1000000000,I397="-",I397=""),"",(HLOOKUP(SMALL(G!$Q$4:'G'!$Y$4,1),G!$Q$4:'G'!$Y$501,ROW(G!Q335)-3,FALSE))/VLOOKUP(F!$B335,E!$B$1:'E'!$AK$300,12,FALSE)*100),"")</f>
        <v/>
      </c>
      <c r="L397" s="43"/>
      <c r="M397" s="43" t="str">
        <f>G!AW335</f>
        <v>&lt;</v>
      </c>
      <c r="N397" s="43" t="str">
        <f>G!AV335</f>
        <v>0,10</v>
      </c>
      <c r="O397" s="42"/>
      <c r="P397" s="42" t="str">
        <f>G!AY335</f>
        <v>&lt;</v>
      </c>
      <c r="Q397" s="43" t="str">
        <f>G!AX335</f>
        <v>rg</v>
      </c>
      <c r="R397" s="42" t="str">
        <f>G!AZ335</f>
        <v>-</v>
      </c>
      <c r="S397" s="42" t="str">
        <f>G!BA335</f>
        <v/>
      </c>
      <c r="T397" s="43" t="str">
        <f>IFERROR(IF(OR(Q397="--",Q397="rg",VLOOKUP(F!$B335,E!$B$1:'E'!$AK$300,12,FALSE)=1000000000,R397="-",R397=""),"",(HLOOKUP(SMALL(G!$Q$4:'G'!$Y$4,4),G!$Q$4:'G'!$Y$501,ROW(G!Z335)-3,FALSE))/VLOOKUP(F!$B335,E!$B$1:'E'!$AK$300,12,FALSE)*100),"")</f>
        <v/>
      </c>
      <c r="U397" s="43"/>
      <c r="V397" s="43" t="str">
        <f>G!BC335</f>
        <v>&lt;</v>
      </c>
      <c r="W397" s="43" t="str">
        <f>G!BB335</f>
        <v>0,10</v>
      </c>
      <c r="X397" s="43"/>
      <c r="Y397" s="42" t="str">
        <f>G!BE335</f>
        <v>&lt;</v>
      </c>
      <c r="Z397" s="43" t="str">
        <f>G!BD335</f>
        <v>rg</v>
      </c>
      <c r="AA397" s="42" t="str">
        <f>G!BF335</f>
        <v>-</v>
      </c>
      <c r="AB397" s="42" t="str">
        <f>G!BG335</f>
        <v/>
      </c>
      <c r="AC397" s="43" t="str">
        <f>IFERROR(IF(OR(Z397="--",Z397="rg",VLOOKUP(F!$B335,E!$B$1:'E'!$AK$300,12,FALSE)=1000000000,AA397="-",AA397=""),"",(HLOOKUP(SMALL(G!$Q$4:'G'!$Y$4,7),G!$Q$4:'G'!$Y$501,ROW(G!AI335)-3,FALSE))/VLOOKUP(F!$B335,E!$B$1:'E'!$AK$300,12,FALSE)*100),"")</f>
        <v/>
      </c>
      <c r="AD397" s="43"/>
      <c r="AE397" s="34"/>
      <c r="AF397" s="34"/>
      <c r="AH397" s="72">
        <f t="shared" si="7"/>
        <v>0</v>
      </c>
      <c r="AJ397" s="34"/>
      <c r="AK397" s="34"/>
    </row>
    <row r="398" spans="1:37" s="72" customFormat="1" ht="9" customHeight="1" x14ac:dyDescent="0.15">
      <c r="A398" s="195" t="str">
        <f>F!A336</f>
        <v>PFUnDA</v>
      </c>
      <c r="B398" s="195"/>
      <c r="C398" s="195"/>
      <c r="D398" s="44" t="str">
        <f>G!AQ336</f>
        <v>&lt;</v>
      </c>
      <c r="E398" s="43" t="str">
        <f>G!AP336</f>
        <v>0,10</v>
      </c>
      <c r="F398" s="42"/>
      <c r="G398" s="42" t="str">
        <f>G!AS336</f>
        <v>&lt;</v>
      </c>
      <c r="H398" s="43" t="str">
        <f>G!AR336</f>
        <v>rg</v>
      </c>
      <c r="I398" s="42" t="str">
        <f>G!AT336</f>
        <v>-</v>
      </c>
      <c r="J398" s="42" t="str">
        <f>G!AU336</f>
        <v/>
      </c>
      <c r="K398" s="43" t="str">
        <f>IFERROR(IF(OR(H398="--",H398="rg",VLOOKUP(F!$B336,E!$B$1:'E'!$AK$300,12,FALSE)=1000000000,I398="-",I398=""),"",(HLOOKUP(SMALL(G!$Q$4:'G'!$Y$4,1),G!$Q$4:'G'!$Y$501,ROW(G!Q336)-3,FALSE))/VLOOKUP(F!$B336,E!$B$1:'E'!$AK$300,12,FALSE)*100),"")</f>
        <v/>
      </c>
      <c r="L398" s="43"/>
      <c r="M398" s="43" t="str">
        <f>G!AW336</f>
        <v>&lt;</v>
      </c>
      <c r="N398" s="43" t="str">
        <f>G!AV336</f>
        <v>0,10</v>
      </c>
      <c r="O398" s="42"/>
      <c r="P398" s="42" t="str">
        <f>G!AY336</f>
        <v>&lt;</v>
      </c>
      <c r="Q398" s="43" t="str">
        <f>G!AX336</f>
        <v>rg</v>
      </c>
      <c r="R398" s="42" t="str">
        <f>G!AZ336</f>
        <v>-</v>
      </c>
      <c r="S398" s="42" t="str">
        <f>G!BA336</f>
        <v/>
      </c>
      <c r="T398" s="43" t="str">
        <f>IFERROR(IF(OR(Q398="--",Q398="rg",VLOOKUP(F!$B336,E!$B$1:'E'!$AK$300,12,FALSE)=1000000000,R398="-",R398=""),"",(HLOOKUP(SMALL(G!$Q$4:'G'!$Y$4,4),G!$Q$4:'G'!$Y$501,ROW(G!Z336)-3,FALSE))/VLOOKUP(F!$B336,E!$B$1:'E'!$AK$300,12,FALSE)*100),"")</f>
        <v/>
      </c>
      <c r="U398" s="43"/>
      <c r="V398" s="43" t="str">
        <f>G!BC336</f>
        <v>&lt;</v>
      </c>
      <c r="W398" s="43" t="str">
        <f>G!BB336</f>
        <v>0,10</v>
      </c>
      <c r="X398" s="43"/>
      <c r="Y398" s="42" t="str">
        <f>G!BE336</f>
        <v>&lt;</v>
      </c>
      <c r="Z398" s="43" t="str">
        <f>G!BD336</f>
        <v>rg</v>
      </c>
      <c r="AA398" s="42" t="str">
        <f>G!BF336</f>
        <v>-</v>
      </c>
      <c r="AB398" s="42" t="str">
        <f>G!BG336</f>
        <v/>
      </c>
      <c r="AC398" s="43" t="str">
        <f>IFERROR(IF(OR(Z398="--",Z398="rg",VLOOKUP(F!$B336,E!$B$1:'E'!$AK$300,12,FALSE)=1000000000,AA398="-",AA398=""),"",(HLOOKUP(SMALL(G!$Q$4:'G'!$Y$4,7),G!$Q$4:'G'!$Y$501,ROW(G!AI336)-3,FALSE))/VLOOKUP(F!$B336,E!$B$1:'E'!$AK$300,12,FALSE)*100),"")</f>
        <v/>
      </c>
      <c r="AD398" s="43"/>
      <c r="AE398" s="34"/>
      <c r="AF398" s="34"/>
      <c r="AH398" s="72">
        <f t="shared" ref="AH398:AH432" si="8">IF(AND(E398="--",N398="--",W398="--"),1,0)</f>
        <v>0</v>
      </c>
      <c r="AJ398" s="34"/>
      <c r="AK398" s="34"/>
    </row>
    <row r="399" spans="1:37" s="72" customFormat="1" ht="9" customHeight="1" x14ac:dyDescent="0.15">
      <c r="A399" s="195" t="str">
        <f>F!A337</f>
        <v>PFDoDA</v>
      </c>
      <c r="B399" s="195"/>
      <c r="C399" s="195"/>
      <c r="D399" s="44" t="str">
        <f>G!AQ337</f>
        <v>&lt;</v>
      </c>
      <c r="E399" s="43" t="str">
        <f>G!AP337</f>
        <v>0,10</v>
      </c>
      <c r="F399" s="42"/>
      <c r="G399" s="42" t="str">
        <f>G!AS337</f>
        <v>&lt;</v>
      </c>
      <c r="H399" s="43" t="str">
        <f>G!AR337</f>
        <v>rg</v>
      </c>
      <c r="I399" s="42" t="str">
        <f>G!AT337</f>
        <v>-</v>
      </c>
      <c r="J399" s="42" t="str">
        <f>G!AU337</f>
        <v/>
      </c>
      <c r="K399" s="43" t="str">
        <f>IFERROR(IF(OR(H399="--",H399="rg",VLOOKUP(F!$B337,E!$B$1:'E'!$AK$300,12,FALSE)=1000000000,I399="-",I399=""),"",(HLOOKUP(SMALL(G!$Q$4:'G'!$Y$4,1),G!$Q$4:'G'!$Y$501,ROW(G!Q337)-3,FALSE))/VLOOKUP(F!$B337,E!$B$1:'E'!$AK$300,12,FALSE)*100),"")</f>
        <v/>
      </c>
      <c r="L399" s="43"/>
      <c r="M399" s="43" t="str">
        <f>G!AW337</f>
        <v>&lt;</v>
      </c>
      <c r="N399" s="43" t="str">
        <f>G!AV337</f>
        <v>0,10</v>
      </c>
      <c r="O399" s="42"/>
      <c r="P399" s="42" t="str">
        <f>G!AY337</f>
        <v>&lt;</v>
      </c>
      <c r="Q399" s="43" t="str">
        <f>G!AX337</f>
        <v>rg</v>
      </c>
      <c r="R399" s="42" t="str">
        <f>G!AZ337</f>
        <v>-</v>
      </c>
      <c r="S399" s="42" t="str">
        <f>G!BA337</f>
        <v/>
      </c>
      <c r="T399" s="43" t="str">
        <f>IFERROR(IF(OR(Q399="--",Q399="rg",VLOOKUP(F!$B337,E!$B$1:'E'!$AK$300,12,FALSE)=1000000000,R399="-",R399=""),"",(HLOOKUP(SMALL(G!$Q$4:'G'!$Y$4,4),G!$Q$4:'G'!$Y$501,ROW(G!Z337)-3,FALSE))/VLOOKUP(F!$B337,E!$B$1:'E'!$AK$300,12,FALSE)*100),"")</f>
        <v/>
      </c>
      <c r="U399" s="43"/>
      <c r="V399" s="43" t="str">
        <f>G!BC337</f>
        <v>&lt;</v>
      </c>
      <c r="W399" s="43" t="str">
        <f>G!BB337</f>
        <v>0,10</v>
      </c>
      <c r="X399" s="43"/>
      <c r="Y399" s="42" t="str">
        <f>G!BE337</f>
        <v>&lt;</v>
      </c>
      <c r="Z399" s="43" t="str">
        <f>G!BD337</f>
        <v>rg</v>
      </c>
      <c r="AA399" s="42" t="str">
        <f>G!BF337</f>
        <v>-</v>
      </c>
      <c r="AB399" s="42" t="str">
        <f>G!BG337</f>
        <v/>
      </c>
      <c r="AC399" s="43" t="str">
        <f>IFERROR(IF(OR(Z399="--",Z399="rg",VLOOKUP(F!$B337,E!$B$1:'E'!$AK$300,12,FALSE)=1000000000,AA399="-",AA399=""),"",(HLOOKUP(SMALL(G!$Q$4:'G'!$Y$4,7),G!$Q$4:'G'!$Y$501,ROW(G!AI337)-3,FALSE))/VLOOKUP(F!$B337,E!$B$1:'E'!$AK$300,12,FALSE)*100),"")</f>
        <v/>
      </c>
      <c r="AD399" s="43"/>
      <c r="AE399" s="34"/>
      <c r="AF399" s="34"/>
      <c r="AH399" s="72">
        <f t="shared" si="8"/>
        <v>0</v>
      </c>
      <c r="AJ399" s="34"/>
      <c r="AK399" s="34"/>
    </row>
    <row r="400" spans="1:37" s="72" customFormat="1" ht="9" hidden="1" customHeight="1" x14ac:dyDescent="0.15">
      <c r="A400" s="195" t="str">
        <f>F!A338</f>
        <v>PFTrDA</v>
      </c>
      <c r="B400" s="195"/>
      <c r="C400" s="195"/>
      <c r="D400" s="44" t="str">
        <f>G!AQ338</f>
        <v/>
      </c>
      <c r="E400" s="43" t="str">
        <f>G!AP338</f>
        <v>--</v>
      </c>
      <c r="F400" s="42"/>
      <c r="G400" s="42" t="str">
        <f>G!AS338</f>
        <v/>
      </c>
      <c r="H400" s="43" t="str">
        <f>G!AR338</f>
        <v>--</v>
      </c>
      <c r="I400" s="42" t="str">
        <f>G!AT338</f>
        <v/>
      </c>
      <c r="J400" s="42" t="str">
        <f>G!AU338</f>
        <v/>
      </c>
      <c r="K400" s="43" t="str">
        <f>IFERROR(IF(OR(H400="--",H400="rg",VLOOKUP(F!$B338,E!$B$1:'E'!$AK$300,12,FALSE)=1000000000,I400="-",I400=""),"",(HLOOKUP(SMALL(G!$Q$4:'G'!$Y$4,1),G!$Q$4:'G'!$Y$501,ROW(G!Q338)-3,FALSE))/VLOOKUP(F!$B338,E!$B$1:'E'!$AK$300,12,FALSE)*100),"")</f>
        <v/>
      </c>
      <c r="L400" s="43"/>
      <c r="M400" s="43" t="str">
        <f>G!AW338</f>
        <v/>
      </c>
      <c r="N400" s="43" t="str">
        <f>G!AV338</f>
        <v>--</v>
      </c>
      <c r="O400" s="42"/>
      <c r="P400" s="42" t="str">
        <f>G!AY338</f>
        <v/>
      </c>
      <c r="Q400" s="43" t="str">
        <f>G!AX338</f>
        <v>--</v>
      </c>
      <c r="R400" s="42" t="str">
        <f>G!AZ338</f>
        <v/>
      </c>
      <c r="S400" s="42" t="str">
        <f>G!BA338</f>
        <v/>
      </c>
      <c r="T400" s="43" t="str">
        <f>IFERROR(IF(OR(Q400="--",Q400="rg",VLOOKUP(F!$B338,E!$B$1:'E'!$AK$300,12,FALSE)=1000000000,R400="-",R400=""),"",(HLOOKUP(SMALL(G!$Q$4:'G'!$Y$4,4),G!$Q$4:'G'!$Y$501,ROW(G!Z338)-3,FALSE))/VLOOKUP(F!$B338,E!$B$1:'E'!$AK$300,12,FALSE)*100),"")</f>
        <v/>
      </c>
      <c r="U400" s="43"/>
      <c r="V400" s="43" t="str">
        <f>G!BC338</f>
        <v/>
      </c>
      <c r="W400" s="43" t="str">
        <f>G!BB338</f>
        <v>--</v>
      </c>
      <c r="X400" s="43"/>
      <c r="Y400" s="42" t="str">
        <f>G!BE338</f>
        <v/>
      </c>
      <c r="Z400" s="43" t="str">
        <f>G!BD338</f>
        <v>--</v>
      </c>
      <c r="AA400" s="42" t="str">
        <f>G!BF338</f>
        <v/>
      </c>
      <c r="AB400" s="42" t="str">
        <f>G!BG338</f>
        <v/>
      </c>
      <c r="AC400" s="43" t="str">
        <f>IFERROR(IF(OR(Z400="--",Z400="rg",VLOOKUP(F!$B338,E!$B$1:'E'!$AK$300,12,FALSE)=1000000000,AA400="-",AA400=""),"",(HLOOKUP(SMALL(G!$Q$4:'G'!$Y$4,7),G!$Q$4:'G'!$Y$501,ROW(G!AI338)-3,FALSE))/VLOOKUP(F!$B338,E!$B$1:'E'!$AK$300,12,FALSE)*100),"")</f>
        <v/>
      </c>
      <c r="AD400" s="43"/>
      <c r="AE400" s="34"/>
      <c r="AF400" s="34"/>
      <c r="AH400" s="72">
        <f t="shared" si="8"/>
        <v>1</v>
      </c>
      <c r="AJ400" s="34"/>
      <c r="AK400" s="34"/>
    </row>
    <row r="401" spans="1:37" s="72" customFormat="1" ht="9" hidden="1" customHeight="1" x14ac:dyDescent="0.15">
      <c r="A401" s="195" t="str">
        <f>F!A339</f>
        <v>PFTeDA</v>
      </c>
      <c r="B401" s="195"/>
      <c r="C401" s="195"/>
      <c r="D401" s="44" t="str">
        <f>G!AQ339</f>
        <v/>
      </c>
      <c r="E401" s="43" t="str">
        <f>G!AP339</f>
        <v>--</v>
      </c>
      <c r="F401" s="42"/>
      <c r="G401" s="42" t="str">
        <f>G!AS339</f>
        <v/>
      </c>
      <c r="H401" s="43" t="str">
        <f>G!AR339</f>
        <v>--</v>
      </c>
      <c r="I401" s="42" t="str">
        <f>G!AT339</f>
        <v/>
      </c>
      <c r="J401" s="42" t="str">
        <f>G!AU339</f>
        <v/>
      </c>
      <c r="K401" s="43" t="str">
        <f>IFERROR(IF(OR(H401="--",H401="rg",VLOOKUP(F!$B339,E!$B$1:'E'!$AK$300,12,FALSE)=1000000000,I401="-",I401=""),"",(HLOOKUP(SMALL(G!$Q$4:'G'!$Y$4,1),G!$Q$4:'G'!$Y$501,ROW(G!Q339)-3,FALSE))/VLOOKUP(F!$B339,E!$B$1:'E'!$AK$300,12,FALSE)*100),"")</f>
        <v/>
      </c>
      <c r="L401" s="43"/>
      <c r="M401" s="43" t="str">
        <f>G!AW339</f>
        <v/>
      </c>
      <c r="N401" s="43" t="str">
        <f>G!AV339</f>
        <v>--</v>
      </c>
      <c r="O401" s="42"/>
      <c r="P401" s="42" t="str">
        <f>G!AY339</f>
        <v/>
      </c>
      <c r="Q401" s="43" t="str">
        <f>G!AX339</f>
        <v>--</v>
      </c>
      <c r="R401" s="42" t="str">
        <f>G!AZ339</f>
        <v/>
      </c>
      <c r="S401" s="42" t="str">
        <f>G!BA339</f>
        <v/>
      </c>
      <c r="T401" s="43" t="str">
        <f>IFERROR(IF(OR(Q401="--",Q401="rg",VLOOKUP(F!$B339,E!$B$1:'E'!$AK$300,12,FALSE)=1000000000,R401="-",R401=""),"",(HLOOKUP(SMALL(G!$Q$4:'G'!$Y$4,4),G!$Q$4:'G'!$Y$501,ROW(G!Z339)-3,FALSE))/VLOOKUP(F!$B339,E!$B$1:'E'!$AK$300,12,FALSE)*100),"")</f>
        <v/>
      </c>
      <c r="U401" s="43"/>
      <c r="V401" s="43" t="str">
        <f>G!BC339</f>
        <v/>
      </c>
      <c r="W401" s="43" t="str">
        <f>G!BB339</f>
        <v>--</v>
      </c>
      <c r="X401" s="43"/>
      <c r="Y401" s="42" t="str">
        <f>G!BE339</f>
        <v/>
      </c>
      <c r="Z401" s="43" t="str">
        <f>G!BD339</f>
        <v>--</v>
      </c>
      <c r="AA401" s="42" t="str">
        <f>G!BF339</f>
        <v/>
      </c>
      <c r="AB401" s="42" t="str">
        <f>G!BG339</f>
        <v/>
      </c>
      <c r="AC401" s="43" t="str">
        <f>IFERROR(IF(OR(Z401="--",Z401="rg",VLOOKUP(F!$B339,E!$B$1:'E'!$AK$300,12,FALSE)=1000000000,AA401="-",AA401=""),"",(HLOOKUP(SMALL(G!$Q$4:'G'!$Y$4,7),G!$Q$4:'G'!$Y$501,ROW(G!AI339)-3,FALSE))/VLOOKUP(F!$B339,E!$B$1:'E'!$AK$300,12,FALSE)*100),"")</f>
        <v/>
      </c>
      <c r="AD401" s="43"/>
      <c r="AE401" s="34"/>
      <c r="AF401" s="34"/>
      <c r="AH401" s="72">
        <f t="shared" si="8"/>
        <v>1</v>
      </c>
      <c r="AJ401" s="34"/>
      <c r="AK401" s="34"/>
    </row>
    <row r="402" spans="1:37" s="72" customFormat="1" ht="9" hidden="1" customHeight="1" x14ac:dyDescent="0.15">
      <c r="A402" s="195" t="str">
        <f>F!A340</f>
        <v>PFHxDA</v>
      </c>
      <c r="B402" s="195"/>
      <c r="C402" s="195"/>
      <c r="D402" s="44" t="str">
        <f>G!AQ340</f>
        <v/>
      </c>
      <c r="E402" s="43" t="str">
        <f>G!AP340</f>
        <v>--</v>
      </c>
      <c r="F402" s="42"/>
      <c r="G402" s="42" t="str">
        <f>G!AS340</f>
        <v/>
      </c>
      <c r="H402" s="43" t="str">
        <f>G!AR340</f>
        <v>--</v>
      </c>
      <c r="I402" s="42" t="str">
        <f>G!AT340</f>
        <v/>
      </c>
      <c r="J402" s="42" t="str">
        <f>G!AU340</f>
        <v/>
      </c>
      <c r="K402" s="43" t="str">
        <f>IFERROR(IF(OR(H402="--",H402="rg",VLOOKUP(F!$B340,E!$B$1:'E'!$AK$300,12,FALSE)=1000000000,I402="-",I402=""),"",(HLOOKUP(SMALL(G!$Q$4:'G'!$Y$4,1),G!$Q$4:'G'!$Y$501,ROW(G!Q340)-3,FALSE))/VLOOKUP(F!$B340,E!$B$1:'E'!$AK$300,12,FALSE)*100),"")</f>
        <v/>
      </c>
      <c r="L402" s="43"/>
      <c r="M402" s="43" t="str">
        <f>G!AW340</f>
        <v/>
      </c>
      <c r="N402" s="43" t="str">
        <f>G!AV340</f>
        <v>--</v>
      </c>
      <c r="O402" s="42"/>
      <c r="P402" s="42" t="str">
        <f>G!AY340</f>
        <v/>
      </c>
      <c r="Q402" s="43" t="str">
        <f>G!AX340</f>
        <v>--</v>
      </c>
      <c r="R402" s="42" t="str">
        <f>G!AZ340</f>
        <v/>
      </c>
      <c r="S402" s="42" t="str">
        <f>G!BA340</f>
        <v/>
      </c>
      <c r="T402" s="43" t="str">
        <f>IFERROR(IF(OR(Q402="--",Q402="rg",VLOOKUP(F!$B340,E!$B$1:'E'!$AK$300,12,FALSE)=1000000000,R402="-",R402=""),"",(HLOOKUP(SMALL(G!$Q$4:'G'!$Y$4,4),G!$Q$4:'G'!$Y$501,ROW(G!Z340)-3,FALSE))/VLOOKUP(F!$B340,E!$B$1:'E'!$AK$300,12,FALSE)*100),"")</f>
        <v/>
      </c>
      <c r="U402" s="43"/>
      <c r="V402" s="43" t="str">
        <f>G!BC340</f>
        <v/>
      </c>
      <c r="W402" s="43" t="str">
        <f>G!BB340</f>
        <v>--</v>
      </c>
      <c r="X402" s="43"/>
      <c r="Y402" s="42" t="str">
        <f>G!BE340</f>
        <v/>
      </c>
      <c r="Z402" s="43" t="str">
        <f>G!BD340</f>
        <v>--</v>
      </c>
      <c r="AA402" s="42" t="str">
        <f>G!BF340</f>
        <v/>
      </c>
      <c r="AB402" s="42" t="str">
        <f>G!BG340</f>
        <v/>
      </c>
      <c r="AC402" s="43" t="str">
        <f>IFERROR(IF(OR(Z402="--",Z402="rg",VLOOKUP(F!$B340,E!$B$1:'E'!$AK$300,12,FALSE)=1000000000,AA402="-",AA402=""),"",(HLOOKUP(SMALL(G!$Q$4:'G'!$Y$4,7),G!$Q$4:'G'!$Y$501,ROW(G!AI340)-3,FALSE))/VLOOKUP(F!$B340,E!$B$1:'E'!$AK$300,12,FALSE)*100),"")</f>
        <v/>
      </c>
      <c r="AD402" s="43"/>
      <c r="AE402" s="34"/>
      <c r="AF402" s="34"/>
      <c r="AH402" s="72">
        <f t="shared" si="8"/>
        <v>1</v>
      </c>
      <c r="AJ402" s="34"/>
      <c r="AK402" s="34"/>
    </row>
    <row r="403" spans="1:37" s="72" customFormat="1" ht="9" hidden="1" customHeight="1" x14ac:dyDescent="0.15">
      <c r="A403" s="195" t="str">
        <f>F!A341</f>
        <v>PFODA</v>
      </c>
      <c r="B403" s="195"/>
      <c r="C403" s="195"/>
      <c r="D403" s="44" t="str">
        <f>G!AQ341</f>
        <v/>
      </c>
      <c r="E403" s="43" t="str">
        <f>G!AP341</f>
        <v>--</v>
      </c>
      <c r="F403" s="42"/>
      <c r="G403" s="42" t="str">
        <f>G!AS341</f>
        <v/>
      </c>
      <c r="H403" s="43" t="str">
        <f>G!AR341</f>
        <v>--</v>
      </c>
      <c r="I403" s="42" t="str">
        <f>G!AT341</f>
        <v/>
      </c>
      <c r="J403" s="42" t="str">
        <f>G!AU341</f>
        <v/>
      </c>
      <c r="K403" s="43" t="str">
        <f>IFERROR(IF(OR(H403="--",H403="rg",VLOOKUP(F!$B341,E!$B$1:'E'!$AK$300,12,FALSE)=1000000000,I403="-",I403=""),"",(HLOOKUP(SMALL(G!$Q$4:'G'!$Y$4,1),G!$Q$4:'G'!$Y$501,ROW(G!Q341)-3,FALSE))/VLOOKUP(F!$B341,E!$B$1:'E'!$AK$300,12,FALSE)*100),"")</f>
        <v/>
      </c>
      <c r="L403" s="43"/>
      <c r="M403" s="43" t="str">
        <f>G!AW341</f>
        <v/>
      </c>
      <c r="N403" s="43" t="str">
        <f>G!AV341</f>
        <v>--</v>
      </c>
      <c r="O403" s="42"/>
      <c r="P403" s="42" t="str">
        <f>G!AY341</f>
        <v/>
      </c>
      <c r="Q403" s="43" t="str">
        <f>G!AX341</f>
        <v>--</v>
      </c>
      <c r="R403" s="42" t="str">
        <f>G!AZ341</f>
        <v/>
      </c>
      <c r="S403" s="42" t="str">
        <f>G!BA341</f>
        <v/>
      </c>
      <c r="T403" s="43" t="str">
        <f>IFERROR(IF(OR(Q403="--",Q403="rg",VLOOKUP(F!$B341,E!$B$1:'E'!$AK$300,12,FALSE)=1000000000,R403="-",R403=""),"",(HLOOKUP(SMALL(G!$Q$4:'G'!$Y$4,4),G!$Q$4:'G'!$Y$501,ROW(G!Z341)-3,FALSE))/VLOOKUP(F!$B341,E!$B$1:'E'!$AK$300,12,FALSE)*100),"")</f>
        <v/>
      </c>
      <c r="U403" s="43"/>
      <c r="V403" s="43" t="str">
        <f>G!BC341</f>
        <v/>
      </c>
      <c r="W403" s="43" t="str">
        <f>G!BB341</f>
        <v>--</v>
      </c>
      <c r="X403" s="43"/>
      <c r="Y403" s="42" t="str">
        <f>G!BE341</f>
        <v/>
      </c>
      <c r="Z403" s="43" t="str">
        <f>G!BD341</f>
        <v>--</v>
      </c>
      <c r="AA403" s="42" t="str">
        <f>G!BF341</f>
        <v/>
      </c>
      <c r="AB403" s="42" t="str">
        <f>G!BG341</f>
        <v/>
      </c>
      <c r="AC403" s="43" t="str">
        <f>IFERROR(IF(OR(Z403="--",Z403="rg",VLOOKUP(F!$B341,E!$B$1:'E'!$AK$300,12,FALSE)=1000000000,AA403="-",AA403=""),"",(HLOOKUP(SMALL(G!$Q$4:'G'!$Y$4,7),G!$Q$4:'G'!$Y$501,ROW(G!AI341)-3,FALSE))/VLOOKUP(F!$B341,E!$B$1:'E'!$AK$300,12,FALSE)*100),"")</f>
        <v/>
      </c>
      <c r="AD403" s="43"/>
      <c r="AE403" s="34"/>
      <c r="AF403" s="34"/>
      <c r="AH403" s="72">
        <f t="shared" si="8"/>
        <v>1</v>
      </c>
      <c r="AJ403" s="34"/>
      <c r="AK403" s="34"/>
    </row>
    <row r="404" spans="1:37" s="72" customFormat="1" ht="9" customHeight="1" x14ac:dyDescent="0.15">
      <c r="A404" s="195" t="str">
        <f>F!A342</f>
        <v>PFBS</v>
      </c>
      <c r="B404" s="195"/>
      <c r="C404" s="195"/>
      <c r="D404" s="44" t="str">
        <f>G!AQ342</f>
        <v>&lt;</v>
      </c>
      <c r="E404" s="43" t="str">
        <f>G!AP342</f>
        <v>0,10</v>
      </c>
      <c r="F404" s="42"/>
      <c r="G404" s="42" t="str">
        <f>G!AS342</f>
        <v>&lt;</v>
      </c>
      <c r="H404" s="43" t="str">
        <f>G!AR342</f>
        <v>rg</v>
      </c>
      <c r="I404" s="42" t="str">
        <f>G!AT342</f>
        <v>-</v>
      </c>
      <c r="J404" s="42" t="str">
        <f>G!AU342</f>
        <v/>
      </c>
      <c r="K404" s="43" t="str">
        <f>IFERROR(IF(OR(H404="--",H404="rg",VLOOKUP(F!$B342,E!$B$1:'E'!$AK$300,12,FALSE)=1000000000,I404="-",I404=""),"",(HLOOKUP(SMALL(G!$Q$4:'G'!$Y$4,1),G!$Q$4:'G'!$Y$501,ROW(G!Q342)-3,FALSE))/VLOOKUP(F!$B342,E!$B$1:'E'!$AK$300,12,FALSE)*100),"")</f>
        <v/>
      </c>
      <c r="L404" s="43"/>
      <c r="M404" s="43" t="str">
        <f>G!AW342</f>
        <v>&lt;</v>
      </c>
      <c r="N404" s="43" t="str">
        <f>G!AV342</f>
        <v>0,10</v>
      </c>
      <c r="O404" s="42"/>
      <c r="P404" s="42" t="str">
        <f>G!AY342</f>
        <v>&lt;</v>
      </c>
      <c r="Q404" s="43" t="str">
        <f>G!AX342</f>
        <v>rg</v>
      </c>
      <c r="R404" s="42" t="str">
        <f>G!AZ342</f>
        <v>-</v>
      </c>
      <c r="S404" s="42" t="str">
        <f>G!BA342</f>
        <v/>
      </c>
      <c r="T404" s="43" t="str">
        <f>IFERROR(IF(OR(Q404="--",Q404="rg",VLOOKUP(F!$B342,E!$B$1:'E'!$AK$300,12,FALSE)=1000000000,R404="-",R404=""),"",(HLOOKUP(SMALL(G!$Q$4:'G'!$Y$4,4),G!$Q$4:'G'!$Y$501,ROW(G!Z342)-3,FALSE))/VLOOKUP(F!$B342,E!$B$1:'E'!$AK$300,12,FALSE)*100),"")</f>
        <v/>
      </c>
      <c r="U404" s="43"/>
      <c r="V404" s="43" t="str">
        <f>G!BC342</f>
        <v>&lt;</v>
      </c>
      <c r="W404" s="43" t="str">
        <f>G!BB342</f>
        <v>0,10</v>
      </c>
      <c r="X404" s="43"/>
      <c r="Y404" s="42" t="str">
        <f>G!BE342</f>
        <v>&lt;</v>
      </c>
      <c r="Z404" s="43" t="str">
        <f>G!BD342</f>
        <v>rg</v>
      </c>
      <c r="AA404" s="42" t="str">
        <f>G!BF342</f>
        <v>-</v>
      </c>
      <c r="AB404" s="42" t="str">
        <f>G!BG342</f>
        <v/>
      </c>
      <c r="AC404" s="43" t="str">
        <f>IFERROR(IF(OR(Z404="--",Z404="rg",VLOOKUP(F!$B342,E!$B$1:'E'!$AK$300,12,FALSE)=1000000000,AA404="-",AA404=""),"",(HLOOKUP(SMALL(G!$Q$4:'G'!$Y$4,7),G!$Q$4:'G'!$Y$501,ROW(G!AI342)-3,FALSE))/VLOOKUP(F!$B342,E!$B$1:'E'!$AK$300,12,FALSE)*100),"")</f>
        <v/>
      </c>
      <c r="AD404" s="43"/>
      <c r="AE404" s="34"/>
      <c r="AF404" s="34"/>
      <c r="AH404" s="72">
        <f t="shared" si="8"/>
        <v>0</v>
      </c>
      <c r="AJ404" s="34"/>
      <c r="AK404" s="34"/>
    </row>
    <row r="405" spans="1:37" s="72" customFormat="1" ht="9" customHeight="1" x14ac:dyDescent="0.15">
      <c r="A405" s="195" t="str">
        <f>F!A343</f>
        <v>PFPeS</v>
      </c>
      <c r="B405" s="195"/>
      <c r="C405" s="195"/>
      <c r="D405" s="44" t="str">
        <f>G!AQ343</f>
        <v>&lt;</v>
      </c>
      <c r="E405" s="43" t="str">
        <f>G!AP343</f>
        <v>0,10</v>
      </c>
      <c r="F405" s="42"/>
      <c r="G405" s="42" t="str">
        <f>G!AS343</f>
        <v>&lt;</v>
      </c>
      <c r="H405" s="43" t="str">
        <f>G!AR343</f>
        <v>rg</v>
      </c>
      <c r="I405" s="42" t="str">
        <f>G!AT343</f>
        <v>-</v>
      </c>
      <c r="J405" s="42" t="str">
        <f>G!AU343</f>
        <v/>
      </c>
      <c r="K405" s="43" t="str">
        <f>IFERROR(IF(OR(H405="--",H405="rg",VLOOKUP(F!$B343,E!$B$1:'E'!$AK$300,12,FALSE)=1000000000,I405="-",I405=""),"",(HLOOKUP(SMALL(G!$Q$4:'G'!$Y$4,1),G!$Q$4:'G'!$Y$501,ROW(G!Q343)-3,FALSE))/VLOOKUP(F!$B343,E!$B$1:'E'!$AK$300,12,FALSE)*100),"")</f>
        <v/>
      </c>
      <c r="L405" s="43"/>
      <c r="M405" s="43" t="str">
        <f>G!AW343</f>
        <v>&lt;</v>
      </c>
      <c r="N405" s="43" t="str">
        <f>G!AV343</f>
        <v>0,10</v>
      </c>
      <c r="O405" s="42"/>
      <c r="P405" s="42" t="str">
        <f>G!AY343</f>
        <v>&lt;</v>
      </c>
      <c r="Q405" s="43" t="str">
        <f>G!AX343</f>
        <v>rg</v>
      </c>
      <c r="R405" s="42" t="str">
        <f>G!AZ343</f>
        <v>-</v>
      </c>
      <c r="S405" s="42" t="str">
        <f>G!BA343</f>
        <v/>
      </c>
      <c r="T405" s="43" t="str">
        <f>IFERROR(IF(OR(Q405="--",Q405="rg",VLOOKUP(F!$B343,E!$B$1:'E'!$AK$300,12,FALSE)=1000000000,R405="-",R405=""),"",(HLOOKUP(SMALL(G!$Q$4:'G'!$Y$4,4),G!$Q$4:'G'!$Y$501,ROW(G!Z343)-3,FALSE))/VLOOKUP(F!$B343,E!$B$1:'E'!$AK$300,12,FALSE)*100),"")</f>
        <v/>
      </c>
      <c r="U405" s="43"/>
      <c r="V405" s="43" t="str">
        <f>G!BC343</f>
        <v>&lt;</v>
      </c>
      <c r="W405" s="43" t="str">
        <f>G!BB343</f>
        <v>0,10</v>
      </c>
      <c r="X405" s="43"/>
      <c r="Y405" s="42" t="str">
        <f>G!BE343</f>
        <v>&lt;</v>
      </c>
      <c r="Z405" s="43" t="str">
        <f>G!BD343</f>
        <v>rg</v>
      </c>
      <c r="AA405" s="42" t="str">
        <f>G!BF343</f>
        <v>-</v>
      </c>
      <c r="AB405" s="42" t="str">
        <f>G!BG343</f>
        <v/>
      </c>
      <c r="AC405" s="43" t="str">
        <f>IFERROR(IF(OR(Z405="--",Z405="rg",VLOOKUP(F!$B343,E!$B$1:'E'!$AK$300,12,FALSE)=1000000000,AA405="-",AA405=""),"",(HLOOKUP(SMALL(G!$Q$4:'G'!$Y$4,7),G!$Q$4:'G'!$Y$501,ROW(G!AI343)-3,FALSE))/VLOOKUP(F!$B343,E!$B$1:'E'!$AK$300,12,FALSE)*100),"")</f>
        <v/>
      </c>
      <c r="AD405" s="43"/>
      <c r="AE405" s="34"/>
      <c r="AF405" s="34"/>
      <c r="AH405" s="72">
        <f t="shared" si="8"/>
        <v>0</v>
      </c>
      <c r="AJ405" s="34"/>
      <c r="AK405" s="34"/>
    </row>
    <row r="406" spans="1:37" s="72" customFormat="1" ht="9" customHeight="1" x14ac:dyDescent="0.15">
      <c r="A406" s="195" t="str">
        <f>F!A344</f>
        <v>PFHxS</v>
      </c>
      <c r="B406" s="195"/>
      <c r="C406" s="195"/>
      <c r="D406" s="44" t="str">
        <f>G!AQ344</f>
        <v>&lt;</v>
      </c>
      <c r="E406" s="43" t="str">
        <f>G!AP344</f>
        <v>0,10</v>
      </c>
      <c r="F406" s="42"/>
      <c r="G406" s="42" t="str">
        <f>G!AS344</f>
        <v>&lt;</v>
      </c>
      <c r="H406" s="43" t="str">
        <f>G!AR344</f>
        <v>rg</v>
      </c>
      <c r="I406" s="42" t="str">
        <f>G!AT344</f>
        <v>-</v>
      </c>
      <c r="J406" s="42" t="str">
        <f>G!AU344</f>
        <v/>
      </c>
      <c r="K406" s="43" t="str">
        <f>IFERROR(IF(OR(H406="--",H406="rg",VLOOKUP(F!$B344,E!$B$1:'E'!$AK$300,12,FALSE)=1000000000,I406="-",I406=""),"",(HLOOKUP(SMALL(G!$Q$4:'G'!$Y$4,1),G!$Q$4:'G'!$Y$501,ROW(G!Q344)-3,FALSE))/VLOOKUP(F!$B344,E!$B$1:'E'!$AK$300,12,FALSE)*100),"")</f>
        <v/>
      </c>
      <c r="L406" s="43"/>
      <c r="M406" s="43" t="str">
        <f>G!AW344</f>
        <v>&lt;</v>
      </c>
      <c r="N406" s="43" t="str">
        <f>G!AV344</f>
        <v>0,10</v>
      </c>
      <c r="O406" s="42"/>
      <c r="P406" s="42" t="str">
        <f>G!AY344</f>
        <v>&lt;</v>
      </c>
      <c r="Q406" s="43" t="str">
        <f>G!AX344</f>
        <v>rg</v>
      </c>
      <c r="R406" s="42" t="str">
        <f>G!AZ344</f>
        <v>-</v>
      </c>
      <c r="S406" s="42" t="str">
        <f>G!BA344</f>
        <v/>
      </c>
      <c r="T406" s="43" t="str">
        <f>IFERROR(IF(OR(Q406="--",Q406="rg",VLOOKUP(F!$B344,E!$B$1:'E'!$AK$300,12,FALSE)=1000000000,R406="-",R406=""),"",(HLOOKUP(SMALL(G!$Q$4:'G'!$Y$4,4),G!$Q$4:'G'!$Y$501,ROW(G!Z344)-3,FALSE))/VLOOKUP(F!$B344,E!$B$1:'E'!$AK$300,12,FALSE)*100),"")</f>
        <v/>
      </c>
      <c r="U406" s="43"/>
      <c r="V406" s="43" t="str">
        <f>G!BC344</f>
        <v>&lt;</v>
      </c>
      <c r="W406" s="43" t="str">
        <f>G!BB344</f>
        <v>0,10</v>
      </c>
      <c r="X406" s="43"/>
      <c r="Y406" s="42" t="str">
        <f>G!BE344</f>
        <v>&lt;</v>
      </c>
      <c r="Z406" s="43" t="str">
        <f>G!BD344</f>
        <v>rg</v>
      </c>
      <c r="AA406" s="42" t="str">
        <f>G!BF344</f>
        <v>-</v>
      </c>
      <c r="AB406" s="42" t="str">
        <f>G!BG344</f>
        <v/>
      </c>
      <c r="AC406" s="43" t="str">
        <f>IFERROR(IF(OR(Z406="--",Z406="rg",VLOOKUP(F!$B344,E!$B$1:'E'!$AK$300,12,FALSE)=1000000000,AA406="-",AA406=""),"",(HLOOKUP(SMALL(G!$Q$4:'G'!$Y$4,7),G!$Q$4:'G'!$Y$501,ROW(G!AI344)-3,FALSE))/VLOOKUP(F!$B344,E!$B$1:'E'!$AK$300,12,FALSE)*100),"")</f>
        <v/>
      </c>
      <c r="AD406" s="43"/>
      <c r="AE406" s="34"/>
      <c r="AF406" s="34"/>
      <c r="AH406" s="72">
        <f t="shared" si="8"/>
        <v>0</v>
      </c>
      <c r="AJ406" s="34"/>
      <c r="AK406" s="34"/>
    </row>
    <row r="407" spans="1:37" s="72" customFormat="1" ht="9" customHeight="1" x14ac:dyDescent="0.15">
      <c r="A407" s="195" t="str">
        <f>F!A345</f>
        <v>PFHpS</v>
      </c>
      <c r="B407" s="195"/>
      <c r="C407" s="195"/>
      <c r="D407" s="44" t="str">
        <f>G!AQ345</f>
        <v>&lt;</v>
      </c>
      <c r="E407" s="43" t="str">
        <f>G!AP345</f>
        <v>0,10</v>
      </c>
      <c r="F407" s="42"/>
      <c r="G407" s="42" t="str">
        <f>G!AS345</f>
        <v>&lt;</v>
      </c>
      <c r="H407" s="43" t="str">
        <f>G!AR345</f>
        <v>rg</v>
      </c>
      <c r="I407" s="42" t="str">
        <f>G!AT345</f>
        <v>-</v>
      </c>
      <c r="J407" s="42" t="str">
        <f>G!AU345</f>
        <v/>
      </c>
      <c r="K407" s="43" t="str">
        <f>IFERROR(IF(OR(H407="--",H407="rg",VLOOKUP(F!$B345,E!$B$1:'E'!$AK$300,12,FALSE)=1000000000,I407="-",I407=""),"",(HLOOKUP(SMALL(G!$Q$4:'G'!$Y$4,1),G!$Q$4:'G'!$Y$501,ROW(G!Q345)-3,FALSE))/VLOOKUP(F!$B345,E!$B$1:'E'!$AK$300,12,FALSE)*100),"")</f>
        <v/>
      </c>
      <c r="L407" s="43"/>
      <c r="M407" s="43" t="str">
        <f>G!AW345</f>
        <v>&lt;</v>
      </c>
      <c r="N407" s="43" t="str">
        <f>G!AV345</f>
        <v>0,10</v>
      </c>
      <c r="O407" s="42"/>
      <c r="P407" s="42" t="str">
        <f>G!AY345</f>
        <v>&lt;</v>
      </c>
      <c r="Q407" s="43" t="str">
        <f>G!AX345</f>
        <v>rg</v>
      </c>
      <c r="R407" s="42" t="str">
        <f>G!AZ345</f>
        <v>-</v>
      </c>
      <c r="S407" s="42" t="str">
        <f>G!BA345</f>
        <v/>
      </c>
      <c r="T407" s="43" t="str">
        <f>IFERROR(IF(OR(Q407="--",Q407="rg",VLOOKUP(F!$B345,E!$B$1:'E'!$AK$300,12,FALSE)=1000000000,R407="-",R407=""),"",(HLOOKUP(SMALL(G!$Q$4:'G'!$Y$4,4),G!$Q$4:'G'!$Y$501,ROW(G!Z345)-3,FALSE))/VLOOKUP(F!$B345,E!$B$1:'E'!$AK$300,12,FALSE)*100),"")</f>
        <v/>
      </c>
      <c r="U407" s="43"/>
      <c r="V407" s="43" t="str">
        <f>G!BC345</f>
        <v>&lt;</v>
      </c>
      <c r="W407" s="43" t="str">
        <f>G!BB345</f>
        <v>0,10</v>
      </c>
      <c r="X407" s="43"/>
      <c r="Y407" s="42" t="str">
        <f>G!BE345</f>
        <v>&lt;</v>
      </c>
      <c r="Z407" s="43" t="str">
        <f>G!BD345</f>
        <v>rg</v>
      </c>
      <c r="AA407" s="42" t="str">
        <f>G!BF345</f>
        <v>-</v>
      </c>
      <c r="AB407" s="42" t="str">
        <f>G!BG345</f>
        <v/>
      </c>
      <c r="AC407" s="43" t="str">
        <f>IFERROR(IF(OR(Z407="--",Z407="rg",VLOOKUP(F!$B345,E!$B$1:'E'!$AK$300,12,FALSE)=1000000000,AA407="-",AA407=""),"",(HLOOKUP(SMALL(G!$Q$4:'G'!$Y$4,7),G!$Q$4:'G'!$Y$501,ROW(G!AI345)-3,FALSE))/VLOOKUP(F!$B345,E!$B$1:'E'!$AK$300,12,FALSE)*100),"")</f>
        <v/>
      </c>
      <c r="AD407" s="43"/>
      <c r="AE407" s="34"/>
      <c r="AF407" s="34"/>
      <c r="AH407" s="72">
        <f t="shared" si="8"/>
        <v>0</v>
      </c>
      <c r="AJ407" s="34"/>
      <c r="AK407" s="34"/>
    </row>
    <row r="408" spans="1:37" s="72" customFormat="1" ht="9" customHeight="1" x14ac:dyDescent="0.15">
      <c r="A408" s="195" t="str">
        <f>F!A346</f>
        <v>PFOS lineair</v>
      </c>
      <c r="B408" s="195"/>
      <c r="C408" s="195"/>
      <c r="D408" s="44" t="str">
        <f>G!AQ346</f>
        <v>&lt;</v>
      </c>
      <c r="E408" s="43" t="str">
        <f>G!AP346</f>
        <v>0,10</v>
      </c>
      <c r="F408" s="42"/>
      <c r="G408" s="42" t="str">
        <f>G!AS346</f>
        <v>&lt;</v>
      </c>
      <c r="H408" s="43" t="str">
        <f>G!AR346</f>
        <v>rg</v>
      </c>
      <c r="I408" s="42" t="str">
        <f>G!AT346</f>
        <v/>
      </c>
      <c r="J408" s="42" t="str">
        <f>G!AU346</f>
        <v/>
      </c>
      <c r="K408" s="43" t="str">
        <f>IFERROR(IF(OR(H408="--",H408="rg",VLOOKUP(F!$B346,E!$B$1:'E'!$AK$300,12,FALSE)=1000000000,I408="-",I408=""),"",(HLOOKUP(SMALL(G!$Q$4:'G'!$Y$4,1),G!$Q$4:'G'!$Y$501,ROW(G!Q346)-3,FALSE))/VLOOKUP(F!$B346,E!$B$1:'E'!$AK$300,12,FALSE)*100),"")</f>
        <v/>
      </c>
      <c r="L408" s="43"/>
      <c r="M408" s="43" t="str">
        <f>G!AW346</f>
        <v>&lt;</v>
      </c>
      <c r="N408" s="43" t="str">
        <f>G!AV346</f>
        <v>0,10</v>
      </c>
      <c r="O408" s="42"/>
      <c r="P408" s="42" t="str">
        <f>G!AY346</f>
        <v>&lt;</v>
      </c>
      <c r="Q408" s="43" t="str">
        <f>G!AX346</f>
        <v>rg</v>
      </c>
      <c r="R408" s="42" t="str">
        <f>G!AZ346</f>
        <v/>
      </c>
      <c r="S408" s="42" t="str">
        <f>G!BA346</f>
        <v/>
      </c>
      <c r="T408" s="43" t="str">
        <f>IFERROR(IF(OR(Q408="--",Q408="rg",VLOOKUP(F!$B346,E!$B$1:'E'!$AK$300,12,FALSE)=1000000000,R408="-",R408=""),"",(HLOOKUP(SMALL(G!$Q$4:'G'!$Y$4,4),G!$Q$4:'G'!$Y$501,ROW(G!Z346)-3,FALSE))/VLOOKUP(F!$B346,E!$B$1:'E'!$AK$300,12,FALSE)*100),"")</f>
        <v/>
      </c>
      <c r="U408" s="43"/>
      <c r="V408" s="43" t="str">
        <f>G!BC346</f>
        <v>&lt;</v>
      </c>
      <c r="W408" s="43" t="str">
        <f>G!BB346</f>
        <v>0,10</v>
      </c>
      <c r="X408" s="43"/>
      <c r="Y408" s="42" t="str">
        <f>G!BE346</f>
        <v>&lt;</v>
      </c>
      <c r="Z408" s="43" t="str">
        <f>G!BD346</f>
        <v>rg</v>
      </c>
      <c r="AA408" s="42" t="str">
        <f>G!BF346</f>
        <v/>
      </c>
      <c r="AB408" s="42" t="str">
        <f>G!BG346</f>
        <v/>
      </c>
      <c r="AC408" s="43" t="str">
        <f>IFERROR(IF(OR(Z408="--",Z408="rg",VLOOKUP(F!$B346,E!$B$1:'E'!$AK$300,12,FALSE)=1000000000,AA408="-",AA408=""),"",(HLOOKUP(SMALL(G!$Q$4:'G'!$Y$4,7),G!$Q$4:'G'!$Y$501,ROW(G!AI346)-3,FALSE))/VLOOKUP(F!$B346,E!$B$1:'E'!$AK$300,12,FALSE)*100),"")</f>
        <v/>
      </c>
      <c r="AD408" s="43"/>
      <c r="AE408" s="34"/>
      <c r="AF408" s="34"/>
      <c r="AH408" s="72">
        <f t="shared" si="8"/>
        <v>0</v>
      </c>
      <c r="AJ408" s="34"/>
      <c r="AK408" s="34"/>
    </row>
    <row r="409" spans="1:37" s="72" customFormat="1" ht="9" customHeight="1" x14ac:dyDescent="0.15">
      <c r="A409" s="195" t="str">
        <f>F!A347</f>
        <v>PFOS vertakt</v>
      </c>
      <c r="B409" s="195"/>
      <c r="C409" s="195"/>
      <c r="D409" s="44" t="str">
        <f>G!AQ347</f>
        <v>&lt;</v>
      </c>
      <c r="E409" s="43" t="str">
        <f>G!AP347</f>
        <v>0,10</v>
      </c>
      <c r="F409" s="42"/>
      <c r="G409" s="42" t="str">
        <f>G!AS347</f>
        <v>&lt;</v>
      </c>
      <c r="H409" s="43" t="str">
        <f>G!AR347</f>
        <v>rg</v>
      </c>
      <c r="I409" s="42" t="str">
        <f>G!AT347</f>
        <v/>
      </c>
      <c r="J409" s="42" t="str">
        <f>G!AU347</f>
        <v/>
      </c>
      <c r="K409" s="43" t="str">
        <f>IFERROR(IF(OR(H409="--",H409="rg",VLOOKUP(F!$B347,E!$B$1:'E'!$AK$300,12,FALSE)=1000000000,I409="-",I409=""),"",(HLOOKUP(SMALL(G!$Q$4:'G'!$Y$4,1),G!$Q$4:'G'!$Y$501,ROW(G!Q347)-3,FALSE))/VLOOKUP(F!$B347,E!$B$1:'E'!$AK$300,12,FALSE)*100),"")</f>
        <v/>
      </c>
      <c r="L409" s="43"/>
      <c r="M409" s="43" t="str">
        <f>G!AW347</f>
        <v>&lt;</v>
      </c>
      <c r="N409" s="43" t="str">
        <f>G!AV347</f>
        <v>0,10</v>
      </c>
      <c r="O409" s="42"/>
      <c r="P409" s="42" t="str">
        <f>G!AY347</f>
        <v>&lt;</v>
      </c>
      <c r="Q409" s="43" t="str">
        <f>G!AX347</f>
        <v>rg</v>
      </c>
      <c r="R409" s="42" t="str">
        <f>G!AZ347</f>
        <v/>
      </c>
      <c r="S409" s="42" t="str">
        <f>G!BA347</f>
        <v/>
      </c>
      <c r="T409" s="43" t="str">
        <f>IFERROR(IF(OR(Q409="--",Q409="rg",VLOOKUP(F!$B347,E!$B$1:'E'!$AK$300,12,FALSE)=1000000000,R409="-",R409=""),"",(HLOOKUP(SMALL(G!$Q$4:'G'!$Y$4,4),G!$Q$4:'G'!$Y$501,ROW(G!Z347)-3,FALSE))/VLOOKUP(F!$B347,E!$B$1:'E'!$AK$300,12,FALSE)*100),"")</f>
        <v/>
      </c>
      <c r="U409" s="43"/>
      <c r="V409" s="43" t="str">
        <f>G!BC347</f>
        <v>&lt;</v>
      </c>
      <c r="W409" s="43" t="str">
        <f>G!BB347</f>
        <v>0,10</v>
      </c>
      <c r="X409" s="43"/>
      <c r="Y409" s="42" t="str">
        <f>G!BE347</f>
        <v>&lt;</v>
      </c>
      <c r="Z409" s="43" t="str">
        <f>G!BD347</f>
        <v>rg</v>
      </c>
      <c r="AA409" s="42" t="str">
        <f>G!BF347</f>
        <v/>
      </c>
      <c r="AB409" s="42" t="str">
        <f>G!BG347</f>
        <v/>
      </c>
      <c r="AC409" s="43" t="str">
        <f>IFERROR(IF(OR(Z409="--",Z409="rg",VLOOKUP(F!$B347,E!$B$1:'E'!$AK$300,12,FALSE)=1000000000,AA409="-",AA409=""),"",(HLOOKUP(SMALL(G!$Q$4:'G'!$Y$4,7),G!$Q$4:'G'!$Y$501,ROW(G!AI347)-3,FALSE))/VLOOKUP(F!$B347,E!$B$1:'E'!$AK$300,12,FALSE)*100),"")</f>
        <v/>
      </c>
      <c r="AD409" s="43"/>
      <c r="AE409" s="34"/>
      <c r="AF409" s="34"/>
      <c r="AH409" s="72">
        <f t="shared" si="8"/>
        <v>0</v>
      </c>
      <c r="AJ409" s="34"/>
      <c r="AK409" s="34"/>
    </row>
    <row r="410" spans="1:37" s="72" customFormat="1" ht="9" customHeight="1" x14ac:dyDescent="0.15">
      <c r="A410" s="195" t="str">
        <f>F!A348</f>
        <v>PFOS totaal</v>
      </c>
      <c r="B410" s="195"/>
      <c r="C410" s="195"/>
      <c r="D410" s="44" t="str">
        <f>G!AQ348</f>
        <v>&lt;</v>
      </c>
      <c r="E410" s="43" t="str">
        <f>G!AP348</f>
        <v>0,10</v>
      </c>
      <c r="F410" s="42"/>
      <c r="G410" s="42" t="str">
        <f>G!AS348</f>
        <v>&lt;</v>
      </c>
      <c r="H410" s="43" t="str">
        <f>G!AR348</f>
        <v>rg</v>
      </c>
      <c r="I410" s="42" t="str">
        <f>G!AT348</f>
        <v>-</v>
      </c>
      <c r="J410" s="42" t="str">
        <f>G!AU348</f>
        <v/>
      </c>
      <c r="K410" s="43" t="str">
        <f>IFERROR(IF(OR(H410="--",H410="rg",VLOOKUP(F!$B348,E!$B$1:'E'!$AK$300,12,FALSE)=1000000000,I410="-",I410=""),"",(HLOOKUP(SMALL(G!$Q$4:'G'!$Y$4,1),G!$Q$4:'G'!$Y$501,ROW(G!Q348)-3,FALSE))/VLOOKUP(F!$B348,E!$B$1:'E'!$AK$300,12,FALSE)*100),"")</f>
        <v/>
      </c>
      <c r="L410" s="43"/>
      <c r="M410" s="43" t="str">
        <f>G!AW348</f>
        <v>&lt;</v>
      </c>
      <c r="N410" s="43" t="str">
        <f>G!AV348</f>
        <v>0,10</v>
      </c>
      <c r="O410" s="42"/>
      <c r="P410" s="42" t="str">
        <f>G!AY348</f>
        <v>&lt;</v>
      </c>
      <c r="Q410" s="43" t="str">
        <f>G!AX348</f>
        <v>rg</v>
      </c>
      <c r="R410" s="42" t="str">
        <f>G!AZ348</f>
        <v>-</v>
      </c>
      <c r="S410" s="42" t="str">
        <f>G!BA348</f>
        <v/>
      </c>
      <c r="T410" s="43" t="str">
        <f>IFERROR(IF(OR(Q410="--",Q410="rg",VLOOKUP(F!$B348,E!$B$1:'E'!$AK$300,12,FALSE)=1000000000,R410="-",R410=""),"",(HLOOKUP(SMALL(G!$Q$4:'G'!$Y$4,4),G!$Q$4:'G'!$Y$501,ROW(G!Z348)-3,FALSE))/VLOOKUP(F!$B348,E!$B$1:'E'!$AK$300,12,FALSE)*100),"")</f>
        <v/>
      </c>
      <c r="U410" s="43"/>
      <c r="V410" s="43" t="str">
        <f>G!BC348</f>
        <v>&lt;</v>
      </c>
      <c r="W410" s="43" t="str">
        <f>G!BB348</f>
        <v>0,10</v>
      </c>
      <c r="X410" s="43"/>
      <c r="Y410" s="42" t="str">
        <f>G!BE348</f>
        <v>&lt;</v>
      </c>
      <c r="Z410" s="43" t="str">
        <f>G!BD348</f>
        <v>rg</v>
      </c>
      <c r="AA410" s="42" t="str">
        <f>G!BF348</f>
        <v>-</v>
      </c>
      <c r="AB410" s="42" t="str">
        <f>G!BG348</f>
        <v/>
      </c>
      <c r="AC410" s="43" t="str">
        <f>IFERROR(IF(OR(Z410="--",Z410="rg",VLOOKUP(F!$B348,E!$B$1:'E'!$AK$300,12,FALSE)=1000000000,AA410="-",AA410=""),"",(HLOOKUP(SMALL(G!$Q$4:'G'!$Y$4,7),G!$Q$4:'G'!$Y$501,ROW(G!AI348)-3,FALSE))/VLOOKUP(F!$B348,E!$B$1:'E'!$AK$300,12,FALSE)*100),"")</f>
        <v/>
      </c>
      <c r="AD410" s="43"/>
      <c r="AE410" s="34"/>
      <c r="AF410" s="34"/>
      <c r="AH410" s="72">
        <f t="shared" si="8"/>
        <v>0</v>
      </c>
      <c r="AJ410" s="34"/>
      <c r="AK410" s="34"/>
    </row>
    <row r="411" spans="1:37" s="72" customFormat="1" ht="9" customHeight="1" x14ac:dyDescent="0.15">
      <c r="A411" s="195" t="str">
        <f>F!A349</f>
        <v>PFDS</v>
      </c>
      <c r="B411" s="195"/>
      <c r="C411" s="195"/>
      <c r="D411" s="44" t="str">
        <f>G!AQ349</f>
        <v>&lt;</v>
      </c>
      <c r="E411" s="43" t="str">
        <f>G!AP349</f>
        <v>0,10</v>
      </c>
      <c r="F411" s="42"/>
      <c r="G411" s="42" t="str">
        <f>G!AS349</f>
        <v>&lt;</v>
      </c>
      <c r="H411" s="43" t="str">
        <f>G!AR349</f>
        <v>rg</v>
      </c>
      <c r="I411" s="42" t="str">
        <f>G!AT349</f>
        <v>-</v>
      </c>
      <c r="J411" s="42" t="str">
        <f>G!AU349</f>
        <v/>
      </c>
      <c r="K411" s="43" t="str">
        <f>IFERROR(IF(OR(H411="--",H411="rg",VLOOKUP(F!$B349,E!$B$1:'E'!$AK$300,12,FALSE)=1000000000,I411="-",I411=""),"",(HLOOKUP(SMALL(G!$Q$4:'G'!$Y$4,1),G!$Q$4:'G'!$Y$501,ROW(G!Q349)-3,FALSE))/VLOOKUP(F!$B349,E!$B$1:'E'!$AK$300,12,FALSE)*100),"")</f>
        <v/>
      </c>
      <c r="L411" s="43"/>
      <c r="M411" s="43" t="str">
        <f>G!AW349</f>
        <v>&lt;</v>
      </c>
      <c r="N411" s="43" t="str">
        <f>G!AV349</f>
        <v>0,10</v>
      </c>
      <c r="O411" s="42"/>
      <c r="P411" s="42" t="str">
        <f>G!AY349</f>
        <v>&lt;</v>
      </c>
      <c r="Q411" s="43" t="str">
        <f>G!AX349</f>
        <v>rg</v>
      </c>
      <c r="R411" s="42" t="str">
        <f>G!AZ349</f>
        <v>-</v>
      </c>
      <c r="S411" s="42" t="str">
        <f>G!BA349</f>
        <v/>
      </c>
      <c r="T411" s="43" t="str">
        <f>IFERROR(IF(OR(Q411="--",Q411="rg",VLOOKUP(F!$B349,E!$B$1:'E'!$AK$300,12,FALSE)=1000000000,R411="-",R411=""),"",(HLOOKUP(SMALL(G!$Q$4:'G'!$Y$4,4),G!$Q$4:'G'!$Y$501,ROW(G!Z349)-3,FALSE))/VLOOKUP(F!$B349,E!$B$1:'E'!$AK$300,12,FALSE)*100),"")</f>
        <v/>
      </c>
      <c r="U411" s="43"/>
      <c r="V411" s="43" t="str">
        <f>G!BC349</f>
        <v>&lt;</v>
      </c>
      <c r="W411" s="43" t="str">
        <f>G!BB349</f>
        <v>0,10</v>
      </c>
      <c r="X411" s="43"/>
      <c r="Y411" s="42" t="str">
        <f>G!BE349</f>
        <v>&lt;</v>
      </c>
      <c r="Z411" s="43" t="str">
        <f>G!BD349</f>
        <v>rg</v>
      </c>
      <c r="AA411" s="42" t="str">
        <f>G!BF349</f>
        <v>-</v>
      </c>
      <c r="AB411" s="42" t="str">
        <f>G!BG349</f>
        <v/>
      </c>
      <c r="AC411" s="43" t="str">
        <f>IFERROR(IF(OR(Z411="--",Z411="rg",VLOOKUP(F!$B349,E!$B$1:'E'!$AK$300,12,FALSE)=1000000000,AA411="-",AA411=""),"",(HLOOKUP(SMALL(G!$Q$4:'G'!$Y$4,7),G!$Q$4:'G'!$Y$501,ROW(G!AI349)-3,FALSE))/VLOOKUP(F!$B349,E!$B$1:'E'!$AK$300,12,FALSE)*100),"")</f>
        <v/>
      </c>
      <c r="AD411" s="43"/>
      <c r="AE411" s="34"/>
      <c r="AF411" s="34"/>
      <c r="AH411" s="72">
        <f t="shared" si="8"/>
        <v>0</v>
      </c>
      <c r="AJ411" s="34"/>
      <c r="AK411" s="34"/>
    </row>
    <row r="412" spans="1:37" s="72" customFormat="1" ht="9" customHeight="1" x14ac:dyDescent="0.15">
      <c r="A412" s="195" t="str">
        <f>F!A350</f>
        <v>4:2 FTS</v>
      </c>
      <c r="B412" s="195"/>
      <c r="C412" s="195"/>
      <c r="D412" s="44" t="str">
        <f>G!AQ350</f>
        <v>&lt;</v>
      </c>
      <c r="E412" s="43" t="str">
        <f>G!AP350</f>
        <v>0,10</v>
      </c>
      <c r="F412" s="42"/>
      <c r="G412" s="42" t="str">
        <f>G!AS350</f>
        <v>&lt;</v>
      </c>
      <c r="H412" s="43" t="str">
        <f>G!AR350</f>
        <v>rg</v>
      </c>
      <c r="I412" s="42" t="str">
        <f>G!AT350</f>
        <v>-</v>
      </c>
      <c r="J412" s="42" t="str">
        <f>G!AU350</f>
        <v/>
      </c>
      <c r="K412" s="43" t="str">
        <f>IFERROR(IF(OR(H412="--",H412="rg",VLOOKUP(F!$B350,E!$B$1:'E'!$AK$300,12,FALSE)=1000000000,I412="-",I412=""),"",(HLOOKUP(SMALL(G!$Q$4:'G'!$Y$4,1),G!$Q$4:'G'!$Y$501,ROW(G!Q350)-3,FALSE))/VLOOKUP(F!$B350,E!$B$1:'E'!$AK$300,12,FALSE)*100),"")</f>
        <v/>
      </c>
      <c r="L412" s="43"/>
      <c r="M412" s="43" t="str">
        <f>G!AW350</f>
        <v>&lt;</v>
      </c>
      <c r="N412" s="43" t="str">
        <f>G!AV350</f>
        <v>0,10</v>
      </c>
      <c r="O412" s="42"/>
      <c r="P412" s="42" t="str">
        <f>G!AY350</f>
        <v>&lt;</v>
      </c>
      <c r="Q412" s="43" t="str">
        <f>G!AX350</f>
        <v>rg</v>
      </c>
      <c r="R412" s="42" t="str">
        <f>G!AZ350</f>
        <v>-</v>
      </c>
      <c r="S412" s="42" t="str">
        <f>G!BA350</f>
        <v/>
      </c>
      <c r="T412" s="43" t="str">
        <f>IFERROR(IF(OR(Q412="--",Q412="rg",VLOOKUP(F!$B350,E!$B$1:'E'!$AK$300,12,FALSE)=1000000000,R412="-",R412=""),"",(HLOOKUP(SMALL(G!$Q$4:'G'!$Y$4,4),G!$Q$4:'G'!$Y$501,ROW(G!Z350)-3,FALSE))/VLOOKUP(F!$B350,E!$B$1:'E'!$AK$300,12,FALSE)*100),"")</f>
        <v/>
      </c>
      <c r="U412" s="43"/>
      <c r="V412" s="43" t="str">
        <f>G!BC350</f>
        <v>&lt;</v>
      </c>
      <c r="W412" s="43" t="str">
        <f>G!BB350</f>
        <v>0,10</v>
      </c>
      <c r="X412" s="43"/>
      <c r="Y412" s="42" t="str">
        <f>G!BE350</f>
        <v>&lt;</v>
      </c>
      <c r="Z412" s="43" t="str">
        <f>G!BD350</f>
        <v>rg</v>
      </c>
      <c r="AA412" s="42" t="str">
        <f>G!BF350</f>
        <v>-</v>
      </c>
      <c r="AB412" s="42" t="str">
        <f>G!BG350</f>
        <v/>
      </c>
      <c r="AC412" s="43" t="str">
        <f>IFERROR(IF(OR(Z412="--",Z412="rg",VLOOKUP(F!$B350,E!$B$1:'E'!$AK$300,12,FALSE)=1000000000,AA412="-",AA412=""),"",(HLOOKUP(SMALL(G!$Q$4:'G'!$Y$4,7),G!$Q$4:'G'!$Y$501,ROW(G!AI350)-3,FALSE))/VLOOKUP(F!$B350,E!$B$1:'E'!$AK$300,12,FALSE)*100),"")</f>
        <v/>
      </c>
      <c r="AD412" s="43"/>
      <c r="AE412" s="34"/>
      <c r="AF412" s="34"/>
      <c r="AH412" s="72">
        <f t="shared" si="8"/>
        <v>0</v>
      </c>
      <c r="AJ412" s="34"/>
      <c r="AK412" s="34"/>
    </row>
    <row r="413" spans="1:37" s="72" customFormat="1" ht="9" customHeight="1" x14ac:dyDescent="0.15">
      <c r="A413" s="195" t="str">
        <f>F!A351</f>
        <v>6:2 FTS</v>
      </c>
      <c r="B413" s="195"/>
      <c r="C413" s="195"/>
      <c r="D413" s="44" t="str">
        <f>G!AQ351</f>
        <v>&lt;</v>
      </c>
      <c r="E413" s="43" t="str">
        <f>G!AP351</f>
        <v>0,10</v>
      </c>
      <c r="F413" s="42"/>
      <c r="G413" s="42" t="str">
        <f>G!AS351</f>
        <v>&lt;</v>
      </c>
      <c r="H413" s="43" t="str">
        <f>G!AR351</f>
        <v>rg</v>
      </c>
      <c r="I413" s="42" t="str">
        <f>G!AT351</f>
        <v>-</v>
      </c>
      <c r="J413" s="42" t="str">
        <f>G!AU351</f>
        <v/>
      </c>
      <c r="K413" s="43" t="str">
        <f>IFERROR(IF(OR(H413="--",H413="rg",VLOOKUP(F!$B351,E!$B$1:'E'!$AK$300,12,FALSE)=1000000000,I413="-",I413=""),"",(HLOOKUP(SMALL(G!$Q$4:'G'!$Y$4,1),G!$Q$4:'G'!$Y$501,ROW(G!Q351)-3,FALSE))/VLOOKUP(F!$B351,E!$B$1:'E'!$AK$300,12,FALSE)*100),"")</f>
        <v/>
      </c>
      <c r="L413" s="43"/>
      <c r="M413" s="43" t="str">
        <f>G!AW351</f>
        <v>&lt;</v>
      </c>
      <c r="N413" s="43" t="str">
        <f>G!AV351</f>
        <v>0,10</v>
      </c>
      <c r="O413" s="42"/>
      <c r="P413" s="42" t="str">
        <f>G!AY351</f>
        <v>&lt;</v>
      </c>
      <c r="Q413" s="43" t="str">
        <f>G!AX351</f>
        <v>rg</v>
      </c>
      <c r="R413" s="42" t="str">
        <f>G!AZ351</f>
        <v>-</v>
      </c>
      <c r="S413" s="42" t="str">
        <f>G!BA351</f>
        <v/>
      </c>
      <c r="T413" s="43" t="str">
        <f>IFERROR(IF(OR(Q413="--",Q413="rg",VLOOKUP(F!$B351,E!$B$1:'E'!$AK$300,12,FALSE)=1000000000,R413="-",R413=""),"",(HLOOKUP(SMALL(G!$Q$4:'G'!$Y$4,4),G!$Q$4:'G'!$Y$501,ROW(G!Z351)-3,FALSE))/VLOOKUP(F!$B351,E!$B$1:'E'!$AK$300,12,FALSE)*100),"")</f>
        <v/>
      </c>
      <c r="U413" s="43"/>
      <c r="V413" s="43" t="str">
        <f>G!BC351</f>
        <v>&lt;</v>
      </c>
      <c r="W413" s="43" t="str">
        <f>G!BB351</f>
        <v>0,10</v>
      </c>
      <c r="X413" s="43"/>
      <c r="Y413" s="42" t="str">
        <f>G!BE351</f>
        <v>&lt;</v>
      </c>
      <c r="Z413" s="43" t="str">
        <f>G!BD351</f>
        <v>rg</v>
      </c>
      <c r="AA413" s="42" t="str">
        <f>G!BF351</f>
        <v>-</v>
      </c>
      <c r="AB413" s="42" t="str">
        <f>G!BG351</f>
        <v/>
      </c>
      <c r="AC413" s="43" t="str">
        <f>IFERROR(IF(OR(Z413="--",Z413="rg",VLOOKUP(F!$B351,E!$B$1:'E'!$AK$300,12,FALSE)=1000000000,AA413="-",AA413=""),"",(HLOOKUP(SMALL(G!$Q$4:'G'!$Y$4,7),G!$Q$4:'G'!$Y$501,ROW(G!AI351)-3,FALSE))/VLOOKUP(F!$B351,E!$B$1:'E'!$AK$300,12,FALSE)*100),"")</f>
        <v/>
      </c>
      <c r="AD413" s="43"/>
      <c r="AE413" s="34"/>
      <c r="AF413" s="34"/>
      <c r="AH413" s="72">
        <f t="shared" si="8"/>
        <v>0</v>
      </c>
      <c r="AJ413" s="34"/>
      <c r="AK413" s="34"/>
    </row>
    <row r="414" spans="1:37" s="72" customFormat="1" ht="9" customHeight="1" x14ac:dyDescent="0.15">
      <c r="A414" s="195" t="str">
        <f>F!A352</f>
        <v>8:2 FTS</v>
      </c>
      <c r="B414" s="195"/>
      <c r="C414" s="195"/>
      <c r="D414" s="44" t="str">
        <f>G!AQ352</f>
        <v>&lt;</v>
      </c>
      <c r="E414" s="43" t="str">
        <f>G!AP352</f>
        <v>0,10</v>
      </c>
      <c r="F414" s="42"/>
      <c r="G414" s="42" t="str">
        <f>G!AS352</f>
        <v>&lt;</v>
      </c>
      <c r="H414" s="43" t="str">
        <f>G!AR352</f>
        <v>rg</v>
      </c>
      <c r="I414" s="42" t="str">
        <f>G!AT352</f>
        <v>-</v>
      </c>
      <c r="J414" s="42" t="str">
        <f>G!AU352</f>
        <v/>
      </c>
      <c r="K414" s="43" t="str">
        <f>IFERROR(IF(OR(H414="--",H414="rg",VLOOKUP(F!$B352,E!$B$1:'E'!$AK$300,12,FALSE)=1000000000,I414="-",I414=""),"",(HLOOKUP(SMALL(G!$Q$4:'G'!$Y$4,1),G!$Q$4:'G'!$Y$501,ROW(G!Q352)-3,FALSE))/VLOOKUP(F!$B352,E!$B$1:'E'!$AK$300,12,FALSE)*100),"")</f>
        <v/>
      </c>
      <c r="L414" s="43"/>
      <c r="M414" s="43" t="str">
        <f>G!AW352</f>
        <v>&lt;</v>
      </c>
      <c r="N414" s="43" t="str">
        <f>G!AV352</f>
        <v>0,10</v>
      </c>
      <c r="O414" s="42"/>
      <c r="P414" s="42" t="str">
        <f>G!AY352</f>
        <v>&lt;</v>
      </c>
      <c r="Q414" s="43" t="str">
        <f>G!AX352</f>
        <v>rg</v>
      </c>
      <c r="R414" s="42" t="str">
        <f>G!AZ352</f>
        <v>-</v>
      </c>
      <c r="S414" s="42" t="str">
        <f>G!BA352</f>
        <v/>
      </c>
      <c r="T414" s="43" t="str">
        <f>IFERROR(IF(OR(Q414="--",Q414="rg",VLOOKUP(F!$B352,E!$B$1:'E'!$AK$300,12,FALSE)=1000000000,R414="-",R414=""),"",(HLOOKUP(SMALL(G!$Q$4:'G'!$Y$4,4),G!$Q$4:'G'!$Y$501,ROW(G!Z352)-3,FALSE))/VLOOKUP(F!$B352,E!$B$1:'E'!$AK$300,12,FALSE)*100),"")</f>
        <v/>
      </c>
      <c r="U414" s="43"/>
      <c r="V414" s="43" t="str">
        <f>G!BC352</f>
        <v>&lt;</v>
      </c>
      <c r="W414" s="43" t="str">
        <f>G!BB352</f>
        <v>0,10</v>
      </c>
      <c r="X414" s="43"/>
      <c r="Y414" s="42" t="str">
        <f>G!BE352</f>
        <v>&lt;</v>
      </c>
      <c r="Z414" s="43" t="str">
        <f>G!BD352</f>
        <v>rg</v>
      </c>
      <c r="AA414" s="42" t="str">
        <f>G!BF352</f>
        <v>-</v>
      </c>
      <c r="AB414" s="42" t="str">
        <f>G!BG352</f>
        <v/>
      </c>
      <c r="AC414" s="43" t="str">
        <f>IFERROR(IF(OR(Z414="--",Z414="rg",VLOOKUP(F!$B352,E!$B$1:'E'!$AK$300,12,FALSE)=1000000000,AA414="-",AA414=""),"",(HLOOKUP(SMALL(G!$Q$4:'G'!$Y$4,7),G!$Q$4:'G'!$Y$501,ROW(G!AI352)-3,FALSE))/VLOOKUP(F!$B352,E!$B$1:'E'!$AK$300,12,FALSE)*100),"")</f>
        <v/>
      </c>
      <c r="AD414" s="43"/>
      <c r="AE414" s="34"/>
      <c r="AF414" s="34"/>
      <c r="AH414" s="72">
        <f t="shared" si="8"/>
        <v>0</v>
      </c>
      <c r="AJ414" s="34"/>
      <c r="AK414" s="34"/>
    </row>
    <row r="415" spans="1:37" s="72" customFormat="1" ht="9" hidden="1" customHeight="1" x14ac:dyDescent="0.15">
      <c r="A415" s="195" t="str">
        <f>F!A353</f>
        <v>10:2 FTS</v>
      </c>
      <c r="B415" s="195"/>
      <c r="C415" s="195"/>
      <c r="D415" s="44" t="str">
        <f>G!AQ353</f>
        <v/>
      </c>
      <c r="E415" s="43" t="str">
        <f>G!AP353</f>
        <v>--</v>
      </c>
      <c r="F415" s="42"/>
      <c r="G415" s="42" t="str">
        <f>G!AS353</f>
        <v/>
      </c>
      <c r="H415" s="43" t="str">
        <f>G!AR353</f>
        <v>--</v>
      </c>
      <c r="I415" s="42" t="str">
        <f>G!AT353</f>
        <v/>
      </c>
      <c r="J415" s="42" t="str">
        <f>G!AU353</f>
        <v/>
      </c>
      <c r="K415" s="43" t="str">
        <f>IFERROR(IF(OR(H415="--",H415="rg",VLOOKUP(F!$B353,E!$B$1:'E'!$AK$300,12,FALSE)=1000000000,I415="-",I415=""),"",(HLOOKUP(SMALL(G!$Q$4:'G'!$Y$4,1),G!$Q$4:'G'!$Y$501,ROW(G!Q353)-3,FALSE))/VLOOKUP(F!$B353,E!$B$1:'E'!$AK$300,12,FALSE)*100),"")</f>
        <v/>
      </c>
      <c r="L415" s="43"/>
      <c r="M415" s="43" t="str">
        <f>G!AW353</f>
        <v/>
      </c>
      <c r="N415" s="43" t="str">
        <f>G!AV353</f>
        <v>--</v>
      </c>
      <c r="O415" s="42"/>
      <c r="P415" s="42" t="str">
        <f>G!AY353</f>
        <v/>
      </c>
      <c r="Q415" s="43" t="str">
        <f>G!AX353</f>
        <v>--</v>
      </c>
      <c r="R415" s="42" t="str">
        <f>G!AZ353</f>
        <v/>
      </c>
      <c r="S415" s="42" t="str">
        <f>G!BA353</f>
        <v/>
      </c>
      <c r="T415" s="43" t="str">
        <f>IFERROR(IF(OR(Q415="--",Q415="rg",VLOOKUP(F!$B353,E!$B$1:'E'!$AK$300,12,FALSE)=1000000000,R415="-",R415=""),"",(HLOOKUP(SMALL(G!$Q$4:'G'!$Y$4,4),G!$Q$4:'G'!$Y$501,ROW(G!Z353)-3,FALSE))/VLOOKUP(F!$B353,E!$B$1:'E'!$AK$300,12,FALSE)*100),"")</f>
        <v/>
      </c>
      <c r="U415" s="43"/>
      <c r="V415" s="43" t="str">
        <f>G!BC353</f>
        <v/>
      </c>
      <c r="W415" s="43" t="str">
        <f>G!BB353</f>
        <v>--</v>
      </c>
      <c r="X415" s="43"/>
      <c r="Y415" s="42" t="str">
        <f>G!BE353</f>
        <v/>
      </c>
      <c r="Z415" s="43" t="str">
        <f>G!BD353</f>
        <v>--</v>
      </c>
      <c r="AA415" s="42" t="str">
        <f>G!BF353</f>
        <v/>
      </c>
      <c r="AB415" s="42" t="str">
        <f>G!BG353</f>
        <v/>
      </c>
      <c r="AC415" s="43" t="str">
        <f>IFERROR(IF(OR(Z415="--",Z415="rg",VLOOKUP(F!$B353,E!$B$1:'E'!$AK$300,12,FALSE)=1000000000,AA415="-",AA415=""),"",(HLOOKUP(SMALL(G!$Q$4:'G'!$Y$4,7),G!$Q$4:'G'!$Y$501,ROW(G!AI353)-3,FALSE))/VLOOKUP(F!$B353,E!$B$1:'E'!$AK$300,12,FALSE)*100),"")</f>
        <v/>
      </c>
      <c r="AD415" s="43"/>
      <c r="AE415" s="34"/>
      <c r="AF415" s="34"/>
      <c r="AH415" s="72">
        <f t="shared" si="8"/>
        <v>1</v>
      </c>
      <c r="AJ415" s="34"/>
      <c r="AK415" s="34"/>
    </row>
    <row r="416" spans="1:37" s="72" customFormat="1" ht="9" hidden="1" customHeight="1" x14ac:dyDescent="0.15">
      <c r="A416" s="195" t="str">
        <f>F!A354</f>
        <v>N-MeFOSAA</v>
      </c>
      <c r="B416" s="195"/>
      <c r="C416" s="195"/>
      <c r="D416" s="44" t="str">
        <f>G!AQ354</f>
        <v/>
      </c>
      <c r="E416" s="43" t="str">
        <f>G!AP354</f>
        <v>--</v>
      </c>
      <c r="F416" s="42"/>
      <c r="G416" s="42" t="str">
        <f>G!AS354</f>
        <v/>
      </c>
      <c r="H416" s="43" t="str">
        <f>G!AR354</f>
        <v>--</v>
      </c>
      <c r="I416" s="42" t="str">
        <f>G!AT354</f>
        <v/>
      </c>
      <c r="J416" s="42" t="str">
        <f>G!AU354</f>
        <v/>
      </c>
      <c r="K416" s="43" t="str">
        <f>IFERROR(IF(OR(H416="--",H416="rg",VLOOKUP(F!$B354,E!$B$1:'E'!$AK$300,12,FALSE)=1000000000,I416="-",I416=""),"",(HLOOKUP(SMALL(G!$Q$4:'G'!$Y$4,1),G!$Q$4:'G'!$Y$501,ROW(G!Q354)-3,FALSE))/VLOOKUP(F!$B354,E!$B$1:'E'!$AK$300,12,FALSE)*100),"")</f>
        <v/>
      </c>
      <c r="L416" s="43"/>
      <c r="M416" s="43" t="str">
        <f>G!AW354</f>
        <v/>
      </c>
      <c r="N416" s="43" t="str">
        <f>G!AV354</f>
        <v>--</v>
      </c>
      <c r="O416" s="42"/>
      <c r="P416" s="42" t="str">
        <f>G!AY354</f>
        <v/>
      </c>
      <c r="Q416" s="43" t="str">
        <f>G!AX354</f>
        <v>--</v>
      </c>
      <c r="R416" s="42" t="str">
        <f>G!AZ354</f>
        <v/>
      </c>
      <c r="S416" s="42" t="str">
        <f>G!BA354</f>
        <v/>
      </c>
      <c r="T416" s="43" t="str">
        <f>IFERROR(IF(OR(Q416="--",Q416="rg",VLOOKUP(F!$B354,E!$B$1:'E'!$AK$300,12,FALSE)=1000000000,R416="-",R416=""),"",(HLOOKUP(SMALL(G!$Q$4:'G'!$Y$4,4),G!$Q$4:'G'!$Y$501,ROW(G!Z354)-3,FALSE))/VLOOKUP(F!$B354,E!$B$1:'E'!$AK$300,12,FALSE)*100),"")</f>
        <v/>
      </c>
      <c r="U416" s="43"/>
      <c r="V416" s="43" t="str">
        <f>G!BC354</f>
        <v/>
      </c>
      <c r="W416" s="43" t="str">
        <f>G!BB354</f>
        <v>--</v>
      </c>
      <c r="X416" s="43"/>
      <c r="Y416" s="42" t="str">
        <f>G!BE354</f>
        <v/>
      </c>
      <c r="Z416" s="43" t="str">
        <f>G!BD354</f>
        <v>--</v>
      </c>
      <c r="AA416" s="42" t="str">
        <f>G!BF354</f>
        <v/>
      </c>
      <c r="AB416" s="42" t="str">
        <f>G!BG354</f>
        <v/>
      </c>
      <c r="AC416" s="43" t="str">
        <f>IFERROR(IF(OR(Z416="--",Z416="rg",VLOOKUP(F!$B354,E!$B$1:'E'!$AK$300,12,FALSE)=1000000000,AA416="-",AA416=""),"",(HLOOKUP(SMALL(G!$Q$4:'G'!$Y$4,7),G!$Q$4:'G'!$Y$501,ROW(G!AI354)-3,FALSE))/VLOOKUP(F!$B354,E!$B$1:'E'!$AK$300,12,FALSE)*100),"")</f>
        <v/>
      </c>
      <c r="AD416" s="43"/>
      <c r="AE416" s="34"/>
      <c r="AF416" s="34"/>
      <c r="AH416" s="72">
        <f t="shared" si="8"/>
        <v>1</v>
      </c>
      <c r="AJ416" s="34"/>
      <c r="AK416" s="34"/>
    </row>
    <row r="417" spans="1:37" s="72" customFormat="1" ht="9" hidden="1" customHeight="1" x14ac:dyDescent="0.15">
      <c r="A417" s="195" t="str">
        <f>F!A355</f>
        <v>N-EtFOSAA</v>
      </c>
      <c r="B417" s="195"/>
      <c r="C417" s="195"/>
      <c r="D417" s="44" t="str">
        <f>G!AQ355</f>
        <v/>
      </c>
      <c r="E417" s="43" t="str">
        <f>G!AP355</f>
        <v>--</v>
      </c>
      <c r="F417" s="42"/>
      <c r="G417" s="42" t="str">
        <f>G!AS355</f>
        <v/>
      </c>
      <c r="H417" s="43" t="str">
        <f>G!AR355</f>
        <v>--</v>
      </c>
      <c r="I417" s="42" t="str">
        <f>G!AT355</f>
        <v/>
      </c>
      <c r="J417" s="42" t="str">
        <f>G!AU355</f>
        <v/>
      </c>
      <c r="K417" s="43" t="str">
        <f>IFERROR(IF(OR(H417="--",H417="rg",VLOOKUP(F!$B355,E!$B$1:'E'!$AK$300,12,FALSE)=1000000000,I417="-",I417=""),"",(HLOOKUP(SMALL(G!$Q$4:'G'!$Y$4,1),G!$Q$4:'G'!$Y$501,ROW(G!Q355)-3,FALSE))/VLOOKUP(F!$B355,E!$B$1:'E'!$AK$300,12,FALSE)*100),"")</f>
        <v/>
      </c>
      <c r="L417" s="43"/>
      <c r="M417" s="43" t="str">
        <f>G!AW355</f>
        <v/>
      </c>
      <c r="N417" s="43" t="str">
        <f>G!AV355</f>
        <v>--</v>
      </c>
      <c r="O417" s="42"/>
      <c r="P417" s="42" t="str">
        <f>G!AY355</f>
        <v/>
      </c>
      <c r="Q417" s="43" t="str">
        <f>G!AX355</f>
        <v>--</v>
      </c>
      <c r="R417" s="42" t="str">
        <f>G!AZ355</f>
        <v/>
      </c>
      <c r="S417" s="42" t="str">
        <f>G!BA355</f>
        <v/>
      </c>
      <c r="T417" s="43" t="str">
        <f>IFERROR(IF(OR(Q417="--",Q417="rg",VLOOKUP(F!$B355,E!$B$1:'E'!$AK$300,12,FALSE)=1000000000,R417="-",R417=""),"",(HLOOKUP(SMALL(G!$Q$4:'G'!$Y$4,4),G!$Q$4:'G'!$Y$501,ROW(G!Z355)-3,FALSE))/VLOOKUP(F!$B355,E!$B$1:'E'!$AK$300,12,FALSE)*100),"")</f>
        <v/>
      </c>
      <c r="U417" s="43"/>
      <c r="V417" s="43" t="str">
        <f>G!BC355</f>
        <v/>
      </c>
      <c r="W417" s="43" t="str">
        <f>G!BB355</f>
        <v>--</v>
      </c>
      <c r="X417" s="43"/>
      <c r="Y417" s="42" t="str">
        <f>G!BE355</f>
        <v/>
      </c>
      <c r="Z417" s="43" t="str">
        <f>G!BD355</f>
        <v>--</v>
      </c>
      <c r="AA417" s="42" t="str">
        <f>G!BF355</f>
        <v/>
      </c>
      <c r="AB417" s="42" t="str">
        <f>G!BG355</f>
        <v/>
      </c>
      <c r="AC417" s="43" t="str">
        <f>IFERROR(IF(OR(Z417="--",Z417="rg",VLOOKUP(F!$B355,E!$B$1:'E'!$AK$300,12,FALSE)=1000000000,AA417="-",AA417=""),"",(HLOOKUP(SMALL(G!$Q$4:'G'!$Y$4,7),G!$Q$4:'G'!$Y$501,ROW(G!AI355)-3,FALSE))/VLOOKUP(F!$B355,E!$B$1:'E'!$AK$300,12,FALSE)*100),"")</f>
        <v/>
      </c>
      <c r="AD417" s="43"/>
      <c r="AE417" s="34"/>
      <c r="AF417" s="34"/>
      <c r="AH417" s="72">
        <f t="shared" si="8"/>
        <v>1</v>
      </c>
      <c r="AJ417" s="34"/>
      <c r="AK417" s="34"/>
    </row>
    <row r="418" spans="1:37" s="72" customFormat="1" ht="9" customHeight="1" x14ac:dyDescent="0.15">
      <c r="A418" s="195" t="str">
        <f>F!A356</f>
        <v>PFOSA</v>
      </c>
      <c r="B418" s="195"/>
      <c r="C418" s="195"/>
      <c r="D418" s="44" t="str">
        <f>G!AQ356</f>
        <v>&lt;</v>
      </c>
      <c r="E418" s="43" t="str">
        <f>G!AP356</f>
        <v>0,10</v>
      </c>
      <c r="F418" s="42"/>
      <c r="G418" s="42" t="str">
        <f>G!AS356</f>
        <v>&lt;</v>
      </c>
      <c r="H418" s="43" t="str">
        <f>G!AR356</f>
        <v>rg</v>
      </c>
      <c r="I418" s="42" t="str">
        <f>G!AT356</f>
        <v>-</v>
      </c>
      <c r="J418" s="42" t="str">
        <f>G!AU356</f>
        <v/>
      </c>
      <c r="K418" s="43" t="str">
        <f>IFERROR(IF(OR(H418="--",H418="rg",VLOOKUP(F!$B356,E!$B$1:'E'!$AK$300,12,FALSE)=1000000000,I418="-",I418=""),"",(HLOOKUP(SMALL(G!$Q$4:'G'!$Y$4,1),G!$Q$4:'G'!$Y$501,ROW(G!Q356)-3,FALSE))/VLOOKUP(F!$B356,E!$B$1:'E'!$AK$300,12,FALSE)*100),"")</f>
        <v/>
      </c>
      <c r="L418" s="43"/>
      <c r="M418" s="43" t="str">
        <f>G!AW356</f>
        <v>&lt;</v>
      </c>
      <c r="N418" s="43" t="str">
        <f>G!AV356</f>
        <v>0,10</v>
      </c>
      <c r="O418" s="42"/>
      <c r="P418" s="42" t="str">
        <f>G!AY356</f>
        <v>&lt;</v>
      </c>
      <c r="Q418" s="43" t="str">
        <f>G!AX356</f>
        <v>rg</v>
      </c>
      <c r="R418" s="42" t="str">
        <f>G!AZ356</f>
        <v>-</v>
      </c>
      <c r="S418" s="42" t="str">
        <f>G!BA356</f>
        <v/>
      </c>
      <c r="T418" s="43" t="str">
        <f>IFERROR(IF(OR(Q418="--",Q418="rg",VLOOKUP(F!$B356,E!$B$1:'E'!$AK$300,12,FALSE)=1000000000,R418="-",R418=""),"",(HLOOKUP(SMALL(G!$Q$4:'G'!$Y$4,4),G!$Q$4:'G'!$Y$501,ROW(G!Z356)-3,FALSE))/VLOOKUP(F!$B356,E!$B$1:'E'!$AK$300,12,FALSE)*100),"")</f>
        <v/>
      </c>
      <c r="U418" s="43"/>
      <c r="V418" s="43" t="str">
        <f>G!BC356</f>
        <v>&lt;</v>
      </c>
      <c r="W418" s="43" t="str">
        <f>G!BB356</f>
        <v>0,10</v>
      </c>
      <c r="X418" s="43"/>
      <c r="Y418" s="42" t="str">
        <f>G!BE356</f>
        <v>&lt;</v>
      </c>
      <c r="Z418" s="43" t="str">
        <f>G!BD356</f>
        <v>rg</v>
      </c>
      <c r="AA418" s="42" t="str">
        <f>G!BF356</f>
        <v>-</v>
      </c>
      <c r="AB418" s="42" t="str">
        <f>G!BG356</f>
        <v/>
      </c>
      <c r="AC418" s="43" t="str">
        <f>IFERROR(IF(OR(Z418="--",Z418="rg",VLOOKUP(F!$B356,E!$B$1:'E'!$AK$300,12,FALSE)=1000000000,AA418="-",AA418=""),"",(HLOOKUP(SMALL(G!$Q$4:'G'!$Y$4,7),G!$Q$4:'G'!$Y$501,ROW(G!AI356)-3,FALSE))/VLOOKUP(F!$B356,E!$B$1:'E'!$AK$300,12,FALSE)*100),"")</f>
        <v/>
      </c>
      <c r="AD418" s="43"/>
      <c r="AE418" s="34"/>
      <c r="AF418" s="34"/>
      <c r="AH418" s="72">
        <f t="shared" si="8"/>
        <v>0</v>
      </c>
      <c r="AJ418" s="34"/>
      <c r="AK418" s="34"/>
    </row>
    <row r="419" spans="1:37" s="72" customFormat="1" ht="9" hidden="1" customHeight="1" x14ac:dyDescent="0.15">
      <c r="A419" s="195" t="str">
        <f>F!A357</f>
        <v>N-MeFOSA</v>
      </c>
      <c r="B419" s="195"/>
      <c r="C419" s="195"/>
      <c r="D419" s="44" t="str">
        <f>G!AQ357</f>
        <v/>
      </c>
      <c r="E419" s="43" t="str">
        <f>G!AP357</f>
        <v>--</v>
      </c>
      <c r="F419" s="42"/>
      <c r="G419" s="42" t="str">
        <f>G!AS357</f>
        <v/>
      </c>
      <c r="H419" s="43" t="str">
        <f>G!AR357</f>
        <v>--</v>
      </c>
      <c r="I419" s="42" t="str">
        <f>G!AT357</f>
        <v/>
      </c>
      <c r="J419" s="42" t="str">
        <f>G!AU357</f>
        <v/>
      </c>
      <c r="K419" s="43" t="str">
        <f>IFERROR(IF(OR(H419="--",H419="rg",VLOOKUP(F!$B357,E!$B$1:'E'!$AK$300,12,FALSE)=1000000000,I419="-",I419=""),"",(HLOOKUP(SMALL(G!$Q$4:'G'!$Y$4,1),G!$Q$4:'G'!$Y$501,ROW(G!Q357)-3,FALSE))/VLOOKUP(F!$B357,E!$B$1:'E'!$AK$300,12,FALSE)*100),"")</f>
        <v/>
      </c>
      <c r="L419" s="43"/>
      <c r="M419" s="43" t="str">
        <f>G!AW357</f>
        <v/>
      </c>
      <c r="N419" s="43" t="str">
        <f>G!AV357</f>
        <v>--</v>
      </c>
      <c r="O419" s="42"/>
      <c r="P419" s="42" t="str">
        <f>G!AY357</f>
        <v/>
      </c>
      <c r="Q419" s="43" t="str">
        <f>G!AX357</f>
        <v>--</v>
      </c>
      <c r="R419" s="42" t="str">
        <f>G!AZ357</f>
        <v/>
      </c>
      <c r="S419" s="42" t="str">
        <f>G!BA357</f>
        <v/>
      </c>
      <c r="T419" s="43" t="str">
        <f>IFERROR(IF(OR(Q419="--",Q419="rg",VLOOKUP(F!$B357,E!$B$1:'E'!$AK$300,12,FALSE)=1000000000,R419="-",R419=""),"",(HLOOKUP(SMALL(G!$Q$4:'G'!$Y$4,4),G!$Q$4:'G'!$Y$501,ROW(G!Z357)-3,FALSE))/VLOOKUP(F!$B357,E!$B$1:'E'!$AK$300,12,FALSE)*100),"")</f>
        <v/>
      </c>
      <c r="U419" s="43"/>
      <c r="V419" s="43" t="str">
        <f>G!BC357</f>
        <v/>
      </c>
      <c r="W419" s="43" t="str">
        <f>G!BB357</f>
        <v>--</v>
      </c>
      <c r="X419" s="43"/>
      <c r="Y419" s="42" t="str">
        <f>G!BE357</f>
        <v/>
      </c>
      <c r="Z419" s="43" t="str">
        <f>G!BD357</f>
        <v>--</v>
      </c>
      <c r="AA419" s="42" t="str">
        <f>G!BF357</f>
        <v/>
      </c>
      <c r="AB419" s="42" t="str">
        <f>G!BG357</f>
        <v/>
      </c>
      <c r="AC419" s="43" t="str">
        <f>IFERROR(IF(OR(Z419="--",Z419="rg",VLOOKUP(F!$B357,E!$B$1:'E'!$AK$300,12,FALSE)=1000000000,AA419="-",AA419=""),"",(HLOOKUP(SMALL(G!$Q$4:'G'!$Y$4,7),G!$Q$4:'G'!$Y$501,ROW(G!AI357)-3,FALSE))/VLOOKUP(F!$B357,E!$B$1:'E'!$AK$300,12,FALSE)*100),"")</f>
        <v/>
      </c>
      <c r="AD419" s="43"/>
      <c r="AE419" s="34"/>
      <c r="AF419" s="34"/>
      <c r="AH419" s="72">
        <f t="shared" si="8"/>
        <v>1</v>
      </c>
      <c r="AJ419" s="34"/>
      <c r="AK419" s="34"/>
    </row>
    <row r="420" spans="1:37" s="72" customFormat="1" ht="9" hidden="1" customHeight="1" x14ac:dyDescent="0.15">
      <c r="A420" s="195" t="str">
        <f>F!A358</f>
        <v>8:2 diPAP</v>
      </c>
      <c r="B420" s="195"/>
      <c r="C420" s="195"/>
      <c r="D420" s="44" t="str">
        <f>G!AQ358</f>
        <v/>
      </c>
      <c r="E420" s="43" t="str">
        <f>G!AP358</f>
        <v>--</v>
      </c>
      <c r="F420" s="42"/>
      <c r="G420" s="42" t="str">
        <f>G!AS358</f>
        <v/>
      </c>
      <c r="H420" s="43" t="str">
        <f>G!AR358</f>
        <v>--</v>
      </c>
      <c r="I420" s="42" t="str">
        <f>G!AT358</f>
        <v/>
      </c>
      <c r="J420" s="42" t="str">
        <f>G!AU358</f>
        <v/>
      </c>
      <c r="K420" s="43" t="str">
        <f>IFERROR(IF(OR(H420="--",H420="rg",VLOOKUP(F!$B358,E!$B$1:'E'!$AK$300,12,FALSE)=1000000000,I420="-",I420=""),"",(HLOOKUP(SMALL(G!$Q$4:'G'!$Y$4,1),G!$Q$4:'G'!$Y$501,ROW(G!Q358)-3,FALSE))/VLOOKUP(F!$B358,E!$B$1:'E'!$AK$300,12,FALSE)*100),"")</f>
        <v/>
      </c>
      <c r="L420" s="43"/>
      <c r="M420" s="43" t="str">
        <f>G!AW358</f>
        <v/>
      </c>
      <c r="N420" s="43" t="str">
        <f>G!AV358</f>
        <v>--</v>
      </c>
      <c r="O420" s="42"/>
      <c r="P420" s="42" t="str">
        <f>G!AY358</f>
        <v/>
      </c>
      <c r="Q420" s="43" t="str">
        <f>G!AX358</f>
        <v>--</v>
      </c>
      <c r="R420" s="42" t="str">
        <f>G!AZ358</f>
        <v/>
      </c>
      <c r="S420" s="42" t="str">
        <f>G!BA358</f>
        <v/>
      </c>
      <c r="T420" s="43" t="str">
        <f>IFERROR(IF(OR(Q420="--",Q420="rg",VLOOKUP(F!$B358,E!$B$1:'E'!$AK$300,12,FALSE)=1000000000,R420="-",R420=""),"",(HLOOKUP(SMALL(G!$Q$4:'G'!$Y$4,4),G!$Q$4:'G'!$Y$501,ROW(G!Z358)-3,FALSE))/VLOOKUP(F!$B358,E!$B$1:'E'!$AK$300,12,FALSE)*100),"")</f>
        <v/>
      </c>
      <c r="U420" s="43"/>
      <c r="V420" s="43" t="str">
        <f>G!BC358</f>
        <v/>
      </c>
      <c r="W420" s="43" t="str">
        <f>G!BB358</f>
        <v>--</v>
      </c>
      <c r="X420" s="43"/>
      <c r="Y420" s="42" t="str">
        <f>G!BE358</f>
        <v/>
      </c>
      <c r="Z420" s="43" t="str">
        <f>G!BD358</f>
        <v>--</v>
      </c>
      <c r="AA420" s="42" t="str">
        <f>G!BF358</f>
        <v/>
      </c>
      <c r="AB420" s="42" t="str">
        <f>G!BG358</f>
        <v/>
      </c>
      <c r="AC420" s="43" t="str">
        <f>IFERROR(IF(OR(Z420="--",Z420="rg",VLOOKUP(F!$B358,E!$B$1:'E'!$AK$300,12,FALSE)=1000000000,AA420="-",AA420=""),"",(HLOOKUP(SMALL(G!$Q$4:'G'!$Y$4,7),G!$Q$4:'G'!$Y$501,ROW(G!AI358)-3,FALSE))/VLOOKUP(F!$B358,E!$B$1:'E'!$AK$300,12,FALSE)*100),"")</f>
        <v/>
      </c>
      <c r="AD420" s="43"/>
      <c r="AE420" s="34"/>
      <c r="AF420" s="34"/>
      <c r="AH420" s="72">
        <f t="shared" si="8"/>
        <v>1</v>
      </c>
      <c r="AJ420" s="34"/>
      <c r="AK420" s="34"/>
    </row>
    <row r="421" spans="1:37" s="72" customFormat="1" ht="9" hidden="1" customHeight="1" x14ac:dyDescent="0.15">
      <c r="A421" s="195" t="str">
        <f>F!A359</f>
        <v>HFPO-DA / FRD-903 (GenX)</v>
      </c>
      <c r="B421" s="195"/>
      <c r="C421" s="195"/>
      <c r="D421" s="44" t="str">
        <f>G!AQ359</f>
        <v/>
      </c>
      <c r="E421" s="43" t="str">
        <f>G!AP359</f>
        <v>--</v>
      </c>
      <c r="F421" s="42"/>
      <c r="G421" s="42" t="str">
        <f>G!AS359</f>
        <v/>
      </c>
      <c r="H421" s="43" t="str">
        <f>G!AR359</f>
        <v>--</v>
      </c>
      <c r="I421" s="42" t="str">
        <f>G!AT359</f>
        <v/>
      </c>
      <c r="J421" s="42" t="str">
        <f>G!AU359</f>
        <v/>
      </c>
      <c r="K421" s="43" t="str">
        <f>IFERROR(IF(OR(H421="--",H421="rg",VLOOKUP(F!$B359,E!$B$1:'E'!$AK$300,12,FALSE)=1000000000,I421="-",I421=""),"",(HLOOKUP(SMALL(G!$Q$4:'G'!$Y$4,1),G!$Q$4:'G'!$Y$501,ROW(G!Q359)-3,FALSE))/VLOOKUP(F!$B359,E!$B$1:'E'!$AK$300,12,FALSE)*100),"")</f>
        <v/>
      </c>
      <c r="L421" s="43"/>
      <c r="M421" s="43" t="str">
        <f>G!AW359</f>
        <v/>
      </c>
      <c r="N421" s="43" t="str">
        <f>G!AV359</f>
        <v>--</v>
      </c>
      <c r="O421" s="42"/>
      <c r="P421" s="42" t="str">
        <f>G!AY359</f>
        <v/>
      </c>
      <c r="Q421" s="43" t="str">
        <f>G!AX359</f>
        <v>--</v>
      </c>
      <c r="R421" s="42" t="str">
        <f>G!AZ359</f>
        <v/>
      </c>
      <c r="S421" s="42" t="str">
        <f>G!BA359</f>
        <v/>
      </c>
      <c r="T421" s="43" t="str">
        <f>IFERROR(IF(OR(Q421="--",Q421="rg",VLOOKUP(F!$B359,E!$B$1:'E'!$AK$300,12,FALSE)=1000000000,R421="-",R421=""),"",(HLOOKUP(SMALL(G!$Q$4:'G'!$Y$4,4),G!$Q$4:'G'!$Y$501,ROW(G!Z359)-3,FALSE))/VLOOKUP(F!$B359,E!$B$1:'E'!$AK$300,12,FALSE)*100),"")</f>
        <v/>
      </c>
      <c r="U421" s="43"/>
      <c r="V421" s="43" t="str">
        <f>G!BC359</f>
        <v/>
      </c>
      <c r="W421" s="43" t="str">
        <f>G!BB359</f>
        <v>--</v>
      </c>
      <c r="X421" s="43"/>
      <c r="Y421" s="42" t="str">
        <f>G!BE359</f>
        <v/>
      </c>
      <c r="Z421" s="43" t="str">
        <f>G!BD359</f>
        <v>--</v>
      </c>
      <c r="AA421" s="42" t="str">
        <f>G!BF359</f>
        <v/>
      </c>
      <c r="AB421" s="42" t="str">
        <f>G!BG359</f>
        <v/>
      </c>
      <c r="AC421" s="43" t="str">
        <f>IFERROR(IF(OR(Z421="--",Z421="rg",VLOOKUP(F!$B359,E!$B$1:'E'!$AK$300,12,FALSE)=1000000000,AA421="-",AA421=""),"",(HLOOKUP(SMALL(G!$Q$4:'G'!$Y$4,7),G!$Q$4:'G'!$Y$501,ROW(G!AI359)-3,FALSE))/VLOOKUP(F!$B359,E!$B$1:'E'!$AK$300,12,FALSE)*100),"")</f>
        <v/>
      </c>
      <c r="AD421" s="43"/>
      <c r="AE421" s="34"/>
      <c r="AF421" s="34"/>
      <c r="AH421" s="72">
        <f t="shared" si="8"/>
        <v>1</v>
      </c>
      <c r="AJ421" s="34"/>
      <c r="AK421" s="34"/>
    </row>
    <row r="422" spans="1:37" s="72" customFormat="1" ht="9" customHeight="1" x14ac:dyDescent="0.15">
      <c r="A422" s="195" t="str">
        <f>F!A360</f>
        <v>Som PFAS</v>
      </c>
      <c r="B422" s="195"/>
      <c r="C422" s="195"/>
      <c r="D422" s="44" t="str">
        <f>G!AQ360</f>
        <v>&lt;</v>
      </c>
      <c r="E422" s="43" t="str">
        <f>G!AP360</f>
        <v>2,1</v>
      </c>
      <c r="F422" s="42"/>
      <c r="G422" s="42" t="str">
        <f>G!AS360</f>
        <v>&lt;</v>
      </c>
      <c r="H422" s="43" t="str">
        <f>G!AR360</f>
        <v>rg</v>
      </c>
      <c r="I422" s="42" t="str">
        <f>G!AT360</f>
        <v/>
      </c>
      <c r="J422" s="42" t="str">
        <f>G!AU360</f>
        <v/>
      </c>
      <c r="K422" s="43" t="str">
        <f>IFERROR(IF(OR(H422="--",H422="rg",VLOOKUP(F!$B360,E!$B$1:'E'!$AK$300,12,FALSE)=1000000000,I422="-",I422=""),"",(HLOOKUP(SMALL(G!$Q$4:'G'!$Y$4,1),G!$Q$4:'G'!$Y$501,ROW(G!Q360)-3,FALSE))/VLOOKUP(F!$B360,E!$B$1:'E'!$AK$300,12,FALSE)*100),"")</f>
        <v/>
      </c>
      <c r="L422" s="43"/>
      <c r="M422" s="43" t="str">
        <f>G!AW360</f>
        <v>&lt;</v>
      </c>
      <c r="N422" s="43" t="str">
        <f>G!AV360</f>
        <v>2,1</v>
      </c>
      <c r="O422" s="42"/>
      <c r="P422" s="42" t="str">
        <f>G!AY360</f>
        <v>&lt;</v>
      </c>
      <c r="Q422" s="43" t="str">
        <f>G!AX360</f>
        <v>rg</v>
      </c>
      <c r="R422" s="42" t="str">
        <f>G!AZ360</f>
        <v/>
      </c>
      <c r="S422" s="42" t="str">
        <f>G!BA360</f>
        <v/>
      </c>
      <c r="T422" s="43" t="str">
        <f>IFERROR(IF(OR(Q422="--",Q422="rg",VLOOKUP(F!$B360,E!$B$1:'E'!$AK$300,12,FALSE)=1000000000,R422="-",R422=""),"",(HLOOKUP(SMALL(G!$Q$4:'G'!$Y$4,4),G!$Q$4:'G'!$Y$501,ROW(G!Z360)-3,FALSE))/VLOOKUP(F!$B360,E!$B$1:'E'!$AK$300,12,FALSE)*100),"")</f>
        <v/>
      </c>
      <c r="U422" s="43"/>
      <c r="V422" s="43" t="str">
        <f>G!BC360</f>
        <v>&lt;</v>
      </c>
      <c r="W422" s="43" t="str">
        <f>G!BB360</f>
        <v>2,1</v>
      </c>
      <c r="X422" s="43"/>
      <c r="Y422" s="42" t="str">
        <f>G!BE360</f>
        <v>&lt;</v>
      </c>
      <c r="Z422" s="43" t="str">
        <f>G!BD360</f>
        <v>rg</v>
      </c>
      <c r="AA422" s="42" t="str">
        <f>G!BF360</f>
        <v/>
      </c>
      <c r="AB422" s="42" t="str">
        <f>G!BG360</f>
        <v/>
      </c>
      <c r="AC422" s="43" t="str">
        <f>IFERROR(IF(OR(Z422="--",Z422="rg",VLOOKUP(F!$B360,E!$B$1:'E'!$AK$300,12,FALSE)=1000000000,AA422="-",AA422=""),"",(HLOOKUP(SMALL(G!$Q$4:'G'!$Y$4,7),G!$Q$4:'G'!$Y$501,ROW(G!AI360)-3,FALSE))/VLOOKUP(F!$B360,E!$B$1:'E'!$AK$300,12,FALSE)*100),"")</f>
        <v/>
      </c>
      <c r="AD422" s="43"/>
      <c r="AE422" s="34"/>
      <c r="AF422" s="34"/>
      <c r="AH422" s="72">
        <f t="shared" si="8"/>
        <v>0</v>
      </c>
      <c r="AJ422" s="34"/>
      <c r="AK422" s="34"/>
    </row>
    <row r="423" spans="1:37" s="72" customFormat="1" ht="9" hidden="1" customHeight="1" x14ac:dyDescent="0.15">
      <c r="A423" s="195" t="str">
        <f>F!A361</f>
        <v>Som PFAS excl. PFOS/PFOA</v>
      </c>
      <c r="B423" s="195"/>
      <c r="C423" s="195"/>
      <c r="D423" s="44" t="str">
        <f>G!AQ361</f>
        <v/>
      </c>
      <c r="E423" s="43" t="str">
        <f>G!AP361</f>
        <v>--</v>
      </c>
      <c r="F423" s="42"/>
      <c r="G423" s="42" t="str">
        <f>G!AS361</f>
        <v/>
      </c>
      <c r="H423" s="43" t="str">
        <f>G!AR361</f>
        <v>--</v>
      </c>
      <c r="I423" s="42" t="str">
        <f>G!AT361</f>
        <v/>
      </c>
      <c r="J423" s="42" t="str">
        <f>G!AU361</f>
        <v/>
      </c>
      <c r="K423" s="43" t="str">
        <f>IFERROR(IF(OR(H423="--",H423="rg",VLOOKUP(F!$B361,E!$B$1:'E'!$AK$300,12,FALSE)=1000000000,I423="-",I423=""),"",(HLOOKUP(SMALL(G!$Q$4:'G'!$Y$4,1),G!$Q$4:'G'!$Y$501,ROW(G!Q361)-3,FALSE))/VLOOKUP(F!$B361,E!$B$1:'E'!$AK$300,12,FALSE)*100),"")</f>
        <v/>
      </c>
      <c r="L423" s="43"/>
      <c r="M423" s="43" t="str">
        <f>G!AW361</f>
        <v/>
      </c>
      <c r="N423" s="43" t="str">
        <f>G!AV361</f>
        <v>--</v>
      </c>
      <c r="O423" s="42"/>
      <c r="P423" s="42" t="str">
        <f>G!AY361</f>
        <v/>
      </c>
      <c r="Q423" s="43" t="str">
        <f>G!AX361</f>
        <v>--</v>
      </c>
      <c r="R423" s="42" t="str">
        <f>G!AZ361</f>
        <v/>
      </c>
      <c r="S423" s="42" t="str">
        <f>G!BA361</f>
        <v/>
      </c>
      <c r="T423" s="43" t="str">
        <f>IFERROR(IF(OR(Q423="--",Q423="rg",VLOOKUP(F!$B361,E!$B$1:'E'!$AK$300,12,FALSE)=1000000000,R423="-",R423=""),"",(HLOOKUP(SMALL(G!$Q$4:'G'!$Y$4,4),G!$Q$4:'G'!$Y$501,ROW(G!Z361)-3,FALSE))/VLOOKUP(F!$B361,E!$B$1:'E'!$AK$300,12,FALSE)*100),"")</f>
        <v/>
      </c>
      <c r="U423" s="43"/>
      <c r="V423" s="43" t="str">
        <f>G!BC361</f>
        <v/>
      </c>
      <c r="W423" s="43" t="str">
        <f>G!BB361</f>
        <v>--</v>
      </c>
      <c r="X423" s="43"/>
      <c r="Y423" s="42" t="str">
        <f>G!BE361</f>
        <v/>
      </c>
      <c r="Z423" s="43" t="str">
        <f>G!BD361</f>
        <v>--</v>
      </c>
      <c r="AA423" s="42" t="str">
        <f>G!BF361</f>
        <v/>
      </c>
      <c r="AB423" s="42" t="str">
        <f>G!BG361</f>
        <v/>
      </c>
      <c r="AC423" s="43" t="str">
        <f>IFERROR(IF(OR(Z423="--",Z423="rg",VLOOKUP(F!$B361,E!$B$1:'E'!$AK$300,12,FALSE)=1000000000,AA423="-",AA423=""),"",(HLOOKUP(SMALL(G!$Q$4:'G'!$Y$4,7),G!$Q$4:'G'!$Y$501,ROW(G!AI361)-3,FALSE))/VLOOKUP(F!$B361,E!$B$1:'E'!$AK$300,12,FALSE)*100),"")</f>
        <v/>
      </c>
      <c r="AD423" s="43"/>
      <c r="AE423" s="34"/>
      <c r="AF423" s="34"/>
      <c r="AH423" s="72">
        <f t="shared" si="8"/>
        <v>1</v>
      </c>
      <c r="AJ423" s="34"/>
      <c r="AK423" s="34"/>
    </row>
    <row r="424" spans="1:37" ht="3.95" hidden="1" customHeight="1" x14ac:dyDescent="0.15">
      <c r="A424" s="41"/>
      <c r="B424" s="41"/>
      <c r="C424" s="41"/>
      <c r="D424" s="44"/>
      <c r="E424" s="43"/>
      <c r="F424" s="42"/>
      <c r="G424" s="42"/>
      <c r="H424" s="43"/>
      <c r="I424" s="42"/>
      <c r="J424" s="42"/>
      <c r="K424" s="42"/>
      <c r="L424" s="43"/>
      <c r="M424" s="43"/>
      <c r="N424" s="42"/>
      <c r="O424" s="42"/>
      <c r="P424" s="43"/>
      <c r="Q424" s="42"/>
      <c r="R424" s="42"/>
      <c r="S424" s="42"/>
      <c r="T424" s="43"/>
      <c r="U424" s="43"/>
      <c r="V424" s="43"/>
      <c r="W424" s="42"/>
      <c r="X424" s="43"/>
      <c r="Y424" s="42"/>
      <c r="Z424" s="43"/>
      <c r="AA424" s="43"/>
      <c r="AC424" s="34"/>
      <c r="AD424" s="72"/>
      <c r="AF424" s="72"/>
      <c r="AG424" s="34"/>
      <c r="AH424" s="94">
        <f>AH425</f>
        <v>1</v>
      </c>
      <c r="AI424" s="34"/>
    </row>
    <row r="425" spans="1:37" ht="9" hidden="1" customHeight="1" x14ac:dyDescent="0.15">
      <c r="A425" s="198" t="str">
        <f>IF(COUNTIF(F!D360:D366,131)&gt;0,"Overige stoffen (µg/kgds)","Overige stoffen (mg/kgds)")</f>
        <v>Overige stoffen (mg/kgds)</v>
      </c>
      <c r="B425" s="198"/>
      <c r="C425" s="198"/>
      <c r="D425" s="198"/>
      <c r="E425" s="198"/>
      <c r="F425" s="198"/>
      <c r="G425" s="198"/>
      <c r="H425" s="198"/>
      <c r="I425" s="198"/>
      <c r="J425" s="198"/>
      <c r="K425" s="198"/>
      <c r="L425" s="198"/>
      <c r="M425" s="198"/>
      <c r="N425" s="198"/>
      <c r="O425" s="198"/>
      <c r="P425" s="198"/>
      <c r="Q425" s="198"/>
      <c r="R425" s="198"/>
      <c r="S425" s="198"/>
      <c r="T425" s="198"/>
      <c r="U425" s="198"/>
      <c r="V425" s="198"/>
      <c r="W425" s="198"/>
      <c r="X425" s="198"/>
      <c r="Y425" s="198"/>
      <c r="Z425" s="198"/>
      <c r="AA425" s="198"/>
      <c r="AC425" s="34"/>
      <c r="AD425" s="72"/>
      <c r="AF425" s="72"/>
      <c r="AG425" s="34"/>
      <c r="AH425" s="94">
        <f>IF(COUNTIF(AH426:AH432,1)=COUNT(AH426:AH432),1,0)</f>
        <v>1</v>
      </c>
      <c r="AI425" s="34"/>
    </row>
    <row r="426" spans="1:37" s="72" customFormat="1" ht="9" hidden="1" customHeight="1" x14ac:dyDescent="0.15">
      <c r="A426" s="195" t="str">
        <f>F!A362</f>
        <v>Asbest</v>
      </c>
      <c r="B426" s="195"/>
      <c r="C426" s="195"/>
      <c r="D426" s="44" t="str">
        <f>G!AQ362</f>
        <v/>
      </c>
      <c r="E426" s="43" t="str">
        <f>G!AP362</f>
        <v>--</v>
      </c>
      <c r="F426" s="42"/>
      <c r="G426" s="42" t="str">
        <f>G!AS362</f>
        <v/>
      </c>
      <c r="H426" s="43" t="str">
        <f>G!AR362</f>
        <v>--</v>
      </c>
      <c r="I426" s="42" t="str">
        <f>G!AT362</f>
        <v/>
      </c>
      <c r="J426" s="42" t="str">
        <f>G!AU362</f>
        <v/>
      </c>
      <c r="K426" s="43" t="str">
        <f>IFERROR(IF(OR(H426="--",H426="rg",VLOOKUP(F!$B362,E!$B$1:'E'!$AK$300,12,FALSE)=1000000000,I426="-",I426=""),"",(HLOOKUP(SMALL(G!$Q$4:'G'!$Y$4,1),G!$Q$4:'G'!$Y$501,ROW(G!Q362)-3,FALSE))/VLOOKUP(F!$B362,E!$B$1:'E'!$AK$300,12,FALSE)*100),"")</f>
        <v/>
      </c>
      <c r="L426" s="43"/>
      <c r="M426" s="43" t="str">
        <f>G!AW362</f>
        <v/>
      </c>
      <c r="N426" s="43" t="str">
        <f>G!AV362</f>
        <v>--</v>
      </c>
      <c r="O426" s="42"/>
      <c r="P426" s="42" t="str">
        <f>G!AY362</f>
        <v/>
      </c>
      <c r="Q426" s="43" t="str">
        <f>G!AX362</f>
        <v>--</v>
      </c>
      <c r="R426" s="42" t="str">
        <f>G!AZ362</f>
        <v/>
      </c>
      <c r="S426" s="42" t="str">
        <f>G!BA362</f>
        <v/>
      </c>
      <c r="T426" s="43" t="str">
        <f>IFERROR(IF(OR(Q426="--",Q426="rg",VLOOKUP(F!$B362,E!$B$1:'E'!$AK$300,12,FALSE)=1000000000,R426="-",R426=""),"",(HLOOKUP(SMALL(G!$Q$4:'G'!$Y$4,4),G!$Q$4:'G'!$Y$501,ROW(G!Z362)-3,FALSE))/VLOOKUP(F!$B362,E!$B$1:'E'!$AK$300,12,FALSE)*100),"")</f>
        <v/>
      </c>
      <c r="U426" s="43"/>
      <c r="V426" s="43" t="str">
        <f>G!BC362</f>
        <v/>
      </c>
      <c r="W426" s="43" t="str">
        <f>G!BB362</f>
        <v>--</v>
      </c>
      <c r="X426" s="43"/>
      <c r="Y426" s="42" t="str">
        <f>G!BE362</f>
        <v/>
      </c>
      <c r="Z426" s="43" t="str">
        <f>G!BD362</f>
        <v>--</v>
      </c>
      <c r="AA426" s="42" t="str">
        <f>G!BF362</f>
        <v/>
      </c>
      <c r="AB426" s="42" t="str">
        <f>G!BG362</f>
        <v/>
      </c>
      <c r="AC426" s="43" t="str">
        <f>IFERROR(IF(OR(Z426="--",Z426="rg",VLOOKUP(F!$B362,E!$B$1:'E'!$AK$300,12,FALSE)=1000000000,AA426="-",AA426=""),"",(HLOOKUP(SMALL(G!$Q$4:'G'!$Y$4,7),G!$Q$4:'G'!$Y$501,ROW(G!AI362)-3,FALSE))/VLOOKUP(F!$B362,E!$B$1:'E'!$AK$300,12,FALSE)*100),"")</f>
        <v/>
      </c>
      <c r="AD426" s="43"/>
      <c r="AE426" s="34"/>
      <c r="AF426" s="34"/>
      <c r="AH426" s="72">
        <f t="shared" si="8"/>
        <v>1</v>
      </c>
      <c r="AJ426" s="34"/>
      <c r="AK426" s="34"/>
    </row>
    <row r="427" spans="1:37" s="72" customFormat="1" ht="9" hidden="1" customHeight="1" x14ac:dyDescent="0.15">
      <c r="A427" s="195" t="str">
        <f>F!A363</f>
        <v>Cycolhexanon</v>
      </c>
      <c r="B427" s="195"/>
      <c r="C427" s="195"/>
      <c r="D427" s="44" t="str">
        <f>G!AQ363</f>
        <v/>
      </c>
      <c r="E427" s="43" t="str">
        <f>G!AP363</f>
        <v>--</v>
      </c>
      <c r="F427" s="42"/>
      <c r="G427" s="42" t="str">
        <f>G!AS363</f>
        <v/>
      </c>
      <c r="H427" s="43" t="str">
        <f>G!AR363</f>
        <v>--</v>
      </c>
      <c r="I427" s="42" t="str">
        <f>G!AT363</f>
        <v/>
      </c>
      <c r="J427" s="42" t="str">
        <f>G!AU363</f>
        <v/>
      </c>
      <c r="K427" s="43" t="str">
        <f>IFERROR(IF(OR(H427="--",H427="rg",VLOOKUP(F!$B363,E!$B$1:'E'!$AK$300,12,FALSE)=1000000000,I427="-",I427=""),"",(HLOOKUP(SMALL(G!$Q$4:'G'!$Y$4,1),G!$Q$4:'G'!$Y$501,ROW(G!Q363)-3,FALSE))/VLOOKUP(F!$B363,E!$B$1:'E'!$AK$300,12,FALSE)*100),"")</f>
        <v/>
      </c>
      <c r="L427" s="43"/>
      <c r="M427" s="43" t="str">
        <f>G!AW363</f>
        <v/>
      </c>
      <c r="N427" s="43" t="str">
        <f>G!AV363</f>
        <v>--</v>
      </c>
      <c r="O427" s="42"/>
      <c r="P427" s="42" t="str">
        <f>G!AY363</f>
        <v/>
      </c>
      <c r="Q427" s="43" t="str">
        <f>G!AX363</f>
        <v>--</v>
      </c>
      <c r="R427" s="42" t="str">
        <f>G!AZ363</f>
        <v/>
      </c>
      <c r="S427" s="42" t="str">
        <f>G!BA363</f>
        <v/>
      </c>
      <c r="T427" s="43" t="str">
        <f>IFERROR(IF(OR(Q427="--",Q427="rg",VLOOKUP(F!$B363,E!$B$1:'E'!$AK$300,12,FALSE)=1000000000,R427="-",R427=""),"",(HLOOKUP(SMALL(G!$Q$4:'G'!$Y$4,4),G!$Q$4:'G'!$Y$501,ROW(G!Z363)-3,FALSE))/VLOOKUP(F!$B363,E!$B$1:'E'!$AK$300,12,FALSE)*100),"")</f>
        <v/>
      </c>
      <c r="U427" s="43"/>
      <c r="V427" s="43" t="str">
        <f>G!BC363</f>
        <v/>
      </c>
      <c r="W427" s="43" t="str">
        <f>G!BB363</f>
        <v>--</v>
      </c>
      <c r="X427" s="43"/>
      <c r="Y427" s="42" t="str">
        <f>G!BE363</f>
        <v/>
      </c>
      <c r="Z427" s="43" t="str">
        <f>G!BD363</f>
        <v>--</v>
      </c>
      <c r="AA427" s="42" t="str">
        <f>G!BF363</f>
        <v/>
      </c>
      <c r="AB427" s="42" t="str">
        <f>G!BG363</f>
        <v/>
      </c>
      <c r="AC427" s="43" t="str">
        <f>IFERROR(IF(OR(Z427="--",Z427="rg",VLOOKUP(F!$B363,E!$B$1:'E'!$AK$300,12,FALSE)=1000000000,AA427="-",AA427=""),"",(HLOOKUP(SMALL(G!$Q$4:'G'!$Y$4,7),G!$Q$4:'G'!$Y$501,ROW(G!AI363)-3,FALSE))/VLOOKUP(F!$B363,E!$B$1:'E'!$AK$300,12,FALSE)*100),"")</f>
        <v/>
      </c>
      <c r="AD427" s="43"/>
      <c r="AE427" s="34"/>
      <c r="AF427" s="34"/>
      <c r="AH427" s="72">
        <f t="shared" si="8"/>
        <v>1</v>
      </c>
      <c r="AJ427" s="34"/>
      <c r="AK427" s="34"/>
    </row>
    <row r="428" spans="1:37" s="72" customFormat="1" ht="9" hidden="1" customHeight="1" x14ac:dyDescent="0.15">
      <c r="A428" s="195" t="str">
        <f>F!A364</f>
        <v>Pyridine</v>
      </c>
      <c r="B428" s="195"/>
      <c r="C428" s="195"/>
      <c r="D428" s="44" t="str">
        <f>G!AQ364</f>
        <v/>
      </c>
      <c r="E428" s="43" t="str">
        <f>G!AP364</f>
        <v>--</v>
      </c>
      <c r="F428" s="42"/>
      <c r="G428" s="42" t="str">
        <f>G!AS364</f>
        <v/>
      </c>
      <c r="H428" s="43" t="str">
        <f>G!AR364</f>
        <v>--</v>
      </c>
      <c r="I428" s="42" t="str">
        <f>G!AT364</f>
        <v/>
      </c>
      <c r="J428" s="42" t="str">
        <f>G!AU364</f>
        <v/>
      </c>
      <c r="K428" s="43" t="str">
        <f>IFERROR(IF(OR(H428="--",H428="rg",VLOOKUP(F!$B364,E!$B$1:'E'!$AK$300,12,FALSE)=1000000000,I428="-",I428=""),"",(HLOOKUP(SMALL(G!$Q$4:'G'!$Y$4,1),G!$Q$4:'G'!$Y$501,ROW(G!Q364)-3,FALSE))/VLOOKUP(F!$B364,E!$B$1:'E'!$AK$300,12,FALSE)*100),"")</f>
        <v/>
      </c>
      <c r="L428" s="43"/>
      <c r="M428" s="43" t="str">
        <f>G!AW364</f>
        <v/>
      </c>
      <c r="N428" s="43" t="str">
        <f>G!AV364</f>
        <v>--</v>
      </c>
      <c r="O428" s="42"/>
      <c r="P428" s="42" t="str">
        <f>G!AY364</f>
        <v/>
      </c>
      <c r="Q428" s="43" t="str">
        <f>G!AX364</f>
        <v>--</v>
      </c>
      <c r="R428" s="42" t="str">
        <f>G!AZ364</f>
        <v/>
      </c>
      <c r="S428" s="42" t="str">
        <f>G!BA364</f>
        <v/>
      </c>
      <c r="T428" s="43" t="str">
        <f>IFERROR(IF(OR(Q428="--",Q428="rg",VLOOKUP(F!$B364,E!$B$1:'E'!$AK$300,12,FALSE)=1000000000,R428="-",R428=""),"",(HLOOKUP(SMALL(G!$Q$4:'G'!$Y$4,4),G!$Q$4:'G'!$Y$501,ROW(G!Z364)-3,FALSE))/VLOOKUP(F!$B364,E!$B$1:'E'!$AK$300,12,FALSE)*100),"")</f>
        <v/>
      </c>
      <c r="U428" s="43"/>
      <c r="V428" s="43" t="str">
        <f>G!BC364</f>
        <v/>
      </c>
      <c r="W428" s="43" t="str">
        <f>G!BB364</f>
        <v>--</v>
      </c>
      <c r="X428" s="43"/>
      <c r="Y428" s="42" t="str">
        <f>G!BE364</f>
        <v/>
      </c>
      <c r="Z428" s="43" t="str">
        <f>G!BD364</f>
        <v>--</v>
      </c>
      <c r="AA428" s="42" t="str">
        <f>G!BF364</f>
        <v/>
      </c>
      <c r="AB428" s="42" t="str">
        <f>G!BG364</f>
        <v/>
      </c>
      <c r="AC428" s="43" t="str">
        <f>IFERROR(IF(OR(Z428="--",Z428="rg",VLOOKUP(F!$B364,E!$B$1:'E'!$AK$300,12,FALSE)=1000000000,AA428="-",AA428=""),"",(HLOOKUP(SMALL(G!$Q$4:'G'!$Y$4,7),G!$Q$4:'G'!$Y$501,ROW(G!AI364)-3,FALSE))/VLOOKUP(F!$B364,E!$B$1:'E'!$AK$300,12,FALSE)*100),"")</f>
        <v/>
      </c>
      <c r="AD428" s="43"/>
      <c r="AE428" s="34"/>
      <c r="AF428" s="34"/>
      <c r="AH428" s="72">
        <f t="shared" si="8"/>
        <v>1</v>
      </c>
      <c r="AJ428" s="34"/>
      <c r="AK428" s="34"/>
    </row>
    <row r="429" spans="1:37" s="72" customFormat="1" ht="9" hidden="1" customHeight="1" x14ac:dyDescent="0.15">
      <c r="A429" s="195" t="str">
        <f>F!A365</f>
        <v>Tetrahydrofuran</v>
      </c>
      <c r="B429" s="195"/>
      <c r="C429" s="195"/>
      <c r="D429" s="44" t="str">
        <f>G!AQ365</f>
        <v/>
      </c>
      <c r="E429" s="43" t="str">
        <f>G!AP365</f>
        <v>--</v>
      </c>
      <c r="F429" s="42"/>
      <c r="G429" s="42" t="str">
        <f>G!AS365</f>
        <v/>
      </c>
      <c r="H429" s="43" t="str">
        <f>G!AR365</f>
        <v>--</v>
      </c>
      <c r="I429" s="42" t="str">
        <f>G!AT365</f>
        <v/>
      </c>
      <c r="J429" s="42" t="str">
        <f>G!AU365</f>
        <v/>
      </c>
      <c r="K429" s="43" t="str">
        <f>IFERROR(IF(OR(H429="--",H429="rg",VLOOKUP(F!$B365,E!$B$1:'E'!$AK$300,12,FALSE)=1000000000,I429="-",I429=""),"",(HLOOKUP(SMALL(G!$Q$4:'G'!$Y$4,1),G!$Q$4:'G'!$Y$501,ROW(G!Q365)-3,FALSE))/VLOOKUP(F!$B365,E!$B$1:'E'!$AK$300,12,FALSE)*100),"")</f>
        <v/>
      </c>
      <c r="L429" s="43"/>
      <c r="M429" s="43" t="str">
        <f>G!AW365</f>
        <v/>
      </c>
      <c r="N429" s="43" t="str">
        <f>G!AV365</f>
        <v>--</v>
      </c>
      <c r="O429" s="42"/>
      <c r="P429" s="42" t="str">
        <f>G!AY365</f>
        <v/>
      </c>
      <c r="Q429" s="43" t="str">
        <f>G!AX365</f>
        <v>--</v>
      </c>
      <c r="R429" s="42" t="str">
        <f>G!AZ365</f>
        <v/>
      </c>
      <c r="S429" s="42" t="str">
        <f>G!BA365</f>
        <v/>
      </c>
      <c r="T429" s="43" t="str">
        <f>IFERROR(IF(OR(Q429="--",Q429="rg",VLOOKUP(F!$B365,E!$B$1:'E'!$AK$300,12,FALSE)=1000000000,R429="-",R429=""),"",(HLOOKUP(SMALL(G!$Q$4:'G'!$Y$4,4),G!$Q$4:'G'!$Y$501,ROW(G!Z365)-3,FALSE))/VLOOKUP(F!$B365,E!$B$1:'E'!$AK$300,12,FALSE)*100),"")</f>
        <v/>
      </c>
      <c r="U429" s="43"/>
      <c r="V429" s="43" t="str">
        <f>G!BC365</f>
        <v/>
      </c>
      <c r="W429" s="43" t="str">
        <f>G!BB365</f>
        <v>--</v>
      </c>
      <c r="X429" s="43"/>
      <c r="Y429" s="42" t="str">
        <f>G!BE365</f>
        <v/>
      </c>
      <c r="Z429" s="43" t="str">
        <f>G!BD365</f>
        <v>--</v>
      </c>
      <c r="AA429" s="42" t="str">
        <f>G!BF365</f>
        <v/>
      </c>
      <c r="AB429" s="42" t="str">
        <f>G!BG365</f>
        <v/>
      </c>
      <c r="AC429" s="43" t="str">
        <f>IFERROR(IF(OR(Z429="--",Z429="rg",VLOOKUP(F!$B365,E!$B$1:'E'!$AK$300,12,FALSE)=1000000000,AA429="-",AA429=""),"",(HLOOKUP(SMALL(G!$Q$4:'G'!$Y$4,7),G!$Q$4:'G'!$Y$501,ROW(G!AI365)-3,FALSE))/VLOOKUP(F!$B365,E!$B$1:'E'!$AK$300,12,FALSE)*100),"")</f>
        <v/>
      </c>
      <c r="AD429" s="43"/>
      <c r="AE429" s="34"/>
      <c r="AF429" s="34"/>
      <c r="AH429" s="72">
        <f t="shared" si="8"/>
        <v>1</v>
      </c>
      <c r="AJ429" s="34"/>
      <c r="AK429" s="34"/>
    </row>
    <row r="430" spans="1:37" s="72" customFormat="1" ht="9" hidden="1" customHeight="1" x14ac:dyDescent="0.15">
      <c r="A430" s="195" t="str">
        <f>F!A366</f>
        <v>Tetrahydrothiofeen</v>
      </c>
      <c r="B430" s="195"/>
      <c r="C430" s="195"/>
      <c r="D430" s="44" t="str">
        <f>G!AQ366</f>
        <v/>
      </c>
      <c r="E430" s="43" t="str">
        <f>G!AP366</f>
        <v>--</v>
      </c>
      <c r="F430" s="42"/>
      <c r="G430" s="42" t="str">
        <f>G!AS366</f>
        <v/>
      </c>
      <c r="H430" s="43" t="str">
        <f>G!AR366</f>
        <v>--</v>
      </c>
      <c r="I430" s="42" t="str">
        <f>G!AT366</f>
        <v/>
      </c>
      <c r="J430" s="42" t="str">
        <f>G!AU366</f>
        <v/>
      </c>
      <c r="K430" s="43" t="str">
        <f>IFERROR(IF(OR(H430="--",H430="rg",VLOOKUP(F!$B366,E!$B$1:'E'!$AK$300,12,FALSE)=1000000000,I430="-",I430=""),"",(HLOOKUP(SMALL(G!$Q$4:'G'!$Y$4,1),G!$Q$4:'G'!$Y$501,ROW(G!Q366)-3,FALSE))/VLOOKUP(F!$B366,E!$B$1:'E'!$AK$300,12,FALSE)*100),"")</f>
        <v/>
      </c>
      <c r="L430" s="43"/>
      <c r="M430" s="43" t="str">
        <f>G!AW366</f>
        <v/>
      </c>
      <c r="N430" s="43" t="str">
        <f>G!AV366</f>
        <v>--</v>
      </c>
      <c r="O430" s="42"/>
      <c r="P430" s="42" t="str">
        <f>G!AY366</f>
        <v/>
      </c>
      <c r="Q430" s="43" t="str">
        <f>G!AX366</f>
        <v>--</v>
      </c>
      <c r="R430" s="42" t="str">
        <f>G!AZ366</f>
        <v/>
      </c>
      <c r="S430" s="42" t="str">
        <f>G!BA366</f>
        <v/>
      </c>
      <c r="T430" s="43" t="str">
        <f>IFERROR(IF(OR(Q430="--",Q430="rg",VLOOKUP(F!$B366,E!$B$1:'E'!$AK$300,12,FALSE)=1000000000,R430="-",R430=""),"",(HLOOKUP(SMALL(G!$Q$4:'G'!$Y$4,4),G!$Q$4:'G'!$Y$501,ROW(G!Z366)-3,FALSE))/VLOOKUP(F!$B366,E!$B$1:'E'!$AK$300,12,FALSE)*100),"")</f>
        <v/>
      </c>
      <c r="U430" s="43"/>
      <c r="V430" s="43" t="str">
        <f>G!BC366</f>
        <v/>
      </c>
      <c r="W430" s="43" t="str">
        <f>G!BB366</f>
        <v>--</v>
      </c>
      <c r="X430" s="43"/>
      <c r="Y430" s="42" t="str">
        <f>G!BE366</f>
        <v/>
      </c>
      <c r="Z430" s="43" t="str">
        <f>G!BD366</f>
        <v>--</v>
      </c>
      <c r="AA430" s="42" t="str">
        <f>G!BF366</f>
        <v/>
      </c>
      <c r="AB430" s="42" t="str">
        <f>G!BG366</f>
        <v/>
      </c>
      <c r="AC430" s="43" t="str">
        <f>IFERROR(IF(OR(Z430="--",Z430="rg",VLOOKUP(F!$B366,E!$B$1:'E'!$AK$300,12,FALSE)=1000000000,AA430="-",AA430=""),"",(HLOOKUP(SMALL(G!$Q$4:'G'!$Y$4,7),G!$Q$4:'G'!$Y$501,ROW(G!AI366)-3,FALSE))/VLOOKUP(F!$B366,E!$B$1:'E'!$AK$300,12,FALSE)*100),"")</f>
        <v/>
      </c>
      <c r="AD430" s="43"/>
      <c r="AE430" s="34"/>
      <c r="AF430" s="34"/>
      <c r="AH430" s="72">
        <f t="shared" si="8"/>
        <v>1</v>
      </c>
      <c r="AJ430" s="34"/>
      <c r="AK430" s="34"/>
    </row>
    <row r="431" spans="1:37" s="72" customFormat="1" ht="9" hidden="1" customHeight="1" x14ac:dyDescent="0.15">
      <c r="A431" s="195" t="str">
        <f>F!A367</f>
        <v>Acrylonitril</v>
      </c>
      <c r="B431" s="195"/>
      <c r="C431" s="195"/>
      <c r="D431" s="44" t="str">
        <f>G!AQ367</f>
        <v/>
      </c>
      <c r="E431" s="43" t="str">
        <f>G!AP367</f>
        <v>--</v>
      </c>
      <c r="F431" s="42"/>
      <c r="G431" s="42" t="str">
        <f>G!AS367</f>
        <v/>
      </c>
      <c r="H431" s="43" t="str">
        <f>G!AR367</f>
        <v>--</v>
      </c>
      <c r="I431" s="42" t="str">
        <f>G!AT367</f>
        <v/>
      </c>
      <c r="J431" s="42" t="str">
        <f>G!AU367</f>
        <v/>
      </c>
      <c r="K431" s="43" t="str">
        <f>IFERROR(IF(OR(H431="--",H431="rg",VLOOKUP(F!$B367,E!$B$1:'E'!$AK$300,12,FALSE)=1000000000,I431="-",I431=""),"",(HLOOKUP(SMALL(G!$Q$4:'G'!$Y$4,1),G!$Q$4:'G'!$Y$501,ROW(G!Q367)-3,FALSE))/VLOOKUP(F!$B367,E!$B$1:'E'!$AK$300,12,FALSE)*100),"")</f>
        <v/>
      </c>
      <c r="L431" s="43"/>
      <c r="M431" s="43" t="str">
        <f>G!AW367</f>
        <v/>
      </c>
      <c r="N431" s="43" t="str">
        <f>G!AV367</f>
        <v>--</v>
      </c>
      <c r="O431" s="42"/>
      <c r="P431" s="42" t="str">
        <f>G!AY367</f>
        <v/>
      </c>
      <c r="Q431" s="43" t="str">
        <f>G!AX367</f>
        <v>--</v>
      </c>
      <c r="R431" s="42" t="str">
        <f>G!AZ367</f>
        <v/>
      </c>
      <c r="S431" s="42" t="str">
        <f>G!BA367</f>
        <v/>
      </c>
      <c r="T431" s="43" t="str">
        <f>IFERROR(IF(OR(Q431="--",Q431="rg",VLOOKUP(F!$B367,E!$B$1:'E'!$AK$300,12,FALSE)=1000000000,R431="-",R431=""),"",(HLOOKUP(SMALL(G!$Q$4:'G'!$Y$4,4),G!$Q$4:'G'!$Y$501,ROW(G!Z367)-3,FALSE))/VLOOKUP(F!$B367,E!$B$1:'E'!$AK$300,12,FALSE)*100),"")</f>
        <v/>
      </c>
      <c r="U431" s="43"/>
      <c r="V431" s="43" t="str">
        <f>G!BC367</f>
        <v/>
      </c>
      <c r="W431" s="43" t="str">
        <f>G!BB367</f>
        <v>--</v>
      </c>
      <c r="X431" s="43"/>
      <c r="Y431" s="42" t="str">
        <f>G!BE367</f>
        <v/>
      </c>
      <c r="Z431" s="43" t="str">
        <f>G!BD367</f>
        <v>--</v>
      </c>
      <c r="AA431" s="42" t="str">
        <f>G!BF367</f>
        <v/>
      </c>
      <c r="AB431" s="42" t="str">
        <f>G!BG367</f>
        <v/>
      </c>
      <c r="AC431" s="43" t="str">
        <f>IFERROR(IF(OR(Z431="--",Z431="rg",VLOOKUP(F!$B367,E!$B$1:'E'!$AK$300,12,FALSE)=1000000000,AA431="-",AA431=""),"",(HLOOKUP(SMALL(G!$Q$4:'G'!$Y$4,7),G!$Q$4:'G'!$Y$501,ROW(G!AI367)-3,FALSE))/VLOOKUP(F!$B367,E!$B$1:'E'!$AK$300,12,FALSE)*100),"")</f>
        <v/>
      </c>
      <c r="AD431" s="43"/>
      <c r="AE431" s="34"/>
      <c r="AF431" s="34"/>
      <c r="AH431" s="72">
        <f t="shared" si="8"/>
        <v>1</v>
      </c>
      <c r="AJ431" s="34"/>
      <c r="AK431" s="34"/>
    </row>
    <row r="432" spans="1:37" s="72" customFormat="1" ht="9" hidden="1" customHeight="1" x14ac:dyDescent="0.15">
      <c r="A432" s="195" t="str">
        <f>F!A368</f>
        <v>Formaldehyde</v>
      </c>
      <c r="B432" s="195"/>
      <c r="C432" s="195"/>
      <c r="D432" s="44" t="str">
        <f>G!AQ368</f>
        <v/>
      </c>
      <c r="E432" s="43" t="str">
        <f>G!AP368</f>
        <v>--</v>
      </c>
      <c r="F432" s="42"/>
      <c r="G432" s="42" t="str">
        <f>G!AS368</f>
        <v/>
      </c>
      <c r="H432" s="43" t="str">
        <f>G!AR368</f>
        <v>--</v>
      </c>
      <c r="I432" s="42" t="str">
        <f>G!AT368</f>
        <v/>
      </c>
      <c r="J432" s="42" t="str">
        <f>G!AU368</f>
        <v/>
      </c>
      <c r="K432" s="43" t="str">
        <f>IFERROR(IF(OR(H432="--",H432="rg",VLOOKUP(F!$B368,E!$B$1:'E'!$AK$300,12,FALSE)=1000000000,I432="-",I432=""),"",(HLOOKUP(SMALL(G!$Q$4:'G'!$Y$4,1),G!$Q$4:'G'!$Y$501,ROW(G!Q368)-3,FALSE))/VLOOKUP(F!$B368,E!$B$1:'E'!$AK$300,12,FALSE)*100),"")</f>
        <v/>
      </c>
      <c r="L432" s="43"/>
      <c r="M432" s="43" t="str">
        <f>G!AW368</f>
        <v/>
      </c>
      <c r="N432" s="43" t="str">
        <f>G!AV368</f>
        <v>--</v>
      </c>
      <c r="O432" s="42"/>
      <c r="P432" s="42" t="str">
        <f>G!AY368</f>
        <v/>
      </c>
      <c r="Q432" s="43" t="str">
        <f>G!AX368</f>
        <v>--</v>
      </c>
      <c r="R432" s="42" t="str">
        <f>G!AZ368</f>
        <v/>
      </c>
      <c r="S432" s="42" t="str">
        <f>G!BA368</f>
        <v/>
      </c>
      <c r="T432" s="43" t="str">
        <f>IFERROR(IF(OR(Q432="--",Q432="rg",VLOOKUP(F!$B368,E!$B$1:'E'!$AK$300,12,FALSE)=1000000000,R432="-",R432=""),"",(HLOOKUP(SMALL(G!$Q$4:'G'!$Y$4,4),G!$Q$4:'G'!$Y$501,ROW(G!Z368)-3,FALSE))/VLOOKUP(F!$B368,E!$B$1:'E'!$AK$300,12,FALSE)*100),"")</f>
        <v/>
      </c>
      <c r="U432" s="43"/>
      <c r="V432" s="43" t="str">
        <f>G!BC368</f>
        <v/>
      </c>
      <c r="W432" s="43" t="str">
        <f>G!BB368</f>
        <v>--</v>
      </c>
      <c r="X432" s="43"/>
      <c r="Y432" s="42" t="str">
        <f>G!BE368</f>
        <v/>
      </c>
      <c r="Z432" s="43" t="str">
        <f>G!BD368</f>
        <v>--</v>
      </c>
      <c r="AA432" s="42" t="str">
        <f>G!BF368</f>
        <v/>
      </c>
      <c r="AB432" s="42" t="str">
        <f>G!BG368</f>
        <v/>
      </c>
      <c r="AC432" s="43" t="str">
        <f>IFERROR(IF(OR(Z432="--",Z432="rg",VLOOKUP(F!$B368,E!$B$1:'E'!$AK$300,12,FALSE)=1000000000,AA432="-",AA432=""),"",(HLOOKUP(SMALL(G!$Q$4:'G'!$Y$4,7),G!$Q$4:'G'!$Y$501,ROW(G!AI368)-3,FALSE))/VLOOKUP(F!$B368,E!$B$1:'E'!$AK$300,12,FALSE)*100),"")</f>
        <v/>
      </c>
      <c r="AD432" s="43"/>
      <c r="AE432" s="34"/>
      <c r="AF432" s="34"/>
      <c r="AH432" s="72">
        <f t="shared" si="8"/>
        <v>1</v>
      </c>
      <c r="AJ432" s="34"/>
      <c r="AK432" s="34"/>
    </row>
    <row r="433" spans="1:37" s="72" customFormat="1" ht="3.95" customHeight="1" x14ac:dyDescent="0.15">
      <c r="A433" s="199"/>
      <c r="B433" s="199"/>
      <c r="C433" s="199"/>
      <c r="D433" s="38"/>
      <c r="E433" s="38"/>
      <c r="F433" s="39"/>
      <c r="G433" s="39"/>
      <c r="H433" s="39"/>
      <c r="I433" s="39"/>
      <c r="J433" s="39"/>
      <c r="K433" s="158"/>
      <c r="L433" s="158"/>
      <c r="M433" s="38"/>
      <c r="N433" s="38"/>
      <c r="O433" s="39"/>
      <c r="P433" s="39"/>
      <c r="Q433" s="39"/>
      <c r="R433" s="39"/>
      <c r="S433" s="39"/>
      <c r="T433" s="158"/>
      <c r="U433" s="158"/>
      <c r="V433" s="38"/>
      <c r="W433" s="38"/>
      <c r="X433" s="38"/>
      <c r="Y433" s="39"/>
      <c r="Z433" s="39"/>
      <c r="AA433" s="39"/>
      <c r="AB433" s="38"/>
      <c r="AC433" s="158"/>
      <c r="AD433" s="158"/>
      <c r="AE433" s="34"/>
      <c r="AF433" s="34"/>
      <c r="AH433" s="94">
        <v>0</v>
      </c>
      <c r="AJ433" s="34"/>
      <c r="AK433" s="34"/>
    </row>
    <row r="434" spans="1:37" s="72" customFormat="1" ht="3.95" customHeight="1" x14ac:dyDescent="0.15">
      <c r="A434" s="45"/>
      <c r="B434" s="45"/>
      <c r="C434" s="45"/>
      <c r="D434" s="45"/>
      <c r="E434" s="45"/>
      <c r="F434" s="46"/>
      <c r="G434" s="46"/>
      <c r="H434" s="46"/>
      <c r="I434" s="46"/>
      <c r="J434" s="46"/>
      <c r="K434" s="159"/>
      <c r="L434" s="159"/>
      <c r="M434" s="45"/>
      <c r="N434" s="45"/>
      <c r="O434" s="46"/>
      <c r="P434" s="46"/>
      <c r="Q434" s="46"/>
      <c r="R434" s="46"/>
      <c r="S434" s="46"/>
      <c r="T434" s="159"/>
      <c r="U434" s="159"/>
      <c r="V434" s="45"/>
      <c r="W434" s="45"/>
      <c r="X434" s="45"/>
      <c r="Y434" s="46"/>
      <c r="Z434" s="46"/>
      <c r="AA434" s="46"/>
      <c r="AB434" s="45"/>
      <c r="AC434" s="159"/>
      <c r="AD434" s="159"/>
      <c r="AE434" s="34"/>
      <c r="AF434" s="34"/>
      <c r="AH434" s="94">
        <v>0</v>
      </c>
      <c r="AJ434" s="34"/>
      <c r="AK434" s="34"/>
    </row>
    <row r="435" spans="1:37" s="72" customFormat="1" ht="6.95" customHeight="1" x14ac:dyDescent="0.15">
      <c r="A435" s="46"/>
      <c r="B435" s="45"/>
      <c r="C435" s="45"/>
      <c r="D435" s="45"/>
      <c r="E435" s="45"/>
      <c r="F435" s="45"/>
      <c r="G435" s="45"/>
      <c r="H435" s="45"/>
      <c r="I435" s="45"/>
      <c r="J435" s="45"/>
      <c r="K435" s="159"/>
      <c r="L435" s="159"/>
      <c r="M435" s="45"/>
      <c r="N435" s="45"/>
      <c r="O435" s="45"/>
      <c r="P435" s="45"/>
      <c r="Q435" s="45"/>
      <c r="R435" s="45"/>
      <c r="S435" s="45"/>
      <c r="T435" s="159"/>
      <c r="U435" s="159"/>
      <c r="V435" s="45"/>
      <c r="W435" s="45"/>
      <c r="X435" s="45"/>
      <c r="Y435" s="45"/>
      <c r="Z435" s="45"/>
      <c r="AA435" s="45"/>
      <c r="AB435" s="45"/>
      <c r="AC435" s="159"/>
      <c r="AD435" s="159"/>
      <c r="AE435" s="34"/>
      <c r="AF435" s="34"/>
      <c r="AH435" s="94">
        <v>0</v>
      </c>
      <c r="AJ435" s="34"/>
      <c r="AK435" s="34"/>
    </row>
    <row r="436" spans="1:37" s="72" customFormat="1" ht="8.1" customHeight="1" x14ac:dyDescent="0.15">
      <c r="A436" s="45" t="str">
        <f>H!N4</f>
        <v>-</v>
      </c>
      <c r="B436" s="45"/>
      <c r="C436" s="45" t="str">
        <f>H!O4</f>
        <v>Kleiner dan of gelijk aan kwaliteitseis landbouw / natuur (= niet verontreinigd).</v>
      </c>
      <c r="D436" s="45"/>
      <c r="E436" s="45"/>
      <c r="F436" s="46"/>
      <c r="G436" s="46"/>
      <c r="H436" s="46"/>
      <c r="I436" s="46"/>
      <c r="J436" s="46"/>
      <c r="K436" s="159"/>
      <c r="L436" s="159"/>
      <c r="M436" s="45"/>
      <c r="N436" s="45"/>
      <c r="O436" s="46"/>
      <c r="P436" s="46"/>
      <c r="Q436" s="46"/>
      <c r="R436" s="46"/>
      <c r="S436" s="46"/>
      <c r="T436" s="159"/>
      <c r="U436" s="159"/>
      <c r="V436" s="45"/>
      <c r="W436" s="45"/>
      <c r="X436" s="45"/>
      <c r="Y436" s="46"/>
      <c r="Z436" s="46"/>
      <c r="AA436" s="46"/>
      <c r="AB436" s="45"/>
      <c r="AC436" s="159"/>
      <c r="AD436" s="159"/>
      <c r="AE436" s="34"/>
      <c r="AF436" s="34"/>
      <c r="AH436" s="72">
        <f>IF(A436="",1,0)</f>
        <v>0</v>
      </c>
      <c r="AJ436" s="34"/>
      <c r="AK436" s="34"/>
    </row>
    <row r="437" spans="1:37" s="72" customFormat="1" ht="8.1" customHeight="1" x14ac:dyDescent="0.15">
      <c r="A437" s="45" t="str">
        <f>H!N5</f>
        <v>●</v>
      </c>
      <c r="B437" s="45"/>
      <c r="C437" s="45" t="str">
        <f>H!O5</f>
        <v>Groter dan kwaliteitseis landbouw / natuur en kleiner dan of gelijk aan kwaliteitseis wonen (= licht verontreinigd).</v>
      </c>
      <c r="D437" s="45"/>
      <c r="E437" s="45"/>
      <c r="F437" s="46"/>
      <c r="G437" s="46"/>
      <c r="H437" s="46"/>
      <c r="I437" s="46"/>
      <c r="J437" s="46"/>
      <c r="K437" s="159"/>
      <c r="L437" s="159"/>
      <c r="M437" s="45"/>
      <c r="N437" s="45"/>
      <c r="O437" s="46"/>
      <c r="P437" s="46"/>
      <c r="Q437" s="46"/>
      <c r="R437" s="46"/>
      <c r="S437" s="46"/>
      <c r="T437" s="159"/>
      <c r="U437" s="159"/>
      <c r="V437" s="45"/>
      <c r="W437" s="45"/>
      <c r="X437" s="45"/>
      <c r="Y437" s="46"/>
      <c r="Z437" s="46"/>
      <c r="AA437" s="46"/>
      <c r="AB437" s="45"/>
      <c r="AC437" s="159"/>
      <c r="AD437" s="159"/>
      <c r="AE437" s="34"/>
      <c r="AF437" s="34"/>
      <c r="AH437" s="72">
        <f t="shared" ref="AH437:AH487" si="9">IF(A437="",1,0)</f>
        <v>0</v>
      </c>
      <c r="AJ437" s="34"/>
      <c r="AK437" s="34"/>
    </row>
    <row r="438" spans="1:37" s="72" customFormat="1" ht="8.1" customHeight="1" x14ac:dyDescent="0.15">
      <c r="A438" s="45" t="str">
        <f>H!N6</f>
        <v>●●</v>
      </c>
      <c r="B438" s="45"/>
      <c r="C438" s="45" t="str">
        <f>H!O6</f>
        <v>Groter dan kwaliteitseis wonen en kleiner dan of gelijk aan kwaliteitseis industrie (= licht verontreinigd).</v>
      </c>
      <c r="D438" s="45"/>
      <c r="E438" s="45"/>
      <c r="F438" s="46"/>
      <c r="G438" s="46"/>
      <c r="H438" s="46"/>
      <c r="I438" s="46"/>
      <c r="J438" s="46"/>
      <c r="K438" s="159"/>
      <c r="L438" s="159"/>
      <c r="M438" s="45"/>
      <c r="N438" s="45"/>
      <c r="O438" s="46"/>
      <c r="P438" s="46"/>
      <c r="Q438" s="46"/>
      <c r="R438" s="46"/>
      <c r="S438" s="46"/>
      <c r="T438" s="159"/>
      <c r="U438" s="159"/>
      <c r="V438" s="45"/>
      <c r="W438" s="45"/>
      <c r="X438" s="45"/>
      <c r="Y438" s="46"/>
      <c r="Z438" s="46"/>
      <c r="AA438" s="46"/>
      <c r="AB438" s="45"/>
      <c r="AC438" s="159"/>
      <c r="AD438" s="159"/>
      <c r="AE438" s="34"/>
      <c r="AF438" s="34"/>
      <c r="AH438" s="72">
        <f t="shared" si="9"/>
        <v>0</v>
      </c>
      <c r="AJ438" s="34"/>
      <c r="AK438" s="34"/>
    </row>
    <row r="439" spans="1:37" s="72" customFormat="1" ht="8.1" customHeight="1" x14ac:dyDescent="0.15">
      <c r="A439" s="45" t="str">
        <f>H!N7</f>
        <v>●●●</v>
      </c>
      <c r="B439" s="45"/>
      <c r="C439" s="45" t="str">
        <f>H!O7</f>
        <v>Groter dan kwaliteitseis industrie en kleiner dan of gelijk aan kwaliteitseis matig verontreinigd (= matig verontreinigd).</v>
      </c>
      <c r="D439" s="45"/>
      <c r="E439" s="45"/>
      <c r="F439" s="46"/>
      <c r="G439" s="46"/>
      <c r="H439" s="46"/>
      <c r="I439" s="46"/>
      <c r="J439" s="46"/>
      <c r="K439" s="159"/>
      <c r="L439" s="159"/>
      <c r="M439" s="45"/>
      <c r="N439" s="45"/>
      <c r="O439" s="46"/>
      <c r="P439" s="46"/>
      <c r="Q439" s="46"/>
      <c r="R439" s="46"/>
      <c r="S439" s="46"/>
      <c r="T439" s="159"/>
      <c r="U439" s="159"/>
      <c r="V439" s="45"/>
      <c r="W439" s="45"/>
      <c r="X439" s="45"/>
      <c r="Y439" s="46"/>
      <c r="Z439" s="46"/>
      <c r="AA439" s="46"/>
      <c r="AB439" s="45"/>
      <c r="AC439" s="159"/>
      <c r="AD439" s="159"/>
      <c r="AE439" s="34"/>
      <c r="AF439" s="34"/>
      <c r="AH439" s="72">
        <f t="shared" si="9"/>
        <v>0</v>
      </c>
      <c r="AJ439" s="34"/>
      <c r="AK439" s="34"/>
    </row>
    <row r="440" spans="1:37" s="72" customFormat="1" ht="8.1" customHeight="1" x14ac:dyDescent="0.15">
      <c r="A440" s="45" t="str">
        <f>H!N8</f>
        <v>●●●●</v>
      </c>
      <c r="B440" s="45"/>
      <c r="C440" s="45" t="str">
        <f>H!O8</f>
        <v>Groter dan kwaliteitseis matig verontreinigd (= sterk verontreinigd).</v>
      </c>
      <c r="D440" s="45"/>
      <c r="E440" s="45"/>
      <c r="F440" s="46"/>
      <c r="G440" s="46"/>
      <c r="H440" s="46"/>
      <c r="I440" s="46"/>
      <c r="J440" s="46"/>
      <c r="K440" s="159"/>
      <c r="L440" s="159"/>
      <c r="M440" s="45"/>
      <c r="N440" s="45"/>
      <c r="O440" s="46"/>
      <c r="P440" s="46"/>
      <c r="Q440" s="46"/>
      <c r="R440" s="46"/>
      <c r="S440" s="46"/>
      <c r="T440" s="159"/>
      <c r="U440" s="159"/>
      <c r="V440" s="45"/>
      <c r="W440" s="45"/>
      <c r="X440" s="45"/>
      <c r="Y440" s="46"/>
      <c r="Z440" s="46"/>
      <c r="AA440" s="46"/>
      <c r="AB440" s="45"/>
      <c r="AC440" s="159"/>
      <c r="AD440" s="159"/>
      <c r="AE440" s="34"/>
      <c r="AF440" s="34"/>
      <c r="AH440" s="72">
        <f t="shared" si="9"/>
        <v>0</v>
      </c>
      <c r="AJ440" s="34"/>
      <c r="AK440" s="34"/>
    </row>
    <row r="441" spans="1:37" s="72" customFormat="1" ht="8.1" hidden="1" customHeight="1" x14ac:dyDescent="0.15">
      <c r="A441" s="45" t="str">
        <f>H!N13</f>
        <v/>
      </c>
      <c r="B441" s="45"/>
      <c r="C441" s="45" t="str">
        <f>H!O13</f>
        <v/>
      </c>
      <c r="D441" s="45"/>
      <c r="E441" s="45"/>
      <c r="F441" s="46"/>
      <c r="G441" s="46"/>
      <c r="H441" s="46"/>
      <c r="I441" s="46"/>
      <c r="J441" s="46"/>
      <c r="K441" s="159"/>
      <c r="L441" s="159"/>
      <c r="M441" s="45"/>
      <c r="N441" s="45"/>
      <c r="O441" s="46"/>
      <c r="P441" s="46"/>
      <c r="Q441" s="46"/>
      <c r="R441" s="46"/>
      <c r="S441" s="46"/>
      <c r="T441" s="159"/>
      <c r="U441" s="159"/>
      <c r="V441" s="45"/>
      <c r="W441" s="45"/>
      <c r="X441" s="45"/>
      <c r="Y441" s="46"/>
      <c r="Z441" s="46"/>
      <c r="AA441" s="46"/>
      <c r="AB441" s="45"/>
      <c r="AC441" s="159"/>
      <c r="AD441" s="159"/>
      <c r="AE441" s="34"/>
      <c r="AF441" s="34"/>
      <c r="AH441" s="72">
        <f t="shared" si="9"/>
        <v>1</v>
      </c>
      <c r="AJ441" s="34"/>
      <c r="AK441" s="34"/>
    </row>
    <row r="442" spans="1:37" s="72" customFormat="1" ht="8.1" hidden="1" customHeight="1" x14ac:dyDescent="0.15">
      <c r="A442" s="45" t="str">
        <f>H!N14</f>
        <v/>
      </c>
      <c r="B442" s="45"/>
      <c r="C442" s="45" t="str">
        <f>H!O14</f>
        <v/>
      </c>
      <c r="D442" s="45"/>
      <c r="E442" s="45"/>
      <c r="F442" s="46"/>
      <c r="G442" s="46"/>
      <c r="H442" s="46"/>
      <c r="I442" s="46"/>
      <c r="J442" s="46"/>
      <c r="K442" s="159"/>
      <c r="L442" s="159"/>
      <c r="M442" s="45"/>
      <c r="N442" s="45"/>
      <c r="O442" s="46"/>
      <c r="P442" s="46"/>
      <c r="Q442" s="46"/>
      <c r="R442" s="46"/>
      <c r="S442" s="46"/>
      <c r="T442" s="159"/>
      <c r="U442" s="159"/>
      <c r="V442" s="45"/>
      <c r="W442" s="45"/>
      <c r="X442" s="45"/>
      <c r="Y442" s="46"/>
      <c r="Z442" s="46"/>
      <c r="AA442" s="46"/>
      <c r="AB442" s="45"/>
      <c r="AC442" s="159"/>
      <c r="AD442" s="159"/>
      <c r="AE442" s="34"/>
      <c r="AF442" s="34"/>
      <c r="AH442" s="72">
        <f t="shared" si="9"/>
        <v>1</v>
      </c>
      <c r="AJ442" s="34"/>
      <c r="AK442" s="34"/>
    </row>
    <row r="443" spans="1:37" s="72" customFormat="1" ht="8.1" hidden="1" customHeight="1" x14ac:dyDescent="0.15">
      <c r="A443" s="45" t="str">
        <f>H!N15</f>
        <v/>
      </c>
      <c r="B443" s="45"/>
      <c r="C443" s="45" t="str">
        <f>H!O15</f>
        <v/>
      </c>
      <c r="D443" s="45"/>
      <c r="E443" s="45"/>
      <c r="F443" s="46"/>
      <c r="G443" s="46"/>
      <c r="H443" s="46"/>
      <c r="I443" s="46"/>
      <c r="J443" s="46"/>
      <c r="K443" s="159"/>
      <c r="L443" s="159"/>
      <c r="M443" s="45"/>
      <c r="N443" s="45"/>
      <c r="O443" s="46"/>
      <c r="P443" s="46"/>
      <c r="Q443" s="46"/>
      <c r="R443" s="46"/>
      <c r="S443" s="46"/>
      <c r="T443" s="159"/>
      <c r="U443" s="159"/>
      <c r="V443" s="45"/>
      <c r="W443" s="45"/>
      <c r="X443" s="45"/>
      <c r="Y443" s="46"/>
      <c r="Z443" s="46"/>
      <c r="AA443" s="46"/>
      <c r="AB443" s="45"/>
      <c r="AC443" s="159"/>
      <c r="AD443" s="159"/>
      <c r="AE443" s="34"/>
      <c r="AF443" s="34"/>
      <c r="AH443" s="72">
        <f t="shared" si="9"/>
        <v>1</v>
      </c>
      <c r="AJ443" s="34"/>
      <c r="AK443" s="34"/>
    </row>
    <row r="444" spans="1:37" s="72" customFormat="1" ht="8.1" hidden="1" customHeight="1" x14ac:dyDescent="0.15">
      <c r="A444" s="45" t="str">
        <f>H!N16</f>
        <v/>
      </c>
      <c r="B444" s="45"/>
      <c r="C444" s="45" t="str">
        <f>H!O16</f>
        <v/>
      </c>
      <c r="D444" s="45"/>
      <c r="E444" s="45"/>
      <c r="F444" s="46"/>
      <c r="G444" s="46"/>
      <c r="H444" s="46"/>
      <c r="I444" s="46"/>
      <c r="J444" s="46"/>
      <c r="K444" s="159"/>
      <c r="L444" s="159"/>
      <c r="M444" s="45"/>
      <c r="N444" s="45"/>
      <c r="O444" s="46"/>
      <c r="P444" s="46"/>
      <c r="Q444" s="46"/>
      <c r="R444" s="46"/>
      <c r="S444" s="46"/>
      <c r="T444" s="159"/>
      <c r="U444" s="159"/>
      <c r="V444" s="45"/>
      <c r="W444" s="45"/>
      <c r="X444" s="45"/>
      <c r="Y444" s="46"/>
      <c r="Z444" s="46"/>
      <c r="AA444" s="46"/>
      <c r="AB444" s="45"/>
      <c r="AC444" s="159"/>
      <c r="AD444" s="159"/>
      <c r="AE444" s="34"/>
      <c r="AF444" s="34"/>
      <c r="AH444" s="72">
        <f t="shared" si="9"/>
        <v>1</v>
      </c>
      <c r="AJ444" s="34"/>
      <c r="AK444" s="34"/>
    </row>
    <row r="445" spans="1:37" s="72" customFormat="1" ht="8.1" hidden="1" customHeight="1" x14ac:dyDescent="0.15">
      <c r="A445" s="45" t="str">
        <f>H!N17</f>
        <v/>
      </c>
      <c r="B445" s="45"/>
      <c r="C445" s="45" t="str">
        <f>H!O17</f>
        <v/>
      </c>
      <c r="D445" s="45"/>
      <c r="E445" s="45"/>
      <c r="F445" s="46"/>
      <c r="G445" s="46"/>
      <c r="H445" s="46"/>
      <c r="I445" s="46"/>
      <c r="J445" s="46"/>
      <c r="K445" s="159"/>
      <c r="L445" s="159"/>
      <c r="M445" s="45"/>
      <c r="N445" s="45"/>
      <c r="O445" s="46"/>
      <c r="P445" s="46"/>
      <c r="Q445" s="46"/>
      <c r="R445" s="46"/>
      <c r="S445" s="46"/>
      <c r="T445" s="159"/>
      <c r="U445" s="159"/>
      <c r="V445" s="45"/>
      <c r="W445" s="45"/>
      <c r="X445" s="45"/>
      <c r="Y445" s="46"/>
      <c r="Z445" s="46"/>
      <c r="AA445" s="46"/>
      <c r="AB445" s="45"/>
      <c r="AC445" s="159"/>
      <c r="AD445" s="159"/>
      <c r="AE445" s="34"/>
      <c r="AF445" s="34"/>
      <c r="AH445" s="72">
        <f t="shared" si="9"/>
        <v>1</v>
      </c>
      <c r="AJ445" s="34"/>
      <c r="AK445" s="34"/>
    </row>
    <row r="446" spans="1:37" s="72" customFormat="1" ht="8.1" hidden="1" customHeight="1" x14ac:dyDescent="0.15">
      <c r="A446" s="45" t="str">
        <f>H!N18</f>
        <v/>
      </c>
      <c r="B446" s="45"/>
      <c r="C446" s="45" t="str">
        <f>H!O18</f>
        <v/>
      </c>
      <c r="D446" s="45"/>
      <c r="E446" s="45"/>
      <c r="F446" s="46"/>
      <c r="G446" s="46"/>
      <c r="H446" s="46"/>
      <c r="I446" s="46"/>
      <c r="J446" s="46"/>
      <c r="K446" s="159"/>
      <c r="L446" s="159"/>
      <c r="M446" s="45"/>
      <c r="N446" s="45"/>
      <c r="O446" s="46"/>
      <c r="P446" s="46"/>
      <c r="Q446" s="46"/>
      <c r="R446" s="46"/>
      <c r="S446" s="46"/>
      <c r="T446" s="159"/>
      <c r="U446" s="159"/>
      <c r="V446" s="45"/>
      <c r="W446" s="45"/>
      <c r="X446" s="45"/>
      <c r="Y446" s="46"/>
      <c r="Z446" s="46"/>
      <c r="AA446" s="46"/>
      <c r="AB446" s="45"/>
      <c r="AC446" s="159"/>
      <c r="AD446" s="159"/>
      <c r="AE446" s="34"/>
      <c r="AF446" s="34"/>
      <c r="AH446" s="72">
        <f t="shared" si="9"/>
        <v>1</v>
      </c>
      <c r="AJ446" s="34"/>
      <c r="AK446" s="34"/>
    </row>
    <row r="447" spans="1:37" s="72" customFormat="1" ht="8.1" hidden="1" customHeight="1" x14ac:dyDescent="0.15">
      <c r="A447" s="45" t="str">
        <f>H!N19</f>
        <v/>
      </c>
      <c r="B447" s="45"/>
      <c r="C447" s="45" t="str">
        <f>H!O19</f>
        <v/>
      </c>
      <c r="D447" s="45"/>
      <c r="E447" s="45"/>
      <c r="F447" s="46"/>
      <c r="G447" s="46"/>
      <c r="H447" s="46"/>
      <c r="I447" s="46"/>
      <c r="J447" s="46"/>
      <c r="K447" s="159"/>
      <c r="L447" s="159"/>
      <c r="M447" s="45"/>
      <c r="N447" s="45"/>
      <c r="O447" s="46"/>
      <c r="P447" s="46"/>
      <c r="Q447" s="46"/>
      <c r="R447" s="46"/>
      <c r="S447" s="46"/>
      <c r="T447" s="159"/>
      <c r="U447" s="159"/>
      <c r="V447" s="45"/>
      <c r="W447" s="45"/>
      <c r="X447" s="45"/>
      <c r="Y447" s="46"/>
      <c r="Z447" s="46"/>
      <c r="AA447" s="46"/>
      <c r="AB447" s="45"/>
      <c r="AC447" s="159"/>
      <c r="AD447" s="159"/>
      <c r="AE447" s="34"/>
      <c r="AF447" s="34"/>
      <c r="AH447" s="72">
        <f t="shared" si="9"/>
        <v>1</v>
      </c>
      <c r="AJ447" s="34"/>
      <c r="AK447" s="34"/>
    </row>
    <row r="448" spans="1:37" s="72" customFormat="1" ht="8.1" hidden="1" customHeight="1" x14ac:dyDescent="0.15">
      <c r="A448" s="45" t="str">
        <f>H!N20</f>
        <v/>
      </c>
      <c r="B448" s="45"/>
      <c r="C448" s="45" t="str">
        <f>H!O20</f>
        <v/>
      </c>
      <c r="D448" s="45"/>
      <c r="E448" s="45"/>
      <c r="F448" s="46"/>
      <c r="G448" s="46"/>
      <c r="H448" s="46"/>
      <c r="I448" s="46"/>
      <c r="J448" s="46"/>
      <c r="K448" s="159"/>
      <c r="L448" s="159"/>
      <c r="M448" s="45"/>
      <c r="N448" s="45"/>
      <c r="O448" s="46"/>
      <c r="P448" s="46"/>
      <c r="Q448" s="46"/>
      <c r="R448" s="46"/>
      <c r="S448" s="46"/>
      <c r="T448" s="159"/>
      <c r="U448" s="159"/>
      <c r="V448" s="45"/>
      <c r="W448" s="45"/>
      <c r="X448" s="45"/>
      <c r="Y448" s="46"/>
      <c r="Z448" s="46"/>
      <c r="AA448" s="46"/>
      <c r="AB448" s="45"/>
      <c r="AC448" s="159"/>
      <c r="AD448" s="159"/>
      <c r="AE448" s="34"/>
      <c r="AF448" s="34"/>
      <c r="AH448" s="72">
        <f t="shared" si="9"/>
        <v>1</v>
      </c>
      <c r="AJ448" s="34"/>
      <c r="AK448" s="34"/>
    </row>
    <row r="449" spans="1:37" s="72" customFormat="1" ht="8.1" hidden="1" customHeight="1" x14ac:dyDescent="0.15">
      <c r="A449" s="45" t="str">
        <f>H!N21</f>
        <v/>
      </c>
      <c r="B449" s="45"/>
      <c r="C449" s="45" t="str">
        <f>H!O21</f>
        <v/>
      </c>
      <c r="D449" s="45"/>
      <c r="E449" s="45"/>
      <c r="F449" s="46"/>
      <c r="G449" s="46"/>
      <c r="H449" s="46"/>
      <c r="I449" s="46"/>
      <c r="J449" s="46"/>
      <c r="K449" s="159"/>
      <c r="L449" s="159"/>
      <c r="M449" s="45"/>
      <c r="N449" s="45"/>
      <c r="O449" s="46"/>
      <c r="P449" s="46"/>
      <c r="Q449" s="46"/>
      <c r="R449" s="46"/>
      <c r="S449" s="46"/>
      <c r="T449" s="159"/>
      <c r="U449" s="159"/>
      <c r="V449" s="45"/>
      <c r="W449" s="45"/>
      <c r="X449" s="45"/>
      <c r="Y449" s="46"/>
      <c r="Z449" s="46"/>
      <c r="AA449" s="46"/>
      <c r="AB449" s="45"/>
      <c r="AC449" s="159"/>
      <c r="AD449" s="159"/>
      <c r="AE449" s="34"/>
      <c r="AF449" s="34"/>
      <c r="AH449" s="72">
        <f t="shared" si="9"/>
        <v>1</v>
      </c>
      <c r="AJ449" s="34"/>
      <c r="AK449" s="34"/>
    </row>
    <row r="450" spans="1:37" s="72" customFormat="1" ht="8.1" hidden="1" customHeight="1" x14ac:dyDescent="0.15">
      <c r="A450" s="45" t="str">
        <f>H!N22</f>
        <v/>
      </c>
      <c r="B450" s="45"/>
      <c r="C450" s="45" t="str">
        <f>H!O22</f>
        <v/>
      </c>
      <c r="D450" s="45"/>
      <c r="E450" s="45"/>
      <c r="F450" s="46"/>
      <c r="G450" s="46"/>
      <c r="H450" s="46"/>
      <c r="I450" s="46"/>
      <c r="J450" s="46"/>
      <c r="K450" s="159"/>
      <c r="L450" s="159"/>
      <c r="M450" s="45"/>
      <c r="N450" s="45"/>
      <c r="O450" s="46"/>
      <c r="P450" s="46"/>
      <c r="Q450" s="46"/>
      <c r="R450" s="46"/>
      <c r="S450" s="46"/>
      <c r="T450" s="159"/>
      <c r="U450" s="159"/>
      <c r="V450" s="45"/>
      <c r="W450" s="45"/>
      <c r="X450" s="45"/>
      <c r="Y450" s="46"/>
      <c r="Z450" s="46"/>
      <c r="AA450" s="46"/>
      <c r="AB450" s="45"/>
      <c r="AC450" s="159"/>
      <c r="AD450" s="159"/>
      <c r="AE450" s="34"/>
      <c r="AF450" s="34"/>
      <c r="AH450" s="72">
        <f t="shared" si="9"/>
        <v>1</v>
      </c>
      <c r="AJ450" s="34"/>
      <c r="AK450" s="34"/>
    </row>
    <row r="451" spans="1:37" s="72" customFormat="1" ht="8.1" hidden="1" customHeight="1" x14ac:dyDescent="0.15">
      <c r="A451" s="45" t="str">
        <f>H!N23</f>
        <v/>
      </c>
      <c r="B451" s="45"/>
      <c r="C451" s="45" t="str">
        <f>H!O23</f>
        <v/>
      </c>
      <c r="D451" s="45"/>
      <c r="E451" s="45"/>
      <c r="F451" s="46"/>
      <c r="G451" s="46"/>
      <c r="H451" s="46"/>
      <c r="I451" s="46"/>
      <c r="J451" s="46"/>
      <c r="K451" s="159"/>
      <c r="L451" s="159"/>
      <c r="M451" s="45"/>
      <c r="N451" s="45"/>
      <c r="O451" s="46"/>
      <c r="P451" s="46"/>
      <c r="Q451" s="46"/>
      <c r="R451" s="46"/>
      <c r="S451" s="46"/>
      <c r="T451" s="159"/>
      <c r="U451" s="159"/>
      <c r="V451" s="45"/>
      <c r="W451" s="45"/>
      <c r="X451" s="45"/>
      <c r="Y451" s="46"/>
      <c r="Z451" s="46"/>
      <c r="AA451" s="46"/>
      <c r="AB451" s="45"/>
      <c r="AC451" s="159"/>
      <c r="AD451" s="159"/>
      <c r="AE451" s="34"/>
      <c r="AF451" s="34"/>
      <c r="AH451" s="72">
        <f t="shared" si="9"/>
        <v>1</v>
      </c>
      <c r="AJ451" s="34"/>
      <c r="AK451" s="34"/>
    </row>
    <row r="452" spans="1:37" s="72" customFormat="1" ht="8.1" hidden="1" customHeight="1" x14ac:dyDescent="0.15">
      <c r="A452" s="45" t="str">
        <f>H!N24</f>
        <v/>
      </c>
      <c r="B452" s="45"/>
      <c r="C452" s="45" t="str">
        <f>H!O24</f>
        <v/>
      </c>
      <c r="D452" s="45"/>
      <c r="E452" s="45"/>
      <c r="F452" s="46"/>
      <c r="G452" s="46"/>
      <c r="H452" s="46"/>
      <c r="I452" s="46"/>
      <c r="J452" s="46"/>
      <c r="K452" s="159"/>
      <c r="L452" s="159"/>
      <c r="M452" s="45"/>
      <c r="N452" s="45"/>
      <c r="O452" s="46"/>
      <c r="P452" s="46"/>
      <c r="Q452" s="46"/>
      <c r="R452" s="46"/>
      <c r="S452" s="46"/>
      <c r="T452" s="159"/>
      <c r="U452" s="159"/>
      <c r="V452" s="45"/>
      <c r="W452" s="45"/>
      <c r="X452" s="45"/>
      <c r="Y452" s="46"/>
      <c r="Z452" s="46"/>
      <c r="AA452" s="46"/>
      <c r="AB452" s="45"/>
      <c r="AC452" s="159"/>
      <c r="AD452" s="159"/>
      <c r="AE452" s="34"/>
      <c r="AF452" s="34"/>
      <c r="AH452" s="72">
        <f t="shared" si="9"/>
        <v>1</v>
      </c>
      <c r="AJ452" s="34"/>
      <c r="AK452" s="34"/>
    </row>
    <row r="453" spans="1:37" s="72" customFormat="1" ht="8.1" hidden="1" customHeight="1" x14ac:dyDescent="0.15">
      <c r="A453" s="45" t="str">
        <f>H!N25</f>
        <v/>
      </c>
      <c r="B453" s="45"/>
      <c r="C453" s="45" t="str">
        <f>H!O25</f>
        <v/>
      </c>
      <c r="D453" s="45"/>
      <c r="E453" s="45"/>
      <c r="F453" s="46"/>
      <c r="G453" s="46"/>
      <c r="H453" s="46"/>
      <c r="I453" s="46"/>
      <c r="J453" s="46"/>
      <c r="K453" s="159"/>
      <c r="L453" s="159"/>
      <c r="M453" s="45"/>
      <c r="N453" s="45"/>
      <c r="O453" s="46"/>
      <c r="P453" s="46"/>
      <c r="Q453" s="46"/>
      <c r="R453" s="46"/>
      <c r="S453" s="46"/>
      <c r="T453" s="159"/>
      <c r="U453" s="159"/>
      <c r="V453" s="45"/>
      <c r="W453" s="45"/>
      <c r="X453" s="45"/>
      <c r="Y453" s="46"/>
      <c r="Z453" s="46"/>
      <c r="AA453" s="46"/>
      <c r="AB453" s="45"/>
      <c r="AC453" s="159"/>
      <c r="AD453" s="159"/>
      <c r="AE453" s="34"/>
      <c r="AF453" s="34"/>
      <c r="AH453" s="72">
        <f t="shared" si="9"/>
        <v>1</v>
      </c>
      <c r="AJ453" s="34"/>
      <c r="AK453" s="34"/>
    </row>
    <row r="454" spans="1:37" s="72" customFormat="1" ht="8.1" hidden="1" customHeight="1" x14ac:dyDescent="0.15">
      <c r="A454" s="45" t="str">
        <f>H!N26</f>
        <v/>
      </c>
      <c r="B454" s="45"/>
      <c r="C454" s="45" t="str">
        <f>H!O26</f>
        <v/>
      </c>
      <c r="D454" s="45"/>
      <c r="E454" s="45"/>
      <c r="F454" s="46"/>
      <c r="G454" s="46"/>
      <c r="H454" s="46"/>
      <c r="I454" s="46"/>
      <c r="J454" s="46"/>
      <c r="K454" s="159"/>
      <c r="L454" s="159"/>
      <c r="M454" s="45"/>
      <c r="N454" s="45"/>
      <c r="O454" s="46"/>
      <c r="P454" s="46"/>
      <c r="Q454" s="46"/>
      <c r="R454" s="46"/>
      <c r="S454" s="46"/>
      <c r="T454" s="159"/>
      <c r="U454" s="159"/>
      <c r="V454" s="45"/>
      <c r="W454" s="45"/>
      <c r="X454" s="45"/>
      <c r="Y454" s="46"/>
      <c r="Z454" s="46"/>
      <c r="AA454" s="46"/>
      <c r="AB454" s="45"/>
      <c r="AC454" s="159"/>
      <c r="AD454" s="159"/>
      <c r="AE454" s="34"/>
      <c r="AF454" s="34"/>
      <c r="AH454" s="72">
        <f t="shared" si="9"/>
        <v>1</v>
      </c>
      <c r="AJ454" s="34"/>
      <c r="AK454" s="34"/>
    </row>
    <row r="455" spans="1:37" s="72" customFormat="1" ht="8.1" hidden="1" customHeight="1" x14ac:dyDescent="0.15">
      <c r="A455" s="45" t="str">
        <f>H!N27</f>
        <v/>
      </c>
      <c r="B455" s="45"/>
      <c r="C455" s="45" t="str">
        <f>H!O27</f>
        <v/>
      </c>
      <c r="D455" s="45"/>
      <c r="E455" s="45"/>
      <c r="F455" s="46"/>
      <c r="G455" s="46"/>
      <c r="H455" s="46"/>
      <c r="I455" s="46"/>
      <c r="J455" s="46"/>
      <c r="K455" s="159"/>
      <c r="L455" s="159"/>
      <c r="M455" s="45"/>
      <c r="N455" s="45"/>
      <c r="O455" s="46"/>
      <c r="P455" s="46"/>
      <c r="Q455" s="46"/>
      <c r="R455" s="46"/>
      <c r="S455" s="46"/>
      <c r="T455" s="159"/>
      <c r="U455" s="159"/>
      <c r="V455" s="45"/>
      <c r="W455" s="45"/>
      <c r="X455" s="45"/>
      <c r="Y455" s="46"/>
      <c r="Z455" s="46"/>
      <c r="AA455" s="46"/>
      <c r="AB455" s="45"/>
      <c r="AC455" s="159"/>
      <c r="AD455" s="159"/>
      <c r="AE455" s="34"/>
      <c r="AF455" s="34"/>
      <c r="AH455" s="72">
        <f t="shared" si="9"/>
        <v>1</v>
      </c>
      <c r="AJ455" s="34"/>
      <c r="AK455" s="34"/>
    </row>
    <row r="456" spans="1:37" s="72" customFormat="1" ht="8.1" hidden="1" customHeight="1" x14ac:dyDescent="0.15">
      <c r="A456" s="45" t="str">
        <f>H!N28</f>
        <v/>
      </c>
      <c r="B456" s="45"/>
      <c r="C456" s="45" t="str">
        <f>H!O28</f>
        <v/>
      </c>
      <c r="D456" s="45"/>
      <c r="E456" s="45"/>
      <c r="F456" s="46"/>
      <c r="G456" s="46"/>
      <c r="H456" s="46"/>
      <c r="I456" s="46"/>
      <c r="J456" s="46"/>
      <c r="K456" s="159"/>
      <c r="L456" s="159"/>
      <c r="M456" s="45"/>
      <c r="N456" s="45"/>
      <c r="O456" s="46"/>
      <c r="P456" s="46"/>
      <c r="Q456" s="46"/>
      <c r="R456" s="46"/>
      <c r="S456" s="46"/>
      <c r="T456" s="159"/>
      <c r="U456" s="159"/>
      <c r="V456" s="45"/>
      <c r="W456" s="45"/>
      <c r="X456" s="45"/>
      <c r="Y456" s="46"/>
      <c r="Z456" s="46"/>
      <c r="AA456" s="46"/>
      <c r="AB456" s="45"/>
      <c r="AC456" s="159"/>
      <c r="AD456" s="159"/>
      <c r="AE456" s="34"/>
      <c r="AF456" s="34"/>
      <c r="AH456" s="72">
        <f t="shared" si="9"/>
        <v>1</v>
      </c>
      <c r="AJ456" s="34"/>
      <c r="AK456" s="34"/>
    </row>
    <row r="457" spans="1:37" s="72" customFormat="1" ht="8.1" hidden="1" customHeight="1" x14ac:dyDescent="0.15">
      <c r="A457" s="45" t="str">
        <f>H!N29</f>
        <v/>
      </c>
      <c r="B457" s="45"/>
      <c r="C457" s="45" t="str">
        <f>H!O29</f>
        <v/>
      </c>
      <c r="D457" s="45"/>
      <c r="E457" s="45"/>
      <c r="F457" s="46"/>
      <c r="G457" s="46"/>
      <c r="H457" s="46"/>
      <c r="I457" s="46"/>
      <c r="J457" s="46"/>
      <c r="K457" s="159"/>
      <c r="L457" s="159"/>
      <c r="M457" s="45"/>
      <c r="N457" s="45"/>
      <c r="O457" s="46"/>
      <c r="P457" s="46"/>
      <c r="Q457" s="46"/>
      <c r="R457" s="46"/>
      <c r="S457" s="46"/>
      <c r="T457" s="159"/>
      <c r="U457" s="159"/>
      <c r="V457" s="45"/>
      <c r="W457" s="45"/>
      <c r="X457" s="45"/>
      <c r="Y457" s="46"/>
      <c r="Z457" s="46"/>
      <c r="AA457" s="46"/>
      <c r="AB457" s="45"/>
      <c r="AC457" s="159"/>
      <c r="AD457" s="159"/>
      <c r="AE457" s="34"/>
      <c r="AF457" s="34"/>
      <c r="AH457" s="72">
        <f t="shared" si="9"/>
        <v>1</v>
      </c>
      <c r="AJ457" s="34"/>
      <c r="AK457" s="34"/>
    </row>
    <row r="458" spans="1:37" s="72" customFormat="1" ht="8.1" hidden="1" customHeight="1" x14ac:dyDescent="0.15">
      <c r="A458" s="45" t="str">
        <f>H!N30</f>
        <v/>
      </c>
      <c r="B458" s="45"/>
      <c r="C458" s="45" t="str">
        <f>H!O30</f>
        <v/>
      </c>
      <c r="D458" s="45"/>
      <c r="E458" s="45"/>
      <c r="F458" s="46"/>
      <c r="G458" s="46"/>
      <c r="H458" s="46"/>
      <c r="I458" s="46"/>
      <c r="J458" s="46"/>
      <c r="K458" s="159"/>
      <c r="L458" s="159"/>
      <c r="M458" s="45"/>
      <c r="N458" s="45"/>
      <c r="O458" s="46"/>
      <c r="P458" s="46"/>
      <c r="Q458" s="46"/>
      <c r="R458" s="46"/>
      <c r="S458" s="46"/>
      <c r="T458" s="159"/>
      <c r="U458" s="159"/>
      <c r="V458" s="45"/>
      <c r="W458" s="45"/>
      <c r="X458" s="45"/>
      <c r="Y458" s="46"/>
      <c r="Z458" s="46"/>
      <c r="AA458" s="46"/>
      <c r="AB458" s="45"/>
      <c r="AC458" s="159"/>
      <c r="AD458" s="159"/>
      <c r="AE458" s="34"/>
      <c r="AF458" s="34"/>
      <c r="AH458" s="72">
        <f t="shared" si="9"/>
        <v>1</v>
      </c>
      <c r="AJ458" s="34"/>
      <c r="AK458" s="34"/>
    </row>
    <row r="459" spans="1:37" s="72" customFormat="1" ht="8.1" hidden="1" customHeight="1" x14ac:dyDescent="0.15">
      <c r="A459" s="45" t="str">
        <f>H!N31</f>
        <v/>
      </c>
      <c r="B459" s="45"/>
      <c r="C459" s="45" t="str">
        <f>H!O31</f>
        <v/>
      </c>
      <c r="D459" s="45"/>
      <c r="E459" s="45"/>
      <c r="F459" s="46"/>
      <c r="G459" s="46"/>
      <c r="H459" s="46"/>
      <c r="I459" s="46"/>
      <c r="J459" s="46"/>
      <c r="K459" s="159"/>
      <c r="L459" s="159"/>
      <c r="M459" s="45"/>
      <c r="N459" s="45"/>
      <c r="O459" s="46"/>
      <c r="P459" s="46"/>
      <c r="Q459" s="46"/>
      <c r="R459" s="46"/>
      <c r="S459" s="46"/>
      <c r="T459" s="159"/>
      <c r="U459" s="159"/>
      <c r="V459" s="45"/>
      <c r="W459" s="45"/>
      <c r="X459" s="45"/>
      <c r="Y459" s="46"/>
      <c r="Z459" s="46"/>
      <c r="AA459" s="46"/>
      <c r="AB459" s="45"/>
      <c r="AC459" s="159"/>
      <c r="AD459" s="159"/>
      <c r="AE459" s="34"/>
      <c r="AF459" s="34"/>
      <c r="AH459" s="72">
        <f t="shared" si="9"/>
        <v>1</v>
      </c>
      <c r="AJ459" s="34"/>
      <c r="AK459" s="34"/>
    </row>
    <row r="460" spans="1:37" s="72" customFormat="1" ht="8.1" hidden="1" customHeight="1" x14ac:dyDescent="0.15">
      <c r="A460" s="45" t="str">
        <f>H!N32</f>
        <v/>
      </c>
      <c r="B460" s="45"/>
      <c r="C460" s="45" t="str">
        <f>H!O32</f>
        <v/>
      </c>
      <c r="D460" s="45"/>
      <c r="E460" s="45"/>
      <c r="F460" s="46"/>
      <c r="G460" s="46"/>
      <c r="H460" s="46"/>
      <c r="I460" s="46"/>
      <c r="J460" s="46"/>
      <c r="K460" s="159"/>
      <c r="L460" s="159"/>
      <c r="M460" s="45"/>
      <c r="N460" s="45"/>
      <c r="O460" s="46"/>
      <c r="P460" s="46"/>
      <c r="Q460" s="46"/>
      <c r="R460" s="46"/>
      <c r="S460" s="46"/>
      <c r="T460" s="159"/>
      <c r="U460" s="159"/>
      <c r="V460" s="45"/>
      <c r="W460" s="45"/>
      <c r="X460" s="45"/>
      <c r="Y460" s="46"/>
      <c r="Z460" s="46"/>
      <c r="AA460" s="46"/>
      <c r="AB460" s="45"/>
      <c r="AC460" s="159"/>
      <c r="AD460" s="159"/>
      <c r="AE460" s="34"/>
      <c r="AF460" s="34"/>
      <c r="AH460" s="72">
        <f t="shared" si="9"/>
        <v>1</v>
      </c>
      <c r="AJ460" s="34"/>
      <c r="AK460" s="34"/>
    </row>
    <row r="461" spans="1:37" s="72" customFormat="1" ht="8.1" hidden="1" customHeight="1" x14ac:dyDescent="0.15">
      <c r="A461" s="45" t="str">
        <f>H!N33</f>
        <v/>
      </c>
      <c r="B461" s="45"/>
      <c r="C461" s="45" t="str">
        <f>H!O33</f>
        <v/>
      </c>
      <c r="D461" s="45"/>
      <c r="E461" s="45"/>
      <c r="F461" s="46"/>
      <c r="G461" s="46"/>
      <c r="H461" s="46"/>
      <c r="I461" s="46"/>
      <c r="J461" s="46"/>
      <c r="K461" s="159"/>
      <c r="L461" s="159"/>
      <c r="M461" s="45"/>
      <c r="N461" s="45"/>
      <c r="O461" s="46"/>
      <c r="P461" s="46"/>
      <c r="Q461" s="46"/>
      <c r="R461" s="46"/>
      <c r="S461" s="46"/>
      <c r="T461" s="159"/>
      <c r="U461" s="159"/>
      <c r="V461" s="45"/>
      <c r="W461" s="45"/>
      <c r="X461" s="45"/>
      <c r="Y461" s="46"/>
      <c r="Z461" s="46"/>
      <c r="AA461" s="46"/>
      <c r="AB461" s="45"/>
      <c r="AC461" s="159"/>
      <c r="AD461" s="159"/>
      <c r="AE461" s="34"/>
      <c r="AF461" s="34"/>
      <c r="AH461" s="72">
        <f t="shared" si="9"/>
        <v>1</v>
      </c>
      <c r="AJ461" s="34"/>
      <c r="AK461" s="34"/>
    </row>
    <row r="462" spans="1:37" s="72" customFormat="1" ht="8.1" hidden="1" customHeight="1" x14ac:dyDescent="0.15">
      <c r="A462" s="45" t="str">
        <f>H!N34</f>
        <v/>
      </c>
      <c r="B462" s="45"/>
      <c r="C462" s="45" t="str">
        <f>H!O34</f>
        <v/>
      </c>
      <c r="D462" s="45"/>
      <c r="E462" s="45"/>
      <c r="F462" s="46"/>
      <c r="G462" s="46"/>
      <c r="H462" s="46"/>
      <c r="I462" s="46"/>
      <c r="J462" s="46"/>
      <c r="K462" s="159"/>
      <c r="L462" s="159"/>
      <c r="M462" s="45"/>
      <c r="N462" s="45"/>
      <c r="O462" s="46"/>
      <c r="P462" s="46"/>
      <c r="Q462" s="46"/>
      <c r="R462" s="46"/>
      <c r="S462" s="46"/>
      <c r="T462" s="159"/>
      <c r="U462" s="159"/>
      <c r="V462" s="45"/>
      <c r="W462" s="45"/>
      <c r="X462" s="45"/>
      <c r="Y462" s="46"/>
      <c r="Z462" s="46"/>
      <c r="AA462" s="46"/>
      <c r="AB462" s="45"/>
      <c r="AC462" s="159"/>
      <c r="AD462" s="159"/>
      <c r="AE462" s="34"/>
      <c r="AF462" s="34"/>
      <c r="AH462" s="72">
        <f t="shared" si="9"/>
        <v>1</v>
      </c>
      <c r="AJ462" s="34"/>
      <c r="AK462" s="34"/>
    </row>
    <row r="463" spans="1:37" s="72" customFormat="1" ht="8.1" hidden="1" customHeight="1" x14ac:dyDescent="0.15">
      <c r="A463" s="45" t="str">
        <f>H!N35</f>
        <v/>
      </c>
      <c r="B463" s="45"/>
      <c r="C463" s="45" t="str">
        <f>H!O35</f>
        <v/>
      </c>
      <c r="D463" s="45"/>
      <c r="E463" s="45"/>
      <c r="F463" s="46"/>
      <c r="G463" s="46"/>
      <c r="H463" s="46"/>
      <c r="I463" s="46"/>
      <c r="J463" s="46"/>
      <c r="K463" s="159"/>
      <c r="L463" s="159"/>
      <c r="M463" s="45"/>
      <c r="N463" s="45"/>
      <c r="O463" s="46"/>
      <c r="P463" s="46"/>
      <c r="Q463" s="46"/>
      <c r="R463" s="46"/>
      <c r="S463" s="46"/>
      <c r="T463" s="159"/>
      <c r="U463" s="159"/>
      <c r="V463" s="45"/>
      <c r="W463" s="45"/>
      <c r="X463" s="45"/>
      <c r="Y463" s="46"/>
      <c r="Z463" s="46"/>
      <c r="AA463" s="46"/>
      <c r="AB463" s="45"/>
      <c r="AC463" s="159"/>
      <c r="AD463" s="159"/>
      <c r="AE463" s="34"/>
      <c r="AF463" s="34"/>
      <c r="AH463" s="72">
        <f t="shared" si="9"/>
        <v>1</v>
      </c>
      <c r="AJ463" s="34"/>
      <c r="AK463" s="34"/>
    </row>
    <row r="464" spans="1:37" s="72" customFormat="1" ht="8.1" hidden="1" customHeight="1" x14ac:dyDescent="0.15">
      <c r="A464" s="45" t="str">
        <f>H!N36</f>
        <v/>
      </c>
      <c r="B464" s="45"/>
      <c r="C464" s="45" t="str">
        <f>H!O36</f>
        <v/>
      </c>
      <c r="D464" s="45"/>
      <c r="E464" s="45"/>
      <c r="F464" s="46"/>
      <c r="G464" s="46"/>
      <c r="H464" s="46"/>
      <c r="I464" s="46"/>
      <c r="J464" s="46"/>
      <c r="K464" s="159"/>
      <c r="L464" s="159"/>
      <c r="M464" s="45"/>
      <c r="N464" s="45"/>
      <c r="O464" s="46"/>
      <c r="P464" s="46"/>
      <c r="Q464" s="46"/>
      <c r="R464" s="46"/>
      <c r="S464" s="46"/>
      <c r="T464" s="159"/>
      <c r="U464" s="159"/>
      <c r="V464" s="45"/>
      <c r="W464" s="45"/>
      <c r="X464" s="45"/>
      <c r="Y464" s="46"/>
      <c r="Z464" s="46"/>
      <c r="AA464" s="46"/>
      <c r="AB464" s="45"/>
      <c r="AC464" s="159"/>
      <c r="AD464" s="159"/>
      <c r="AE464" s="34"/>
      <c r="AF464" s="34"/>
      <c r="AH464" s="72">
        <f t="shared" si="9"/>
        <v>1</v>
      </c>
      <c r="AJ464" s="34"/>
      <c r="AK464" s="34"/>
    </row>
    <row r="465" spans="1:37" s="72" customFormat="1" ht="8.1" hidden="1" customHeight="1" x14ac:dyDescent="0.15">
      <c r="A465" s="45" t="str">
        <f>H!N37</f>
        <v/>
      </c>
      <c r="B465" s="45"/>
      <c r="C465" s="45" t="str">
        <f>H!O37</f>
        <v/>
      </c>
      <c r="D465" s="45"/>
      <c r="E465" s="45"/>
      <c r="F465" s="46"/>
      <c r="G465" s="46"/>
      <c r="H465" s="46"/>
      <c r="I465" s="46"/>
      <c r="J465" s="46"/>
      <c r="K465" s="159"/>
      <c r="L465" s="159"/>
      <c r="M465" s="45"/>
      <c r="N465" s="45"/>
      <c r="O465" s="46"/>
      <c r="P465" s="46"/>
      <c r="Q465" s="46"/>
      <c r="R465" s="46"/>
      <c r="S465" s="46"/>
      <c r="T465" s="159"/>
      <c r="U465" s="159"/>
      <c r="V465" s="45"/>
      <c r="W465" s="45"/>
      <c r="X465" s="45"/>
      <c r="Y465" s="46"/>
      <c r="Z465" s="46"/>
      <c r="AA465" s="46"/>
      <c r="AB465" s="45"/>
      <c r="AC465" s="159"/>
      <c r="AD465" s="159"/>
      <c r="AE465" s="34"/>
      <c r="AF465" s="34"/>
      <c r="AH465" s="72">
        <f t="shared" si="9"/>
        <v>1</v>
      </c>
      <c r="AJ465" s="34"/>
      <c r="AK465" s="34"/>
    </row>
    <row r="466" spans="1:37" s="72" customFormat="1" ht="8.1" hidden="1" customHeight="1" x14ac:dyDescent="0.15">
      <c r="A466" s="45" t="str">
        <f>H!N38</f>
        <v/>
      </c>
      <c r="B466" s="34"/>
      <c r="C466" s="45" t="str">
        <f>H!O38</f>
        <v/>
      </c>
      <c r="D466" s="34"/>
      <c r="E466" s="34"/>
      <c r="F466" s="35"/>
      <c r="G466" s="35"/>
      <c r="H466" s="35"/>
      <c r="I466" s="35"/>
      <c r="J466" s="35"/>
      <c r="K466" s="61"/>
      <c r="L466" s="61"/>
      <c r="M466" s="34"/>
      <c r="N466" s="34"/>
      <c r="O466" s="35"/>
      <c r="P466" s="35"/>
      <c r="Q466" s="35"/>
      <c r="R466" s="35"/>
      <c r="S466" s="35"/>
      <c r="T466" s="61"/>
      <c r="U466" s="61"/>
      <c r="V466" s="34"/>
      <c r="W466" s="34"/>
      <c r="X466" s="34"/>
      <c r="Y466" s="35"/>
      <c r="Z466" s="35"/>
      <c r="AA466" s="35"/>
      <c r="AB466" s="34"/>
      <c r="AC466" s="61"/>
      <c r="AD466" s="61"/>
      <c r="AE466" s="34"/>
      <c r="AF466" s="34"/>
      <c r="AH466" s="72">
        <f t="shared" si="9"/>
        <v>1</v>
      </c>
      <c r="AJ466" s="34"/>
      <c r="AK466" s="34"/>
    </row>
    <row r="467" spans="1:37" s="72" customFormat="1" ht="8.1" hidden="1" customHeight="1" x14ac:dyDescent="0.15">
      <c r="A467" s="45" t="str">
        <f>H!N39</f>
        <v/>
      </c>
      <c r="B467" s="34"/>
      <c r="C467" s="45" t="str">
        <f>H!O39</f>
        <v/>
      </c>
      <c r="D467" s="34"/>
      <c r="E467" s="34"/>
      <c r="F467" s="35"/>
      <c r="G467" s="35"/>
      <c r="H467" s="35"/>
      <c r="I467" s="35"/>
      <c r="J467" s="35"/>
      <c r="K467" s="61"/>
      <c r="L467" s="61"/>
      <c r="M467" s="34"/>
      <c r="N467" s="34"/>
      <c r="O467" s="35"/>
      <c r="P467" s="35"/>
      <c r="Q467" s="35"/>
      <c r="R467" s="35"/>
      <c r="S467" s="35"/>
      <c r="T467" s="61"/>
      <c r="U467" s="61"/>
      <c r="V467" s="34"/>
      <c r="W467" s="34"/>
      <c r="X467" s="34"/>
      <c r="Y467" s="35"/>
      <c r="Z467" s="35"/>
      <c r="AA467" s="35"/>
      <c r="AB467" s="34"/>
      <c r="AC467" s="61"/>
      <c r="AD467" s="61"/>
      <c r="AE467" s="34"/>
      <c r="AF467" s="34"/>
      <c r="AH467" s="72">
        <f t="shared" si="9"/>
        <v>1</v>
      </c>
      <c r="AJ467" s="34"/>
      <c r="AK467" s="34"/>
    </row>
    <row r="468" spans="1:37" s="72" customFormat="1" ht="8.1" hidden="1" customHeight="1" x14ac:dyDescent="0.15">
      <c r="A468" s="45" t="str">
        <f>H!N40</f>
        <v/>
      </c>
      <c r="B468" s="34"/>
      <c r="C468" s="45" t="str">
        <f>H!O40</f>
        <v/>
      </c>
      <c r="D468" s="34"/>
      <c r="E468" s="34"/>
      <c r="F468" s="35"/>
      <c r="G468" s="35"/>
      <c r="H468" s="35"/>
      <c r="I468" s="35"/>
      <c r="J468" s="35"/>
      <c r="K468" s="61"/>
      <c r="L468" s="61"/>
      <c r="M468" s="34"/>
      <c r="N468" s="34"/>
      <c r="O468" s="35"/>
      <c r="P468" s="35"/>
      <c r="Q468" s="35"/>
      <c r="R468" s="35"/>
      <c r="S468" s="35"/>
      <c r="T468" s="61"/>
      <c r="U468" s="61"/>
      <c r="V468" s="34"/>
      <c r="W468" s="34"/>
      <c r="X468" s="34"/>
      <c r="Y468" s="35"/>
      <c r="Z468" s="35"/>
      <c r="AA468" s="35"/>
      <c r="AB468" s="34"/>
      <c r="AC468" s="61"/>
      <c r="AD468" s="61"/>
      <c r="AE468" s="34"/>
      <c r="AF468" s="34"/>
      <c r="AH468" s="72">
        <f t="shared" si="9"/>
        <v>1</v>
      </c>
      <c r="AJ468" s="34"/>
      <c r="AK468" s="34"/>
    </row>
    <row r="469" spans="1:37" s="72" customFormat="1" ht="8.1" hidden="1" customHeight="1" x14ac:dyDescent="0.15">
      <c r="A469" s="45" t="str">
        <f>H!N41</f>
        <v/>
      </c>
      <c r="B469" s="34"/>
      <c r="C469" s="45" t="str">
        <f>H!O41</f>
        <v/>
      </c>
      <c r="D469" s="34"/>
      <c r="E469" s="34"/>
      <c r="F469" s="35"/>
      <c r="G469" s="35"/>
      <c r="H469" s="35"/>
      <c r="I469" s="35"/>
      <c r="J469" s="35"/>
      <c r="K469" s="61"/>
      <c r="L469" s="61"/>
      <c r="M469" s="34"/>
      <c r="N469" s="34"/>
      <c r="O469" s="35"/>
      <c r="P469" s="35"/>
      <c r="Q469" s="35"/>
      <c r="R469" s="35"/>
      <c r="S469" s="35"/>
      <c r="T469" s="61"/>
      <c r="U469" s="61"/>
      <c r="V469" s="34"/>
      <c r="W469" s="34"/>
      <c r="X469" s="34"/>
      <c r="Y469" s="35"/>
      <c r="Z469" s="35"/>
      <c r="AA469" s="35"/>
      <c r="AB469" s="34"/>
      <c r="AC469" s="61"/>
      <c r="AD469" s="61"/>
      <c r="AE469" s="34"/>
      <c r="AF469" s="34"/>
      <c r="AH469" s="72">
        <f t="shared" si="9"/>
        <v>1</v>
      </c>
      <c r="AJ469" s="34"/>
      <c r="AK469" s="34"/>
    </row>
    <row r="470" spans="1:37" s="72" customFormat="1" ht="8.1" hidden="1" customHeight="1" x14ac:dyDescent="0.15">
      <c r="A470" s="45" t="str">
        <f>H!N42</f>
        <v/>
      </c>
      <c r="B470" s="34"/>
      <c r="C470" s="45" t="str">
        <f>H!O42</f>
        <v/>
      </c>
      <c r="D470" s="34"/>
      <c r="E470" s="34"/>
      <c r="F470" s="35"/>
      <c r="G470" s="35"/>
      <c r="H470" s="35"/>
      <c r="I470" s="35"/>
      <c r="J470" s="35"/>
      <c r="K470" s="61"/>
      <c r="L470" s="61"/>
      <c r="M470" s="34"/>
      <c r="N470" s="34"/>
      <c r="O470" s="35"/>
      <c r="P470" s="35"/>
      <c r="Q470" s="35"/>
      <c r="R470" s="35"/>
      <c r="S470" s="35"/>
      <c r="T470" s="61"/>
      <c r="U470" s="61"/>
      <c r="V470" s="34"/>
      <c r="W470" s="34"/>
      <c r="X470" s="34"/>
      <c r="Y470" s="35"/>
      <c r="Z470" s="35"/>
      <c r="AA470" s="35"/>
      <c r="AB470" s="34"/>
      <c r="AC470" s="61"/>
      <c r="AD470" s="61"/>
      <c r="AE470" s="34"/>
      <c r="AF470" s="34"/>
      <c r="AH470" s="72">
        <f t="shared" si="9"/>
        <v>1</v>
      </c>
      <c r="AJ470" s="34"/>
      <c r="AK470" s="34"/>
    </row>
    <row r="471" spans="1:37" s="72" customFormat="1" ht="8.1" hidden="1" customHeight="1" x14ac:dyDescent="0.15">
      <c r="A471" s="45" t="str">
        <f>H!N43</f>
        <v/>
      </c>
      <c r="B471" s="34"/>
      <c r="C471" s="45" t="str">
        <f>H!O43</f>
        <v/>
      </c>
      <c r="D471" s="34"/>
      <c r="E471" s="34"/>
      <c r="F471" s="35"/>
      <c r="G471" s="35"/>
      <c r="H471" s="35"/>
      <c r="I471" s="35"/>
      <c r="J471" s="35"/>
      <c r="K471" s="61"/>
      <c r="L471" s="61"/>
      <c r="M471" s="34"/>
      <c r="N471" s="34"/>
      <c r="O471" s="35"/>
      <c r="P471" s="35"/>
      <c r="Q471" s="35"/>
      <c r="R471" s="35"/>
      <c r="S471" s="35"/>
      <c r="T471" s="61"/>
      <c r="U471" s="61"/>
      <c r="V471" s="34"/>
      <c r="W471" s="34"/>
      <c r="X471" s="34"/>
      <c r="Y471" s="35"/>
      <c r="Z471" s="35"/>
      <c r="AA471" s="35"/>
      <c r="AB471" s="34"/>
      <c r="AC471" s="61"/>
      <c r="AD471" s="61"/>
      <c r="AE471" s="34"/>
      <c r="AF471" s="34"/>
      <c r="AH471" s="72">
        <f t="shared" si="9"/>
        <v>1</v>
      </c>
      <c r="AJ471" s="34"/>
      <c r="AK471" s="34"/>
    </row>
    <row r="472" spans="1:37" s="72" customFormat="1" ht="8.1" hidden="1" customHeight="1" x14ac:dyDescent="0.15">
      <c r="A472" s="45" t="str">
        <f>H!N44</f>
        <v/>
      </c>
      <c r="B472" s="34"/>
      <c r="C472" s="45" t="str">
        <f>H!O44</f>
        <v/>
      </c>
      <c r="D472" s="34"/>
      <c r="E472" s="34"/>
      <c r="F472" s="35"/>
      <c r="G472" s="35"/>
      <c r="H472" s="35"/>
      <c r="I472" s="35"/>
      <c r="J472" s="35"/>
      <c r="K472" s="61"/>
      <c r="L472" s="61"/>
      <c r="M472" s="34"/>
      <c r="N472" s="34"/>
      <c r="O472" s="35"/>
      <c r="P472" s="35"/>
      <c r="Q472" s="35"/>
      <c r="R472" s="35"/>
      <c r="S472" s="35"/>
      <c r="T472" s="61"/>
      <c r="U472" s="61"/>
      <c r="V472" s="34"/>
      <c r="W472" s="34"/>
      <c r="X472" s="34"/>
      <c r="Y472" s="35"/>
      <c r="Z472" s="35"/>
      <c r="AA472" s="35"/>
      <c r="AB472" s="34"/>
      <c r="AC472" s="61"/>
      <c r="AD472" s="61"/>
      <c r="AE472" s="34"/>
      <c r="AF472" s="34"/>
      <c r="AH472" s="72">
        <f t="shared" si="9"/>
        <v>1</v>
      </c>
      <c r="AJ472" s="34"/>
      <c r="AK472" s="34"/>
    </row>
    <row r="473" spans="1:37" s="72" customFormat="1" ht="8.1" hidden="1" customHeight="1" x14ac:dyDescent="0.15">
      <c r="A473" s="45" t="str">
        <f>H!N45</f>
        <v/>
      </c>
      <c r="B473" s="34"/>
      <c r="C473" s="45" t="str">
        <f>H!O45</f>
        <v/>
      </c>
      <c r="D473" s="34"/>
      <c r="E473" s="34"/>
      <c r="F473" s="35"/>
      <c r="G473" s="35"/>
      <c r="H473" s="35"/>
      <c r="I473" s="35"/>
      <c r="J473" s="35"/>
      <c r="K473" s="61"/>
      <c r="L473" s="61"/>
      <c r="M473" s="34"/>
      <c r="N473" s="34"/>
      <c r="O473" s="35"/>
      <c r="P473" s="35"/>
      <c r="Q473" s="35"/>
      <c r="R473" s="35"/>
      <c r="S473" s="35"/>
      <c r="T473" s="61"/>
      <c r="U473" s="61"/>
      <c r="V473" s="34"/>
      <c r="W473" s="34"/>
      <c r="X473" s="34"/>
      <c r="Y473" s="35"/>
      <c r="Z473" s="35"/>
      <c r="AA473" s="35"/>
      <c r="AB473" s="34"/>
      <c r="AC473" s="61"/>
      <c r="AD473" s="61"/>
      <c r="AE473" s="34"/>
      <c r="AF473" s="34"/>
      <c r="AH473" s="72">
        <f t="shared" si="9"/>
        <v>1</v>
      </c>
      <c r="AJ473" s="34"/>
      <c r="AK473" s="34"/>
    </row>
    <row r="474" spans="1:37" s="72" customFormat="1" ht="8.1" hidden="1" customHeight="1" x14ac:dyDescent="0.15">
      <c r="A474" s="45" t="str">
        <f>H!N46</f>
        <v/>
      </c>
      <c r="B474" s="34"/>
      <c r="C474" s="45" t="str">
        <f>H!O46</f>
        <v/>
      </c>
      <c r="D474" s="34"/>
      <c r="E474" s="34"/>
      <c r="F474" s="35"/>
      <c r="G474" s="35"/>
      <c r="H474" s="35"/>
      <c r="I474" s="35"/>
      <c r="J474" s="35"/>
      <c r="K474" s="61"/>
      <c r="L474" s="61"/>
      <c r="M474" s="34"/>
      <c r="N474" s="34"/>
      <c r="O474" s="35"/>
      <c r="P474" s="35"/>
      <c r="Q474" s="35"/>
      <c r="R474" s="35"/>
      <c r="S474" s="35"/>
      <c r="T474" s="61"/>
      <c r="U474" s="61"/>
      <c r="V474" s="34"/>
      <c r="W474" s="34"/>
      <c r="X474" s="34"/>
      <c r="Y474" s="35"/>
      <c r="Z474" s="35"/>
      <c r="AA474" s="35"/>
      <c r="AB474" s="34"/>
      <c r="AC474" s="61"/>
      <c r="AD474" s="61"/>
      <c r="AE474" s="34"/>
      <c r="AF474" s="34"/>
      <c r="AH474" s="72">
        <f t="shared" si="9"/>
        <v>1</v>
      </c>
      <c r="AJ474" s="34"/>
      <c r="AK474" s="34"/>
    </row>
    <row r="475" spans="1:37" s="72" customFormat="1" ht="8.1" hidden="1" customHeight="1" x14ac:dyDescent="0.15">
      <c r="A475" s="45" t="str">
        <f>H!N47</f>
        <v/>
      </c>
      <c r="B475" s="34"/>
      <c r="C475" s="45" t="str">
        <f>H!O47</f>
        <v/>
      </c>
      <c r="D475" s="34"/>
      <c r="E475" s="34"/>
      <c r="F475" s="35"/>
      <c r="G475" s="35"/>
      <c r="H475" s="35"/>
      <c r="I475" s="35"/>
      <c r="J475" s="35"/>
      <c r="K475" s="61"/>
      <c r="L475" s="61"/>
      <c r="M475" s="34"/>
      <c r="N475" s="34"/>
      <c r="O475" s="35"/>
      <c r="P475" s="35"/>
      <c r="Q475" s="35"/>
      <c r="R475" s="35"/>
      <c r="S475" s="35"/>
      <c r="T475" s="61"/>
      <c r="U475" s="61"/>
      <c r="V475" s="34"/>
      <c r="W475" s="34"/>
      <c r="X475" s="34"/>
      <c r="Y475" s="35"/>
      <c r="Z475" s="35"/>
      <c r="AA475" s="35"/>
      <c r="AB475" s="34"/>
      <c r="AC475" s="61"/>
      <c r="AD475" s="61"/>
      <c r="AE475" s="34"/>
      <c r="AF475" s="34"/>
      <c r="AH475" s="72">
        <f t="shared" si="9"/>
        <v>1</v>
      </c>
      <c r="AJ475" s="34"/>
      <c r="AK475" s="34"/>
    </row>
    <row r="476" spans="1:37" s="72" customFormat="1" ht="8.1" hidden="1" customHeight="1" x14ac:dyDescent="0.15">
      <c r="A476" s="45" t="str">
        <f>H!N48</f>
        <v/>
      </c>
      <c r="B476" s="34"/>
      <c r="C476" s="45" t="str">
        <f>H!O48</f>
        <v/>
      </c>
      <c r="D476" s="34"/>
      <c r="E476" s="34"/>
      <c r="F476" s="35"/>
      <c r="G476" s="35"/>
      <c r="H476" s="35"/>
      <c r="I476" s="35"/>
      <c r="J476" s="35"/>
      <c r="K476" s="61"/>
      <c r="L476" s="61"/>
      <c r="M476" s="34"/>
      <c r="N476" s="34"/>
      <c r="O476" s="35"/>
      <c r="P476" s="35"/>
      <c r="Q476" s="35"/>
      <c r="R476" s="35"/>
      <c r="S476" s="35"/>
      <c r="T476" s="61"/>
      <c r="U476" s="61"/>
      <c r="V476" s="34"/>
      <c r="W476" s="34"/>
      <c r="X476" s="34"/>
      <c r="Y476" s="35"/>
      <c r="Z476" s="35"/>
      <c r="AA476" s="35"/>
      <c r="AB476" s="34"/>
      <c r="AC476" s="61"/>
      <c r="AD476" s="61"/>
      <c r="AE476" s="34"/>
      <c r="AF476" s="34"/>
      <c r="AH476" s="72">
        <f t="shared" si="9"/>
        <v>1</v>
      </c>
      <c r="AJ476" s="34"/>
      <c r="AK476" s="34"/>
    </row>
    <row r="477" spans="1:37" s="72" customFormat="1" ht="8.1" hidden="1" customHeight="1" x14ac:dyDescent="0.15">
      <c r="A477" s="45" t="str">
        <f>H!N49</f>
        <v/>
      </c>
      <c r="B477" s="34"/>
      <c r="C477" s="45" t="str">
        <f>H!O49</f>
        <v/>
      </c>
      <c r="D477" s="34"/>
      <c r="E477" s="34"/>
      <c r="F477" s="35"/>
      <c r="G477" s="35"/>
      <c r="H477" s="35"/>
      <c r="I477" s="35"/>
      <c r="J477" s="35"/>
      <c r="K477" s="61"/>
      <c r="L477" s="61"/>
      <c r="M477" s="34"/>
      <c r="N477" s="34"/>
      <c r="O477" s="35"/>
      <c r="P477" s="35"/>
      <c r="Q477" s="35"/>
      <c r="R477" s="35"/>
      <c r="S477" s="35"/>
      <c r="T477" s="61"/>
      <c r="U477" s="61"/>
      <c r="V477" s="34"/>
      <c r="W477" s="34"/>
      <c r="X477" s="34"/>
      <c r="Y477" s="35"/>
      <c r="Z477" s="35"/>
      <c r="AA477" s="35"/>
      <c r="AB477" s="34"/>
      <c r="AC477" s="61"/>
      <c r="AD477" s="61"/>
      <c r="AE477" s="34"/>
      <c r="AF477" s="34"/>
      <c r="AH477" s="72">
        <f t="shared" si="9"/>
        <v>1</v>
      </c>
      <c r="AJ477" s="34"/>
      <c r="AK477" s="34"/>
    </row>
    <row r="478" spans="1:37" s="72" customFormat="1" ht="8.1" hidden="1" customHeight="1" x14ac:dyDescent="0.15">
      <c r="A478" s="45" t="str">
        <f>H!N50</f>
        <v/>
      </c>
      <c r="B478" s="34"/>
      <c r="C478" s="45" t="str">
        <f>H!O50</f>
        <v/>
      </c>
      <c r="D478" s="34"/>
      <c r="E478" s="34"/>
      <c r="F478" s="35"/>
      <c r="G478" s="35"/>
      <c r="H478" s="35"/>
      <c r="I478" s="35"/>
      <c r="J478" s="35"/>
      <c r="K478" s="61"/>
      <c r="L478" s="61"/>
      <c r="M478" s="34"/>
      <c r="N478" s="34"/>
      <c r="O478" s="35"/>
      <c r="P478" s="35"/>
      <c r="Q478" s="35"/>
      <c r="R478" s="35"/>
      <c r="S478" s="35"/>
      <c r="T478" s="61"/>
      <c r="U478" s="61"/>
      <c r="V478" s="34"/>
      <c r="W478" s="34"/>
      <c r="X478" s="34"/>
      <c r="Y478" s="35"/>
      <c r="Z478" s="35"/>
      <c r="AA478" s="35"/>
      <c r="AB478" s="34"/>
      <c r="AC478" s="61"/>
      <c r="AD478" s="61"/>
      <c r="AE478" s="34"/>
      <c r="AF478" s="34"/>
      <c r="AH478" s="72">
        <f t="shared" si="9"/>
        <v>1</v>
      </c>
      <c r="AJ478" s="34"/>
      <c r="AK478" s="34"/>
    </row>
    <row r="479" spans="1:37" s="72" customFormat="1" ht="8.1" hidden="1" customHeight="1" x14ac:dyDescent="0.15">
      <c r="A479" s="45" t="str">
        <f>H!N51</f>
        <v/>
      </c>
      <c r="B479" s="34"/>
      <c r="C479" s="45" t="str">
        <f>H!O51</f>
        <v/>
      </c>
      <c r="D479" s="34"/>
      <c r="E479" s="34"/>
      <c r="F479" s="35"/>
      <c r="G479" s="35"/>
      <c r="H479" s="35"/>
      <c r="I479" s="35"/>
      <c r="J479" s="35"/>
      <c r="K479" s="61"/>
      <c r="L479" s="61"/>
      <c r="M479" s="34"/>
      <c r="N479" s="34"/>
      <c r="O479" s="35"/>
      <c r="P479" s="35"/>
      <c r="Q479" s="35"/>
      <c r="R479" s="35"/>
      <c r="S479" s="35"/>
      <c r="T479" s="61"/>
      <c r="U479" s="61"/>
      <c r="V479" s="34"/>
      <c r="W479" s="34"/>
      <c r="X479" s="34"/>
      <c r="Y479" s="35"/>
      <c r="Z479" s="35"/>
      <c r="AA479" s="35"/>
      <c r="AB479" s="34"/>
      <c r="AC479" s="61"/>
      <c r="AD479" s="61"/>
      <c r="AE479" s="34"/>
      <c r="AF479" s="34"/>
      <c r="AH479" s="72">
        <f t="shared" si="9"/>
        <v>1</v>
      </c>
      <c r="AJ479" s="34"/>
      <c r="AK479" s="34"/>
    </row>
    <row r="480" spans="1:37" s="72" customFormat="1" ht="8.1" hidden="1" customHeight="1" x14ac:dyDescent="0.15">
      <c r="A480" s="45" t="str">
        <f>H!N52</f>
        <v/>
      </c>
      <c r="B480" s="34"/>
      <c r="C480" s="45" t="str">
        <f>H!O52</f>
        <v/>
      </c>
      <c r="D480" s="34"/>
      <c r="E480" s="34"/>
      <c r="F480" s="35"/>
      <c r="G480" s="35"/>
      <c r="H480" s="35"/>
      <c r="I480" s="35"/>
      <c r="J480" s="35"/>
      <c r="K480" s="61"/>
      <c r="L480" s="61"/>
      <c r="M480" s="34"/>
      <c r="N480" s="34"/>
      <c r="O480" s="35"/>
      <c r="P480" s="35"/>
      <c r="Q480" s="35"/>
      <c r="R480" s="35"/>
      <c r="S480" s="35"/>
      <c r="T480" s="61"/>
      <c r="U480" s="61"/>
      <c r="V480" s="34"/>
      <c r="W480" s="34"/>
      <c r="X480" s="34"/>
      <c r="Y480" s="35"/>
      <c r="Z480" s="35"/>
      <c r="AA480" s="35"/>
      <c r="AB480" s="34"/>
      <c r="AC480" s="61"/>
      <c r="AD480" s="61"/>
      <c r="AE480" s="34"/>
      <c r="AF480" s="34"/>
      <c r="AH480" s="72">
        <f t="shared" si="9"/>
        <v>1</v>
      </c>
      <c r="AJ480" s="34"/>
      <c r="AK480" s="34"/>
    </row>
    <row r="481" spans="1:37" s="72" customFormat="1" ht="8.1" hidden="1" customHeight="1" x14ac:dyDescent="0.15">
      <c r="A481" s="45" t="str">
        <f>H!N53</f>
        <v/>
      </c>
      <c r="B481" s="34"/>
      <c r="C481" s="45" t="str">
        <f>H!O53</f>
        <v/>
      </c>
      <c r="D481" s="34"/>
      <c r="E481" s="34"/>
      <c r="F481" s="35"/>
      <c r="G481" s="35"/>
      <c r="H481" s="35"/>
      <c r="I481" s="35"/>
      <c r="J481" s="35"/>
      <c r="K481" s="61"/>
      <c r="L481" s="61"/>
      <c r="M481" s="34"/>
      <c r="N481" s="34"/>
      <c r="O481" s="35"/>
      <c r="P481" s="35"/>
      <c r="Q481" s="35"/>
      <c r="R481" s="35"/>
      <c r="S481" s="35"/>
      <c r="T481" s="61"/>
      <c r="U481" s="61"/>
      <c r="V481" s="34"/>
      <c r="W481" s="34"/>
      <c r="X481" s="34"/>
      <c r="Y481" s="35"/>
      <c r="Z481" s="35"/>
      <c r="AA481" s="35"/>
      <c r="AB481" s="34"/>
      <c r="AC481" s="61"/>
      <c r="AD481" s="61"/>
      <c r="AE481" s="34"/>
      <c r="AF481" s="34"/>
      <c r="AH481" s="72">
        <f t="shared" si="9"/>
        <v>1</v>
      </c>
      <c r="AJ481" s="34"/>
      <c r="AK481" s="34"/>
    </row>
    <row r="482" spans="1:37" s="72" customFormat="1" ht="8.1" hidden="1" customHeight="1" x14ac:dyDescent="0.15">
      <c r="A482" s="45" t="str">
        <f>H!N54</f>
        <v/>
      </c>
      <c r="B482" s="34"/>
      <c r="C482" s="45" t="str">
        <f>H!O54</f>
        <v/>
      </c>
      <c r="D482" s="34"/>
      <c r="E482" s="34"/>
      <c r="F482" s="35"/>
      <c r="G482" s="35"/>
      <c r="H482" s="35"/>
      <c r="I482" s="35"/>
      <c r="J482" s="35"/>
      <c r="K482" s="61"/>
      <c r="L482" s="61"/>
      <c r="M482" s="34"/>
      <c r="N482" s="34"/>
      <c r="O482" s="35"/>
      <c r="P482" s="35"/>
      <c r="Q482" s="35"/>
      <c r="R482" s="35"/>
      <c r="S482" s="35"/>
      <c r="T482" s="61"/>
      <c r="U482" s="61"/>
      <c r="V482" s="34"/>
      <c r="W482" s="34"/>
      <c r="X482" s="34"/>
      <c r="Y482" s="35"/>
      <c r="Z482" s="35"/>
      <c r="AA482" s="35"/>
      <c r="AB482" s="34"/>
      <c r="AC482" s="61"/>
      <c r="AD482" s="61"/>
      <c r="AE482" s="34"/>
      <c r="AF482" s="34"/>
      <c r="AH482" s="72">
        <f t="shared" si="9"/>
        <v>1</v>
      </c>
      <c r="AJ482" s="34"/>
      <c r="AK482" s="34"/>
    </row>
    <row r="483" spans="1:37" s="72" customFormat="1" ht="8.1" hidden="1" customHeight="1" x14ac:dyDescent="0.15">
      <c r="A483" s="45" t="str">
        <f>H!N55</f>
        <v/>
      </c>
      <c r="B483" s="34"/>
      <c r="C483" s="45" t="str">
        <f>H!O55</f>
        <v/>
      </c>
      <c r="D483" s="34"/>
      <c r="E483" s="34"/>
      <c r="F483" s="35"/>
      <c r="G483" s="35"/>
      <c r="H483" s="35"/>
      <c r="I483" s="35"/>
      <c r="J483" s="35"/>
      <c r="K483" s="61"/>
      <c r="L483" s="61"/>
      <c r="M483" s="34"/>
      <c r="N483" s="34"/>
      <c r="O483" s="35"/>
      <c r="P483" s="35"/>
      <c r="Q483" s="35"/>
      <c r="R483" s="35"/>
      <c r="S483" s="35"/>
      <c r="T483" s="61"/>
      <c r="U483" s="61"/>
      <c r="V483" s="34"/>
      <c r="W483" s="34"/>
      <c r="X483" s="34"/>
      <c r="Y483" s="35"/>
      <c r="Z483" s="35"/>
      <c r="AA483" s="35"/>
      <c r="AB483" s="34"/>
      <c r="AC483" s="61"/>
      <c r="AD483" s="61"/>
      <c r="AE483" s="34"/>
      <c r="AF483" s="34"/>
      <c r="AH483" s="72">
        <f t="shared" si="9"/>
        <v>1</v>
      </c>
      <c r="AJ483" s="34"/>
      <c r="AK483" s="34"/>
    </row>
    <row r="484" spans="1:37" s="72" customFormat="1" ht="8.1" hidden="1" customHeight="1" x14ac:dyDescent="0.15">
      <c r="A484" s="45" t="str">
        <f>H!N56</f>
        <v/>
      </c>
      <c r="B484" s="34"/>
      <c r="C484" s="45" t="str">
        <f>H!O56</f>
        <v/>
      </c>
      <c r="D484" s="34"/>
      <c r="E484" s="34"/>
      <c r="F484" s="35"/>
      <c r="G484" s="35"/>
      <c r="H484" s="35"/>
      <c r="I484" s="35"/>
      <c r="J484" s="35"/>
      <c r="K484" s="61"/>
      <c r="L484" s="61"/>
      <c r="M484" s="34"/>
      <c r="N484" s="34"/>
      <c r="O484" s="35"/>
      <c r="P484" s="35"/>
      <c r="Q484" s="35"/>
      <c r="R484" s="35"/>
      <c r="S484" s="35"/>
      <c r="T484" s="61"/>
      <c r="U484" s="61"/>
      <c r="V484" s="34"/>
      <c r="W484" s="34"/>
      <c r="X484" s="34"/>
      <c r="Y484" s="35"/>
      <c r="Z484" s="35"/>
      <c r="AA484" s="35"/>
      <c r="AB484" s="34"/>
      <c r="AC484" s="61"/>
      <c r="AD484" s="61"/>
      <c r="AE484" s="34"/>
      <c r="AF484" s="34"/>
      <c r="AH484" s="72">
        <f t="shared" si="9"/>
        <v>1</v>
      </c>
      <c r="AJ484" s="34"/>
      <c r="AK484" s="34"/>
    </row>
    <row r="485" spans="1:37" s="72" customFormat="1" ht="8.1" hidden="1" customHeight="1" x14ac:dyDescent="0.15">
      <c r="A485" s="45" t="str">
        <f>H!N57</f>
        <v/>
      </c>
      <c r="B485" s="34"/>
      <c r="C485" s="45" t="str">
        <f>H!O57</f>
        <v/>
      </c>
      <c r="D485" s="34"/>
      <c r="E485" s="34"/>
      <c r="F485" s="35"/>
      <c r="G485" s="35"/>
      <c r="H485" s="35"/>
      <c r="I485" s="35"/>
      <c r="J485" s="35"/>
      <c r="K485" s="61"/>
      <c r="L485" s="61"/>
      <c r="M485" s="34"/>
      <c r="N485" s="34"/>
      <c r="O485" s="35"/>
      <c r="P485" s="35"/>
      <c r="Q485" s="35"/>
      <c r="R485" s="35"/>
      <c r="S485" s="35"/>
      <c r="T485" s="61"/>
      <c r="U485" s="61"/>
      <c r="V485" s="34"/>
      <c r="W485" s="34"/>
      <c r="X485" s="34"/>
      <c r="Y485" s="35"/>
      <c r="Z485" s="35"/>
      <c r="AA485" s="35"/>
      <c r="AB485" s="34"/>
      <c r="AC485" s="61"/>
      <c r="AD485" s="61"/>
      <c r="AE485" s="34"/>
      <c r="AF485" s="34"/>
      <c r="AH485" s="72">
        <f t="shared" si="9"/>
        <v>1</v>
      </c>
      <c r="AJ485" s="34"/>
      <c r="AK485" s="34"/>
    </row>
    <row r="486" spans="1:37" s="72" customFormat="1" ht="8.1" hidden="1" customHeight="1" x14ac:dyDescent="0.15">
      <c r="A486" s="45" t="str">
        <f>H!N58</f>
        <v/>
      </c>
      <c r="B486" s="34"/>
      <c r="C486" s="45" t="str">
        <f>H!O58</f>
        <v/>
      </c>
      <c r="D486" s="34"/>
      <c r="E486" s="34"/>
      <c r="F486" s="35"/>
      <c r="G486" s="35"/>
      <c r="H486" s="35"/>
      <c r="I486" s="35"/>
      <c r="J486" s="35"/>
      <c r="K486" s="61"/>
      <c r="L486" s="61"/>
      <c r="M486" s="34"/>
      <c r="N486" s="34"/>
      <c r="O486" s="35"/>
      <c r="P486" s="35"/>
      <c r="Q486" s="35"/>
      <c r="R486" s="35"/>
      <c r="S486" s="35"/>
      <c r="T486" s="61"/>
      <c r="U486" s="61"/>
      <c r="V486" s="34"/>
      <c r="W486" s="34"/>
      <c r="X486" s="34"/>
      <c r="Y486" s="35"/>
      <c r="Z486" s="35"/>
      <c r="AA486" s="35"/>
      <c r="AB486" s="34"/>
      <c r="AC486" s="61"/>
      <c r="AD486" s="61"/>
      <c r="AE486" s="34"/>
      <c r="AF486" s="34"/>
      <c r="AH486" s="72">
        <f t="shared" si="9"/>
        <v>1</v>
      </c>
      <c r="AJ486" s="34"/>
      <c r="AK486" s="34"/>
    </row>
    <row r="487" spans="1:37" s="72" customFormat="1" ht="8.1" hidden="1" customHeight="1" x14ac:dyDescent="0.15">
      <c r="A487" s="45" t="str">
        <f>H!N59</f>
        <v/>
      </c>
      <c r="B487" s="34"/>
      <c r="C487" s="45" t="str">
        <f>H!O59</f>
        <v/>
      </c>
      <c r="D487" s="34"/>
      <c r="E487" s="34"/>
      <c r="F487" s="35"/>
      <c r="G487" s="35"/>
      <c r="H487" s="35"/>
      <c r="I487" s="35"/>
      <c r="J487" s="35"/>
      <c r="K487" s="61"/>
      <c r="L487" s="61"/>
      <c r="M487" s="34"/>
      <c r="N487" s="34"/>
      <c r="O487" s="35"/>
      <c r="P487" s="35"/>
      <c r="Q487" s="35"/>
      <c r="R487" s="35"/>
      <c r="S487" s="35"/>
      <c r="T487" s="61"/>
      <c r="U487" s="61"/>
      <c r="V487" s="34"/>
      <c r="W487" s="34"/>
      <c r="X487" s="34"/>
      <c r="Y487" s="35"/>
      <c r="Z487" s="35"/>
      <c r="AA487" s="35"/>
      <c r="AB487" s="34"/>
      <c r="AC487" s="61"/>
      <c r="AD487" s="61"/>
      <c r="AE487" s="34"/>
      <c r="AF487" s="34"/>
      <c r="AH487" s="72">
        <f t="shared" si="9"/>
        <v>1</v>
      </c>
      <c r="AJ487" s="34"/>
      <c r="AK487" s="34"/>
    </row>
    <row r="488" spans="1:37" s="72" customFormat="1" ht="8.1" customHeight="1" x14ac:dyDescent="0.15">
      <c r="A488" s="45"/>
      <c r="B488" s="34"/>
      <c r="C488" s="45"/>
      <c r="D488" s="34"/>
      <c r="E488" s="34"/>
      <c r="F488" s="35"/>
      <c r="G488" s="35"/>
      <c r="H488" s="35"/>
      <c r="I488" s="35"/>
      <c r="J488" s="35"/>
      <c r="K488" s="61"/>
      <c r="L488" s="61"/>
      <c r="M488" s="34"/>
      <c r="N488" s="34"/>
      <c r="O488" s="35"/>
      <c r="P488" s="35"/>
      <c r="Q488" s="35"/>
      <c r="R488" s="35"/>
      <c r="S488" s="35"/>
      <c r="T488" s="61"/>
      <c r="U488" s="61"/>
      <c r="V488" s="34"/>
      <c r="W488" s="34"/>
      <c r="X488" s="34"/>
      <c r="Y488" s="35"/>
      <c r="Z488" s="35"/>
      <c r="AA488" s="35"/>
      <c r="AB488" s="34"/>
      <c r="AC488" s="61"/>
      <c r="AD488" s="61"/>
      <c r="AE488" s="34"/>
      <c r="AF488" s="34"/>
      <c r="AJ488" s="34"/>
      <c r="AK488" s="34"/>
    </row>
    <row r="489" spans="1:37" s="72" customFormat="1" ht="8.1" customHeight="1" x14ac:dyDescent="0.15">
      <c r="A489" s="45"/>
      <c r="B489" s="34"/>
      <c r="C489" s="45"/>
      <c r="D489" s="34"/>
      <c r="E489" s="34"/>
      <c r="F489" s="35"/>
      <c r="G489" s="35"/>
      <c r="H489" s="35"/>
      <c r="I489" s="35"/>
      <c r="J489" s="35"/>
      <c r="K489" s="61"/>
      <c r="L489" s="61"/>
      <c r="M489" s="34"/>
      <c r="N489" s="34"/>
      <c r="O489" s="35"/>
      <c r="P489" s="35"/>
      <c r="Q489" s="35"/>
      <c r="R489" s="35"/>
      <c r="S489" s="35"/>
      <c r="T489" s="61"/>
      <c r="U489" s="61"/>
      <c r="V489" s="34"/>
      <c r="W489" s="34"/>
      <c r="X489" s="34"/>
      <c r="Y489" s="35"/>
      <c r="Z489" s="35"/>
      <c r="AA489" s="35"/>
      <c r="AB489" s="34"/>
      <c r="AC489" s="61"/>
      <c r="AD489" s="61"/>
      <c r="AE489" s="34"/>
      <c r="AF489" s="34"/>
      <c r="AJ489" s="34"/>
      <c r="AK489" s="34"/>
    </row>
    <row r="490" spans="1:37" s="72" customFormat="1" ht="8.1" customHeight="1" x14ac:dyDescent="0.15">
      <c r="A490" s="45"/>
      <c r="B490" s="34"/>
      <c r="C490" s="45"/>
      <c r="D490" s="34"/>
      <c r="E490" s="34"/>
      <c r="F490" s="35"/>
      <c r="G490" s="35"/>
      <c r="H490" s="35"/>
      <c r="I490" s="35"/>
      <c r="J490" s="35"/>
      <c r="K490" s="61"/>
      <c r="L490" s="61"/>
      <c r="M490" s="34"/>
      <c r="N490" s="34"/>
      <c r="O490" s="35"/>
      <c r="P490" s="35"/>
      <c r="Q490" s="35"/>
      <c r="R490" s="35"/>
      <c r="S490" s="35"/>
      <c r="T490" s="61"/>
      <c r="U490" s="61"/>
      <c r="V490" s="34"/>
      <c r="W490" s="34"/>
      <c r="X490" s="34"/>
      <c r="Y490" s="35"/>
      <c r="Z490" s="35"/>
      <c r="AA490" s="35"/>
      <c r="AB490" s="34"/>
      <c r="AC490" s="61"/>
      <c r="AD490" s="61"/>
      <c r="AE490" s="34"/>
      <c r="AF490" s="34"/>
      <c r="AJ490" s="34"/>
      <c r="AK490" s="34"/>
    </row>
    <row r="491" spans="1:37" s="72" customFormat="1" ht="8.1" customHeight="1" x14ac:dyDescent="0.15">
      <c r="A491" s="45"/>
      <c r="B491" s="34"/>
      <c r="C491" s="45"/>
      <c r="D491" s="34"/>
      <c r="E491" s="34"/>
      <c r="F491" s="35"/>
      <c r="G491" s="35"/>
      <c r="H491" s="35"/>
      <c r="I491" s="35"/>
      <c r="J491" s="35"/>
      <c r="K491" s="61"/>
      <c r="L491" s="61"/>
      <c r="M491" s="34"/>
      <c r="N491" s="34"/>
      <c r="O491" s="35"/>
      <c r="P491" s="35"/>
      <c r="Q491" s="35"/>
      <c r="R491" s="35"/>
      <c r="S491" s="35"/>
      <c r="T491" s="61"/>
      <c r="U491" s="61"/>
      <c r="V491" s="34"/>
      <c r="W491" s="34"/>
      <c r="X491" s="34"/>
      <c r="Y491" s="35"/>
      <c r="Z491" s="35"/>
      <c r="AA491" s="35"/>
      <c r="AB491" s="34"/>
      <c r="AC491" s="61"/>
      <c r="AD491" s="61"/>
      <c r="AE491" s="34"/>
      <c r="AF491" s="34"/>
      <c r="AJ491" s="34"/>
      <c r="AK491" s="34"/>
    </row>
    <row r="492" spans="1:37" s="72" customFormat="1" ht="8.1" customHeight="1" x14ac:dyDescent="0.15">
      <c r="A492" s="45"/>
      <c r="B492" s="34"/>
      <c r="C492" s="45"/>
      <c r="D492" s="34"/>
      <c r="E492" s="34"/>
      <c r="F492" s="35"/>
      <c r="G492" s="35"/>
      <c r="H492" s="35"/>
      <c r="I492" s="35"/>
      <c r="J492" s="35"/>
      <c r="K492" s="61"/>
      <c r="L492" s="61"/>
      <c r="M492" s="34"/>
      <c r="N492" s="34"/>
      <c r="O492" s="35"/>
      <c r="P492" s="35"/>
      <c r="Q492" s="35"/>
      <c r="R492" s="35"/>
      <c r="S492" s="35"/>
      <c r="T492" s="61"/>
      <c r="U492" s="61"/>
      <c r="V492" s="34"/>
      <c r="W492" s="34"/>
      <c r="X492" s="34"/>
      <c r="Y492" s="35"/>
      <c r="Z492" s="35"/>
      <c r="AA492" s="35"/>
      <c r="AB492" s="34"/>
      <c r="AC492" s="61"/>
      <c r="AD492" s="61"/>
      <c r="AE492" s="34"/>
      <c r="AF492" s="34"/>
      <c r="AJ492" s="34"/>
      <c r="AK492" s="34"/>
    </row>
    <row r="493" spans="1:37" s="72" customFormat="1" ht="8.1" customHeight="1" x14ac:dyDescent="0.15">
      <c r="A493" s="45"/>
      <c r="B493" s="34"/>
      <c r="C493" s="45"/>
      <c r="D493" s="34"/>
      <c r="E493" s="34"/>
      <c r="F493" s="35"/>
      <c r="G493" s="35"/>
      <c r="H493" s="35"/>
      <c r="I493" s="35"/>
      <c r="J493" s="35"/>
      <c r="K493" s="61"/>
      <c r="L493" s="61"/>
      <c r="M493" s="34"/>
      <c r="N493" s="34"/>
      <c r="O493" s="35"/>
      <c r="P493" s="35"/>
      <c r="Q493" s="35"/>
      <c r="R493" s="35"/>
      <c r="S493" s="35"/>
      <c r="T493" s="61"/>
      <c r="U493" s="61"/>
      <c r="V493" s="34"/>
      <c r="W493" s="34"/>
      <c r="X493" s="34"/>
      <c r="Y493" s="35"/>
      <c r="Z493" s="35"/>
      <c r="AA493" s="35"/>
      <c r="AB493" s="34"/>
      <c r="AC493" s="61"/>
      <c r="AD493" s="61"/>
      <c r="AE493" s="34"/>
      <c r="AF493" s="34"/>
      <c r="AJ493" s="34"/>
      <c r="AK493" s="34"/>
    </row>
    <row r="494" spans="1:37" s="72" customFormat="1" ht="8.1" customHeight="1" x14ac:dyDescent="0.15">
      <c r="A494" s="45"/>
      <c r="B494" s="34"/>
      <c r="C494" s="45"/>
      <c r="D494" s="34"/>
      <c r="E494" s="34"/>
      <c r="F494" s="35"/>
      <c r="G494" s="35"/>
      <c r="H494" s="35"/>
      <c r="I494" s="35"/>
      <c r="J494" s="35"/>
      <c r="K494" s="61"/>
      <c r="L494" s="61"/>
      <c r="M494" s="34"/>
      <c r="N494" s="34"/>
      <c r="O494" s="35"/>
      <c r="P494" s="35"/>
      <c r="Q494" s="35"/>
      <c r="R494" s="35"/>
      <c r="S494" s="35"/>
      <c r="T494" s="61"/>
      <c r="U494" s="61"/>
      <c r="V494" s="34"/>
      <c r="W494" s="34"/>
      <c r="X494" s="34"/>
      <c r="Y494" s="35"/>
      <c r="Z494" s="35"/>
      <c r="AA494" s="35"/>
      <c r="AB494" s="34"/>
      <c r="AC494" s="61"/>
      <c r="AD494" s="61"/>
      <c r="AE494" s="34"/>
      <c r="AF494" s="34"/>
      <c r="AJ494" s="34"/>
      <c r="AK494" s="34"/>
    </row>
    <row r="495" spans="1:37" s="72" customFormat="1" ht="8.1" customHeight="1" x14ac:dyDescent="0.15">
      <c r="A495" s="45"/>
      <c r="B495" s="34"/>
      <c r="C495" s="45"/>
      <c r="D495" s="34"/>
      <c r="E495" s="34"/>
      <c r="F495" s="35"/>
      <c r="G495" s="35"/>
      <c r="H495" s="35"/>
      <c r="I495" s="35"/>
      <c r="J495" s="35"/>
      <c r="K495" s="61"/>
      <c r="L495" s="61"/>
      <c r="M495" s="34"/>
      <c r="N495" s="34"/>
      <c r="O495" s="35"/>
      <c r="P495" s="35"/>
      <c r="Q495" s="35"/>
      <c r="R495" s="35"/>
      <c r="S495" s="35"/>
      <c r="T495" s="61"/>
      <c r="U495" s="61"/>
      <c r="V495" s="34"/>
      <c r="W495" s="34"/>
      <c r="X495" s="34"/>
      <c r="Y495" s="35"/>
      <c r="Z495" s="35"/>
      <c r="AA495" s="35"/>
      <c r="AB495" s="34"/>
      <c r="AC495" s="61"/>
      <c r="AD495" s="61"/>
      <c r="AE495" s="34"/>
      <c r="AF495" s="34"/>
      <c r="AJ495" s="34"/>
      <c r="AK495" s="34"/>
    </row>
    <row r="496" spans="1:37" s="72" customFormat="1" ht="8.1" customHeight="1" x14ac:dyDescent="0.15">
      <c r="A496" s="34"/>
      <c r="B496" s="34"/>
      <c r="C496" s="45"/>
      <c r="D496" s="34"/>
      <c r="E496" s="34"/>
      <c r="F496" s="35"/>
      <c r="G496" s="35"/>
      <c r="H496" s="35"/>
      <c r="I496" s="35"/>
      <c r="J496" s="35"/>
      <c r="K496" s="61"/>
      <c r="L496" s="61"/>
      <c r="M496" s="34"/>
      <c r="N496" s="34"/>
      <c r="O496" s="35"/>
      <c r="P496" s="35"/>
      <c r="Q496" s="35"/>
      <c r="R496" s="35"/>
      <c r="S496" s="35"/>
      <c r="T496" s="61"/>
      <c r="U496" s="61"/>
      <c r="V496" s="34"/>
      <c r="W496" s="34"/>
      <c r="X496" s="34"/>
      <c r="Y496" s="35"/>
      <c r="Z496" s="35"/>
      <c r="AA496" s="35"/>
      <c r="AB496" s="34"/>
      <c r="AC496" s="61"/>
      <c r="AD496" s="61"/>
      <c r="AE496" s="34"/>
      <c r="AF496" s="34"/>
      <c r="AJ496" s="34"/>
      <c r="AK496" s="34"/>
    </row>
    <row r="497" spans="1:37" s="72" customFormat="1" ht="8.1" customHeight="1" x14ac:dyDescent="0.15">
      <c r="A497" s="34"/>
      <c r="B497" s="34"/>
      <c r="C497" s="45"/>
      <c r="D497" s="34"/>
      <c r="E497" s="34"/>
      <c r="F497" s="35"/>
      <c r="G497" s="35"/>
      <c r="H497" s="35"/>
      <c r="I497" s="35"/>
      <c r="J497" s="35"/>
      <c r="K497" s="61"/>
      <c r="L497" s="61"/>
      <c r="M497" s="34"/>
      <c r="N497" s="34"/>
      <c r="O497" s="35"/>
      <c r="P497" s="35"/>
      <c r="Q497" s="35"/>
      <c r="R497" s="35"/>
      <c r="S497" s="35"/>
      <c r="T497" s="61"/>
      <c r="U497" s="61"/>
      <c r="V497" s="34"/>
      <c r="W497" s="34"/>
      <c r="X497" s="34"/>
      <c r="Y497" s="35"/>
      <c r="Z497" s="35"/>
      <c r="AA497" s="35"/>
      <c r="AB497" s="34"/>
      <c r="AC497" s="61"/>
      <c r="AD497" s="61"/>
      <c r="AE497" s="34"/>
      <c r="AF497" s="34"/>
      <c r="AJ497" s="34"/>
      <c r="AK497" s="34"/>
    </row>
    <row r="498" spans="1:37" ht="8.1" customHeight="1" x14ac:dyDescent="0.15">
      <c r="C498" s="45"/>
    </row>
    <row r="499" spans="1:37" ht="8.1" customHeight="1" x14ac:dyDescent="0.15">
      <c r="C499" s="45"/>
    </row>
    <row r="500" spans="1:37" ht="8.1" customHeight="1" x14ac:dyDescent="0.15">
      <c r="C500" s="45"/>
    </row>
    <row r="501" spans="1:37" ht="8.1" customHeight="1" x14ac:dyDescent="0.15">
      <c r="C501" s="45"/>
    </row>
    <row r="502" spans="1:37" ht="8.1" customHeight="1" x14ac:dyDescent="0.15">
      <c r="C502" s="45"/>
    </row>
    <row r="503" spans="1:37" ht="8.1" customHeight="1" x14ac:dyDescent="0.15">
      <c r="C503" s="45"/>
    </row>
    <row r="504" spans="1:37" ht="8.1" customHeight="1" x14ac:dyDescent="0.15">
      <c r="C504" s="45"/>
    </row>
    <row r="505" spans="1:37" ht="8.1" customHeight="1" x14ac:dyDescent="0.15">
      <c r="C505" s="45"/>
    </row>
    <row r="506" spans="1:37" ht="8.1" customHeight="1" x14ac:dyDescent="0.15">
      <c r="C506" s="45"/>
    </row>
    <row r="507" spans="1:37" ht="8.1" customHeight="1" x14ac:dyDescent="0.15">
      <c r="C507" s="45"/>
    </row>
    <row r="508" spans="1:37" ht="8.1" customHeight="1" x14ac:dyDescent="0.15">
      <c r="C508" s="45"/>
    </row>
    <row r="509" spans="1:37" ht="8.1" customHeight="1" x14ac:dyDescent="0.15">
      <c r="C509" s="45"/>
    </row>
    <row r="510" spans="1:37" ht="8.1" customHeight="1" x14ac:dyDescent="0.15">
      <c r="C510" s="45"/>
    </row>
    <row r="511" spans="1:37" ht="8.1" customHeight="1" x14ac:dyDescent="0.15">
      <c r="C511" s="45"/>
    </row>
    <row r="512" spans="1:37" ht="8.1" customHeight="1" x14ac:dyDescent="0.15">
      <c r="C512" s="45"/>
    </row>
    <row r="513" spans="3:3" ht="8.1" customHeight="1" x14ac:dyDescent="0.15">
      <c r="C513" s="45"/>
    </row>
    <row r="514" spans="3:3" ht="8.1" customHeight="1" x14ac:dyDescent="0.15">
      <c r="C514" s="45"/>
    </row>
    <row r="515" spans="3:3" ht="8.1" customHeight="1" x14ac:dyDescent="0.15">
      <c r="C515" s="45"/>
    </row>
    <row r="516" spans="3:3" ht="8.1" customHeight="1" x14ac:dyDescent="0.15">
      <c r="C516" s="45"/>
    </row>
    <row r="517" spans="3:3" ht="8.1" customHeight="1" x14ac:dyDescent="0.15">
      <c r="C517" s="45"/>
    </row>
    <row r="518" spans="3:3" ht="8.1" customHeight="1" x14ac:dyDescent="0.15">
      <c r="C518" s="45"/>
    </row>
    <row r="519" spans="3:3" ht="8.1" customHeight="1" x14ac:dyDescent="0.15">
      <c r="C519" s="45"/>
    </row>
    <row r="520" spans="3:3" ht="8.1" customHeight="1" x14ac:dyDescent="0.15">
      <c r="C520" s="45"/>
    </row>
    <row r="521" spans="3:3" ht="8.1" customHeight="1" x14ac:dyDescent="0.15">
      <c r="C521" s="45"/>
    </row>
    <row r="522" spans="3:3" ht="8.1" customHeight="1" x14ac:dyDescent="0.15">
      <c r="C522" s="45"/>
    </row>
    <row r="523" spans="3:3" ht="8.1" customHeight="1" x14ac:dyDescent="0.15">
      <c r="C523" s="45"/>
    </row>
    <row r="524" spans="3:3" ht="8.1" customHeight="1" x14ac:dyDescent="0.15">
      <c r="C524" s="45"/>
    </row>
    <row r="525" spans="3:3" ht="8.1" customHeight="1" x14ac:dyDescent="0.15">
      <c r="C525" s="45"/>
    </row>
    <row r="526" spans="3:3" ht="8.1" customHeight="1" x14ac:dyDescent="0.15">
      <c r="C526" s="45"/>
    </row>
    <row r="527" spans="3:3" ht="8.1" customHeight="1" x14ac:dyDescent="0.15">
      <c r="C527" s="45"/>
    </row>
    <row r="528" spans="3:3" ht="8.1" customHeight="1" x14ac:dyDescent="0.15">
      <c r="C528" s="45"/>
    </row>
    <row r="529" spans="3:3" ht="8.1" customHeight="1" x14ac:dyDescent="0.15">
      <c r="C529" s="45"/>
    </row>
    <row r="530" spans="3:3" ht="8.1" customHeight="1" x14ac:dyDescent="0.15">
      <c r="C530" s="45"/>
    </row>
    <row r="531" spans="3:3" ht="8.1" customHeight="1" x14ac:dyDescent="0.15">
      <c r="C531" s="45"/>
    </row>
    <row r="532" spans="3:3" ht="8.1" customHeight="1" x14ac:dyDescent="0.15">
      <c r="C532" s="45"/>
    </row>
    <row r="533" spans="3:3" ht="8.1" customHeight="1" x14ac:dyDescent="0.15">
      <c r="C533" s="45"/>
    </row>
    <row r="534" spans="3:3" ht="8.1" customHeight="1" x14ac:dyDescent="0.15">
      <c r="C534" s="45"/>
    </row>
    <row r="535" spans="3:3" ht="8.1" customHeight="1" x14ac:dyDescent="0.15">
      <c r="C535" s="45"/>
    </row>
    <row r="536" spans="3:3" ht="8.1" customHeight="1" x14ac:dyDescent="0.15">
      <c r="C536" s="45"/>
    </row>
    <row r="537" spans="3:3" ht="8.1" customHeight="1" x14ac:dyDescent="0.15">
      <c r="C537" s="45"/>
    </row>
    <row r="538" spans="3:3" ht="8.1" customHeight="1" x14ac:dyDescent="0.15">
      <c r="C538" s="45"/>
    </row>
    <row r="539" spans="3:3" ht="8.1" customHeight="1" x14ac:dyDescent="0.15">
      <c r="C539" s="45"/>
    </row>
    <row r="540" spans="3:3" ht="8.1" customHeight="1" x14ac:dyDescent="0.15">
      <c r="C540" s="45"/>
    </row>
    <row r="541" spans="3:3" ht="8.1" customHeight="1" x14ac:dyDescent="0.15">
      <c r="C541" s="45"/>
    </row>
    <row r="542" spans="3:3" ht="8.1" customHeight="1" x14ac:dyDescent="0.15">
      <c r="C542" s="45"/>
    </row>
    <row r="543" spans="3:3" ht="8.1" customHeight="1" x14ac:dyDescent="0.15">
      <c r="C543" s="45"/>
    </row>
    <row r="544" spans="3:3" ht="8.1" customHeight="1" x14ac:dyDescent="0.15">
      <c r="C544" s="45"/>
    </row>
    <row r="545" spans="3:3" ht="8.1" customHeight="1" x14ac:dyDescent="0.15">
      <c r="C545" s="45"/>
    </row>
    <row r="546" spans="3:3" ht="8.1" customHeight="1" x14ac:dyDescent="0.15">
      <c r="C546" s="45"/>
    </row>
    <row r="547" spans="3:3" ht="8.1" customHeight="1" x14ac:dyDescent="0.15">
      <c r="C547" s="45"/>
    </row>
    <row r="548" spans="3:3" ht="8.1" customHeight="1" x14ac:dyDescent="0.15">
      <c r="C548" s="45"/>
    </row>
    <row r="549" spans="3:3" ht="8.1" customHeight="1" x14ac:dyDescent="0.15">
      <c r="C549" s="45"/>
    </row>
    <row r="550" spans="3:3" ht="8.1" customHeight="1" x14ac:dyDescent="0.15">
      <c r="C550" s="45"/>
    </row>
    <row r="551" spans="3:3" ht="8.1" customHeight="1" x14ac:dyDescent="0.15">
      <c r="C551" s="45"/>
    </row>
    <row r="552" spans="3:3" ht="8.1" customHeight="1" x14ac:dyDescent="0.15">
      <c r="C552" s="45"/>
    </row>
    <row r="553" spans="3:3" ht="8.1" customHeight="1" x14ac:dyDescent="0.15">
      <c r="C553" s="45"/>
    </row>
    <row r="554" spans="3:3" ht="8.1" customHeight="1" x14ac:dyDescent="0.15">
      <c r="C554" s="45"/>
    </row>
    <row r="555" spans="3:3" ht="8.1" customHeight="1" x14ac:dyDescent="0.15">
      <c r="C555" s="45"/>
    </row>
    <row r="556" spans="3:3" ht="8.1" customHeight="1" x14ac:dyDescent="0.15">
      <c r="C556" s="45"/>
    </row>
    <row r="557" spans="3:3" ht="8.1" customHeight="1" x14ac:dyDescent="0.15">
      <c r="C557" s="45"/>
    </row>
    <row r="558" spans="3:3" ht="8.1" customHeight="1" x14ac:dyDescent="0.15">
      <c r="C558" s="45"/>
    </row>
    <row r="559" spans="3:3" ht="8.1" customHeight="1" x14ac:dyDescent="0.15">
      <c r="C559" s="45"/>
    </row>
    <row r="560" spans="3:3" ht="8.1" customHeight="1" x14ac:dyDescent="0.15">
      <c r="C560" s="45"/>
    </row>
    <row r="561" spans="3:3" ht="8.1" customHeight="1" x14ac:dyDescent="0.15">
      <c r="C561" s="45"/>
    </row>
    <row r="562" spans="3:3" ht="8.1" customHeight="1" x14ac:dyDescent="0.15">
      <c r="C562" s="45"/>
    </row>
    <row r="563" spans="3:3" ht="8.1" customHeight="1" x14ac:dyDescent="0.15">
      <c r="C563" s="45"/>
    </row>
    <row r="564" spans="3:3" ht="8.1" customHeight="1" x14ac:dyDescent="0.15">
      <c r="C564" s="45"/>
    </row>
    <row r="565" spans="3:3" ht="8.1" customHeight="1" x14ac:dyDescent="0.15">
      <c r="C565" s="45"/>
    </row>
    <row r="566" spans="3:3" ht="8.1" customHeight="1" x14ac:dyDescent="0.15">
      <c r="C566" s="45"/>
    </row>
    <row r="567" spans="3:3" ht="8.1" customHeight="1" x14ac:dyDescent="0.15">
      <c r="C567" s="45"/>
    </row>
    <row r="568" spans="3:3" ht="8.1" customHeight="1" x14ac:dyDescent="0.15">
      <c r="C568" s="45"/>
    </row>
    <row r="569" spans="3:3" ht="8.1" customHeight="1" x14ac:dyDescent="0.15">
      <c r="C569" s="45"/>
    </row>
    <row r="570" spans="3:3" ht="8.1" customHeight="1" x14ac:dyDescent="0.15">
      <c r="C570" s="45"/>
    </row>
    <row r="571" spans="3:3" ht="8.1" customHeight="1" x14ac:dyDescent="0.15">
      <c r="C571" s="45"/>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D747D441-74B7-4F87-B806-A57DA40F7029}">
    <filterColumn colId="0">
      <filters blank="1">
        <filter val="0"/>
      </filters>
    </filterColumn>
  </autoFilter>
  <mergeCells count="465">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A22:C22"/>
    <mergeCell ref="A23:C23"/>
    <mergeCell ref="A24:C24"/>
    <mergeCell ref="A25:C25"/>
    <mergeCell ref="A26:C26"/>
    <mergeCell ref="A27:C27"/>
    <mergeCell ref="D21:F21"/>
    <mergeCell ref="G21:J21"/>
    <mergeCell ref="M21:O21"/>
    <mergeCell ref="A35:C35"/>
    <mergeCell ref="A36:C36"/>
    <mergeCell ref="A37:C37"/>
    <mergeCell ref="A38:C38"/>
    <mergeCell ref="A39:C39"/>
    <mergeCell ref="A40:C40"/>
    <mergeCell ref="A30:C30"/>
    <mergeCell ref="A31:C31"/>
    <mergeCell ref="A32:C32"/>
    <mergeCell ref="A33:C33"/>
    <mergeCell ref="A34:C34"/>
    <mergeCell ref="A47:C47"/>
    <mergeCell ref="A48:C48"/>
    <mergeCell ref="A49:C49"/>
    <mergeCell ref="A50:C50"/>
    <mergeCell ref="A53:C53"/>
    <mergeCell ref="A52:AA52"/>
    <mergeCell ref="A41:C41"/>
    <mergeCell ref="A42:C42"/>
    <mergeCell ref="A43:C43"/>
    <mergeCell ref="A44:C44"/>
    <mergeCell ref="A45:C45"/>
    <mergeCell ref="A46:C46"/>
    <mergeCell ref="A60:C60"/>
    <mergeCell ref="A61:C61"/>
    <mergeCell ref="A62:C62"/>
    <mergeCell ref="A63:C63"/>
    <mergeCell ref="A64:C64"/>
    <mergeCell ref="A65:C65"/>
    <mergeCell ref="A71:AA71"/>
    <mergeCell ref="A54:C54"/>
    <mergeCell ref="A55:C55"/>
    <mergeCell ref="A56:C56"/>
    <mergeCell ref="A57:C57"/>
    <mergeCell ref="A58:C58"/>
    <mergeCell ref="A59:C59"/>
    <mergeCell ref="A73:C73"/>
    <mergeCell ref="A74:C74"/>
    <mergeCell ref="A75:C75"/>
    <mergeCell ref="A76:C76"/>
    <mergeCell ref="A77:C77"/>
    <mergeCell ref="A78:C78"/>
    <mergeCell ref="A81:AA81"/>
    <mergeCell ref="A66:C66"/>
    <mergeCell ref="A67:C67"/>
    <mergeCell ref="A68:C68"/>
    <mergeCell ref="A69:C69"/>
    <mergeCell ref="A72:C72"/>
    <mergeCell ref="A86:C86"/>
    <mergeCell ref="A87:C87"/>
    <mergeCell ref="A88:C88"/>
    <mergeCell ref="A89:C89"/>
    <mergeCell ref="A90:C90"/>
    <mergeCell ref="A92:AA92"/>
    <mergeCell ref="A79:C79"/>
    <mergeCell ref="A82:C82"/>
    <mergeCell ref="A83:C83"/>
    <mergeCell ref="A84:C84"/>
    <mergeCell ref="A85:C85"/>
    <mergeCell ref="A99:C99"/>
    <mergeCell ref="A100:C100"/>
    <mergeCell ref="A101:C101"/>
    <mergeCell ref="A102:C102"/>
    <mergeCell ref="A103:C103"/>
    <mergeCell ref="A104:C104"/>
    <mergeCell ref="A93:C93"/>
    <mergeCell ref="A94:C94"/>
    <mergeCell ref="A95:C95"/>
    <mergeCell ref="A96:C96"/>
    <mergeCell ref="A97:C97"/>
    <mergeCell ref="A98:C98"/>
    <mergeCell ref="A111:C111"/>
    <mergeCell ref="A112:C112"/>
    <mergeCell ref="A113:C113"/>
    <mergeCell ref="A114:C114"/>
    <mergeCell ref="A115:C115"/>
    <mergeCell ref="A116:C116"/>
    <mergeCell ref="A105:C105"/>
    <mergeCell ref="A106:C106"/>
    <mergeCell ref="A107:C107"/>
    <mergeCell ref="A108:C108"/>
    <mergeCell ref="A109:C109"/>
    <mergeCell ref="A110:C110"/>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61:C161"/>
    <mergeCell ref="A162:C162"/>
    <mergeCell ref="A163:C163"/>
    <mergeCell ref="A164:C164"/>
    <mergeCell ref="A165:C165"/>
    <mergeCell ref="A166:C166"/>
    <mergeCell ref="A157:C157"/>
    <mergeCell ref="A158:C158"/>
    <mergeCell ref="A159:C159"/>
    <mergeCell ref="A160:C160"/>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86:C186"/>
    <mergeCell ref="A187:C187"/>
    <mergeCell ref="A188:C188"/>
    <mergeCell ref="A189:C189"/>
    <mergeCell ref="A190:C190"/>
    <mergeCell ref="A191:C191"/>
    <mergeCell ref="A181:C181"/>
    <mergeCell ref="A182:C182"/>
    <mergeCell ref="A183:C183"/>
    <mergeCell ref="A184:C184"/>
    <mergeCell ref="A185:C185"/>
    <mergeCell ref="A198:C198"/>
    <mergeCell ref="A199:C199"/>
    <mergeCell ref="A200:C200"/>
    <mergeCell ref="A201:C201"/>
    <mergeCell ref="A202:C202"/>
    <mergeCell ref="A203:C203"/>
    <mergeCell ref="A192:C192"/>
    <mergeCell ref="A193:C193"/>
    <mergeCell ref="A194:C194"/>
    <mergeCell ref="A195:C195"/>
    <mergeCell ref="A196:C196"/>
    <mergeCell ref="A197:C197"/>
    <mergeCell ref="A210:C210"/>
    <mergeCell ref="A211:C211"/>
    <mergeCell ref="A212:C212"/>
    <mergeCell ref="A213:C213"/>
    <mergeCell ref="A214:C214"/>
    <mergeCell ref="A215:C215"/>
    <mergeCell ref="A204:C204"/>
    <mergeCell ref="A205:C205"/>
    <mergeCell ref="A206:C206"/>
    <mergeCell ref="A207:C207"/>
    <mergeCell ref="A208:C208"/>
    <mergeCell ref="A209:C209"/>
    <mergeCell ref="A223:C223"/>
    <mergeCell ref="A224:C224"/>
    <mergeCell ref="A225:C225"/>
    <mergeCell ref="A226:C226"/>
    <mergeCell ref="A227:C227"/>
    <mergeCell ref="A228:C228"/>
    <mergeCell ref="A216:C216"/>
    <mergeCell ref="A217:C217"/>
    <mergeCell ref="A218:C218"/>
    <mergeCell ref="A219:C219"/>
    <mergeCell ref="A220:C220"/>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49:C249"/>
    <mergeCell ref="A250:C250"/>
    <mergeCell ref="A251:C251"/>
    <mergeCell ref="A252:C252"/>
    <mergeCell ref="A253:C253"/>
    <mergeCell ref="A241:C241"/>
    <mergeCell ref="A242:C242"/>
    <mergeCell ref="A243:C243"/>
    <mergeCell ref="A244:C244"/>
    <mergeCell ref="A245:C245"/>
    <mergeCell ref="A246:C246"/>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73:C273"/>
    <mergeCell ref="A274:C274"/>
    <mergeCell ref="A275:C275"/>
    <mergeCell ref="A276:C276"/>
    <mergeCell ref="A277:C277"/>
    <mergeCell ref="A266:C266"/>
    <mergeCell ref="A267:C267"/>
    <mergeCell ref="A270:C270"/>
    <mergeCell ref="A271:C271"/>
    <mergeCell ref="A272:C272"/>
    <mergeCell ref="A286:C286"/>
    <mergeCell ref="A287:C287"/>
    <mergeCell ref="A288:C288"/>
    <mergeCell ref="A289:C289"/>
    <mergeCell ref="A292:C292"/>
    <mergeCell ref="A280:C280"/>
    <mergeCell ref="A281:C281"/>
    <mergeCell ref="A282:C282"/>
    <mergeCell ref="A283:C283"/>
    <mergeCell ref="A284:C284"/>
    <mergeCell ref="A285:C285"/>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329:C329"/>
    <mergeCell ref="A330:C330"/>
    <mergeCell ref="A331:C331"/>
    <mergeCell ref="A332:C332"/>
    <mergeCell ref="A333:C333"/>
    <mergeCell ref="A320:C320"/>
    <mergeCell ref="A321:C321"/>
    <mergeCell ref="A322:C322"/>
    <mergeCell ref="A325:C325"/>
    <mergeCell ref="A326:C326"/>
    <mergeCell ref="A328:AA328"/>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405:C405"/>
    <mergeCell ref="A406:C406"/>
    <mergeCell ref="A407:C407"/>
    <mergeCell ref="A408:C408"/>
    <mergeCell ref="A409:C409"/>
    <mergeCell ref="A410:C410"/>
    <mergeCell ref="A399:C399"/>
    <mergeCell ref="A400:C400"/>
    <mergeCell ref="A401:C401"/>
    <mergeCell ref="A402:C402"/>
    <mergeCell ref="A403:C403"/>
    <mergeCell ref="A404:C404"/>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30:C430"/>
    <mergeCell ref="A431:C431"/>
    <mergeCell ref="A432:C432"/>
    <mergeCell ref="A433:C433"/>
    <mergeCell ref="A423:C423"/>
    <mergeCell ref="A426:C426"/>
    <mergeCell ref="A427:C427"/>
    <mergeCell ref="A428:C428"/>
    <mergeCell ref="A429:C429"/>
    <mergeCell ref="A425:AA425"/>
  </mergeCells>
  <conditionalFormatting sqref="D6:J17">
    <cfRule type="cellIs" dxfId="822" priority="2592" stopIfTrue="1" operator="equal">
      <formula>"zz"</formula>
    </cfRule>
    <cfRule type="cellIs" dxfId="821" priority="2593" stopIfTrue="1" operator="equal">
      <formula>0</formula>
    </cfRule>
    <cfRule type="expression" dxfId="820" priority="2594" stopIfTrue="1">
      <formula>$D$9=0</formula>
    </cfRule>
    <cfRule type="expression" dxfId="819" priority="2595" stopIfTrue="1">
      <formula>$D$9="(leeg)"</formula>
    </cfRule>
  </conditionalFormatting>
  <conditionalFormatting sqref="M6:S17">
    <cfRule type="cellIs" dxfId="818" priority="2588" stopIfTrue="1" operator="equal">
      <formula>"zz"</formula>
    </cfRule>
    <cfRule type="cellIs" dxfId="817" priority="2589" stopIfTrue="1" operator="equal">
      <formula>0</formula>
    </cfRule>
    <cfRule type="expression" dxfId="816" priority="2590" stopIfTrue="1">
      <formula>$M$9=0</formula>
    </cfRule>
    <cfRule type="expression" dxfId="815" priority="2591" stopIfTrue="1">
      <formula>$M$9="(leeg)"</formula>
    </cfRule>
  </conditionalFormatting>
  <conditionalFormatting sqref="V6:AB17">
    <cfRule type="cellIs" dxfId="814" priority="2584" stopIfTrue="1" operator="equal">
      <formula>"zz"</formula>
    </cfRule>
    <cfRule type="cellIs" dxfId="813" priority="2585" stopIfTrue="1" operator="equal">
      <formula>0</formula>
    </cfRule>
    <cfRule type="expression" dxfId="812" priority="2586" stopIfTrue="1">
      <formula>$V$9=0</formula>
    </cfRule>
    <cfRule type="expression" dxfId="811" priority="2587" stopIfTrue="1">
      <formula>$V$9="(leeg)"</formula>
    </cfRule>
  </conditionalFormatting>
  <conditionalFormatting sqref="D20:J28 D30:J50">
    <cfRule type="expression" dxfId="810" priority="2582">
      <formula>$D$9=""</formula>
    </cfRule>
    <cfRule type="expression" dxfId="809" priority="2583">
      <formula>$D$9=0</formula>
    </cfRule>
  </conditionalFormatting>
  <conditionalFormatting sqref="M20:S28 M30:S50">
    <cfRule type="expression" dxfId="808" priority="2581">
      <formula>$M$9=0</formula>
    </cfRule>
  </conditionalFormatting>
  <conditionalFormatting sqref="V20:AB28 V30:AB50">
    <cfRule type="expression" dxfId="807" priority="2578">
      <formula>$V$9=""</formula>
    </cfRule>
    <cfRule type="expression" dxfId="806" priority="2579">
      <formula>$V$9=0</formula>
    </cfRule>
  </conditionalFormatting>
  <conditionalFormatting sqref="M20:S28 M30:S50">
    <cfRule type="expression" dxfId="805" priority="2580">
      <formula>$M$9=""</formula>
    </cfRule>
  </conditionalFormatting>
  <conditionalFormatting sqref="M20:S28 M30:S50">
    <cfRule type="expression" dxfId="804" priority="2576">
      <formula>$M$9=""</formula>
    </cfRule>
    <cfRule type="expression" dxfId="803" priority="2577">
      <formula>$M$9=0</formula>
    </cfRule>
  </conditionalFormatting>
  <conditionalFormatting sqref="K6:L28 K30:L50">
    <cfRule type="expression" dxfId="802" priority="2377" stopIfTrue="1">
      <formula>$D$9=""</formula>
    </cfRule>
    <cfRule type="expression" dxfId="801" priority="2378" stopIfTrue="1">
      <formula>$D$9=0</formula>
    </cfRule>
  </conditionalFormatting>
  <conditionalFormatting sqref="T6:U28 T30:U50">
    <cfRule type="expression" dxfId="800" priority="2382" stopIfTrue="1">
      <formula>$M$9=0</formula>
    </cfRule>
  </conditionalFormatting>
  <conditionalFormatting sqref="T6:U28 T30:U50">
    <cfRule type="expression" dxfId="799" priority="2381" stopIfTrue="1">
      <formula>$M$9=""</formula>
    </cfRule>
  </conditionalFormatting>
  <conditionalFormatting sqref="T6:U28 T30:U50">
    <cfRule type="expression" dxfId="798" priority="2374" stopIfTrue="1">
      <formula>$M$9=""</formula>
    </cfRule>
    <cfRule type="expression" dxfId="797" priority="2376" stopIfTrue="1">
      <formula>$M$9=0</formula>
    </cfRule>
  </conditionalFormatting>
  <conditionalFormatting sqref="AC6:AD29 AC30:AC50">
    <cfRule type="expression" dxfId="796" priority="2373" stopIfTrue="1">
      <formula>$V$9=""</formula>
    </cfRule>
    <cfRule type="expression" dxfId="795" priority="2375" stopIfTrue="1">
      <formula>$V$9=0</formula>
    </cfRule>
  </conditionalFormatting>
  <conditionalFormatting sqref="L30:L50">
    <cfRule type="cellIs" dxfId="794" priority="2386" operator="greaterThan">
      <formula>50</formula>
    </cfRule>
  </conditionalFormatting>
  <conditionalFormatting sqref="K30:K50">
    <cfRule type="cellIs" dxfId="793" priority="2385" operator="greaterThan">
      <formula>100</formula>
    </cfRule>
  </conditionalFormatting>
  <conditionalFormatting sqref="T30:T50">
    <cfRule type="cellIs" dxfId="792" priority="2384" operator="greaterThan">
      <formula>100</formula>
    </cfRule>
  </conditionalFormatting>
  <conditionalFormatting sqref="AC30:AC50">
    <cfRule type="cellIs" dxfId="791" priority="2380" operator="greaterThan">
      <formula>100</formula>
    </cfRule>
  </conditionalFormatting>
  <conditionalFormatting sqref="U30:U50">
    <cfRule type="cellIs" dxfId="790"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89" priority="2185" stopIfTrue="1">
      <formula>$M$9=0</formula>
    </cfRule>
  </conditionalFormatting>
  <conditionalFormatting sqref="AD30:AD50">
    <cfRule type="expression" dxfId="788" priority="2184" stopIfTrue="1">
      <formula>$M$9=""</formula>
    </cfRule>
  </conditionalFormatting>
  <conditionalFormatting sqref="AD30:AD50">
    <cfRule type="expression" dxfId="787" priority="2182" stopIfTrue="1">
      <formula>$M$9=""</formula>
    </cfRule>
    <cfRule type="expression" dxfId="786" priority="2183" stopIfTrue="1">
      <formula>$M$9=0</formula>
    </cfRule>
  </conditionalFormatting>
  <conditionalFormatting sqref="AD30:AD50">
    <cfRule type="cellIs" dxfId="785"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84" priority="1046" operator="greaterThan">
      <formula>100</formula>
    </cfRule>
  </conditionalFormatting>
  <conditionalFormatting sqref="AC316">
    <cfRule type="cellIs" dxfId="783"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2" priority="735">
      <formula>$D$9=""</formula>
    </cfRule>
    <cfRule type="expression" dxfId="781" priority="736">
      <formula>$D$9=0</formula>
    </cfRule>
  </conditionalFormatting>
  <conditionalFormatting sqref="M53:S69">
    <cfRule type="expression" dxfId="780" priority="734">
      <formula>$M$9=0</formula>
    </cfRule>
  </conditionalFormatting>
  <conditionalFormatting sqref="V53:AB69">
    <cfRule type="expression" dxfId="779" priority="731">
      <formula>$V$9=""</formula>
    </cfRule>
    <cfRule type="expression" dxfId="778" priority="732">
      <formula>$V$9=0</formula>
    </cfRule>
  </conditionalFormatting>
  <conditionalFormatting sqref="M53:S69">
    <cfRule type="expression" dxfId="777" priority="733">
      <formula>$M$9=""</formula>
    </cfRule>
  </conditionalFormatting>
  <conditionalFormatting sqref="M53:S69">
    <cfRule type="expression" dxfId="776" priority="729">
      <formula>$M$9=""</formula>
    </cfRule>
    <cfRule type="expression" dxfId="775" priority="730">
      <formula>$M$9=0</formula>
    </cfRule>
  </conditionalFormatting>
  <conditionalFormatting sqref="K53:L69">
    <cfRule type="expression" dxfId="774" priority="720" stopIfTrue="1">
      <formula>$D$9=""</formula>
    </cfRule>
    <cfRule type="expression" dxfId="773" priority="721" stopIfTrue="1">
      <formula>$D$9=0</formula>
    </cfRule>
  </conditionalFormatting>
  <conditionalFormatting sqref="T53:U69">
    <cfRule type="expression" dxfId="772" priority="724" stopIfTrue="1">
      <formula>$M$9=0</formula>
    </cfRule>
  </conditionalFormatting>
  <conditionalFormatting sqref="T53:U69">
    <cfRule type="expression" dxfId="771" priority="723" stopIfTrue="1">
      <formula>$M$9=""</formula>
    </cfRule>
  </conditionalFormatting>
  <conditionalFormatting sqref="T53:U69">
    <cfRule type="expression" dxfId="770" priority="717" stopIfTrue="1">
      <formula>$M$9=""</formula>
    </cfRule>
    <cfRule type="expression" dxfId="769" priority="719" stopIfTrue="1">
      <formula>$M$9=0</formula>
    </cfRule>
  </conditionalFormatting>
  <conditionalFormatting sqref="AC53:AC69">
    <cfRule type="expression" dxfId="768" priority="716" stopIfTrue="1">
      <formula>$V$9=""</formula>
    </cfRule>
    <cfRule type="expression" dxfId="767" priority="718" stopIfTrue="1">
      <formula>$V$9=0</formula>
    </cfRule>
  </conditionalFormatting>
  <conditionalFormatting sqref="L53:L69">
    <cfRule type="cellIs" dxfId="766" priority="728" operator="greaterThan">
      <formula>50</formula>
    </cfRule>
  </conditionalFormatting>
  <conditionalFormatting sqref="K53:K69">
    <cfRule type="cellIs" dxfId="765" priority="727" operator="greaterThan">
      <formula>100</formula>
    </cfRule>
  </conditionalFormatting>
  <conditionalFormatting sqref="T53:T69">
    <cfRule type="cellIs" dxfId="764" priority="726" operator="greaterThan">
      <formula>100</formula>
    </cfRule>
  </conditionalFormatting>
  <conditionalFormatting sqref="AC53:AC69">
    <cfRule type="cellIs" dxfId="763" priority="722" operator="greaterThan">
      <formula>100</formula>
    </cfRule>
  </conditionalFormatting>
  <conditionalFormatting sqref="U53:U69">
    <cfRule type="cellIs" dxfId="762"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1" priority="713" stopIfTrue="1">
      <formula>$M$9=0</formula>
    </cfRule>
  </conditionalFormatting>
  <conditionalFormatting sqref="AD53:AD69">
    <cfRule type="expression" dxfId="760" priority="712" stopIfTrue="1">
      <formula>$M$9=""</formula>
    </cfRule>
  </conditionalFormatting>
  <conditionalFormatting sqref="AD53:AD69">
    <cfRule type="expression" dxfId="759" priority="710" stopIfTrue="1">
      <formula>$M$9=""</formula>
    </cfRule>
    <cfRule type="expression" dxfId="758" priority="711" stopIfTrue="1">
      <formula>$M$9=0</formula>
    </cfRule>
  </conditionalFormatting>
  <conditionalFormatting sqref="AD53:AD69">
    <cfRule type="cellIs" dxfId="757"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56" priority="703">
      <formula>$D$9=""</formula>
    </cfRule>
    <cfRule type="expression" dxfId="755" priority="704">
      <formula>$D$9=0</formula>
    </cfRule>
  </conditionalFormatting>
  <conditionalFormatting sqref="M72:S79">
    <cfRule type="expression" dxfId="754" priority="702">
      <formula>$M$9=0</formula>
    </cfRule>
  </conditionalFormatting>
  <conditionalFormatting sqref="V72:AB79">
    <cfRule type="expression" dxfId="753" priority="699">
      <formula>$V$9=""</formula>
    </cfRule>
    <cfRule type="expression" dxfId="752" priority="700">
      <formula>$V$9=0</formula>
    </cfRule>
  </conditionalFormatting>
  <conditionalFormatting sqref="M72:S79">
    <cfRule type="expression" dxfId="751" priority="701">
      <formula>$M$9=""</formula>
    </cfRule>
  </conditionalFormatting>
  <conditionalFormatting sqref="M72:S79">
    <cfRule type="expression" dxfId="750" priority="697">
      <formula>$M$9=""</formula>
    </cfRule>
    <cfRule type="expression" dxfId="749" priority="698">
      <formula>$M$9=0</formula>
    </cfRule>
  </conditionalFormatting>
  <conditionalFormatting sqref="K72:L79">
    <cfRule type="expression" dxfId="748" priority="688" stopIfTrue="1">
      <formula>$D$9=""</formula>
    </cfRule>
    <cfRule type="expression" dxfId="747" priority="689" stopIfTrue="1">
      <formula>$D$9=0</formula>
    </cfRule>
  </conditionalFormatting>
  <conditionalFormatting sqref="T72:U79">
    <cfRule type="expression" dxfId="746" priority="692" stopIfTrue="1">
      <formula>$M$9=0</formula>
    </cfRule>
  </conditionalFormatting>
  <conditionalFormatting sqref="T72:U79">
    <cfRule type="expression" dxfId="745" priority="691" stopIfTrue="1">
      <formula>$M$9=""</formula>
    </cfRule>
  </conditionalFormatting>
  <conditionalFormatting sqref="T72:U79">
    <cfRule type="expression" dxfId="744" priority="685" stopIfTrue="1">
      <formula>$M$9=""</formula>
    </cfRule>
    <cfRule type="expression" dxfId="743" priority="687" stopIfTrue="1">
      <formula>$M$9=0</formula>
    </cfRule>
  </conditionalFormatting>
  <conditionalFormatting sqref="AC72:AC79">
    <cfRule type="expression" dxfId="742" priority="684" stopIfTrue="1">
      <formula>$V$9=""</formula>
    </cfRule>
    <cfRule type="expression" dxfId="741" priority="686" stopIfTrue="1">
      <formula>$V$9=0</formula>
    </cfRule>
  </conditionalFormatting>
  <conditionalFormatting sqref="L72:L79">
    <cfRule type="cellIs" dxfId="740" priority="696" operator="greaterThan">
      <formula>50</formula>
    </cfRule>
  </conditionalFormatting>
  <conditionalFormatting sqref="K72:K79">
    <cfRule type="cellIs" dxfId="739" priority="695" operator="greaterThan">
      <formula>100</formula>
    </cfRule>
  </conditionalFormatting>
  <conditionalFormatting sqref="T72:T79">
    <cfRule type="cellIs" dxfId="738" priority="694" operator="greaterThan">
      <formula>100</formula>
    </cfRule>
  </conditionalFormatting>
  <conditionalFormatting sqref="AC72:AC79">
    <cfRule type="cellIs" dxfId="737" priority="690" operator="greaterThan">
      <formula>100</formula>
    </cfRule>
  </conditionalFormatting>
  <conditionalFormatting sqref="U72:U79">
    <cfRule type="cellIs" dxfId="736"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35" priority="681" stopIfTrue="1">
      <formula>$M$9=0</formula>
    </cfRule>
  </conditionalFormatting>
  <conditionalFormatting sqref="AD72:AD79">
    <cfRule type="expression" dxfId="734" priority="680" stopIfTrue="1">
      <formula>$M$9=""</formula>
    </cfRule>
  </conditionalFormatting>
  <conditionalFormatting sqref="AD72:AD79">
    <cfRule type="expression" dxfId="733" priority="678" stopIfTrue="1">
      <formula>$M$9=""</formula>
    </cfRule>
    <cfRule type="expression" dxfId="732" priority="679" stopIfTrue="1">
      <formula>$M$9=0</formula>
    </cfRule>
  </conditionalFormatting>
  <conditionalFormatting sqref="AD72:AD79">
    <cfRule type="cellIs" dxfId="731"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30" priority="671">
      <formula>$D$9=""</formula>
    </cfRule>
    <cfRule type="expression" dxfId="729" priority="672">
      <formula>$D$9=0</formula>
    </cfRule>
  </conditionalFormatting>
  <conditionalFormatting sqref="M82:S90">
    <cfRule type="expression" dxfId="728" priority="670">
      <formula>$M$9=0</formula>
    </cfRule>
  </conditionalFormatting>
  <conditionalFormatting sqref="V82:AB90">
    <cfRule type="expression" dxfId="727" priority="667">
      <formula>$V$9=""</formula>
    </cfRule>
    <cfRule type="expression" dxfId="726" priority="668">
      <formula>$V$9=0</formula>
    </cfRule>
  </conditionalFormatting>
  <conditionalFormatting sqref="M82:S90">
    <cfRule type="expression" dxfId="725" priority="669">
      <formula>$M$9=""</formula>
    </cfRule>
  </conditionalFormatting>
  <conditionalFormatting sqref="M82:S90">
    <cfRule type="expression" dxfId="724" priority="665">
      <formula>$M$9=""</formula>
    </cfRule>
    <cfRule type="expression" dxfId="723" priority="666">
      <formula>$M$9=0</formula>
    </cfRule>
  </conditionalFormatting>
  <conditionalFormatting sqref="K82:L90">
    <cfRule type="expression" dxfId="722" priority="656" stopIfTrue="1">
      <formula>$D$9=""</formula>
    </cfRule>
    <cfRule type="expression" dxfId="721" priority="657" stopIfTrue="1">
      <formula>$D$9=0</formula>
    </cfRule>
  </conditionalFormatting>
  <conditionalFormatting sqref="T82:U90">
    <cfRule type="expression" dxfId="720" priority="660" stopIfTrue="1">
      <formula>$M$9=0</formula>
    </cfRule>
  </conditionalFormatting>
  <conditionalFormatting sqref="T82:U90">
    <cfRule type="expression" dxfId="719" priority="659" stopIfTrue="1">
      <formula>$M$9=""</formula>
    </cfRule>
  </conditionalFormatting>
  <conditionalFormatting sqref="T82:U90">
    <cfRule type="expression" dxfId="718" priority="653" stopIfTrue="1">
      <formula>$M$9=""</formula>
    </cfRule>
    <cfRule type="expression" dxfId="717" priority="655" stopIfTrue="1">
      <formula>$M$9=0</formula>
    </cfRule>
  </conditionalFormatting>
  <conditionalFormatting sqref="AC82:AC90">
    <cfRule type="expression" dxfId="716" priority="652" stopIfTrue="1">
      <formula>$V$9=""</formula>
    </cfRule>
    <cfRule type="expression" dxfId="715" priority="654" stopIfTrue="1">
      <formula>$V$9=0</formula>
    </cfRule>
  </conditionalFormatting>
  <conditionalFormatting sqref="L82:L90">
    <cfRule type="cellIs" dxfId="714" priority="664" operator="greaterThan">
      <formula>50</formula>
    </cfRule>
  </conditionalFormatting>
  <conditionalFormatting sqref="K82:K90">
    <cfRule type="cellIs" dxfId="713" priority="663" operator="greaterThan">
      <formula>100</formula>
    </cfRule>
  </conditionalFormatting>
  <conditionalFormatting sqref="T82:T90">
    <cfRule type="cellIs" dxfId="712" priority="662" operator="greaterThan">
      <formula>100</formula>
    </cfRule>
  </conditionalFormatting>
  <conditionalFormatting sqref="AC82:AC90">
    <cfRule type="cellIs" dxfId="711" priority="658" operator="greaterThan">
      <formula>100</formula>
    </cfRule>
  </conditionalFormatting>
  <conditionalFormatting sqref="U82:U90">
    <cfRule type="cellIs" dxfId="710"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09" priority="649" stopIfTrue="1">
      <formula>$M$9=0</formula>
    </cfRule>
  </conditionalFormatting>
  <conditionalFormatting sqref="AD82:AD90">
    <cfRule type="expression" dxfId="708" priority="648" stopIfTrue="1">
      <formula>$M$9=""</formula>
    </cfRule>
  </conditionalFormatting>
  <conditionalFormatting sqref="AD82:AD90">
    <cfRule type="expression" dxfId="707" priority="646" stopIfTrue="1">
      <formula>$M$9=""</formula>
    </cfRule>
    <cfRule type="expression" dxfId="706" priority="647" stopIfTrue="1">
      <formula>$M$9=0</formula>
    </cfRule>
  </conditionalFormatting>
  <conditionalFormatting sqref="AD82:AD90">
    <cfRule type="cellIs" dxfId="705"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04" priority="639">
      <formula>$D$9=""</formula>
    </cfRule>
    <cfRule type="expression" dxfId="703" priority="640">
      <formula>$D$9=0</formula>
    </cfRule>
  </conditionalFormatting>
  <conditionalFormatting sqref="M93:S133">
    <cfRule type="expression" dxfId="702" priority="638">
      <formula>$M$9=0</formula>
    </cfRule>
  </conditionalFormatting>
  <conditionalFormatting sqref="V93:AB133">
    <cfRule type="expression" dxfId="701" priority="635">
      <formula>$V$9=""</formula>
    </cfRule>
    <cfRule type="expression" dxfId="700" priority="636">
      <formula>$V$9=0</formula>
    </cfRule>
  </conditionalFormatting>
  <conditionalFormatting sqref="M93:S133">
    <cfRule type="expression" dxfId="699" priority="637">
      <formula>$M$9=""</formula>
    </cfRule>
  </conditionalFormatting>
  <conditionalFormatting sqref="M93:S133">
    <cfRule type="expression" dxfId="698" priority="633">
      <formula>$M$9=""</formula>
    </cfRule>
    <cfRule type="expression" dxfId="697" priority="634">
      <formula>$M$9=0</formula>
    </cfRule>
  </conditionalFormatting>
  <conditionalFormatting sqref="K93:L133">
    <cfRule type="expression" dxfId="696" priority="624" stopIfTrue="1">
      <formula>$D$9=""</formula>
    </cfRule>
    <cfRule type="expression" dxfId="695" priority="625" stopIfTrue="1">
      <formula>$D$9=0</formula>
    </cfRule>
  </conditionalFormatting>
  <conditionalFormatting sqref="T93:U133">
    <cfRule type="expression" dxfId="694" priority="628" stopIfTrue="1">
      <formula>$M$9=0</formula>
    </cfRule>
  </conditionalFormatting>
  <conditionalFormatting sqref="T93:U133">
    <cfRule type="expression" dxfId="693" priority="627" stopIfTrue="1">
      <formula>$M$9=""</formula>
    </cfRule>
  </conditionalFormatting>
  <conditionalFormatting sqref="T93:U133">
    <cfRule type="expression" dxfId="692" priority="621" stopIfTrue="1">
      <formula>$M$9=""</formula>
    </cfRule>
    <cfRule type="expression" dxfId="691" priority="623" stopIfTrue="1">
      <formula>$M$9=0</formula>
    </cfRule>
  </conditionalFormatting>
  <conditionalFormatting sqref="AC93:AC133">
    <cfRule type="expression" dxfId="690" priority="620" stopIfTrue="1">
      <formula>$V$9=""</formula>
    </cfRule>
    <cfRule type="expression" dxfId="689" priority="622" stopIfTrue="1">
      <formula>$V$9=0</formula>
    </cfRule>
  </conditionalFormatting>
  <conditionalFormatting sqref="L93:L133">
    <cfRule type="cellIs" dxfId="688" priority="632" operator="greaterThan">
      <formula>50</formula>
    </cfRule>
  </conditionalFormatting>
  <conditionalFormatting sqref="K93:K133">
    <cfRule type="cellIs" dxfId="687" priority="631" operator="greaterThan">
      <formula>100</formula>
    </cfRule>
  </conditionalFormatting>
  <conditionalFormatting sqref="T93:T133">
    <cfRule type="cellIs" dxfId="686" priority="630" operator="greaterThan">
      <formula>100</formula>
    </cfRule>
  </conditionalFormatting>
  <conditionalFormatting sqref="AC93:AC133">
    <cfRule type="cellIs" dxfId="685" priority="626" operator="greaterThan">
      <formula>100</formula>
    </cfRule>
  </conditionalFormatting>
  <conditionalFormatting sqref="U93:U133">
    <cfRule type="cellIs" dxfId="684"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83" priority="617" stopIfTrue="1">
      <formula>$M$9=0</formula>
    </cfRule>
  </conditionalFormatting>
  <conditionalFormatting sqref="AD93:AD133">
    <cfRule type="expression" dxfId="682" priority="616" stopIfTrue="1">
      <formula>$M$9=""</formula>
    </cfRule>
  </conditionalFormatting>
  <conditionalFormatting sqref="AD93:AD133">
    <cfRule type="expression" dxfId="681" priority="614" stopIfTrue="1">
      <formula>$M$9=""</formula>
    </cfRule>
    <cfRule type="expression" dxfId="680" priority="615" stopIfTrue="1">
      <formula>$M$9=0</formula>
    </cfRule>
  </conditionalFormatting>
  <conditionalFormatting sqref="AD93:AD133">
    <cfRule type="cellIs" dxfId="679"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78" priority="607">
      <formula>$D$9=""</formula>
    </cfRule>
    <cfRule type="expression" dxfId="677" priority="608">
      <formula>$D$9=0</formula>
    </cfRule>
  </conditionalFormatting>
  <conditionalFormatting sqref="M136:S151">
    <cfRule type="expression" dxfId="676" priority="606">
      <formula>$M$9=0</formula>
    </cfRule>
  </conditionalFormatting>
  <conditionalFormatting sqref="V136:AB151">
    <cfRule type="expression" dxfId="675" priority="603">
      <formula>$V$9=""</formula>
    </cfRule>
    <cfRule type="expression" dxfId="674" priority="604">
      <formula>$V$9=0</formula>
    </cfRule>
  </conditionalFormatting>
  <conditionalFormatting sqref="M136:S151">
    <cfRule type="expression" dxfId="673" priority="605">
      <formula>$M$9=""</formula>
    </cfRule>
  </conditionalFormatting>
  <conditionalFormatting sqref="M136:S151">
    <cfRule type="expression" dxfId="672" priority="601">
      <formula>$M$9=""</formula>
    </cfRule>
    <cfRule type="expression" dxfId="671" priority="602">
      <formula>$M$9=0</formula>
    </cfRule>
  </conditionalFormatting>
  <conditionalFormatting sqref="K136:L151">
    <cfRule type="expression" dxfId="670" priority="592" stopIfTrue="1">
      <formula>$D$9=""</formula>
    </cfRule>
    <cfRule type="expression" dxfId="669" priority="593" stopIfTrue="1">
      <formula>$D$9=0</formula>
    </cfRule>
  </conditionalFormatting>
  <conditionalFormatting sqref="T136:U151">
    <cfRule type="expression" dxfId="668" priority="596" stopIfTrue="1">
      <formula>$M$9=0</formula>
    </cfRule>
  </conditionalFormatting>
  <conditionalFormatting sqref="T136:U151">
    <cfRule type="expression" dxfId="667" priority="595" stopIfTrue="1">
      <formula>$M$9=""</formula>
    </cfRule>
  </conditionalFormatting>
  <conditionalFormatting sqref="T136:U151">
    <cfRule type="expression" dxfId="666" priority="589" stopIfTrue="1">
      <formula>$M$9=""</formula>
    </cfRule>
    <cfRule type="expression" dxfId="665" priority="591" stopIfTrue="1">
      <formula>$M$9=0</formula>
    </cfRule>
  </conditionalFormatting>
  <conditionalFormatting sqref="AC136:AC151">
    <cfRule type="expression" dxfId="664" priority="588" stopIfTrue="1">
      <formula>$V$9=""</formula>
    </cfRule>
    <cfRule type="expression" dxfId="663" priority="590" stopIfTrue="1">
      <formula>$V$9=0</formula>
    </cfRule>
  </conditionalFormatting>
  <conditionalFormatting sqref="L136:L151">
    <cfRule type="cellIs" dxfId="662" priority="600" operator="greaterThan">
      <formula>50</formula>
    </cfRule>
  </conditionalFormatting>
  <conditionalFormatting sqref="K136:K151">
    <cfRule type="cellIs" dxfId="661" priority="599" operator="greaterThan">
      <formula>100</formula>
    </cfRule>
  </conditionalFormatting>
  <conditionalFormatting sqref="T136:T151">
    <cfRule type="cellIs" dxfId="660" priority="598" operator="greaterThan">
      <formula>100</formula>
    </cfRule>
  </conditionalFormatting>
  <conditionalFormatting sqref="AC136:AC151">
    <cfRule type="cellIs" dxfId="659" priority="594" operator="greaterThan">
      <formula>100</formula>
    </cfRule>
  </conditionalFormatting>
  <conditionalFormatting sqref="U136:U151">
    <cfRule type="cellIs" dxfId="658"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57" priority="585" stopIfTrue="1">
      <formula>$M$9=0</formula>
    </cfRule>
  </conditionalFormatting>
  <conditionalFormatting sqref="AD136:AD151">
    <cfRule type="expression" dxfId="656" priority="584" stopIfTrue="1">
      <formula>$M$9=""</formula>
    </cfRule>
  </conditionalFormatting>
  <conditionalFormatting sqref="AD136:AD151">
    <cfRule type="expression" dxfId="655" priority="582" stopIfTrue="1">
      <formula>$M$9=""</formula>
    </cfRule>
    <cfRule type="expression" dxfId="654" priority="583" stopIfTrue="1">
      <formula>$M$9=0</formula>
    </cfRule>
  </conditionalFormatting>
  <conditionalFormatting sqref="AD136:AD151">
    <cfRule type="cellIs" dxfId="653"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2" priority="575">
      <formula>$D$9=""</formula>
    </cfRule>
    <cfRule type="expression" dxfId="651" priority="576">
      <formula>$D$9=0</formula>
    </cfRule>
  </conditionalFormatting>
  <conditionalFormatting sqref="M154:S172">
    <cfRule type="expression" dxfId="650" priority="574">
      <formula>$M$9=0</formula>
    </cfRule>
  </conditionalFormatting>
  <conditionalFormatting sqref="V154:AB172">
    <cfRule type="expression" dxfId="649" priority="571">
      <formula>$V$9=""</formula>
    </cfRule>
    <cfRule type="expression" dxfId="648" priority="572">
      <formula>$V$9=0</formula>
    </cfRule>
  </conditionalFormatting>
  <conditionalFormatting sqref="M154:S172">
    <cfRule type="expression" dxfId="647" priority="573">
      <formula>$M$9=""</formula>
    </cfRule>
  </conditionalFormatting>
  <conditionalFormatting sqref="M154:S172">
    <cfRule type="expression" dxfId="646" priority="569">
      <formula>$M$9=""</formula>
    </cfRule>
    <cfRule type="expression" dxfId="645" priority="570">
      <formula>$M$9=0</formula>
    </cfRule>
  </conditionalFormatting>
  <conditionalFormatting sqref="K154:L172">
    <cfRule type="expression" dxfId="644" priority="560" stopIfTrue="1">
      <formula>$D$9=""</formula>
    </cfRule>
    <cfRule type="expression" dxfId="643" priority="561" stopIfTrue="1">
      <formula>$D$9=0</formula>
    </cfRule>
  </conditionalFormatting>
  <conditionalFormatting sqref="T154:U172">
    <cfRule type="expression" dxfId="642" priority="564" stopIfTrue="1">
      <formula>$M$9=0</formula>
    </cfRule>
  </conditionalFormatting>
  <conditionalFormatting sqref="T154:U172">
    <cfRule type="expression" dxfId="641" priority="563" stopIfTrue="1">
      <formula>$M$9=""</formula>
    </cfRule>
  </conditionalFormatting>
  <conditionalFormatting sqref="T154:U172">
    <cfRule type="expression" dxfId="640" priority="557" stopIfTrue="1">
      <formula>$M$9=""</formula>
    </cfRule>
    <cfRule type="expression" dxfId="639" priority="559" stopIfTrue="1">
      <formula>$M$9=0</formula>
    </cfRule>
  </conditionalFormatting>
  <conditionalFormatting sqref="AC154:AC172">
    <cfRule type="expression" dxfId="638" priority="556" stopIfTrue="1">
      <formula>$V$9=""</formula>
    </cfRule>
    <cfRule type="expression" dxfId="637" priority="558" stopIfTrue="1">
      <formula>$V$9=0</formula>
    </cfRule>
  </conditionalFormatting>
  <conditionalFormatting sqref="L154:L172">
    <cfRule type="cellIs" dxfId="636" priority="568" operator="greaterThan">
      <formula>50</formula>
    </cfRule>
  </conditionalFormatting>
  <conditionalFormatting sqref="K154:K172">
    <cfRule type="cellIs" dxfId="635" priority="567" operator="greaterThan">
      <formula>100</formula>
    </cfRule>
  </conditionalFormatting>
  <conditionalFormatting sqref="T154:T172">
    <cfRule type="cellIs" dxfId="634" priority="566" operator="greaterThan">
      <formula>100</formula>
    </cfRule>
  </conditionalFormatting>
  <conditionalFormatting sqref="AC154:AC172">
    <cfRule type="cellIs" dxfId="633" priority="562" operator="greaterThan">
      <formula>100</formula>
    </cfRule>
  </conditionalFormatting>
  <conditionalFormatting sqref="U154:U172">
    <cfRule type="cellIs" dxfId="632"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1" priority="553" stopIfTrue="1">
      <formula>$M$9=0</formula>
    </cfRule>
  </conditionalFormatting>
  <conditionalFormatting sqref="AD154:AD172">
    <cfRule type="expression" dxfId="630" priority="552" stopIfTrue="1">
      <formula>$M$9=""</formula>
    </cfRule>
  </conditionalFormatting>
  <conditionalFormatting sqref="AD154:AD172">
    <cfRule type="expression" dxfId="629" priority="550" stopIfTrue="1">
      <formula>$M$9=""</formula>
    </cfRule>
    <cfRule type="expression" dxfId="628" priority="551" stopIfTrue="1">
      <formula>$M$9=0</formula>
    </cfRule>
  </conditionalFormatting>
  <conditionalFormatting sqref="AD154:AD172">
    <cfRule type="cellIs" dxfId="627"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26" priority="543">
      <formula>$D$9=""</formula>
    </cfRule>
    <cfRule type="expression" dxfId="625" priority="544">
      <formula>$D$9=0</formula>
    </cfRule>
  </conditionalFormatting>
  <conditionalFormatting sqref="M175:S220">
    <cfRule type="expression" dxfId="624" priority="542">
      <formula>$M$9=0</formula>
    </cfRule>
  </conditionalFormatting>
  <conditionalFormatting sqref="V175:AB220">
    <cfRule type="expression" dxfId="623" priority="539">
      <formula>$V$9=""</formula>
    </cfRule>
    <cfRule type="expression" dxfId="622" priority="540">
      <formula>$V$9=0</formula>
    </cfRule>
  </conditionalFormatting>
  <conditionalFormatting sqref="M175:S220">
    <cfRule type="expression" dxfId="621" priority="541">
      <formula>$M$9=""</formula>
    </cfRule>
  </conditionalFormatting>
  <conditionalFormatting sqref="M175:S220">
    <cfRule type="expression" dxfId="620" priority="537">
      <formula>$M$9=""</formula>
    </cfRule>
    <cfRule type="expression" dxfId="619" priority="538">
      <formula>$M$9=0</formula>
    </cfRule>
  </conditionalFormatting>
  <conditionalFormatting sqref="K175:L220">
    <cfRule type="expression" dxfId="618" priority="528" stopIfTrue="1">
      <formula>$D$9=""</formula>
    </cfRule>
    <cfRule type="expression" dxfId="617" priority="529" stopIfTrue="1">
      <formula>$D$9=0</formula>
    </cfRule>
  </conditionalFormatting>
  <conditionalFormatting sqref="T175:U220">
    <cfRule type="expression" dxfId="616" priority="532" stopIfTrue="1">
      <formula>$M$9=0</formula>
    </cfRule>
  </conditionalFormatting>
  <conditionalFormatting sqref="T175:U220">
    <cfRule type="expression" dxfId="615" priority="531" stopIfTrue="1">
      <formula>$M$9=""</formula>
    </cfRule>
  </conditionalFormatting>
  <conditionalFormatting sqref="T175:U220">
    <cfRule type="expression" dxfId="614" priority="525" stopIfTrue="1">
      <formula>$M$9=""</formula>
    </cfRule>
    <cfRule type="expression" dxfId="613" priority="527" stopIfTrue="1">
      <formula>$M$9=0</formula>
    </cfRule>
  </conditionalFormatting>
  <conditionalFormatting sqref="AC175:AC220">
    <cfRule type="expression" dxfId="612" priority="524" stopIfTrue="1">
      <formula>$V$9=""</formula>
    </cfRule>
    <cfRule type="expression" dxfId="611" priority="526" stopIfTrue="1">
      <formula>$V$9=0</formula>
    </cfRule>
  </conditionalFormatting>
  <conditionalFormatting sqref="L175:L220">
    <cfRule type="cellIs" dxfId="610" priority="536" operator="greaterThan">
      <formula>50</formula>
    </cfRule>
  </conditionalFormatting>
  <conditionalFormatting sqref="K175:K220">
    <cfRule type="cellIs" dxfId="609" priority="535" operator="greaterThan">
      <formula>100</formula>
    </cfRule>
  </conditionalFormatting>
  <conditionalFormatting sqref="T175:T220">
    <cfRule type="cellIs" dxfId="608" priority="534" operator="greaterThan">
      <formula>100</formula>
    </cfRule>
  </conditionalFormatting>
  <conditionalFormatting sqref="AC175:AC220">
    <cfRule type="cellIs" dxfId="607" priority="530" operator="greaterThan">
      <formula>100</formula>
    </cfRule>
  </conditionalFormatting>
  <conditionalFormatting sqref="U175:U220">
    <cfRule type="cellIs" dxfId="606"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05" priority="521" stopIfTrue="1">
      <formula>$M$9=0</formula>
    </cfRule>
  </conditionalFormatting>
  <conditionalFormatting sqref="AD175:AD220">
    <cfRule type="expression" dxfId="604" priority="520" stopIfTrue="1">
      <formula>$M$9=""</formula>
    </cfRule>
  </conditionalFormatting>
  <conditionalFormatting sqref="AD175:AD220">
    <cfRule type="expression" dxfId="603" priority="518" stopIfTrue="1">
      <formula>$M$9=""</formula>
    </cfRule>
    <cfRule type="expression" dxfId="602" priority="519" stopIfTrue="1">
      <formula>$M$9=0</formula>
    </cfRule>
  </conditionalFormatting>
  <conditionalFormatting sqref="AD175:AD220">
    <cfRule type="cellIs" dxfId="601"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600" priority="511">
      <formula>$D$9=""</formula>
    </cfRule>
    <cfRule type="expression" dxfId="599" priority="512">
      <formula>$D$9=0</formula>
    </cfRule>
  </conditionalFormatting>
  <conditionalFormatting sqref="M223:S246">
    <cfRule type="expression" dxfId="598" priority="510">
      <formula>$M$9=0</formula>
    </cfRule>
  </conditionalFormatting>
  <conditionalFormatting sqref="V223:AB246">
    <cfRule type="expression" dxfId="597" priority="507">
      <formula>$V$9=""</formula>
    </cfRule>
    <cfRule type="expression" dxfId="596" priority="508">
      <formula>$V$9=0</formula>
    </cfRule>
  </conditionalFormatting>
  <conditionalFormatting sqref="M223:S246">
    <cfRule type="expression" dxfId="595" priority="509">
      <formula>$M$9=""</formula>
    </cfRule>
  </conditionalFormatting>
  <conditionalFormatting sqref="M223:S246">
    <cfRule type="expression" dxfId="594" priority="505">
      <formula>$M$9=""</formula>
    </cfRule>
    <cfRule type="expression" dxfId="593" priority="506">
      <formula>$M$9=0</formula>
    </cfRule>
  </conditionalFormatting>
  <conditionalFormatting sqref="K223:L246">
    <cfRule type="expression" dxfId="592" priority="496" stopIfTrue="1">
      <formula>$D$9=""</formula>
    </cfRule>
    <cfRule type="expression" dxfId="591" priority="497" stopIfTrue="1">
      <formula>$D$9=0</formula>
    </cfRule>
  </conditionalFormatting>
  <conditionalFormatting sqref="T223:U246">
    <cfRule type="expression" dxfId="590" priority="500" stopIfTrue="1">
      <formula>$M$9=0</formula>
    </cfRule>
  </conditionalFormatting>
  <conditionalFormatting sqref="T223:U246">
    <cfRule type="expression" dxfId="589" priority="499" stopIfTrue="1">
      <formula>$M$9=""</formula>
    </cfRule>
  </conditionalFormatting>
  <conditionalFormatting sqref="T223:U246">
    <cfRule type="expression" dxfId="588" priority="493" stopIfTrue="1">
      <formula>$M$9=""</formula>
    </cfRule>
    <cfRule type="expression" dxfId="587" priority="495" stopIfTrue="1">
      <formula>$M$9=0</formula>
    </cfRule>
  </conditionalFormatting>
  <conditionalFormatting sqref="AC223:AC246">
    <cfRule type="expression" dxfId="586" priority="492" stopIfTrue="1">
      <formula>$V$9=""</formula>
    </cfRule>
    <cfRule type="expression" dxfId="585" priority="494" stopIfTrue="1">
      <formula>$V$9=0</formula>
    </cfRule>
  </conditionalFormatting>
  <conditionalFormatting sqref="L223:L246">
    <cfRule type="cellIs" dxfId="584" priority="504" operator="greaterThan">
      <formula>50</formula>
    </cfRule>
  </conditionalFormatting>
  <conditionalFormatting sqref="K223:K246">
    <cfRule type="cellIs" dxfId="583" priority="503" operator="greaterThan">
      <formula>100</formula>
    </cfRule>
  </conditionalFormatting>
  <conditionalFormatting sqref="T223:T246">
    <cfRule type="cellIs" dxfId="582" priority="502" operator="greaterThan">
      <formula>100</formula>
    </cfRule>
  </conditionalFormatting>
  <conditionalFormatting sqref="AC223:AC246">
    <cfRule type="cellIs" dxfId="581" priority="498" operator="greaterThan">
      <formula>100</formula>
    </cfRule>
  </conditionalFormatting>
  <conditionalFormatting sqref="U223:U246">
    <cfRule type="cellIs" dxfId="580"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79" priority="489" stopIfTrue="1">
      <formula>$M$9=0</formula>
    </cfRule>
  </conditionalFormatting>
  <conditionalFormatting sqref="AD223:AD246">
    <cfRule type="expression" dxfId="578" priority="488" stopIfTrue="1">
      <formula>$M$9=""</formula>
    </cfRule>
  </conditionalFormatting>
  <conditionalFormatting sqref="AD223:AD246">
    <cfRule type="expression" dxfId="577" priority="486" stopIfTrue="1">
      <formula>$M$9=""</formula>
    </cfRule>
    <cfRule type="expression" dxfId="576" priority="487" stopIfTrue="1">
      <formula>$M$9=0</formula>
    </cfRule>
  </conditionalFormatting>
  <conditionalFormatting sqref="AD223:AD246">
    <cfRule type="cellIs" dxfId="575"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74" priority="479">
      <formula>$D$9=""</formula>
    </cfRule>
    <cfRule type="expression" dxfId="573" priority="480">
      <formula>$D$9=0</formula>
    </cfRule>
  </conditionalFormatting>
  <conditionalFormatting sqref="M249:S267">
    <cfRule type="expression" dxfId="572" priority="478">
      <formula>$M$9=0</formula>
    </cfRule>
  </conditionalFormatting>
  <conditionalFormatting sqref="V249:AB267">
    <cfRule type="expression" dxfId="571" priority="475">
      <formula>$V$9=""</formula>
    </cfRule>
    <cfRule type="expression" dxfId="570" priority="476">
      <formula>$V$9=0</formula>
    </cfRule>
  </conditionalFormatting>
  <conditionalFormatting sqref="M249:S267">
    <cfRule type="expression" dxfId="569" priority="477">
      <formula>$M$9=""</formula>
    </cfRule>
  </conditionalFormatting>
  <conditionalFormatting sqref="M249:S267">
    <cfRule type="expression" dxfId="568" priority="473">
      <formula>$M$9=""</formula>
    </cfRule>
    <cfRule type="expression" dxfId="567" priority="474">
      <formula>$M$9=0</formula>
    </cfRule>
  </conditionalFormatting>
  <conditionalFormatting sqref="K249:L267">
    <cfRule type="expression" dxfId="566" priority="464" stopIfTrue="1">
      <formula>$D$9=""</formula>
    </cfRule>
    <cfRule type="expression" dxfId="565" priority="465" stopIfTrue="1">
      <formula>$D$9=0</formula>
    </cfRule>
  </conditionalFormatting>
  <conditionalFormatting sqref="T249:U267">
    <cfRule type="expression" dxfId="564" priority="468" stopIfTrue="1">
      <formula>$M$9=0</formula>
    </cfRule>
  </conditionalFormatting>
  <conditionalFormatting sqref="T249:U267">
    <cfRule type="expression" dxfId="563" priority="467" stopIfTrue="1">
      <formula>$M$9=""</formula>
    </cfRule>
  </conditionalFormatting>
  <conditionalFormatting sqref="T249:U267">
    <cfRule type="expression" dxfId="562" priority="461" stopIfTrue="1">
      <formula>$M$9=""</formula>
    </cfRule>
    <cfRule type="expression" dxfId="561" priority="463" stopIfTrue="1">
      <formula>$M$9=0</formula>
    </cfRule>
  </conditionalFormatting>
  <conditionalFormatting sqref="AC249:AC267">
    <cfRule type="expression" dxfId="560" priority="460" stopIfTrue="1">
      <formula>$V$9=""</formula>
    </cfRule>
    <cfRule type="expression" dxfId="559" priority="462" stopIfTrue="1">
      <formula>$V$9=0</formula>
    </cfRule>
  </conditionalFormatting>
  <conditionalFormatting sqref="L249:L267">
    <cfRule type="cellIs" dxfId="558" priority="472" operator="greaterThan">
      <formula>50</formula>
    </cfRule>
  </conditionalFormatting>
  <conditionalFormatting sqref="K249:K267">
    <cfRule type="cellIs" dxfId="557" priority="471" operator="greaterThan">
      <formula>100</formula>
    </cfRule>
  </conditionalFormatting>
  <conditionalFormatting sqref="T249:T267">
    <cfRule type="cellIs" dxfId="556" priority="470" operator="greaterThan">
      <formula>100</formula>
    </cfRule>
  </conditionalFormatting>
  <conditionalFormatting sqref="AC249:AC267">
    <cfRule type="cellIs" dxfId="555" priority="466" operator="greaterThan">
      <formula>100</formula>
    </cfRule>
  </conditionalFormatting>
  <conditionalFormatting sqref="U249:U267">
    <cfRule type="cellIs" dxfId="554"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53" priority="457" stopIfTrue="1">
      <formula>$M$9=0</formula>
    </cfRule>
  </conditionalFormatting>
  <conditionalFormatting sqref="AD249:AD267">
    <cfRule type="expression" dxfId="552" priority="456" stopIfTrue="1">
      <formula>$M$9=""</formula>
    </cfRule>
  </conditionalFormatting>
  <conditionalFormatting sqref="AD249:AD267">
    <cfRule type="expression" dxfId="551" priority="454" stopIfTrue="1">
      <formula>$M$9=""</formula>
    </cfRule>
    <cfRule type="expression" dxfId="550" priority="455" stopIfTrue="1">
      <formula>$M$9=0</formula>
    </cfRule>
  </conditionalFormatting>
  <conditionalFormatting sqref="AD249:AD267">
    <cfRule type="cellIs" dxfId="549"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48" priority="447">
      <formula>$D$9=""</formula>
    </cfRule>
    <cfRule type="expression" dxfId="547" priority="448">
      <formula>$D$9=0</formula>
    </cfRule>
  </conditionalFormatting>
  <conditionalFormatting sqref="M270:S277">
    <cfRule type="expression" dxfId="546" priority="446">
      <formula>$M$9=0</formula>
    </cfRule>
  </conditionalFormatting>
  <conditionalFormatting sqref="V270:AB277">
    <cfRule type="expression" dxfId="545" priority="443">
      <formula>$V$9=""</formula>
    </cfRule>
    <cfRule type="expression" dxfId="544" priority="444">
      <formula>$V$9=0</formula>
    </cfRule>
  </conditionalFormatting>
  <conditionalFormatting sqref="M270:S277">
    <cfRule type="expression" dxfId="543" priority="445">
      <formula>$M$9=""</formula>
    </cfRule>
  </conditionalFormatting>
  <conditionalFormatting sqref="M270:S277">
    <cfRule type="expression" dxfId="542" priority="441">
      <formula>$M$9=""</formula>
    </cfRule>
    <cfRule type="expression" dxfId="541" priority="442">
      <formula>$M$9=0</formula>
    </cfRule>
  </conditionalFormatting>
  <conditionalFormatting sqref="K270:L277">
    <cfRule type="expression" dxfId="540" priority="432" stopIfTrue="1">
      <formula>$D$9=""</formula>
    </cfRule>
    <cfRule type="expression" dxfId="539" priority="433" stopIfTrue="1">
      <formula>$D$9=0</formula>
    </cfRule>
  </conditionalFormatting>
  <conditionalFormatting sqref="T270:U277">
    <cfRule type="expression" dxfId="538" priority="436" stopIfTrue="1">
      <formula>$M$9=0</formula>
    </cfRule>
  </conditionalFormatting>
  <conditionalFormatting sqref="T270:U277">
    <cfRule type="expression" dxfId="537" priority="435" stopIfTrue="1">
      <formula>$M$9=""</formula>
    </cfRule>
  </conditionalFormatting>
  <conditionalFormatting sqref="T270:U277">
    <cfRule type="expression" dxfId="536" priority="429" stopIfTrue="1">
      <formula>$M$9=""</formula>
    </cfRule>
    <cfRule type="expression" dxfId="535" priority="431" stopIfTrue="1">
      <formula>$M$9=0</formula>
    </cfRule>
  </conditionalFormatting>
  <conditionalFormatting sqref="AC270:AC277">
    <cfRule type="expression" dxfId="534" priority="428" stopIfTrue="1">
      <formula>$V$9=""</formula>
    </cfRule>
    <cfRule type="expression" dxfId="533" priority="430" stopIfTrue="1">
      <formula>$V$9=0</formula>
    </cfRule>
  </conditionalFormatting>
  <conditionalFormatting sqref="L270:L277">
    <cfRule type="cellIs" dxfId="532" priority="440" operator="greaterThan">
      <formula>50</formula>
    </cfRule>
  </conditionalFormatting>
  <conditionalFormatting sqref="K270:K277">
    <cfRule type="cellIs" dxfId="531" priority="439" operator="greaterThan">
      <formula>100</formula>
    </cfRule>
  </conditionalFormatting>
  <conditionalFormatting sqref="T270:T277">
    <cfRule type="cellIs" dxfId="530" priority="438" operator="greaterThan">
      <formula>100</formula>
    </cfRule>
  </conditionalFormatting>
  <conditionalFormatting sqref="AC270:AC277">
    <cfRule type="cellIs" dxfId="529" priority="434" operator="greaterThan">
      <formula>100</formula>
    </cfRule>
  </conditionalFormatting>
  <conditionalFormatting sqref="U270:U277">
    <cfRule type="cellIs" dxfId="528"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27" priority="425" stopIfTrue="1">
      <formula>$M$9=0</formula>
    </cfRule>
  </conditionalFormatting>
  <conditionalFormatting sqref="AD270:AD277">
    <cfRule type="expression" dxfId="526" priority="424" stopIfTrue="1">
      <formula>$M$9=""</formula>
    </cfRule>
  </conditionalFormatting>
  <conditionalFormatting sqref="AD270:AD277">
    <cfRule type="expression" dxfId="525" priority="422" stopIfTrue="1">
      <formula>$M$9=""</formula>
    </cfRule>
    <cfRule type="expression" dxfId="524" priority="423" stopIfTrue="1">
      <formula>$M$9=0</formula>
    </cfRule>
  </conditionalFormatting>
  <conditionalFormatting sqref="AD270:AD277">
    <cfRule type="cellIs" dxfId="523"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2" priority="415">
      <formula>$D$9=""</formula>
    </cfRule>
    <cfRule type="expression" dxfId="521" priority="416">
      <formula>$D$9=0</formula>
    </cfRule>
  </conditionalFormatting>
  <conditionalFormatting sqref="M280:S289">
    <cfRule type="expression" dxfId="520" priority="414">
      <formula>$M$9=0</formula>
    </cfRule>
  </conditionalFormatting>
  <conditionalFormatting sqref="V280:AB289">
    <cfRule type="expression" dxfId="519" priority="411">
      <formula>$V$9=""</formula>
    </cfRule>
    <cfRule type="expression" dxfId="518" priority="412">
      <formula>$V$9=0</formula>
    </cfRule>
  </conditionalFormatting>
  <conditionalFormatting sqref="M280:S289">
    <cfRule type="expression" dxfId="517" priority="413">
      <formula>$M$9=""</formula>
    </cfRule>
  </conditionalFormatting>
  <conditionalFormatting sqref="M280:S289">
    <cfRule type="expression" dxfId="516" priority="409">
      <formula>$M$9=""</formula>
    </cfRule>
    <cfRule type="expression" dxfId="515" priority="410">
      <formula>$M$9=0</formula>
    </cfRule>
  </conditionalFormatting>
  <conditionalFormatting sqref="K280:L289">
    <cfRule type="expression" dxfId="514" priority="400" stopIfTrue="1">
      <formula>$D$9=""</formula>
    </cfRule>
    <cfRule type="expression" dxfId="513" priority="401" stopIfTrue="1">
      <formula>$D$9=0</formula>
    </cfRule>
  </conditionalFormatting>
  <conditionalFormatting sqref="T280:U289">
    <cfRule type="expression" dxfId="512" priority="404" stopIfTrue="1">
      <formula>$M$9=0</formula>
    </cfRule>
  </conditionalFormatting>
  <conditionalFormatting sqref="T280:U289">
    <cfRule type="expression" dxfId="511" priority="403" stopIfTrue="1">
      <formula>$M$9=""</formula>
    </cfRule>
  </conditionalFormatting>
  <conditionalFormatting sqref="T280:U289">
    <cfRule type="expression" dxfId="510" priority="397" stopIfTrue="1">
      <formula>$M$9=""</formula>
    </cfRule>
    <cfRule type="expression" dxfId="509" priority="399" stopIfTrue="1">
      <formula>$M$9=0</formula>
    </cfRule>
  </conditionalFormatting>
  <conditionalFormatting sqref="AC280:AC289">
    <cfRule type="expression" dxfId="508" priority="396" stopIfTrue="1">
      <formula>$V$9=""</formula>
    </cfRule>
    <cfRule type="expression" dxfId="507" priority="398" stopIfTrue="1">
      <formula>$V$9=0</formula>
    </cfRule>
  </conditionalFormatting>
  <conditionalFormatting sqref="L280:L289">
    <cfRule type="cellIs" dxfId="506" priority="408" operator="greaterThan">
      <formula>50</formula>
    </cfRule>
  </conditionalFormatting>
  <conditionalFormatting sqref="K280:K289">
    <cfRule type="cellIs" dxfId="505" priority="407" operator="greaterThan">
      <formula>100</formula>
    </cfRule>
  </conditionalFormatting>
  <conditionalFormatting sqref="T280:T289">
    <cfRule type="cellIs" dxfId="504" priority="406" operator="greaterThan">
      <formula>100</formula>
    </cfRule>
  </conditionalFormatting>
  <conditionalFormatting sqref="AC280:AC289">
    <cfRule type="cellIs" dxfId="503" priority="402" operator="greaterThan">
      <formula>100</formula>
    </cfRule>
  </conditionalFormatting>
  <conditionalFormatting sqref="U280:U289">
    <cfRule type="cellIs" dxfId="502"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1" priority="393" stopIfTrue="1">
      <formula>$M$9=0</formula>
    </cfRule>
  </conditionalFormatting>
  <conditionalFormatting sqref="AD280:AD289">
    <cfRule type="expression" dxfId="500" priority="392" stopIfTrue="1">
      <formula>$M$9=""</formula>
    </cfRule>
  </conditionalFormatting>
  <conditionalFormatting sqref="AD280:AD289">
    <cfRule type="expression" dxfId="499" priority="390" stopIfTrue="1">
      <formula>$M$9=""</formula>
    </cfRule>
    <cfRule type="expression" dxfId="498" priority="391" stopIfTrue="1">
      <formula>$M$9=0</formula>
    </cfRule>
  </conditionalFormatting>
  <conditionalFormatting sqref="AD280:AD289">
    <cfRule type="cellIs" dxfId="497"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496" priority="383">
      <formula>$D$9=""</formula>
    </cfRule>
    <cfRule type="expression" dxfId="495" priority="384">
      <formula>$D$9=0</formula>
    </cfRule>
  </conditionalFormatting>
  <conditionalFormatting sqref="M292:S300">
    <cfRule type="expression" dxfId="494" priority="382">
      <formula>$M$9=0</formula>
    </cfRule>
  </conditionalFormatting>
  <conditionalFormatting sqref="V292:AB300">
    <cfRule type="expression" dxfId="493" priority="379">
      <formula>$V$9=""</formula>
    </cfRule>
    <cfRule type="expression" dxfId="492" priority="380">
      <formula>$V$9=0</formula>
    </cfRule>
  </conditionalFormatting>
  <conditionalFormatting sqref="M292:S300">
    <cfRule type="expression" dxfId="491" priority="381">
      <formula>$M$9=""</formula>
    </cfRule>
  </conditionalFormatting>
  <conditionalFormatting sqref="M292:S300">
    <cfRule type="expression" dxfId="490" priority="377">
      <formula>$M$9=""</formula>
    </cfRule>
    <cfRule type="expression" dxfId="489" priority="378">
      <formula>$M$9=0</formula>
    </cfRule>
  </conditionalFormatting>
  <conditionalFormatting sqref="K292:L300">
    <cfRule type="expression" dxfId="488" priority="368" stopIfTrue="1">
      <formula>$D$9=""</formula>
    </cfRule>
    <cfRule type="expression" dxfId="487" priority="369" stopIfTrue="1">
      <formula>$D$9=0</formula>
    </cfRule>
  </conditionalFormatting>
  <conditionalFormatting sqref="T292:U300">
    <cfRule type="expression" dxfId="486" priority="372" stopIfTrue="1">
      <formula>$M$9=0</formula>
    </cfRule>
  </conditionalFormatting>
  <conditionalFormatting sqref="T292:U300">
    <cfRule type="expression" dxfId="485" priority="371" stopIfTrue="1">
      <formula>$M$9=""</formula>
    </cfRule>
  </conditionalFormatting>
  <conditionalFormatting sqref="T292:U300">
    <cfRule type="expression" dxfId="484" priority="365" stopIfTrue="1">
      <formula>$M$9=""</formula>
    </cfRule>
    <cfRule type="expression" dxfId="483" priority="367" stopIfTrue="1">
      <formula>$M$9=0</formula>
    </cfRule>
  </conditionalFormatting>
  <conditionalFormatting sqref="AC292:AC300">
    <cfRule type="expression" dxfId="482" priority="364" stopIfTrue="1">
      <formula>$V$9=""</formula>
    </cfRule>
    <cfRule type="expression" dxfId="481" priority="366" stopIfTrue="1">
      <formula>$V$9=0</formula>
    </cfRule>
  </conditionalFormatting>
  <conditionalFormatting sqref="L292:L300">
    <cfRule type="cellIs" dxfId="480" priority="376" operator="greaterThan">
      <formula>50</formula>
    </cfRule>
  </conditionalFormatting>
  <conditionalFormatting sqref="K292:K300">
    <cfRule type="cellIs" dxfId="479" priority="375" operator="greaterThan">
      <formula>100</formula>
    </cfRule>
  </conditionalFormatting>
  <conditionalFormatting sqref="T292:T300">
    <cfRule type="cellIs" dxfId="478" priority="374" operator="greaterThan">
      <formula>100</formula>
    </cfRule>
  </conditionalFormatting>
  <conditionalFormatting sqref="AC292:AC300">
    <cfRule type="cellIs" dxfId="477" priority="370" operator="greaterThan">
      <formula>100</formula>
    </cfRule>
  </conditionalFormatting>
  <conditionalFormatting sqref="U292:U300">
    <cfRule type="cellIs" dxfId="476"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75" priority="361" stopIfTrue="1">
      <formula>$M$9=0</formula>
    </cfRule>
  </conditionalFormatting>
  <conditionalFormatting sqref="AD292:AD300">
    <cfRule type="expression" dxfId="474" priority="360" stopIfTrue="1">
      <formula>$M$9=""</formula>
    </cfRule>
  </conditionalFormatting>
  <conditionalFormatting sqref="AD292:AD300">
    <cfRule type="expression" dxfId="473" priority="358" stopIfTrue="1">
      <formula>$M$9=""</formula>
    </cfRule>
    <cfRule type="expression" dxfId="472" priority="359" stopIfTrue="1">
      <formula>$M$9=0</formula>
    </cfRule>
  </conditionalFormatting>
  <conditionalFormatting sqref="AD292:AD300">
    <cfRule type="cellIs" dxfId="471"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70" priority="351">
      <formula>$D$9=""</formula>
    </cfRule>
    <cfRule type="expression" dxfId="469" priority="352">
      <formula>$D$9=0</formula>
    </cfRule>
  </conditionalFormatting>
  <conditionalFormatting sqref="M303:S309">
    <cfRule type="expression" dxfId="468" priority="350">
      <formula>$M$9=0</formula>
    </cfRule>
  </conditionalFormatting>
  <conditionalFormatting sqref="V303:AB309">
    <cfRule type="expression" dxfId="467" priority="347">
      <formula>$V$9=""</formula>
    </cfRule>
    <cfRule type="expression" dxfId="466" priority="348">
      <formula>$V$9=0</formula>
    </cfRule>
  </conditionalFormatting>
  <conditionalFormatting sqref="M303:S309">
    <cfRule type="expression" dxfId="465" priority="349">
      <formula>$M$9=""</formula>
    </cfRule>
  </conditionalFormatting>
  <conditionalFormatting sqref="M303:S309">
    <cfRule type="expression" dxfId="464" priority="345">
      <formula>$M$9=""</formula>
    </cfRule>
    <cfRule type="expression" dxfId="463" priority="346">
      <formula>$M$9=0</formula>
    </cfRule>
  </conditionalFormatting>
  <conditionalFormatting sqref="K303:L309">
    <cfRule type="expression" dxfId="462" priority="336" stopIfTrue="1">
      <formula>$D$9=""</formula>
    </cfRule>
    <cfRule type="expression" dxfId="461" priority="337" stopIfTrue="1">
      <formula>$D$9=0</formula>
    </cfRule>
  </conditionalFormatting>
  <conditionalFormatting sqref="T303:U309">
    <cfRule type="expression" dxfId="460" priority="340" stopIfTrue="1">
      <formula>$M$9=0</formula>
    </cfRule>
  </conditionalFormatting>
  <conditionalFormatting sqref="T303:U309">
    <cfRule type="expression" dxfId="459" priority="339" stopIfTrue="1">
      <formula>$M$9=""</formula>
    </cfRule>
  </conditionalFormatting>
  <conditionalFormatting sqref="T303:U309">
    <cfRule type="expression" dxfId="458" priority="333" stopIfTrue="1">
      <formula>$M$9=""</formula>
    </cfRule>
    <cfRule type="expression" dxfId="457" priority="335" stopIfTrue="1">
      <formula>$M$9=0</formula>
    </cfRule>
  </conditionalFormatting>
  <conditionalFormatting sqref="AC303:AC309">
    <cfRule type="expression" dxfId="456" priority="332" stopIfTrue="1">
      <formula>$V$9=""</formula>
    </cfRule>
    <cfRule type="expression" dxfId="455" priority="334" stopIfTrue="1">
      <formula>$V$9=0</formula>
    </cfRule>
  </conditionalFormatting>
  <conditionalFormatting sqref="L303:L309">
    <cfRule type="cellIs" dxfId="454" priority="344" operator="greaterThan">
      <formula>50</formula>
    </cfRule>
  </conditionalFormatting>
  <conditionalFormatting sqref="K303:K309">
    <cfRule type="cellIs" dxfId="453" priority="343" operator="greaterThan">
      <formula>100</formula>
    </cfRule>
  </conditionalFormatting>
  <conditionalFormatting sqref="T303:T309">
    <cfRule type="cellIs" dxfId="452" priority="342" operator="greaterThan">
      <formula>100</formula>
    </cfRule>
  </conditionalFormatting>
  <conditionalFormatting sqref="AC303:AC309">
    <cfRule type="cellIs" dxfId="451" priority="338" operator="greaterThan">
      <formula>100</formula>
    </cfRule>
  </conditionalFormatting>
  <conditionalFormatting sqref="U303:U309">
    <cfRule type="cellIs" dxfId="450"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49" priority="329" stopIfTrue="1">
      <formula>$M$9=0</formula>
    </cfRule>
  </conditionalFormatting>
  <conditionalFormatting sqref="AD303:AD309">
    <cfRule type="expression" dxfId="448" priority="328" stopIfTrue="1">
      <formula>$M$9=""</formula>
    </cfRule>
  </conditionalFormatting>
  <conditionalFormatting sqref="AD303:AD309">
    <cfRule type="expression" dxfId="447" priority="326" stopIfTrue="1">
      <formula>$M$9=""</formula>
    </cfRule>
    <cfRule type="expression" dxfId="446" priority="327" stopIfTrue="1">
      <formula>$M$9=0</formula>
    </cfRule>
  </conditionalFormatting>
  <conditionalFormatting sqref="AD303:AD309">
    <cfRule type="cellIs" dxfId="445"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44" priority="319">
      <formula>$D$9=""</formula>
    </cfRule>
    <cfRule type="expression" dxfId="443" priority="320">
      <formula>$D$9=0</formula>
    </cfRule>
  </conditionalFormatting>
  <conditionalFormatting sqref="M310:S315">
    <cfRule type="expression" dxfId="442" priority="318">
      <formula>$M$9=0</formula>
    </cfRule>
  </conditionalFormatting>
  <conditionalFormatting sqref="V310:AB315">
    <cfRule type="expression" dxfId="441" priority="315">
      <formula>$V$9=""</formula>
    </cfRule>
    <cfRule type="expression" dxfId="440" priority="316">
      <formula>$V$9=0</formula>
    </cfRule>
  </conditionalFormatting>
  <conditionalFormatting sqref="M310:S315">
    <cfRule type="expression" dxfId="439" priority="317">
      <formula>$M$9=""</formula>
    </cfRule>
  </conditionalFormatting>
  <conditionalFormatting sqref="M310:S315">
    <cfRule type="expression" dxfId="438" priority="313">
      <formula>$M$9=""</formula>
    </cfRule>
    <cfRule type="expression" dxfId="437" priority="314">
      <formula>$M$9=0</formula>
    </cfRule>
  </conditionalFormatting>
  <conditionalFormatting sqref="K310:L315">
    <cfRule type="expression" dxfId="436" priority="304" stopIfTrue="1">
      <formula>$D$9=""</formula>
    </cfRule>
    <cfRule type="expression" dxfId="435" priority="305" stopIfTrue="1">
      <formula>$D$9=0</formula>
    </cfRule>
  </conditionalFormatting>
  <conditionalFormatting sqref="T310:U315">
    <cfRule type="expression" dxfId="434" priority="308" stopIfTrue="1">
      <formula>$M$9=0</formula>
    </cfRule>
  </conditionalFormatting>
  <conditionalFormatting sqref="T310:U315">
    <cfRule type="expression" dxfId="433" priority="307" stopIfTrue="1">
      <formula>$M$9=""</formula>
    </cfRule>
  </conditionalFormatting>
  <conditionalFormatting sqref="T310:U315">
    <cfRule type="expression" dxfId="432" priority="301" stopIfTrue="1">
      <formula>$M$9=""</formula>
    </cfRule>
    <cfRule type="expression" dxfId="431" priority="303" stopIfTrue="1">
      <formula>$M$9=0</formula>
    </cfRule>
  </conditionalFormatting>
  <conditionalFormatting sqref="AC310:AC315">
    <cfRule type="expression" dxfId="430" priority="300" stopIfTrue="1">
      <formula>$V$9=""</formula>
    </cfRule>
    <cfRule type="expression" dxfId="429" priority="302" stopIfTrue="1">
      <formula>$V$9=0</formula>
    </cfRule>
  </conditionalFormatting>
  <conditionalFormatting sqref="L310:L315">
    <cfRule type="cellIs" dxfId="428" priority="312" operator="greaterThan">
      <formula>50</formula>
    </cfRule>
  </conditionalFormatting>
  <conditionalFormatting sqref="K310:K315">
    <cfRule type="cellIs" dxfId="427" priority="311" operator="greaterThan">
      <formula>100</formula>
    </cfRule>
  </conditionalFormatting>
  <conditionalFormatting sqref="T310:T315">
    <cfRule type="cellIs" dxfId="426" priority="310" operator="greaterThan">
      <formula>100</formula>
    </cfRule>
  </conditionalFormatting>
  <conditionalFormatting sqref="AC310:AC315">
    <cfRule type="cellIs" dxfId="425" priority="306" operator="greaterThan">
      <formula>100</formula>
    </cfRule>
  </conditionalFormatting>
  <conditionalFormatting sqref="U310:U315">
    <cfRule type="cellIs" dxfId="424"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23" priority="297" stopIfTrue="1">
      <formula>$M$9=0</formula>
    </cfRule>
  </conditionalFormatting>
  <conditionalFormatting sqref="AD310:AD315">
    <cfRule type="expression" dxfId="422" priority="296" stopIfTrue="1">
      <formula>$M$9=""</formula>
    </cfRule>
  </conditionalFormatting>
  <conditionalFormatting sqref="AD310:AD315">
    <cfRule type="expression" dxfId="421" priority="294" stopIfTrue="1">
      <formula>$M$9=""</formula>
    </cfRule>
    <cfRule type="expression" dxfId="420" priority="295" stopIfTrue="1">
      <formula>$M$9=0</formula>
    </cfRule>
  </conditionalFormatting>
  <conditionalFormatting sqref="AD310:AD315">
    <cfRule type="cellIs" dxfId="419"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18" priority="287">
      <formula>$D$9=""</formula>
    </cfRule>
    <cfRule type="expression" dxfId="417" priority="288">
      <formula>$D$9=0</formula>
    </cfRule>
  </conditionalFormatting>
  <conditionalFormatting sqref="M318:S322">
    <cfRule type="expression" dxfId="416" priority="286">
      <formula>$M$9=0</formula>
    </cfRule>
  </conditionalFormatting>
  <conditionalFormatting sqref="V318:AB322">
    <cfRule type="expression" dxfId="415" priority="283">
      <formula>$V$9=""</formula>
    </cfRule>
    <cfRule type="expression" dxfId="414" priority="284">
      <formula>$V$9=0</formula>
    </cfRule>
  </conditionalFormatting>
  <conditionalFormatting sqref="M318:S322">
    <cfRule type="expression" dxfId="413" priority="285">
      <formula>$M$9=""</formula>
    </cfRule>
  </conditionalFormatting>
  <conditionalFormatting sqref="M318:S322">
    <cfRule type="expression" dxfId="412" priority="281">
      <formula>$M$9=""</formula>
    </cfRule>
    <cfRule type="expression" dxfId="411" priority="282">
      <formula>$M$9=0</formula>
    </cfRule>
  </conditionalFormatting>
  <conditionalFormatting sqref="K318:L322">
    <cfRule type="expression" dxfId="410" priority="272" stopIfTrue="1">
      <formula>$D$9=""</formula>
    </cfRule>
    <cfRule type="expression" dxfId="409" priority="273" stopIfTrue="1">
      <formula>$D$9=0</formula>
    </cfRule>
  </conditionalFormatting>
  <conditionalFormatting sqref="T318:U322">
    <cfRule type="expression" dxfId="408" priority="276" stopIfTrue="1">
      <formula>$M$9=0</formula>
    </cfRule>
  </conditionalFormatting>
  <conditionalFormatting sqref="T318:U322">
    <cfRule type="expression" dxfId="407" priority="275" stopIfTrue="1">
      <formula>$M$9=""</formula>
    </cfRule>
  </conditionalFormatting>
  <conditionalFormatting sqref="T318:U322">
    <cfRule type="expression" dxfId="406" priority="269" stopIfTrue="1">
      <formula>$M$9=""</formula>
    </cfRule>
    <cfRule type="expression" dxfId="405" priority="271" stopIfTrue="1">
      <formula>$M$9=0</formula>
    </cfRule>
  </conditionalFormatting>
  <conditionalFormatting sqref="AC318:AC322">
    <cfRule type="expression" dxfId="404" priority="268" stopIfTrue="1">
      <formula>$V$9=""</formula>
    </cfRule>
    <cfRule type="expression" dxfId="403" priority="270" stopIfTrue="1">
      <formula>$V$9=0</formula>
    </cfRule>
  </conditionalFormatting>
  <conditionalFormatting sqref="L318:L322">
    <cfRule type="cellIs" dxfId="402" priority="280" operator="greaterThan">
      <formula>50</formula>
    </cfRule>
  </conditionalFormatting>
  <conditionalFormatting sqref="K318:K322">
    <cfRule type="cellIs" dxfId="401" priority="279" operator="greaterThan">
      <formula>100</formula>
    </cfRule>
  </conditionalFormatting>
  <conditionalFormatting sqref="T318:T322">
    <cfRule type="cellIs" dxfId="400" priority="278" operator="greaterThan">
      <formula>100</formula>
    </cfRule>
  </conditionalFormatting>
  <conditionalFormatting sqref="AC318:AC322">
    <cfRule type="cellIs" dxfId="399" priority="274" operator="greaterThan">
      <formula>100</formula>
    </cfRule>
  </conditionalFormatting>
  <conditionalFormatting sqref="U318:U322">
    <cfRule type="cellIs" dxfId="398"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397" priority="265" stopIfTrue="1">
      <formula>$M$9=0</formula>
    </cfRule>
  </conditionalFormatting>
  <conditionalFormatting sqref="AD318:AD322">
    <cfRule type="expression" dxfId="396" priority="264" stopIfTrue="1">
      <formula>$M$9=""</formula>
    </cfRule>
  </conditionalFormatting>
  <conditionalFormatting sqref="AD318:AD322">
    <cfRule type="expression" dxfId="395" priority="262" stopIfTrue="1">
      <formula>$M$9=""</formula>
    </cfRule>
    <cfRule type="expression" dxfId="394" priority="263" stopIfTrue="1">
      <formula>$M$9=0</formula>
    </cfRule>
  </conditionalFormatting>
  <conditionalFormatting sqref="AD318:AD322">
    <cfRule type="cellIs" dxfId="393"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2" priority="255">
      <formula>$D$9=""</formula>
    </cfRule>
    <cfRule type="expression" dxfId="391" priority="256">
      <formula>$D$9=0</formula>
    </cfRule>
  </conditionalFormatting>
  <conditionalFormatting sqref="M325:S326">
    <cfRule type="expression" dxfId="390" priority="254">
      <formula>$M$9=0</formula>
    </cfRule>
  </conditionalFormatting>
  <conditionalFormatting sqref="V325:AB326">
    <cfRule type="expression" dxfId="389" priority="251">
      <formula>$V$9=""</formula>
    </cfRule>
    <cfRule type="expression" dxfId="388" priority="252">
      <formula>$V$9=0</formula>
    </cfRule>
  </conditionalFormatting>
  <conditionalFormatting sqref="M325:S326">
    <cfRule type="expression" dxfId="387" priority="253">
      <formula>$M$9=""</formula>
    </cfRule>
  </conditionalFormatting>
  <conditionalFormatting sqref="M325:S326">
    <cfRule type="expression" dxfId="386" priority="249">
      <formula>$M$9=""</formula>
    </cfRule>
    <cfRule type="expression" dxfId="385" priority="250">
      <formula>$M$9=0</formula>
    </cfRule>
  </conditionalFormatting>
  <conditionalFormatting sqref="K325:L326">
    <cfRule type="expression" dxfId="384" priority="240" stopIfTrue="1">
      <formula>$D$9=""</formula>
    </cfRule>
    <cfRule type="expression" dxfId="383" priority="241" stopIfTrue="1">
      <formula>$D$9=0</formula>
    </cfRule>
  </conditionalFormatting>
  <conditionalFormatting sqref="T325:U326">
    <cfRule type="expression" dxfId="382" priority="244" stopIfTrue="1">
      <formula>$M$9=0</formula>
    </cfRule>
  </conditionalFormatting>
  <conditionalFormatting sqref="T325:U326">
    <cfRule type="expression" dxfId="381" priority="243" stopIfTrue="1">
      <formula>$M$9=""</formula>
    </cfRule>
  </conditionalFormatting>
  <conditionalFormatting sqref="T325:U326">
    <cfRule type="expression" dxfId="380" priority="237" stopIfTrue="1">
      <formula>$M$9=""</formula>
    </cfRule>
    <cfRule type="expression" dxfId="379" priority="239" stopIfTrue="1">
      <formula>$M$9=0</formula>
    </cfRule>
  </conditionalFormatting>
  <conditionalFormatting sqref="AC325:AC326">
    <cfRule type="expression" dxfId="378" priority="236" stopIfTrue="1">
      <formula>$V$9=""</formula>
    </cfRule>
    <cfRule type="expression" dxfId="377" priority="238" stopIfTrue="1">
      <formula>$V$9=0</formula>
    </cfRule>
  </conditionalFormatting>
  <conditionalFormatting sqref="L325:L326">
    <cfRule type="cellIs" dxfId="376" priority="248" operator="greaterThan">
      <formula>50</formula>
    </cfRule>
  </conditionalFormatting>
  <conditionalFormatting sqref="K325:K326">
    <cfRule type="cellIs" dxfId="375" priority="247" operator="greaterThan">
      <formula>100</formula>
    </cfRule>
  </conditionalFormatting>
  <conditionalFormatting sqref="T325:T326">
    <cfRule type="cellIs" dxfId="374" priority="246" operator="greaterThan">
      <formula>100</formula>
    </cfRule>
  </conditionalFormatting>
  <conditionalFormatting sqref="AC325:AC326">
    <cfRule type="cellIs" dxfId="373" priority="242" operator="greaterThan">
      <formula>100</formula>
    </cfRule>
  </conditionalFormatting>
  <conditionalFormatting sqref="U325:U326">
    <cfRule type="cellIs" dxfId="372"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1" priority="233" stopIfTrue="1">
      <formula>$M$9=0</formula>
    </cfRule>
  </conditionalFormatting>
  <conditionalFormatting sqref="AD325:AD326">
    <cfRule type="expression" dxfId="370" priority="232" stopIfTrue="1">
      <formula>$M$9=""</formula>
    </cfRule>
  </conditionalFormatting>
  <conditionalFormatting sqref="AD325:AD326">
    <cfRule type="expression" dxfId="369" priority="230" stopIfTrue="1">
      <formula>$M$9=""</formula>
    </cfRule>
    <cfRule type="expression" dxfId="368" priority="231" stopIfTrue="1">
      <formula>$M$9=0</formula>
    </cfRule>
  </conditionalFormatting>
  <conditionalFormatting sqref="AD325:AD326">
    <cfRule type="cellIs" dxfId="367"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66" priority="223">
      <formula>$D$9=""</formula>
    </cfRule>
    <cfRule type="expression" dxfId="365" priority="224">
      <formula>$D$9=0</formula>
    </cfRule>
  </conditionalFormatting>
  <conditionalFormatting sqref="M329:S358">
    <cfRule type="expression" dxfId="364" priority="222">
      <formula>$M$9=0</formula>
    </cfRule>
  </conditionalFormatting>
  <conditionalFormatting sqref="V329:AB358">
    <cfRule type="expression" dxfId="363" priority="219">
      <formula>$V$9=""</formula>
    </cfRule>
    <cfRule type="expression" dxfId="362" priority="220">
      <formula>$V$9=0</formula>
    </cfRule>
  </conditionalFormatting>
  <conditionalFormatting sqref="M329:S358">
    <cfRule type="expression" dxfId="361" priority="221">
      <formula>$M$9=""</formula>
    </cfRule>
  </conditionalFormatting>
  <conditionalFormatting sqref="M329:S358">
    <cfRule type="expression" dxfId="360" priority="217">
      <formula>$M$9=""</formula>
    </cfRule>
    <cfRule type="expression" dxfId="359" priority="218">
      <formula>$M$9=0</formula>
    </cfRule>
  </conditionalFormatting>
  <conditionalFormatting sqref="K329:L358">
    <cfRule type="expression" dxfId="358" priority="208" stopIfTrue="1">
      <formula>$D$9=""</formula>
    </cfRule>
    <cfRule type="expression" dxfId="357" priority="209" stopIfTrue="1">
      <formula>$D$9=0</formula>
    </cfRule>
  </conditionalFormatting>
  <conditionalFormatting sqref="T329:U358">
    <cfRule type="expression" dxfId="356" priority="212" stopIfTrue="1">
      <formula>$M$9=0</formula>
    </cfRule>
  </conditionalFormatting>
  <conditionalFormatting sqref="T329:U358">
    <cfRule type="expression" dxfId="355" priority="211" stopIfTrue="1">
      <formula>$M$9=""</formula>
    </cfRule>
  </conditionalFormatting>
  <conditionalFormatting sqref="T329:U358">
    <cfRule type="expression" dxfId="354" priority="205" stopIfTrue="1">
      <formula>$M$9=""</formula>
    </cfRule>
    <cfRule type="expression" dxfId="353" priority="207" stopIfTrue="1">
      <formula>$M$9=0</formula>
    </cfRule>
  </conditionalFormatting>
  <conditionalFormatting sqref="AC329:AC358">
    <cfRule type="expression" dxfId="352" priority="204" stopIfTrue="1">
      <formula>$V$9=""</formula>
    </cfRule>
    <cfRule type="expression" dxfId="351" priority="206" stopIfTrue="1">
      <formula>$V$9=0</formula>
    </cfRule>
  </conditionalFormatting>
  <conditionalFormatting sqref="L329:L358">
    <cfRule type="cellIs" dxfId="350" priority="216" operator="greaterThan">
      <formula>50</formula>
    </cfRule>
  </conditionalFormatting>
  <conditionalFormatting sqref="K329:K358">
    <cfRule type="cellIs" dxfId="349" priority="215" operator="greaterThan">
      <formula>100</formula>
    </cfRule>
  </conditionalFormatting>
  <conditionalFormatting sqref="T329:T358">
    <cfRule type="cellIs" dxfId="348" priority="214" operator="greaterThan">
      <formula>100</formula>
    </cfRule>
  </conditionalFormatting>
  <conditionalFormatting sqref="AC329:AC358">
    <cfRule type="cellIs" dxfId="347" priority="210" operator="greaterThan">
      <formula>100</formula>
    </cfRule>
  </conditionalFormatting>
  <conditionalFormatting sqref="U329:U358">
    <cfRule type="cellIs" dxfId="346"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45" priority="201" stopIfTrue="1">
      <formula>$M$9=0</formula>
    </cfRule>
  </conditionalFormatting>
  <conditionalFormatting sqref="AD329:AD358">
    <cfRule type="expression" dxfId="344" priority="200" stopIfTrue="1">
      <formula>$M$9=""</formula>
    </cfRule>
  </conditionalFormatting>
  <conditionalFormatting sqref="AD329:AD358">
    <cfRule type="expression" dxfId="343" priority="198" stopIfTrue="1">
      <formula>$M$9=""</formula>
    </cfRule>
    <cfRule type="expression" dxfId="342" priority="199" stopIfTrue="1">
      <formula>$M$9=0</formula>
    </cfRule>
  </conditionalFormatting>
  <conditionalFormatting sqref="AD329:AD358">
    <cfRule type="cellIs" dxfId="341"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40" priority="191">
      <formula>$D$9=""</formula>
    </cfRule>
    <cfRule type="expression" dxfId="339" priority="192">
      <formula>$D$9=0</formula>
    </cfRule>
  </conditionalFormatting>
  <conditionalFormatting sqref="M361:S365">
    <cfRule type="expression" dxfId="338" priority="190">
      <formula>$M$9=0</formula>
    </cfRule>
  </conditionalFormatting>
  <conditionalFormatting sqref="V361:AB365">
    <cfRule type="expression" dxfId="337" priority="187">
      <formula>$V$9=""</formula>
    </cfRule>
    <cfRule type="expression" dxfId="336" priority="188">
      <formula>$V$9=0</formula>
    </cfRule>
  </conditionalFormatting>
  <conditionalFormatting sqref="M361:S365">
    <cfRule type="expression" dxfId="335" priority="189">
      <formula>$M$9=""</formula>
    </cfRule>
  </conditionalFormatting>
  <conditionalFormatting sqref="M361:S365">
    <cfRule type="expression" dxfId="334" priority="185">
      <formula>$M$9=""</formula>
    </cfRule>
    <cfRule type="expression" dxfId="333" priority="186">
      <formula>$M$9=0</formula>
    </cfRule>
  </conditionalFormatting>
  <conditionalFormatting sqref="K361:L365">
    <cfRule type="expression" dxfId="332" priority="176" stopIfTrue="1">
      <formula>$D$9=""</formula>
    </cfRule>
    <cfRule type="expression" dxfId="331" priority="177" stopIfTrue="1">
      <formula>$D$9=0</formula>
    </cfRule>
  </conditionalFormatting>
  <conditionalFormatting sqref="T361:U365">
    <cfRule type="expression" dxfId="330" priority="180" stopIfTrue="1">
      <formula>$M$9=0</formula>
    </cfRule>
  </conditionalFormatting>
  <conditionalFormatting sqref="T361:U365">
    <cfRule type="expression" dxfId="329" priority="179" stopIfTrue="1">
      <formula>$M$9=""</formula>
    </cfRule>
  </conditionalFormatting>
  <conditionalFormatting sqref="T361:U365">
    <cfRule type="expression" dxfId="328" priority="173" stopIfTrue="1">
      <formula>$M$9=""</formula>
    </cfRule>
    <cfRule type="expression" dxfId="327" priority="175" stopIfTrue="1">
      <formula>$M$9=0</formula>
    </cfRule>
  </conditionalFormatting>
  <conditionalFormatting sqref="AC361:AC365">
    <cfRule type="expression" dxfId="326" priority="172" stopIfTrue="1">
      <formula>$V$9=""</formula>
    </cfRule>
    <cfRule type="expression" dxfId="325" priority="174" stopIfTrue="1">
      <formula>$V$9=0</formula>
    </cfRule>
  </conditionalFormatting>
  <conditionalFormatting sqref="L361:L365">
    <cfRule type="cellIs" dxfId="324" priority="184" operator="greaterThan">
      <formula>50</formula>
    </cfRule>
  </conditionalFormatting>
  <conditionalFormatting sqref="K361:K365">
    <cfRule type="cellIs" dxfId="323" priority="183" operator="greaterThan">
      <formula>100</formula>
    </cfRule>
  </conditionalFormatting>
  <conditionalFormatting sqref="T361:T365">
    <cfRule type="cellIs" dxfId="322" priority="182" operator="greaterThan">
      <formula>100</formula>
    </cfRule>
  </conditionalFormatting>
  <conditionalFormatting sqref="AC361:AC365">
    <cfRule type="cellIs" dxfId="321" priority="178" operator="greaterThan">
      <formula>100</formula>
    </cfRule>
  </conditionalFormatting>
  <conditionalFormatting sqref="U361:U365">
    <cfRule type="cellIs" dxfId="320"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19" priority="169" stopIfTrue="1">
      <formula>$M$9=0</formula>
    </cfRule>
  </conditionalFormatting>
  <conditionalFormatting sqref="AD361:AD365">
    <cfRule type="expression" dxfId="318" priority="168" stopIfTrue="1">
      <formula>$M$9=""</formula>
    </cfRule>
  </conditionalFormatting>
  <conditionalFormatting sqref="AD361:AD365">
    <cfRule type="expression" dxfId="317" priority="166" stopIfTrue="1">
      <formula>$M$9=""</formula>
    </cfRule>
    <cfRule type="expression" dxfId="316" priority="167" stopIfTrue="1">
      <formula>$M$9=0</formula>
    </cfRule>
  </conditionalFormatting>
  <conditionalFormatting sqref="AD361:AD365">
    <cfRule type="cellIs" dxfId="315"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14" priority="159">
      <formula>$D$9=""</formula>
    </cfRule>
    <cfRule type="expression" dxfId="313" priority="160">
      <formula>$D$9=0</formula>
    </cfRule>
  </conditionalFormatting>
  <conditionalFormatting sqref="M368:S374">
    <cfRule type="expression" dxfId="312" priority="158">
      <formula>$M$9=0</formula>
    </cfRule>
  </conditionalFormatting>
  <conditionalFormatting sqref="V368:AB374">
    <cfRule type="expression" dxfId="311" priority="155">
      <formula>$V$9=""</formula>
    </cfRule>
    <cfRule type="expression" dxfId="310" priority="156">
      <formula>$V$9=0</formula>
    </cfRule>
  </conditionalFormatting>
  <conditionalFormatting sqref="M368:S374">
    <cfRule type="expression" dxfId="309" priority="157">
      <formula>$M$9=""</formula>
    </cfRule>
  </conditionalFormatting>
  <conditionalFormatting sqref="M368:S374">
    <cfRule type="expression" dxfId="308" priority="153">
      <formula>$M$9=""</formula>
    </cfRule>
    <cfRule type="expression" dxfId="307" priority="154">
      <formula>$M$9=0</formula>
    </cfRule>
  </conditionalFormatting>
  <conditionalFormatting sqref="K368:L374">
    <cfRule type="expression" dxfId="306" priority="144" stopIfTrue="1">
      <formula>$D$9=""</formula>
    </cfRule>
    <cfRule type="expression" dxfId="305" priority="145" stopIfTrue="1">
      <formula>$D$9=0</formula>
    </cfRule>
  </conditionalFormatting>
  <conditionalFormatting sqref="T368:U374">
    <cfRule type="expression" dxfId="304" priority="148" stopIfTrue="1">
      <formula>$M$9=0</formula>
    </cfRule>
  </conditionalFormatting>
  <conditionalFormatting sqref="T368:U374">
    <cfRule type="expression" dxfId="303" priority="147" stopIfTrue="1">
      <formula>$M$9=""</formula>
    </cfRule>
  </conditionalFormatting>
  <conditionalFormatting sqref="T368:U374">
    <cfRule type="expression" dxfId="302" priority="141" stopIfTrue="1">
      <formula>$M$9=""</formula>
    </cfRule>
    <cfRule type="expression" dxfId="301" priority="143" stopIfTrue="1">
      <formula>$M$9=0</formula>
    </cfRule>
  </conditionalFormatting>
  <conditionalFormatting sqref="AC368:AC374">
    <cfRule type="expression" dxfId="300" priority="140" stopIfTrue="1">
      <formula>$V$9=""</formula>
    </cfRule>
    <cfRule type="expression" dxfId="299" priority="142" stopIfTrue="1">
      <formula>$V$9=0</formula>
    </cfRule>
  </conditionalFormatting>
  <conditionalFormatting sqref="L368:L374">
    <cfRule type="cellIs" dxfId="298" priority="152" operator="greaterThan">
      <formula>50</formula>
    </cfRule>
  </conditionalFormatting>
  <conditionalFormatting sqref="K368:K374">
    <cfRule type="cellIs" dxfId="297" priority="151" operator="greaterThan">
      <formula>100</formula>
    </cfRule>
  </conditionalFormatting>
  <conditionalFormatting sqref="T368:T374">
    <cfRule type="cellIs" dxfId="296" priority="150" operator="greaterThan">
      <formula>100</formula>
    </cfRule>
  </conditionalFormatting>
  <conditionalFormatting sqref="AC368:AC374">
    <cfRule type="cellIs" dxfId="295" priority="146" operator="greaterThan">
      <formula>100</formula>
    </cfRule>
  </conditionalFormatting>
  <conditionalFormatting sqref="U368:U374">
    <cfRule type="cellIs" dxfId="294"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293" priority="137" stopIfTrue="1">
      <formula>$M$9=0</formula>
    </cfRule>
  </conditionalFormatting>
  <conditionalFormatting sqref="AD368:AD374">
    <cfRule type="expression" dxfId="292" priority="136" stopIfTrue="1">
      <formula>$M$9=""</formula>
    </cfRule>
  </conditionalFormatting>
  <conditionalFormatting sqref="AD368:AD374">
    <cfRule type="expression" dxfId="291" priority="134" stopIfTrue="1">
      <formula>$M$9=""</formula>
    </cfRule>
    <cfRule type="expression" dxfId="290" priority="135" stopIfTrue="1">
      <formula>$M$9=0</formula>
    </cfRule>
  </conditionalFormatting>
  <conditionalFormatting sqref="AD368:AD374">
    <cfRule type="cellIs" dxfId="289"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88" priority="127">
      <formula>$D$9=""</formula>
    </cfRule>
    <cfRule type="expression" dxfId="287" priority="128">
      <formula>$D$9=0</formula>
    </cfRule>
  </conditionalFormatting>
  <conditionalFormatting sqref="M377:S379">
    <cfRule type="expression" dxfId="286" priority="126">
      <formula>$M$9=0</formula>
    </cfRule>
  </conditionalFormatting>
  <conditionalFormatting sqref="V377:AB379">
    <cfRule type="expression" dxfId="285" priority="123">
      <formula>$V$9=""</formula>
    </cfRule>
    <cfRule type="expression" dxfId="284" priority="124">
      <formula>$V$9=0</formula>
    </cfRule>
  </conditionalFormatting>
  <conditionalFormatting sqref="M377:S379">
    <cfRule type="expression" dxfId="283" priority="125">
      <formula>$M$9=""</formula>
    </cfRule>
  </conditionalFormatting>
  <conditionalFormatting sqref="M377:S379">
    <cfRule type="expression" dxfId="282" priority="121">
      <formula>$M$9=""</formula>
    </cfRule>
    <cfRule type="expression" dxfId="281" priority="122">
      <formula>$M$9=0</formula>
    </cfRule>
  </conditionalFormatting>
  <conditionalFormatting sqref="K377:L379">
    <cfRule type="expression" dxfId="280" priority="112" stopIfTrue="1">
      <formula>$D$9=""</formula>
    </cfRule>
    <cfRule type="expression" dxfId="279" priority="113" stopIfTrue="1">
      <formula>$D$9=0</formula>
    </cfRule>
  </conditionalFormatting>
  <conditionalFormatting sqref="T377:U379">
    <cfRule type="expression" dxfId="278" priority="116" stopIfTrue="1">
      <formula>$M$9=0</formula>
    </cfRule>
  </conditionalFormatting>
  <conditionalFormatting sqref="T377:U379">
    <cfRule type="expression" dxfId="277" priority="115" stopIfTrue="1">
      <formula>$M$9=""</formula>
    </cfRule>
  </conditionalFormatting>
  <conditionalFormatting sqref="T377:U379">
    <cfRule type="expression" dxfId="276" priority="109" stopIfTrue="1">
      <formula>$M$9=""</formula>
    </cfRule>
    <cfRule type="expression" dxfId="275" priority="111" stopIfTrue="1">
      <formula>$M$9=0</formula>
    </cfRule>
  </conditionalFormatting>
  <conditionalFormatting sqref="AC377:AC379">
    <cfRule type="expression" dxfId="274" priority="108" stopIfTrue="1">
      <formula>$V$9=""</formula>
    </cfRule>
    <cfRule type="expression" dxfId="273" priority="110" stopIfTrue="1">
      <formula>$V$9=0</formula>
    </cfRule>
  </conditionalFormatting>
  <conditionalFormatting sqref="L377:L379">
    <cfRule type="cellIs" dxfId="272" priority="120" operator="greaterThan">
      <formula>50</formula>
    </cfRule>
  </conditionalFormatting>
  <conditionalFormatting sqref="K377:K379">
    <cfRule type="cellIs" dxfId="271" priority="119" operator="greaterThan">
      <formula>100</formula>
    </cfRule>
  </conditionalFormatting>
  <conditionalFormatting sqref="T377:T379">
    <cfRule type="cellIs" dxfId="270" priority="118" operator="greaterThan">
      <formula>100</formula>
    </cfRule>
  </conditionalFormatting>
  <conditionalFormatting sqref="AC377:AC379">
    <cfRule type="cellIs" dxfId="269" priority="114" operator="greaterThan">
      <formula>100</formula>
    </cfRule>
  </conditionalFormatting>
  <conditionalFormatting sqref="U377:U379">
    <cfRule type="cellIs" dxfId="268"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67" priority="105" stopIfTrue="1">
      <formula>$M$9=0</formula>
    </cfRule>
  </conditionalFormatting>
  <conditionalFormatting sqref="AD377:AD379">
    <cfRule type="expression" dxfId="266" priority="104" stopIfTrue="1">
      <formula>$M$9=""</formula>
    </cfRule>
  </conditionalFormatting>
  <conditionalFormatting sqref="AD377:AD379">
    <cfRule type="expression" dxfId="265" priority="102" stopIfTrue="1">
      <formula>$M$9=""</formula>
    </cfRule>
    <cfRule type="expression" dxfId="264" priority="103" stopIfTrue="1">
      <formula>$M$9=0</formula>
    </cfRule>
  </conditionalFormatting>
  <conditionalFormatting sqref="AD377:AD379">
    <cfRule type="cellIs" dxfId="263"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2" priority="95">
      <formula>$D$9=""</formula>
    </cfRule>
    <cfRule type="expression" dxfId="261" priority="96">
      <formula>$D$9=0</formula>
    </cfRule>
  </conditionalFormatting>
  <conditionalFormatting sqref="M382:S386">
    <cfRule type="expression" dxfId="260" priority="94">
      <formula>$M$9=0</formula>
    </cfRule>
  </conditionalFormatting>
  <conditionalFormatting sqref="V382:AB386">
    <cfRule type="expression" dxfId="259" priority="91">
      <formula>$V$9=""</formula>
    </cfRule>
    <cfRule type="expression" dxfId="258" priority="92">
      <formula>$V$9=0</formula>
    </cfRule>
  </conditionalFormatting>
  <conditionalFormatting sqref="M382:S386">
    <cfRule type="expression" dxfId="257" priority="93">
      <formula>$M$9=""</formula>
    </cfRule>
  </conditionalFormatting>
  <conditionalFormatting sqref="M382:S386">
    <cfRule type="expression" dxfId="256" priority="89">
      <formula>$M$9=""</formula>
    </cfRule>
    <cfRule type="expression" dxfId="255" priority="90">
      <formula>$M$9=0</formula>
    </cfRule>
  </conditionalFormatting>
  <conditionalFormatting sqref="K382:L386">
    <cfRule type="expression" dxfId="254" priority="80" stopIfTrue="1">
      <formula>$D$9=""</formula>
    </cfRule>
    <cfRule type="expression" dxfId="253" priority="81" stopIfTrue="1">
      <formula>$D$9=0</formula>
    </cfRule>
  </conditionalFormatting>
  <conditionalFormatting sqref="T382:U386">
    <cfRule type="expression" dxfId="252" priority="84" stopIfTrue="1">
      <formula>$M$9=0</formula>
    </cfRule>
  </conditionalFormatting>
  <conditionalFormatting sqref="T382:U386">
    <cfRule type="expression" dxfId="251" priority="83" stopIfTrue="1">
      <formula>$M$9=""</formula>
    </cfRule>
  </conditionalFormatting>
  <conditionalFormatting sqref="T382:U386">
    <cfRule type="expression" dxfId="250" priority="77" stopIfTrue="1">
      <formula>$M$9=""</formula>
    </cfRule>
    <cfRule type="expression" dxfId="249" priority="79" stopIfTrue="1">
      <formula>$M$9=0</formula>
    </cfRule>
  </conditionalFormatting>
  <conditionalFormatting sqref="AC382:AC386">
    <cfRule type="expression" dxfId="248" priority="76" stopIfTrue="1">
      <formula>$V$9=""</formula>
    </cfRule>
    <cfRule type="expression" dxfId="247" priority="78" stopIfTrue="1">
      <formula>$V$9=0</formula>
    </cfRule>
  </conditionalFormatting>
  <conditionalFormatting sqref="L382:L386">
    <cfRule type="cellIs" dxfId="246" priority="88" operator="greaterThan">
      <formula>50</formula>
    </cfRule>
  </conditionalFormatting>
  <conditionalFormatting sqref="K382:K386">
    <cfRule type="cellIs" dxfId="245" priority="87" operator="greaterThan">
      <formula>100</formula>
    </cfRule>
  </conditionalFormatting>
  <conditionalFormatting sqref="T382:T386">
    <cfRule type="cellIs" dxfId="244" priority="86" operator="greaterThan">
      <formula>100</formula>
    </cfRule>
  </conditionalFormatting>
  <conditionalFormatting sqref="AC382:AC386">
    <cfRule type="cellIs" dxfId="243" priority="82" operator="greaterThan">
      <formula>100</formula>
    </cfRule>
  </conditionalFormatting>
  <conditionalFormatting sqref="U382:U386">
    <cfRule type="cellIs" dxfId="242"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1" priority="73" stopIfTrue="1">
      <formula>$M$9=0</formula>
    </cfRule>
  </conditionalFormatting>
  <conditionalFormatting sqref="AD382:AD386">
    <cfRule type="expression" dxfId="240" priority="72" stopIfTrue="1">
      <formula>$M$9=""</formula>
    </cfRule>
  </conditionalFormatting>
  <conditionalFormatting sqref="AD382:AD386">
    <cfRule type="expression" dxfId="239" priority="70" stopIfTrue="1">
      <formula>$M$9=""</formula>
    </cfRule>
    <cfRule type="expression" dxfId="238" priority="71" stopIfTrue="1">
      <formula>$M$9=0</formula>
    </cfRule>
  </conditionalFormatting>
  <conditionalFormatting sqref="AD382:AD386">
    <cfRule type="cellIs" dxfId="237"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36" priority="63">
      <formula>$D$9=""</formula>
    </cfRule>
    <cfRule type="expression" dxfId="235" priority="64">
      <formula>$D$9=0</formula>
    </cfRule>
  </conditionalFormatting>
  <conditionalFormatting sqref="M389:S423">
    <cfRule type="expression" dxfId="234" priority="62">
      <formula>$M$9=0</formula>
    </cfRule>
  </conditionalFormatting>
  <conditionalFormatting sqref="V389:AB423">
    <cfRule type="expression" dxfId="233" priority="59">
      <formula>$V$9=""</formula>
    </cfRule>
    <cfRule type="expression" dxfId="232" priority="60">
      <formula>$V$9=0</formula>
    </cfRule>
  </conditionalFormatting>
  <conditionalFormatting sqref="M389:S423">
    <cfRule type="expression" dxfId="231" priority="61">
      <formula>$M$9=""</formula>
    </cfRule>
  </conditionalFormatting>
  <conditionalFormatting sqref="M389:S423">
    <cfRule type="expression" dxfId="230" priority="57">
      <formula>$M$9=""</formula>
    </cfRule>
    <cfRule type="expression" dxfId="229" priority="58">
      <formula>$M$9=0</formula>
    </cfRule>
  </conditionalFormatting>
  <conditionalFormatting sqref="K389:L423">
    <cfRule type="expression" dxfId="228" priority="48" stopIfTrue="1">
      <formula>$D$9=""</formula>
    </cfRule>
    <cfRule type="expression" dxfId="227" priority="49" stopIfTrue="1">
      <formula>$D$9=0</formula>
    </cfRule>
  </conditionalFormatting>
  <conditionalFormatting sqref="T389:U423">
    <cfRule type="expression" dxfId="226" priority="52" stopIfTrue="1">
      <formula>$M$9=0</formula>
    </cfRule>
  </conditionalFormatting>
  <conditionalFormatting sqref="T389:U423">
    <cfRule type="expression" dxfId="225" priority="51" stopIfTrue="1">
      <formula>$M$9=""</formula>
    </cfRule>
  </conditionalFormatting>
  <conditionalFormatting sqref="T389:U423">
    <cfRule type="expression" dxfId="224" priority="45" stopIfTrue="1">
      <formula>$M$9=""</formula>
    </cfRule>
    <cfRule type="expression" dxfId="223" priority="47" stopIfTrue="1">
      <formula>$M$9=0</formula>
    </cfRule>
  </conditionalFormatting>
  <conditionalFormatting sqref="AC389:AC423">
    <cfRule type="expression" dxfId="222" priority="44" stopIfTrue="1">
      <formula>$V$9=""</formula>
    </cfRule>
    <cfRule type="expression" dxfId="221" priority="46" stopIfTrue="1">
      <formula>$V$9=0</formula>
    </cfRule>
  </conditionalFormatting>
  <conditionalFormatting sqref="L389:L423">
    <cfRule type="cellIs" dxfId="220" priority="56" operator="greaterThan">
      <formula>50</formula>
    </cfRule>
  </conditionalFormatting>
  <conditionalFormatting sqref="K389:K423">
    <cfRule type="cellIs" dxfId="219" priority="55" operator="greaterThan">
      <formula>100</formula>
    </cfRule>
  </conditionalFormatting>
  <conditionalFormatting sqref="T389:T423">
    <cfRule type="cellIs" dxfId="218" priority="54" operator="greaterThan">
      <formula>100</formula>
    </cfRule>
  </conditionalFormatting>
  <conditionalFormatting sqref="AC389:AC423">
    <cfRule type="cellIs" dxfId="217" priority="50" operator="greaterThan">
      <formula>100</formula>
    </cfRule>
  </conditionalFormatting>
  <conditionalFormatting sqref="U389:U423">
    <cfRule type="cellIs" dxfId="216"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15" priority="41" stopIfTrue="1">
      <formula>$M$9=0</formula>
    </cfRule>
  </conditionalFormatting>
  <conditionalFormatting sqref="AD389:AD423">
    <cfRule type="expression" dxfId="214" priority="40" stopIfTrue="1">
      <formula>$M$9=""</formula>
    </cfRule>
  </conditionalFormatting>
  <conditionalFormatting sqref="AD389:AD423">
    <cfRule type="expression" dxfId="213" priority="38" stopIfTrue="1">
      <formula>$M$9=""</formula>
    </cfRule>
    <cfRule type="expression" dxfId="212" priority="39" stopIfTrue="1">
      <formula>$M$9=0</formula>
    </cfRule>
  </conditionalFormatting>
  <conditionalFormatting sqref="AD389:AD423">
    <cfRule type="cellIs" dxfId="211"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10" priority="31">
      <formula>$D$9=""</formula>
    </cfRule>
    <cfRule type="expression" dxfId="209" priority="32">
      <formula>$D$9=0</formula>
    </cfRule>
  </conditionalFormatting>
  <conditionalFormatting sqref="M426:S432">
    <cfRule type="expression" dxfId="208" priority="30">
      <formula>$M$9=0</formula>
    </cfRule>
  </conditionalFormatting>
  <conditionalFormatting sqref="V426:AB432">
    <cfRule type="expression" dxfId="207" priority="27">
      <formula>$V$9=""</formula>
    </cfRule>
    <cfRule type="expression" dxfId="206" priority="28">
      <formula>$V$9=0</formula>
    </cfRule>
  </conditionalFormatting>
  <conditionalFormatting sqref="M426:S432">
    <cfRule type="expression" dxfId="205" priority="29">
      <formula>$M$9=""</formula>
    </cfRule>
  </conditionalFormatting>
  <conditionalFormatting sqref="M426:S432">
    <cfRule type="expression" dxfId="204" priority="25">
      <formula>$M$9=""</formula>
    </cfRule>
    <cfRule type="expression" dxfId="203" priority="26">
      <formula>$M$9=0</formula>
    </cfRule>
  </conditionalFormatting>
  <conditionalFormatting sqref="K426:L432">
    <cfRule type="expression" dxfId="202" priority="16" stopIfTrue="1">
      <formula>$D$9=""</formula>
    </cfRule>
    <cfRule type="expression" dxfId="201" priority="17" stopIfTrue="1">
      <formula>$D$9=0</formula>
    </cfRule>
  </conditionalFormatting>
  <conditionalFormatting sqref="T426:U432">
    <cfRule type="expression" dxfId="200" priority="20" stopIfTrue="1">
      <formula>$M$9=0</formula>
    </cfRule>
  </conditionalFormatting>
  <conditionalFormatting sqref="T426:U432">
    <cfRule type="expression" dxfId="199" priority="19" stopIfTrue="1">
      <formula>$M$9=""</formula>
    </cfRule>
  </conditionalFormatting>
  <conditionalFormatting sqref="T426:U432">
    <cfRule type="expression" dxfId="198" priority="13" stopIfTrue="1">
      <formula>$M$9=""</formula>
    </cfRule>
    <cfRule type="expression" dxfId="197" priority="15" stopIfTrue="1">
      <formula>$M$9=0</formula>
    </cfRule>
  </conditionalFormatting>
  <conditionalFormatting sqref="AC426:AC432">
    <cfRule type="expression" dxfId="196" priority="12" stopIfTrue="1">
      <formula>$V$9=""</formula>
    </cfRule>
    <cfRule type="expression" dxfId="195" priority="14" stopIfTrue="1">
      <formula>$V$9=0</formula>
    </cfRule>
  </conditionalFormatting>
  <conditionalFormatting sqref="L426:L432">
    <cfRule type="cellIs" dxfId="194" priority="24" operator="greaterThan">
      <formula>50</formula>
    </cfRule>
  </conditionalFormatting>
  <conditionalFormatting sqref="K426:K432">
    <cfRule type="cellIs" dxfId="193" priority="23" operator="greaterThan">
      <formula>100</formula>
    </cfRule>
  </conditionalFormatting>
  <conditionalFormatting sqref="T426:T432">
    <cfRule type="cellIs" dxfId="192" priority="22" operator="greaterThan">
      <formula>100</formula>
    </cfRule>
  </conditionalFormatting>
  <conditionalFormatting sqref="AC426:AC432">
    <cfRule type="cellIs" dxfId="191" priority="18" operator="greaterThan">
      <formula>100</formula>
    </cfRule>
  </conditionalFormatting>
  <conditionalFormatting sqref="U426:U432">
    <cfRule type="cellIs" dxfId="190"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89" priority="9" stopIfTrue="1">
      <formula>$M$9=0</formula>
    </cfRule>
  </conditionalFormatting>
  <conditionalFormatting sqref="AD426:AD432">
    <cfRule type="expression" dxfId="188" priority="8" stopIfTrue="1">
      <formula>$M$9=""</formula>
    </cfRule>
  </conditionalFormatting>
  <conditionalFormatting sqref="AD426:AD432">
    <cfRule type="expression" dxfId="187" priority="6" stopIfTrue="1">
      <formula>$M$9=""</formula>
    </cfRule>
    <cfRule type="expression" dxfId="186" priority="7" stopIfTrue="1">
      <formula>$M$9=0</formula>
    </cfRule>
  </conditionalFormatting>
  <conditionalFormatting sqref="AD426:AD432">
    <cfRule type="cellIs" dxfId="185"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49" customWidth="1"/>
    <col min="2" max="3" width="1.7109375" style="49" customWidth="1"/>
    <col min="4" max="4" width="17.7109375" style="49" customWidth="1"/>
    <col min="5" max="5" width="9.28515625" style="119" customWidth="1"/>
    <col min="6" max="6" width="2.7109375" style="48" customWidth="1"/>
    <col min="7" max="7" width="9.28515625" style="119" customWidth="1"/>
    <col min="8" max="8" width="2.7109375" style="48" customWidth="1"/>
    <col min="9" max="9" width="9.28515625" style="119" customWidth="1"/>
    <col min="10" max="10" width="2.7109375" style="48" customWidth="1"/>
    <col min="11" max="11" width="9.28515625" style="119" customWidth="1"/>
    <col min="12" max="12" width="2.7109375" style="48" customWidth="1"/>
    <col min="13" max="13" width="9.28515625" style="119" customWidth="1"/>
    <col min="14" max="14" width="2.7109375" style="48" customWidth="1"/>
    <col min="15" max="15" width="9.28515625" style="119" customWidth="1"/>
    <col min="16" max="16" width="2.7109375" style="48" customWidth="1"/>
    <col min="17" max="17" width="9.28515625" style="119" customWidth="1"/>
    <col min="18" max="18" width="2.7109375" style="48" customWidth="1"/>
    <col min="19" max="19" width="9.28515625" style="119" customWidth="1"/>
    <col min="20" max="20" width="2.7109375" style="48" customWidth="1"/>
    <col min="21" max="21" width="9.28515625" style="119" customWidth="1"/>
    <col min="22" max="22" width="2.7109375" style="48" customWidth="1"/>
    <col min="23" max="16384" width="8.85546875" style="49"/>
  </cols>
  <sheetData>
    <row r="4" spans="1:25" ht="9" customHeight="1" x14ac:dyDescent="0.2">
      <c r="A4" s="108" t="s">
        <v>2384</v>
      </c>
    </row>
    <row r="5" spans="1:25" ht="9" customHeight="1" x14ac:dyDescent="0.2">
      <c r="A5" s="108" t="str">
        <f>CONCATENATE("en signaleringsparameters grondwater ",H!B4)</f>
        <v>en signaleringsparameters grondwater (waarden geldend in de gemeente Haarlemmermeer)</v>
      </c>
    </row>
    <row r="7" spans="1:25" ht="4.5" customHeight="1" x14ac:dyDescent="0.2">
      <c r="A7" s="124"/>
      <c r="B7" s="124"/>
      <c r="C7" s="124"/>
      <c r="D7" s="124"/>
      <c r="E7" s="125"/>
      <c r="F7" s="143"/>
      <c r="G7" s="125"/>
      <c r="H7" s="143"/>
      <c r="I7" s="125"/>
      <c r="J7" s="143"/>
      <c r="K7" s="125"/>
      <c r="L7" s="143"/>
      <c r="M7" s="125"/>
      <c r="N7" s="143"/>
      <c r="O7" s="125"/>
      <c r="P7" s="143"/>
      <c r="Q7" s="125"/>
      <c r="R7" s="143"/>
      <c r="S7" s="125"/>
      <c r="T7" s="143"/>
      <c r="U7" s="125"/>
      <c r="V7" s="143"/>
      <c r="W7" s="110"/>
      <c r="Y7" s="110"/>
    </row>
    <row r="8" spans="1:25" s="164" customFormat="1" ht="45" customHeight="1" x14ac:dyDescent="0.2">
      <c r="A8" s="161"/>
      <c r="B8" s="162"/>
      <c r="C8" s="162"/>
      <c r="D8" s="162"/>
      <c r="E8" s="207" t="s">
        <v>2153</v>
      </c>
      <c r="F8" s="207"/>
      <c r="G8" s="207" t="s">
        <v>2154</v>
      </c>
      <c r="H8" s="207"/>
      <c r="I8" s="207" t="s">
        <v>2155</v>
      </c>
      <c r="J8" s="207"/>
      <c r="K8" s="207" t="s">
        <v>2156</v>
      </c>
      <c r="L8" s="207"/>
      <c r="M8" s="207" t="s">
        <v>2157</v>
      </c>
      <c r="N8" s="207"/>
      <c r="O8" s="207" t="s">
        <v>2158</v>
      </c>
      <c r="P8" s="207"/>
      <c r="Q8" s="207" t="s">
        <v>2159</v>
      </c>
      <c r="R8" s="207"/>
      <c r="S8" s="207" t="s">
        <v>875</v>
      </c>
      <c r="T8" s="207"/>
      <c r="U8" s="207" t="s">
        <v>2163</v>
      </c>
      <c r="V8" s="207"/>
      <c r="W8" s="163"/>
      <c r="Y8" s="163"/>
    </row>
    <row r="9" spans="1:25" ht="9" customHeight="1" x14ac:dyDescent="0.2">
      <c r="A9" s="112"/>
      <c r="B9" s="109"/>
      <c r="C9" s="109"/>
      <c r="D9" s="109"/>
      <c r="E9" s="118"/>
      <c r="F9" s="144"/>
      <c r="G9" s="118"/>
      <c r="H9" s="144"/>
      <c r="I9" s="118"/>
      <c r="J9" s="144"/>
      <c r="K9" s="118"/>
      <c r="L9" s="144"/>
      <c r="M9" s="118"/>
      <c r="N9" s="144"/>
      <c r="O9" s="118"/>
      <c r="P9" s="144"/>
      <c r="Q9" s="118"/>
      <c r="R9" s="144"/>
      <c r="S9" s="118"/>
      <c r="T9" s="144"/>
      <c r="U9" s="118"/>
      <c r="V9" s="144"/>
      <c r="W9" s="110"/>
      <c r="Y9" s="110"/>
    </row>
    <row r="10" spans="1:25" ht="9" customHeight="1" x14ac:dyDescent="0.2">
      <c r="A10" s="112" t="s">
        <v>2160</v>
      </c>
      <c r="B10" s="109"/>
      <c r="C10" s="109"/>
      <c r="D10" s="109"/>
      <c r="E10" s="206" t="s">
        <v>2161</v>
      </c>
      <c r="F10" s="206"/>
      <c r="G10" s="206" t="s">
        <v>2161</v>
      </c>
      <c r="H10" s="206"/>
      <c r="I10" s="206" t="s">
        <v>2161</v>
      </c>
      <c r="J10" s="206"/>
      <c r="K10" s="206" t="s">
        <v>2161</v>
      </c>
      <c r="L10" s="206"/>
      <c r="M10" s="206" t="s">
        <v>2161</v>
      </c>
      <c r="N10" s="206"/>
      <c r="O10" s="206" t="s">
        <v>2161</v>
      </c>
      <c r="P10" s="206"/>
      <c r="Q10" s="206" t="s">
        <v>2161</v>
      </c>
      <c r="R10" s="206"/>
      <c r="S10" s="206" t="s">
        <v>2161</v>
      </c>
      <c r="T10" s="206"/>
      <c r="U10" s="206" t="s">
        <v>2162</v>
      </c>
      <c r="V10" s="206"/>
      <c r="W10" s="110"/>
      <c r="X10" s="119" t="s">
        <v>0</v>
      </c>
      <c r="Y10" s="110"/>
    </row>
    <row r="11" spans="1:25" ht="4.5" customHeight="1" x14ac:dyDescent="0.2">
      <c r="A11" s="140"/>
      <c r="B11" s="122"/>
      <c r="C11" s="122"/>
      <c r="D11" s="122"/>
      <c r="E11" s="123"/>
      <c r="F11" s="145"/>
      <c r="G11" s="123"/>
      <c r="H11" s="145"/>
      <c r="I11" s="123"/>
      <c r="J11" s="145"/>
      <c r="K11" s="123"/>
      <c r="L11" s="145"/>
      <c r="M11" s="123"/>
      <c r="N11" s="145"/>
      <c r="O11" s="123"/>
      <c r="P11" s="145"/>
      <c r="Q11" s="123"/>
      <c r="R11" s="145"/>
      <c r="S11" s="123"/>
      <c r="T11" s="145"/>
      <c r="U11" s="123"/>
      <c r="V11" s="145"/>
      <c r="W11" s="110"/>
      <c r="Y11" s="110"/>
    </row>
    <row r="12" spans="1:25" ht="4.5" customHeight="1" x14ac:dyDescent="0.2">
      <c r="A12" s="141"/>
      <c r="B12" s="117"/>
      <c r="C12" s="117"/>
      <c r="D12" s="117"/>
      <c r="E12" s="121"/>
      <c r="F12" s="146"/>
      <c r="G12" s="121"/>
      <c r="H12" s="146"/>
      <c r="I12" s="121"/>
      <c r="J12" s="146"/>
      <c r="K12" s="121"/>
      <c r="L12" s="146"/>
      <c r="M12" s="121"/>
      <c r="N12" s="146"/>
      <c r="O12" s="121"/>
      <c r="P12" s="146"/>
      <c r="Q12" s="121"/>
      <c r="R12" s="146"/>
      <c r="S12" s="121"/>
      <c r="T12" s="146"/>
      <c r="U12" s="121"/>
      <c r="V12" s="146"/>
    </row>
    <row r="13" spans="1:25" ht="9" customHeight="1" x14ac:dyDescent="0.2">
      <c r="A13" s="114" t="s">
        <v>2164</v>
      </c>
      <c r="B13" s="108"/>
      <c r="C13" s="108"/>
      <c r="D13" s="108"/>
    </row>
    <row r="14" spans="1:25" ht="9" customHeight="1" x14ac:dyDescent="0.2">
      <c r="A14" s="113" t="s">
        <v>2165</v>
      </c>
      <c r="E14" s="119"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119">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119">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119">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119">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119"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119"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119">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119">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49">
        <v>301</v>
      </c>
    </row>
    <row r="15" spans="1:25" ht="9" customHeight="1" x14ac:dyDescent="0.2">
      <c r="A15" s="113" t="s">
        <v>2166</v>
      </c>
      <c r="E15" s="119">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119">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119">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119">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119">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119">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119"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119">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119">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49">
        <v>310</v>
      </c>
    </row>
    <row r="16" spans="1:25" ht="9" customHeight="1" x14ac:dyDescent="0.2">
      <c r="A16" s="113" t="s">
        <v>2167</v>
      </c>
      <c r="E16" s="119"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48" t="str">
        <f>IF(E16="-","(1)","")</f>
        <v>(1)</v>
      </c>
      <c r="G16" s="119"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48" t="str">
        <f>IF(G16="-","(1)","")</f>
        <v>(1)</v>
      </c>
      <c r="I16" s="119"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48" t="str">
        <f>IF(I16="-","(1)","")</f>
        <v>(1)</v>
      </c>
      <c r="K16" s="119"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48" t="str">
        <f>IF(K16="-","(1)","")</f>
        <v>(1)</v>
      </c>
      <c r="M16" s="119"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48" t="str">
        <f>IF(M16="-","(1)","")</f>
        <v>(1)</v>
      </c>
      <c r="O16" s="119"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48" t="str">
        <f>IF(O16="-","(5)","")</f>
        <v>(5)</v>
      </c>
      <c r="Q16" s="119"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48" t="str">
        <f>IF(Q16="-","(5)","")</f>
        <v>(5)</v>
      </c>
      <c r="S16" s="119">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48" t="s">
        <v>2268</v>
      </c>
      <c r="U16" s="119">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49">
        <v>333</v>
      </c>
    </row>
    <row r="17" spans="1:24" ht="9" customHeight="1" x14ac:dyDescent="0.2">
      <c r="A17" s="113" t="s">
        <v>2264</v>
      </c>
      <c r="E17" s="119"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119"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119"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119"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119"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119"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119"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119"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119"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49">
        <v>362</v>
      </c>
    </row>
    <row r="18" spans="1:24" ht="9" customHeight="1" x14ac:dyDescent="0.2">
      <c r="A18" s="113" t="s">
        <v>2168</v>
      </c>
      <c r="E18" s="119"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119"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119"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119">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119">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119"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119"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119">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119"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49">
        <v>441</v>
      </c>
    </row>
    <row r="19" spans="1:24" ht="9" customHeight="1" x14ac:dyDescent="0.2">
      <c r="A19" s="113" t="s">
        <v>2169</v>
      </c>
      <c r="E19" s="119">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119">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119">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119">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119">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119">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119"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119"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119">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49">
        <v>517</v>
      </c>
    </row>
    <row r="20" spans="1:24" ht="9" customHeight="1" x14ac:dyDescent="0.2">
      <c r="A20" s="115" t="s">
        <v>804</v>
      </c>
      <c r="B20" s="111"/>
      <c r="C20" s="111"/>
      <c r="D20" s="111"/>
      <c r="E20" s="119"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119"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119"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119"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119"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119"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119"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119">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119"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49">
        <v>3510</v>
      </c>
    </row>
    <row r="21" spans="1:24" ht="9" customHeight="1" x14ac:dyDescent="0.2">
      <c r="A21" s="115" t="s">
        <v>805</v>
      </c>
      <c r="B21" s="111"/>
      <c r="C21" s="111"/>
      <c r="D21" s="111"/>
      <c r="E21" s="119"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119"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119"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119"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119"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119"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119"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119">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119"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49">
        <v>516</v>
      </c>
    </row>
    <row r="22" spans="1:24" ht="9" customHeight="1" x14ac:dyDescent="0.2">
      <c r="A22" s="113" t="s">
        <v>2170</v>
      </c>
      <c r="E22" s="119">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119">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119">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119">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119">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119">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119"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119">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119">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49">
        <v>527</v>
      </c>
    </row>
    <row r="23" spans="1:24" ht="9" customHeight="1" x14ac:dyDescent="0.2">
      <c r="A23" s="113" t="s">
        <v>2171</v>
      </c>
      <c r="E23" s="119">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119">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119">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119">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119">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119">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119"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119">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119">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49">
        <v>971</v>
      </c>
    </row>
    <row r="24" spans="1:24" ht="9" customHeight="1" x14ac:dyDescent="0.2">
      <c r="A24" s="113" t="s">
        <v>2172</v>
      </c>
      <c r="E24" s="119"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119"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119"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119">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119">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119"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119"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119"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119"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49">
        <v>1097</v>
      </c>
    </row>
    <row r="25" spans="1:24" ht="9" customHeight="1" x14ac:dyDescent="0.2">
      <c r="A25" s="115" t="s">
        <v>896</v>
      </c>
      <c r="B25" s="111"/>
      <c r="C25" s="111"/>
      <c r="D25" s="111"/>
      <c r="E25" s="119"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119"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119"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119"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119"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119"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119"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119">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119"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49">
        <v>2574</v>
      </c>
    </row>
    <row r="26" spans="1:24" ht="9" customHeight="1" x14ac:dyDescent="0.2">
      <c r="A26" s="115" t="s">
        <v>897</v>
      </c>
      <c r="B26" s="111"/>
      <c r="C26" s="111"/>
      <c r="D26" s="111"/>
      <c r="E26" s="119"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119"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119"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119"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119"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119"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119"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119"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119"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49">
        <v>2575</v>
      </c>
    </row>
    <row r="27" spans="1:24" ht="9" customHeight="1" x14ac:dyDescent="0.2">
      <c r="A27" s="113" t="s">
        <v>2173</v>
      </c>
      <c r="E27" s="119">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119">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119">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119">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119">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119">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119">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119">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119">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49">
        <v>1116</v>
      </c>
    </row>
    <row r="28" spans="1:24" ht="9" customHeight="1" x14ac:dyDescent="0.2">
      <c r="A28" s="113" t="s">
        <v>2174</v>
      </c>
      <c r="E28" s="119"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119">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119">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119">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119">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119">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119"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119">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119">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49">
        <v>1243</v>
      </c>
    </row>
    <row r="29" spans="1:24" ht="9" customHeight="1" x14ac:dyDescent="0.2">
      <c r="A29" s="113" t="s">
        <v>2175</v>
      </c>
      <c r="E29" s="119">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119">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119">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119">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119">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119">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119"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119">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119">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49">
        <v>1267</v>
      </c>
    </row>
    <row r="30" spans="1:24" ht="9" customHeight="1" x14ac:dyDescent="0.2">
      <c r="A30" s="113" t="s">
        <v>2266</v>
      </c>
      <c r="E30" s="119"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119"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119"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119"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119"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119"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119"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119"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119"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49">
        <v>1553</v>
      </c>
    </row>
    <row r="31" spans="1:24" ht="9" customHeight="1" x14ac:dyDescent="0.2">
      <c r="A31" s="113" t="s">
        <v>2265</v>
      </c>
      <c r="E31" s="119"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119">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119">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119"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48" t="str">
        <f>IF(K31="-","(1)","")</f>
        <v>(1)</v>
      </c>
      <c r="M31" s="119"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48" t="str">
        <f>IF(M31="-","(1)","")</f>
        <v>(1)</v>
      </c>
      <c r="O31" s="119">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119"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119"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119"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49">
        <v>1564</v>
      </c>
    </row>
    <row r="32" spans="1:24" ht="9" customHeight="1" x14ac:dyDescent="0.2">
      <c r="A32" s="113" t="s">
        <v>2176</v>
      </c>
      <c r="E32" s="119">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119">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119">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119"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48" t="str">
        <f>IF(K32="-","(1)","")</f>
        <v>(1)</v>
      </c>
      <c r="M32" s="119"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48" t="str">
        <f>IF(M32="-","(1)","")</f>
        <v>(1)</v>
      </c>
      <c r="O32" s="119">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119"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119"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119"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49">
        <v>1642</v>
      </c>
    </row>
    <row r="33" spans="1:24" ht="9" customHeight="1" x14ac:dyDescent="0.2">
      <c r="A33" s="113" t="s">
        <v>2177</v>
      </c>
      <c r="E33" s="119">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119">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119">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119">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119">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119">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119"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119">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119">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49">
        <v>1693</v>
      </c>
    </row>
    <row r="34" spans="1:24" ht="4.5" customHeight="1" x14ac:dyDescent="0.2">
      <c r="A34" s="142"/>
      <c r="B34" s="116"/>
      <c r="C34" s="116"/>
      <c r="D34" s="116"/>
      <c r="E34" s="120"/>
      <c r="F34" s="147"/>
      <c r="G34" s="120"/>
      <c r="H34" s="147"/>
      <c r="I34" s="120"/>
      <c r="J34" s="147"/>
      <c r="K34" s="120"/>
      <c r="L34" s="147"/>
      <c r="M34" s="120"/>
      <c r="N34" s="147"/>
      <c r="O34" s="120"/>
      <c r="P34" s="147"/>
      <c r="Q34" s="120"/>
      <c r="R34" s="147"/>
      <c r="S34" s="120"/>
      <c r="T34" s="147"/>
      <c r="U34" s="120"/>
      <c r="V34" s="147"/>
    </row>
    <row r="35" spans="1:24" ht="4.5" customHeight="1" x14ac:dyDescent="0.2">
      <c r="A35" s="141"/>
      <c r="B35" s="117"/>
      <c r="C35" s="117"/>
      <c r="D35" s="117"/>
      <c r="E35" s="121"/>
      <c r="F35" s="146"/>
      <c r="G35" s="121"/>
      <c r="H35" s="146"/>
      <c r="I35" s="121"/>
      <c r="J35" s="146"/>
      <c r="K35" s="121"/>
      <c r="L35" s="146"/>
      <c r="M35" s="121"/>
      <c r="N35" s="146"/>
      <c r="O35" s="121"/>
      <c r="P35" s="146"/>
      <c r="Q35" s="121"/>
      <c r="R35" s="146"/>
      <c r="S35" s="121"/>
      <c r="T35" s="146"/>
      <c r="U35" s="121"/>
      <c r="V35" s="146"/>
    </row>
    <row r="36" spans="1:24" ht="9" customHeight="1" x14ac:dyDescent="0.2">
      <c r="A36" s="114" t="s">
        <v>2179</v>
      </c>
      <c r="B36" s="108"/>
      <c r="C36" s="108"/>
      <c r="D36" s="108"/>
    </row>
    <row r="37" spans="1:24" ht="9" customHeight="1" x14ac:dyDescent="0.2">
      <c r="A37" s="113" t="s">
        <v>2180</v>
      </c>
      <c r="E37" s="119">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48" t="str">
        <f>IF(E37="-","(1)","")</f>
        <v/>
      </c>
      <c r="G37" s="119">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48" t="str">
        <f>IF(G37="-","(1)","")</f>
        <v/>
      </c>
      <c r="I37" s="119">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48" t="str">
        <f>IF(I37="-","(1)","")</f>
        <v/>
      </c>
      <c r="K37" s="119"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48" t="str">
        <f>IF(K37="-","(1)","")</f>
        <v>(1)</v>
      </c>
      <c r="M37" s="119"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48" t="str">
        <f>IF(M37="-","(1)","")</f>
        <v>(1)</v>
      </c>
      <c r="O37" s="119"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119"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119"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119"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49">
        <v>508</v>
      </c>
    </row>
    <row r="38" spans="1:24" ht="9" customHeight="1" x14ac:dyDescent="0.2">
      <c r="A38" s="113" t="s">
        <v>849</v>
      </c>
      <c r="E38" s="119"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119"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119">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119">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119">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119"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119"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119">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119">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49">
        <v>537</v>
      </c>
    </row>
    <row r="39" spans="1:24" ht="9" customHeight="1" x14ac:dyDescent="0.2">
      <c r="A39" s="113" t="s">
        <v>2403</v>
      </c>
      <c r="E39" s="119"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119"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119">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119">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119">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119"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119"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119">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119">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49">
        <v>2595</v>
      </c>
    </row>
    <row r="40" spans="1:24" ht="9" customHeight="1" x14ac:dyDescent="0.2">
      <c r="A40" s="113" t="s">
        <v>851</v>
      </c>
      <c r="E40" s="119"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119"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119">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119">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119">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119"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119"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119">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119">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49">
        <v>1556</v>
      </c>
    </row>
    <row r="41" spans="1:24" ht="4.5" customHeight="1" x14ac:dyDescent="0.2">
      <c r="A41" s="142"/>
      <c r="B41" s="116"/>
      <c r="C41" s="116"/>
      <c r="D41" s="116"/>
      <c r="E41" s="120"/>
      <c r="F41" s="147"/>
      <c r="G41" s="120"/>
      <c r="H41" s="147"/>
      <c r="I41" s="120"/>
      <c r="J41" s="147"/>
      <c r="K41" s="120"/>
      <c r="L41" s="147"/>
      <c r="M41" s="120"/>
      <c r="N41" s="147"/>
      <c r="O41" s="120"/>
      <c r="P41" s="147"/>
      <c r="Q41" s="120"/>
      <c r="R41" s="147"/>
      <c r="S41" s="120"/>
      <c r="T41" s="147"/>
      <c r="U41" s="120"/>
      <c r="V41" s="147"/>
    </row>
    <row r="42" spans="1:24" ht="4.5" customHeight="1" x14ac:dyDescent="0.2">
      <c r="A42" s="141"/>
      <c r="B42" s="117"/>
      <c r="C42" s="117"/>
      <c r="D42" s="117"/>
      <c r="E42" s="121"/>
      <c r="F42" s="146"/>
      <c r="G42" s="121"/>
      <c r="H42" s="146"/>
      <c r="I42" s="121"/>
      <c r="J42" s="146"/>
      <c r="K42" s="121"/>
      <c r="L42" s="146"/>
      <c r="M42" s="121"/>
      <c r="N42" s="146"/>
      <c r="O42" s="121"/>
      <c r="P42" s="146"/>
      <c r="Q42" s="121"/>
      <c r="R42" s="146"/>
      <c r="S42" s="121"/>
      <c r="T42" s="146"/>
      <c r="U42" s="121"/>
      <c r="V42" s="146"/>
    </row>
    <row r="43" spans="1:24" ht="9" customHeight="1" x14ac:dyDescent="0.2">
      <c r="A43" s="114" t="s">
        <v>2181</v>
      </c>
      <c r="B43" s="108"/>
      <c r="C43" s="108"/>
      <c r="D43" s="108"/>
    </row>
    <row r="44" spans="1:24" ht="9" customHeight="1" x14ac:dyDescent="0.2">
      <c r="A44" s="113" t="s">
        <v>117</v>
      </c>
      <c r="E44" s="119"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119"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119"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119"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119"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119"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119"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119"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119">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49">
        <v>342</v>
      </c>
    </row>
    <row r="45" spans="1:24" ht="9" customHeight="1" x14ac:dyDescent="0.2">
      <c r="A45" s="113" t="s">
        <v>119</v>
      </c>
      <c r="E45" s="119"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119"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119"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119">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119">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119"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119"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119">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119">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49">
        <v>728</v>
      </c>
    </row>
    <row r="46" spans="1:24" ht="9" customHeight="1" x14ac:dyDescent="0.2">
      <c r="A46" s="113" t="s">
        <v>2191</v>
      </c>
      <c r="E46" s="119"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119"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119"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119">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119">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119"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119"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119">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119">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49">
        <v>1568</v>
      </c>
    </row>
    <row r="47" spans="1:24" ht="9" customHeight="1" x14ac:dyDescent="0.2">
      <c r="A47" s="113" t="s">
        <v>2193</v>
      </c>
      <c r="E47" s="119"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119"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119"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119">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119">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119"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119"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119">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119">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49">
        <v>1686</v>
      </c>
    </row>
    <row r="48" spans="1:24" ht="9" customHeight="1" x14ac:dyDescent="0.2">
      <c r="A48" s="113" t="s">
        <v>820</v>
      </c>
      <c r="E48" s="119"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119"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119"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119">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119">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119"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119"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119">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119">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49">
        <v>1503</v>
      </c>
    </row>
    <row r="49" spans="1:25" ht="9" customHeight="1" x14ac:dyDescent="0.2">
      <c r="A49" s="113" t="s">
        <v>2192</v>
      </c>
      <c r="E49" s="119"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119"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119"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119">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119">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119"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119"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119">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119">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49">
        <v>751</v>
      </c>
    </row>
    <row r="50" spans="1:25" ht="9" customHeight="1" x14ac:dyDescent="0.2">
      <c r="A50" s="113" t="s">
        <v>2194</v>
      </c>
      <c r="E50" s="119"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119"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119"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119">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119">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119"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119"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119">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119">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49">
        <v>531</v>
      </c>
    </row>
    <row r="51" spans="1:25" ht="9" customHeight="1" x14ac:dyDescent="0.2">
      <c r="A51" s="113" t="s">
        <v>2182</v>
      </c>
      <c r="E51" s="119"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119"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119"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119"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48" t="str">
        <f t="shared" ref="L51:L66" si="0">IF(K51="-","(1)","")</f>
        <v>(1)</v>
      </c>
      <c r="M51" s="119"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48" t="str">
        <f t="shared" ref="N51:N66" si="1">IF(M51="-","(1)","")</f>
        <v>(1)</v>
      </c>
      <c r="O51" s="119"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119"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119"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119"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49">
        <v>2159</v>
      </c>
    </row>
    <row r="52" spans="1:25" ht="9" customHeight="1" x14ac:dyDescent="0.2">
      <c r="A52" s="113" t="s">
        <v>2183</v>
      </c>
      <c r="E52" s="119"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119"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119"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119"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48" t="str">
        <f t="shared" si="0"/>
        <v>(1)</v>
      </c>
      <c r="M52" s="119"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48" t="str">
        <f t="shared" si="1"/>
        <v>(1)</v>
      </c>
      <c r="O52" s="119"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119"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119"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119"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49">
        <v>29</v>
      </c>
    </row>
    <row r="53" spans="1:25" ht="9" customHeight="1" x14ac:dyDescent="0.2">
      <c r="A53" s="113" t="s">
        <v>2184</v>
      </c>
      <c r="E53" s="119"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119"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119"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119"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48" t="str">
        <f t="shared" si="0"/>
        <v>(1)</v>
      </c>
      <c r="M53" s="119"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48" t="str">
        <f t="shared" si="1"/>
        <v>(1)</v>
      </c>
      <c r="O53" s="119"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119"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119"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119"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49">
        <v>33</v>
      </c>
    </row>
    <row r="54" spans="1:25" ht="9" customHeight="1" x14ac:dyDescent="0.2">
      <c r="A54" s="113" t="s">
        <v>2185</v>
      </c>
      <c r="E54" s="119"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119"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119"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119"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48" t="str">
        <f t="shared" si="0"/>
        <v>(1)</v>
      </c>
      <c r="M54" s="119"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48" t="str">
        <f t="shared" si="1"/>
        <v>(1)</v>
      </c>
      <c r="O54" s="119"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119"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119"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119"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49">
        <v>45</v>
      </c>
    </row>
    <row r="55" spans="1:25" ht="9" customHeight="1" x14ac:dyDescent="0.2">
      <c r="A55" s="113" t="s">
        <v>2186</v>
      </c>
      <c r="E55" s="119"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119"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119"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119"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48" t="str">
        <f t="shared" si="0"/>
        <v>(1)</v>
      </c>
      <c r="M55" s="119"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48" t="str">
        <f t="shared" si="1"/>
        <v>(1)</v>
      </c>
      <c r="O55" s="119"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119"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119"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119"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49">
        <v>154</v>
      </c>
    </row>
    <row r="56" spans="1:25" ht="9" customHeight="1" x14ac:dyDescent="0.2">
      <c r="A56" s="113" t="s">
        <v>2187</v>
      </c>
      <c r="E56" s="119"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119"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119"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119"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48" t="str">
        <f t="shared" si="0"/>
        <v>(1)</v>
      </c>
      <c r="M56" s="119"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48" t="str">
        <f t="shared" si="1"/>
        <v>(1)</v>
      </c>
      <c r="O56" s="119"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119"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119"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119"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49">
        <v>202</v>
      </c>
    </row>
    <row r="57" spans="1:25" ht="9" customHeight="1" x14ac:dyDescent="0.2">
      <c r="A57" s="113" t="s">
        <v>2188</v>
      </c>
      <c r="E57" s="119"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119"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119"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119"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48" t="str">
        <f t="shared" si="0"/>
        <v>(1)</v>
      </c>
      <c r="M57" s="119"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48" t="str">
        <f t="shared" si="1"/>
        <v>(1)</v>
      </c>
      <c r="O57" s="119"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119"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119"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119"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49">
        <v>232</v>
      </c>
    </row>
    <row r="58" spans="1:25" ht="4.5" customHeight="1" x14ac:dyDescent="0.2">
      <c r="A58" s="124"/>
      <c r="B58" s="124"/>
      <c r="C58" s="124"/>
      <c r="D58" s="124"/>
      <c r="E58" s="125"/>
      <c r="F58" s="143"/>
      <c r="G58" s="125"/>
      <c r="H58" s="143"/>
      <c r="I58" s="125"/>
      <c r="J58" s="143"/>
      <c r="K58" s="125"/>
      <c r="L58" s="143"/>
      <c r="M58" s="125"/>
      <c r="N58" s="143"/>
      <c r="O58" s="125"/>
      <c r="P58" s="143"/>
      <c r="Q58" s="125"/>
      <c r="R58" s="143"/>
      <c r="S58" s="125"/>
      <c r="T58" s="143"/>
      <c r="U58" s="125"/>
      <c r="V58" s="143"/>
      <c r="W58" s="110"/>
      <c r="Y58" s="110"/>
    </row>
    <row r="59" spans="1:25" s="164" customFormat="1" ht="45" customHeight="1" x14ac:dyDescent="0.2">
      <c r="A59" s="161"/>
      <c r="B59" s="162"/>
      <c r="C59" s="162"/>
      <c r="D59" s="162"/>
      <c r="E59" s="207" t="s">
        <v>2153</v>
      </c>
      <c r="F59" s="207"/>
      <c r="G59" s="207" t="s">
        <v>2154</v>
      </c>
      <c r="H59" s="207"/>
      <c r="I59" s="207" t="s">
        <v>2155</v>
      </c>
      <c r="J59" s="207"/>
      <c r="K59" s="207" t="s">
        <v>2156</v>
      </c>
      <c r="L59" s="207"/>
      <c r="M59" s="207" t="s">
        <v>2157</v>
      </c>
      <c r="N59" s="207"/>
      <c r="O59" s="207" t="s">
        <v>2158</v>
      </c>
      <c r="P59" s="207"/>
      <c r="Q59" s="207" t="s">
        <v>2159</v>
      </c>
      <c r="R59" s="207"/>
      <c r="S59" s="207" t="s">
        <v>875</v>
      </c>
      <c r="T59" s="207"/>
      <c r="U59" s="207" t="s">
        <v>2163</v>
      </c>
      <c r="V59" s="207"/>
      <c r="W59" s="163"/>
      <c r="Y59" s="163"/>
    </row>
    <row r="60" spans="1:25" ht="9" customHeight="1" x14ac:dyDescent="0.2">
      <c r="A60" s="112"/>
      <c r="B60" s="109"/>
      <c r="C60" s="109"/>
      <c r="D60" s="109"/>
      <c r="E60" s="118"/>
      <c r="F60" s="144"/>
      <c r="G60" s="118"/>
      <c r="H60" s="144"/>
      <c r="I60" s="118"/>
      <c r="J60" s="144"/>
      <c r="K60" s="118"/>
      <c r="L60" s="144"/>
      <c r="M60" s="118"/>
      <c r="N60" s="144"/>
      <c r="O60" s="118"/>
      <c r="P60" s="144"/>
      <c r="Q60" s="118"/>
      <c r="R60" s="144"/>
      <c r="S60" s="118"/>
      <c r="T60" s="144"/>
      <c r="U60" s="118"/>
      <c r="V60" s="144"/>
      <c r="W60" s="110"/>
      <c r="Y60" s="110"/>
    </row>
    <row r="61" spans="1:25" ht="9" customHeight="1" x14ac:dyDescent="0.2">
      <c r="A61" s="112" t="s">
        <v>2160</v>
      </c>
      <c r="B61" s="109"/>
      <c r="C61" s="109"/>
      <c r="D61" s="109"/>
      <c r="E61" s="206" t="s">
        <v>2161</v>
      </c>
      <c r="F61" s="206"/>
      <c r="G61" s="206" t="s">
        <v>2161</v>
      </c>
      <c r="H61" s="206"/>
      <c r="I61" s="206" t="s">
        <v>2161</v>
      </c>
      <c r="J61" s="206"/>
      <c r="K61" s="206" t="s">
        <v>2161</v>
      </c>
      <c r="L61" s="206"/>
      <c r="M61" s="206" t="s">
        <v>2161</v>
      </c>
      <c r="N61" s="206"/>
      <c r="O61" s="206" t="s">
        <v>2161</v>
      </c>
      <c r="P61" s="206"/>
      <c r="Q61" s="206" t="s">
        <v>2161</v>
      </c>
      <c r="R61" s="206"/>
      <c r="S61" s="206" t="s">
        <v>2161</v>
      </c>
      <c r="T61" s="206"/>
      <c r="U61" s="206" t="s">
        <v>2162</v>
      </c>
      <c r="V61" s="206"/>
      <c r="W61" s="110"/>
      <c r="X61" s="119" t="s">
        <v>0</v>
      </c>
      <c r="Y61" s="110"/>
    </row>
    <row r="62" spans="1:25" ht="4.5" customHeight="1" x14ac:dyDescent="0.2">
      <c r="A62" s="140"/>
      <c r="B62" s="122"/>
      <c r="C62" s="122"/>
      <c r="D62" s="122"/>
      <c r="E62" s="123"/>
      <c r="F62" s="145"/>
      <c r="G62" s="123"/>
      <c r="H62" s="145"/>
      <c r="I62" s="123"/>
      <c r="J62" s="145"/>
      <c r="K62" s="123"/>
      <c r="L62" s="145"/>
      <c r="M62" s="123"/>
      <c r="N62" s="145"/>
      <c r="O62" s="123"/>
      <c r="P62" s="145"/>
      <c r="Q62" s="123"/>
      <c r="R62" s="145"/>
      <c r="S62" s="123"/>
      <c r="T62" s="145"/>
      <c r="U62" s="123"/>
      <c r="V62" s="145"/>
      <c r="W62" s="110"/>
      <c r="Y62" s="110"/>
    </row>
    <row r="63" spans="1:25" ht="4.5" customHeight="1" x14ac:dyDescent="0.2">
      <c r="A63" s="141"/>
      <c r="B63" s="117"/>
      <c r="C63" s="117"/>
      <c r="D63" s="117"/>
      <c r="E63" s="121"/>
      <c r="F63" s="146"/>
      <c r="G63" s="121"/>
      <c r="H63" s="146"/>
      <c r="I63" s="121"/>
      <c r="J63" s="146"/>
      <c r="K63" s="121"/>
      <c r="L63" s="146"/>
      <c r="M63" s="121"/>
      <c r="N63" s="146"/>
      <c r="O63" s="121"/>
      <c r="P63" s="146"/>
      <c r="Q63" s="121"/>
      <c r="R63" s="146"/>
      <c r="S63" s="121"/>
      <c r="T63" s="146"/>
      <c r="U63" s="121"/>
      <c r="V63" s="146"/>
    </row>
    <row r="64" spans="1:25" ht="9" customHeight="1" x14ac:dyDescent="0.2">
      <c r="A64" s="113" t="s">
        <v>2189</v>
      </c>
      <c r="E64" s="119"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119"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119"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119"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48" t="str">
        <f t="shared" si="0"/>
        <v>(1)</v>
      </c>
      <c r="M64" s="119"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48" t="str">
        <f t="shared" si="1"/>
        <v>(1)</v>
      </c>
      <c r="O64" s="119"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119"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119"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119"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49">
        <v>903</v>
      </c>
    </row>
    <row r="65" spans="1:24" ht="9" customHeight="1" x14ac:dyDescent="0.2">
      <c r="A65" s="113" t="s">
        <v>2190</v>
      </c>
      <c r="E65" s="119"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119"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119"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119"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48" t="str">
        <f t="shared" si="0"/>
        <v>(1)</v>
      </c>
      <c r="M65" s="119"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48" t="str">
        <f t="shared" si="1"/>
        <v>(1)</v>
      </c>
      <c r="O65" s="119"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119"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119"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119"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49">
        <v>1434</v>
      </c>
    </row>
    <row r="66" spans="1:24" ht="9" customHeight="1" x14ac:dyDescent="0.2">
      <c r="A66" s="113" t="s">
        <v>2195</v>
      </c>
      <c r="E66" s="119"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119"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119"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119"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48" t="str">
        <f t="shared" si="0"/>
        <v>(1)</v>
      </c>
      <c r="M66" s="119"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48" t="str">
        <f t="shared" si="1"/>
        <v>(1)</v>
      </c>
      <c r="O66" s="119"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119"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119"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119"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49">
        <v>2719</v>
      </c>
    </row>
    <row r="67" spans="1:24" ht="4.5" customHeight="1" x14ac:dyDescent="0.2">
      <c r="A67" s="142"/>
      <c r="B67" s="116"/>
      <c r="C67" s="116"/>
      <c r="D67" s="116"/>
      <c r="E67" s="120"/>
      <c r="F67" s="147"/>
      <c r="G67" s="120"/>
      <c r="H67" s="147"/>
      <c r="I67" s="120"/>
      <c r="J67" s="147"/>
      <c r="K67" s="120"/>
      <c r="L67" s="147"/>
      <c r="M67" s="120"/>
      <c r="N67" s="147"/>
      <c r="O67" s="120"/>
      <c r="P67" s="147"/>
      <c r="Q67" s="120"/>
      <c r="R67" s="147"/>
      <c r="S67" s="120"/>
      <c r="T67" s="147"/>
      <c r="U67" s="120"/>
      <c r="V67" s="147"/>
    </row>
    <row r="68" spans="1:24" ht="4.5" customHeight="1" x14ac:dyDescent="0.2">
      <c r="A68" s="141"/>
      <c r="B68" s="117"/>
      <c r="C68" s="117"/>
      <c r="D68" s="117"/>
      <c r="E68" s="121"/>
      <c r="F68" s="146"/>
      <c r="G68" s="121"/>
      <c r="H68" s="146"/>
      <c r="I68" s="121"/>
      <c r="J68" s="146"/>
      <c r="K68" s="121"/>
      <c r="L68" s="146"/>
      <c r="M68" s="121"/>
      <c r="N68" s="146"/>
      <c r="O68" s="121"/>
      <c r="P68" s="146"/>
      <c r="Q68" s="121"/>
      <c r="R68" s="146"/>
      <c r="S68" s="121"/>
      <c r="T68" s="146"/>
      <c r="U68" s="121"/>
      <c r="V68" s="146"/>
    </row>
    <row r="69" spans="1:24" ht="9" customHeight="1" x14ac:dyDescent="0.2">
      <c r="A69" s="114" t="s">
        <v>2196</v>
      </c>
      <c r="B69" s="108"/>
      <c r="C69" s="108"/>
      <c r="D69" s="108"/>
    </row>
    <row r="70" spans="1:24" ht="9" customHeight="1" x14ac:dyDescent="0.2">
      <c r="A70" s="113" t="s">
        <v>10</v>
      </c>
      <c r="E70" s="119"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48" t="str">
        <f t="shared" ref="F70:F79" si="2">IF(E70="-","(1)","")</f>
        <v>(1)</v>
      </c>
      <c r="G70" s="119"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48" t="str">
        <f t="shared" ref="H70:H79" si="3">IF(G70="-","(1)","")</f>
        <v>(1)</v>
      </c>
      <c r="I70" s="119"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48" t="str">
        <f t="shared" ref="J70:J79" si="4">IF(I70="-","(1)","")</f>
        <v>(1)</v>
      </c>
      <c r="K70" s="119"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48" t="str">
        <f t="shared" ref="L70:L79" si="5">IF(K70="-","(1)","")</f>
        <v>(1)</v>
      </c>
      <c r="M70" s="119"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48" t="str">
        <f t="shared" ref="N70:N79" si="6">IF(M70="-","(1)","")</f>
        <v>(1)</v>
      </c>
      <c r="O70" s="119"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119"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119"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119">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49">
        <v>1259</v>
      </c>
    </row>
    <row r="71" spans="1:24" ht="9" customHeight="1" x14ac:dyDescent="0.2">
      <c r="A71" s="113" t="s">
        <v>12</v>
      </c>
      <c r="E71" s="119"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48" t="str">
        <f t="shared" si="2"/>
        <v>(1)</v>
      </c>
      <c r="G71" s="119"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48" t="str">
        <f t="shared" si="3"/>
        <v>(1)</v>
      </c>
      <c r="I71" s="119"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48" t="str">
        <f t="shared" si="4"/>
        <v>(1)</v>
      </c>
      <c r="K71" s="119"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48" t="str">
        <f t="shared" si="5"/>
        <v>(1)</v>
      </c>
      <c r="M71" s="119"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48" t="str">
        <f t="shared" si="6"/>
        <v>(1)</v>
      </c>
      <c r="O71" s="119"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119"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119"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119"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49">
        <v>746</v>
      </c>
    </row>
    <row r="72" spans="1:24" ht="9" customHeight="1" x14ac:dyDescent="0.2">
      <c r="A72" s="113" t="s">
        <v>11</v>
      </c>
      <c r="E72" s="119"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48" t="str">
        <f t="shared" si="2"/>
        <v>(1)</v>
      </c>
      <c r="G72" s="119"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48" t="str">
        <f t="shared" si="3"/>
        <v>(1)</v>
      </c>
      <c r="I72" s="119"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48" t="str">
        <f t="shared" si="4"/>
        <v>(1)</v>
      </c>
      <c r="K72" s="119"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48" t="str">
        <f t="shared" si="5"/>
        <v>(1)</v>
      </c>
      <c r="M72" s="119"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48" t="str">
        <f t="shared" si="6"/>
        <v>(1)</v>
      </c>
      <c r="O72" s="119"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119"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119"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119"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49">
        <v>299</v>
      </c>
    </row>
    <row r="73" spans="1:24" ht="9" customHeight="1" x14ac:dyDescent="0.2">
      <c r="A73" s="113" t="s">
        <v>2197</v>
      </c>
      <c r="E73" s="119"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48" t="str">
        <f t="shared" si="2"/>
        <v>(1)</v>
      </c>
      <c r="G73" s="119"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48" t="str">
        <f t="shared" si="3"/>
        <v>(1)</v>
      </c>
      <c r="I73" s="119"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48" t="str">
        <f t="shared" si="4"/>
        <v>(1)</v>
      </c>
      <c r="K73" s="119"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48" t="str">
        <f t="shared" si="5"/>
        <v>(1)</v>
      </c>
      <c r="M73" s="119"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48" t="str">
        <f t="shared" si="6"/>
        <v>(1)</v>
      </c>
      <c r="O73" s="119"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119"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119"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119"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49">
        <v>775</v>
      </c>
    </row>
    <row r="74" spans="1:24" ht="9" customHeight="1" x14ac:dyDescent="0.2">
      <c r="A74" s="113" t="s">
        <v>15</v>
      </c>
      <c r="E74" s="119"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48" t="str">
        <f t="shared" si="2"/>
        <v>(1)</v>
      </c>
      <c r="G74" s="119"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48" t="str">
        <f t="shared" si="3"/>
        <v>(1)</v>
      </c>
      <c r="I74" s="119"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48" t="str">
        <f t="shared" si="4"/>
        <v>(1)</v>
      </c>
      <c r="K74" s="119"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48" t="str">
        <f t="shared" si="5"/>
        <v>(1)</v>
      </c>
      <c r="M74" s="119"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48" t="str">
        <f t="shared" si="6"/>
        <v>(1)</v>
      </c>
      <c r="O74" s="119"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119"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119"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119"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49">
        <v>518</v>
      </c>
    </row>
    <row r="75" spans="1:24" ht="9" customHeight="1" x14ac:dyDescent="0.2">
      <c r="A75" s="113" t="s">
        <v>14</v>
      </c>
      <c r="E75" s="119"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48" t="str">
        <f t="shared" si="2"/>
        <v>(1)</v>
      </c>
      <c r="G75" s="119"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48" t="str">
        <f t="shared" si="3"/>
        <v>(1)</v>
      </c>
      <c r="I75" s="119"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48" t="str">
        <f t="shared" si="4"/>
        <v>(1)</v>
      </c>
      <c r="K75" s="119"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48" t="str">
        <f t="shared" si="5"/>
        <v>(1)</v>
      </c>
      <c r="M75" s="119"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48" t="str">
        <f t="shared" si="6"/>
        <v>(1)</v>
      </c>
      <c r="O75" s="119"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119"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119"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119"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49">
        <v>345</v>
      </c>
    </row>
    <row r="76" spans="1:24" ht="9" customHeight="1" x14ac:dyDescent="0.2">
      <c r="A76" s="113" t="s">
        <v>16</v>
      </c>
      <c r="E76" s="119"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48" t="str">
        <f t="shared" si="2"/>
        <v>(1)</v>
      </c>
      <c r="G76" s="119"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48" t="str">
        <f t="shared" si="3"/>
        <v>(1)</v>
      </c>
      <c r="I76" s="119"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48" t="str">
        <f t="shared" si="4"/>
        <v>(1)</v>
      </c>
      <c r="K76" s="119"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48" t="str">
        <f t="shared" si="5"/>
        <v>(1)</v>
      </c>
      <c r="M76" s="119"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48" t="str">
        <f t="shared" si="6"/>
        <v>(1)</v>
      </c>
      <c r="O76" s="119"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119"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119"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119"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49">
        <v>346</v>
      </c>
    </row>
    <row r="77" spans="1:24" ht="9" customHeight="1" x14ac:dyDescent="0.2">
      <c r="A77" s="113" t="s">
        <v>2198</v>
      </c>
      <c r="E77" s="119"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48" t="str">
        <f t="shared" si="2"/>
        <v>(1)</v>
      </c>
      <c r="G77" s="119"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48" t="str">
        <f t="shared" si="3"/>
        <v>(1)</v>
      </c>
      <c r="I77" s="119"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48" t="str">
        <f t="shared" si="4"/>
        <v>(1)</v>
      </c>
      <c r="K77" s="119"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48" t="str">
        <f t="shared" si="5"/>
        <v>(1)</v>
      </c>
      <c r="M77" s="119"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48" t="str">
        <f t="shared" si="6"/>
        <v>(1)</v>
      </c>
      <c r="O77" s="119"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119"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119"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119"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49">
        <v>353</v>
      </c>
    </row>
    <row r="78" spans="1:24" ht="9" customHeight="1" x14ac:dyDescent="0.2">
      <c r="A78" s="113" t="s">
        <v>19</v>
      </c>
      <c r="E78" s="119"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48" t="str">
        <f t="shared" si="2"/>
        <v>(1)</v>
      </c>
      <c r="G78" s="119"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48" t="str">
        <f t="shared" si="3"/>
        <v>(1)</v>
      </c>
      <c r="I78" s="119"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48" t="str">
        <f t="shared" si="4"/>
        <v>(1)</v>
      </c>
      <c r="K78" s="119"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48" t="str">
        <f t="shared" si="5"/>
        <v>(1)</v>
      </c>
      <c r="M78" s="119"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48" t="str">
        <f t="shared" si="6"/>
        <v>(1)</v>
      </c>
      <c r="O78" s="119"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119"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119"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119"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49">
        <v>882</v>
      </c>
    </row>
    <row r="79" spans="1:24" ht="9" customHeight="1" x14ac:dyDescent="0.2">
      <c r="A79" s="113" t="s">
        <v>17</v>
      </c>
      <c r="E79" s="119"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48" t="str">
        <f t="shared" si="2"/>
        <v>(1)</v>
      </c>
      <c r="G79" s="119"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48" t="str">
        <f t="shared" si="3"/>
        <v>(1)</v>
      </c>
      <c r="I79" s="119"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48" t="str">
        <f t="shared" si="4"/>
        <v>(1)</v>
      </c>
      <c r="K79" s="119"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48" t="str">
        <f t="shared" si="5"/>
        <v>(1)</v>
      </c>
      <c r="M79" s="119"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48" t="str">
        <f t="shared" si="6"/>
        <v>(1)</v>
      </c>
      <c r="O79" s="119"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119"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119"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119"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49">
        <v>351</v>
      </c>
    </row>
    <row r="80" spans="1:24" ht="9" customHeight="1" x14ac:dyDescent="0.2">
      <c r="A80" s="113" t="s">
        <v>2199</v>
      </c>
      <c r="E80" s="119"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119"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119">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119">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119">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119"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119"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119">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119"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49">
        <v>1352</v>
      </c>
    </row>
    <row r="81" spans="1:24" ht="4.5" customHeight="1" x14ac:dyDescent="0.2">
      <c r="A81" s="142"/>
      <c r="B81" s="116"/>
      <c r="C81" s="116"/>
      <c r="D81" s="116"/>
      <c r="E81" s="120"/>
      <c r="F81" s="147"/>
      <c r="G81" s="120"/>
      <c r="H81" s="147"/>
      <c r="I81" s="120"/>
      <c r="J81" s="147"/>
      <c r="K81" s="120"/>
      <c r="L81" s="147"/>
      <c r="M81" s="120"/>
      <c r="N81" s="147"/>
      <c r="O81" s="120"/>
      <c r="P81" s="147"/>
      <c r="Q81" s="120"/>
      <c r="R81" s="147"/>
      <c r="S81" s="120"/>
      <c r="T81" s="147"/>
      <c r="U81" s="120"/>
      <c r="V81" s="147"/>
    </row>
    <row r="82" spans="1:24" ht="4.5" customHeight="1" x14ac:dyDescent="0.2">
      <c r="A82" s="141"/>
      <c r="B82" s="117"/>
      <c r="C82" s="117"/>
      <c r="D82" s="117"/>
      <c r="E82" s="121"/>
      <c r="F82" s="146"/>
      <c r="G82" s="121"/>
      <c r="H82" s="146"/>
      <c r="I82" s="121"/>
      <c r="J82" s="146"/>
      <c r="K82" s="121"/>
      <c r="L82" s="146"/>
      <c r="M82" s="121"/>
      <c r="N82" s="146"/>
      <c r="O82" s="121"/>
      <c r="P82" s="146"/>
      <c r="Q82" s="121"/>
      <c r="R82" s="146"/>
      <c r="S82" s="121"/>
      <c r="T82" s="146"/>
      <c r="U82" s="121"/>
      <c r="V82" s="146"/>
    </row>
    <row r="83" spans="1:24" ht="9" customHeight="1" x14ac:dyDescent="0.2">
      <c r="A83" s="114" t="s">
        <v>2200</v>
      </c>
      <c r="B83" s="108"/>
      <c r="C83" s="108"/>
      <c r="D83" s="108"/>
    </row>
    <row r="84" spans="1:24" ht="9" customHeight="1" x14ac:dyDescent="0.2">
      <c r="A84" s="114" t="s">
        <v>2201</v>
      </c>
      <c r="B84" s="108"/>
      <c r="C84" s="108"/>
      <c r="D84" s="108"/>
    </row>
    <row r="85" spans="1:24" ht="9" customHeight="1" x14ac:dyDescent="0.2">
      <c r="A85" s="113" t="s">
        <v>2202</v>
      </c>
      <c r="E85" s="119"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119"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119"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119"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119"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119"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119"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119"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119"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49">
        <v>1654</v>
      </c>
    </row>
    <row r="86" spans="1:24" ht="9" customHeight="1" x14ac:dyDescent="0.2">
      <c r="A86" s="113" t="s">
        <v>543</v>
      </c>
      <c r="E86" s="119"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119"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119"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119"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119"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119"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119"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119"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119">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49">
        <v>619</v>
      </c>
    </row>
    <row r="87" spans="1:24" ht="9" customHeight="1" x14ac:dyDescent="0.2">
      <c r="A87" s="113" t="s">
        <v>541</v>
      </c>
      <c r="E87" s="119"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119"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119"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119">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119">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119"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119"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119">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119">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49">
        <v>8</v>
      </c>
    </row>
    <row r="88" spans="1:24" ht="9" customHeight="1" x14ac:dyDescent="0.2">
      <c r="A88" s="113" t="s">
        <v>544</v>
      </c>
      <c r="E88" s="119"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119"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119"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119"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119"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119"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119"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119"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119">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49">
        <v>36</v>
      </c>
    </row>
    <row r="89" spans="1:24" ht="9" customHeight="1" x14ac:dyDescent="0.2">
      <c r="A89" s="113" t="s">
        <v>2203</v>
      </c>
      <c r="E89" s="119"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119"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119"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119"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119"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119"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119"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119"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119">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49">
        <v>9</v>
      </c>
    </row>
    <row r="90" spans="1:24" ht="9" customHeight="1" x14ac:dyDescent="0.2">
      <c r="A90" s="113" t="s">
        <v>2205</v>
      </c>
      <c r="E90" s="119"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119"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119"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119"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119"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119"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119"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119"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119">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49">
        <v>519</v>
      </c>
    </row>
    <row r="91" spans="1:24" ht="9" customHeight="1" x14ac:dyDescent="0.2">
      <c r="A91" s="113" t="s">
        <v>2204</v>
      </c>
      <c r="E91" s="119"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119"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119"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119"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119"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119"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119"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119"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119">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49">
        <v>4935</v>
      </c>
    </row>
    <row r="92" spans="1:24" ht="9" customHeight="1" x14ac:dyDescent="0.2">
      <c r="A92" s="113" t="s">
        <v>553</v>
      </c>
      <c r="E92" s="119"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119"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119"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119"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119"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119"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119"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119"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119">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49">
        <v>1711</v>
      </c>
    </row>
    <row r="93" spans="1:24" ht="9" customHeight="1" x14ac:dyDescent="0.2">
      <c r="A93" s="113" t="s">
        <v>554</v>
      </c>
      <c r="E93" s="119"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119"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119"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119">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119">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119"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119"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119">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119">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49">
        <v>4</v>
      </c>
    </row>
    <row r="94" spans="1:24" ht="9" customHeight="1" x14ac:dyDescent="0.2">
      <c r="A94" s="113" t="s">
        <v>555</v>
      </c>
      <c r="E94" s="119"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119"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119"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119">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119">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119"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119"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119">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119">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49">
        <v>6</v>
      </c>
    </row>
    <row r="95" spans="1:24" ht="9" customHeight="1" x14ac:dyDescent="0.2">
      <c r="A95" s="113" t="s">
        <v>556</v>
      </c>
      <c r="E95" s="119"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119"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119"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119"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119"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119"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119"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119"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119">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49">
        <v>1598</v>
      </c>
    </row>
    <row r="96" spans="1:24" ht="9" customHeight="1" x14ac:dyDescent="0.2">
      <c r="A96" s="113" t="s">
        <v>557</v>
      </c>
      <c r="E96" s="119"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119"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119"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119"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119"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119"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119"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119"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119">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49">
        <v>1538</v>
      </c>
    </row>
    <row r="97" spans="1:25" ht="9" customHeight="1" x14ac:dyDescent="0.2">
      <c r="A97" s="113" t="s">
        <v>558</v>
      </c>
      <c r="E97" s="119"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119"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119"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119"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119"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119"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119"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119"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119">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49">
        <v>1536</v>
      </c>
    </row>
    <row r="98" spans="1:25" ht="4.5" customHeight="1" x14ac:dyDescent="0.2">
      <c r="A98" s="113"/>
    </row>
    <row r="99" spans="1:25" ht="9" customHeight="1" x14ac:dyDescent="0.2">
      <c r="A99" s="114" t="s">
        <v>2211</v>
      </c>
      <c r="B99" s="108"/>
      <c r="C99" s="108"/>
      <c r="D99" s="108"/>
    </row>
    <row r="100" spans="1:25" ht="9" customHeight="1" x14ac:dyDescent="0.2">
      <c r="A100" s="113" t="s">
        <v>631</v>
      </c>
      <c r="E100" s="119"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119"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119"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119">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119">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119"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119"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119">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119">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49">
        <v>1246</v>
      </c>
    </row>
    <row r="101" spans="1:25" ht="9" customHeight="1" x14ac:dyDescent="0.2">
      <c r="A101" s="113" t="s">
        <v>2206</v>
      </c>
      <c r="E101" s="119"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119"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119"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119">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119">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119"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119"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119">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119">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49">
        <v>607</v>
      </c>
    </row>
    <row r="102" spans="1:25" ht="9" customHeight="1" x14ac:dyDescent="0.2">
      <c r="A102" s="113" t="s">
        <v>2207</v>
      </c>
      <c r="E102" s="119"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119"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119"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119">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119">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119"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119"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119">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119">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49">
        <v>1595</v>
      </c>
    </row>
    <row r="103" spans="1:25" ht="9" customHeight="1" x14ac:dyDescent="0.2">
      <c r="A103" s="113" t="s">
        <v>2208</v>
      </c>
      <c r="E103" s="119"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119"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119"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119"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119"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119"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119"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119"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119"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49">
        <v>1533</v>
      </c>
    </row>
    <row r="104" spans="1:25" ht="9" customHeight="1" x14ac:dyDescent="0.2">
      <c r="A104" s="113" t="s">
        <v>829</v>
      </c>
      <c r="E104" s="119"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119"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119"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119"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119"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119"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119"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119"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119"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49">
        <v>1387</v>
      </c>
    </row>
    <row r="105" spans="1:25" ht="9" customHeight="1" x14ac:dyDescent="0.2">
      <c r="A105" s="113" t="s">
        <v>91</v>
      </c>
      <c r="E105" s="119"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119"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119"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119"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119"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119"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119"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119"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119"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49">
        <v>861</v>
      </c>
    </row>
    <row r="106" spans="1:25" ht="9" customHeight="1" x14ac:dyDescent="0.2">
      <c r="A106" s="113" t="s">
        <v>2209</v>
      </c>
      <c r="E106" s="119"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48" t="str">
        <f>IF(E106="-","(1)","")</f>
        <v>(1)</v>
      </c>
      <c r="G106" s="119"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48" t="str">
        <f>IF(G106="-","(1)","")</f>
        <v>(1)</v>
      </c>
      <c r="I106" s="119"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48" t="str">
        <f>IF(I106="-","(1)","")</f>
        <v>(1)</v>
      </c>
      <c r="K106" s="119"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48" t="str">
        <f>IF(K106="-","(1)","")</f>
        <v>(1)</v>
      </c>
      <c r="M106" s="119"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48" t="str">
        <f>IF(M106="-","(1)","")</f>
        <v>(1)</v>
      </c>
      <c r="O106" s="119"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119"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119"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119"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49">
        <v>4318</v>
      </c>
    </row>
    <row r="107" spans="1:25" ht="4.5" customHeight="1" x14ac:dyDescent="0.2">
      <c r="A107" s="124"/>
      <c r="B107" s="124"/>
      <c r="C107" s="124"/>
      <c r="D107" s="124"/>
      <c r="E107" s="125"/>
      <c r="F107" s="143"/>
      <c r="G107" s="125"/>
      <c r="H107" s="143"/>
      <c r="I107" s="125"/>
      <c r="J107" s="143"/>
      <c r="K107" s="125"/>
      <c r="L107" s="143"/>
      <c r="M107" s="125"/>
      <c r="N107" s="143"/>
      <c r="O107" s="125"/>
      <c r="P107" s="143"/>
      <c r="Q107" s="125"/>
      <c r="R107" s="143"/>
      <c r="S107" s="125"/>
      <c r="T107" s="143"/>
      <c r="U107" s="125"/>
      <c r="V107" s="143"/>
      <c r="W107" s="110"/>
      <c r="Y107" s="110"/>
    </row>
    <row r="108" spans="1:25" s="164" customFormat="1" ht="45" customHeight="1" x14ac:dyDescent="0.2">
      <c r="A108" s="161"/>
      <c r="B108" s="162"/>
      <c r="C108" s="162"/>
      <c r="D108" s="162"/>
      <c r="E108" s="207" t="s">
        <v>2153</v>
      </c>
      <c r="F108" s="207"/>
      <c r="G108" s="207" t="s">
        <v>2154</v>
      </c>
      <c r="H108" s="207"/>
      <c r="I108" s="207" t="s">
        <v>2155</v>
      </c>
      <c r="J108" s="207"/>
      <c r="K108" s="207" t="s">
        <v>2156</v>
      </c>
      <c r="L108" s="207"/>
      <c r="M108" s="207" t="s">
        <v>2157</v>
      </c>
      <c r="N108" s="207"/>
      <c r="O108" s="207" t="s">
        <v>2158</v>
      </c>
      <c r="P108" s="207"/>
      <c r="Q108" s="207" t="s">
        <v>2159</v>
      </c>
      <c r="R108" s="207"/>
      <c r="S108" s="207" t="s">
        <v>875</v>
      </c>
      <c r="T108" s="207"/>
      <c r="U108" s="207" t="s">
        <v>2163</v>
      </c>
      <c r="V108" s="207"/>
      <c r="W108" s="163"/>
      <c r="Y108" s="163"/>
    </row>
    <row r="109" spans="1:25" ht="9" customHeight="1" x14ac:dyDescent="0.2">
      <c r="A109" s="112"/>
      <c r="B109" s="109"/>
      <c r="C109" s="109"/>
      <c r="D109" s="109"/>
      <c r="E109" s="118"/>
      <c r="F109" s="144"/>
      <c r="G109" s="118"/>
      <c r="H109" s="144"/>
      <c r="I109" s="118"/>
      <c r="J109" s="144"/>
      <c r="K109" s="118"/>
      <c r="L109" s="144"/>
      <c r="M109" s="118"/>
      <c r="N109" s="144"/>
      <c r="O109" s="118"/>
      <c r="P109" s="144"/>
      <c r="Q109" s="118"/>
      <c r="R109" s="144"/>
      <c r="S109" s="118"/>
      <c r="T109" s="144"/>
      <c r="U109" s="118"/>
      <c r="V109" s="144"/>
      <c r="W109" s="110"/>
      <c r="Y109" s="110"/>
    </row>
    <row r="110" spans="1:25" ht="9" customHeight="1" x14ac:dyDescent="0.2">
      <c r="A110" s="112" t="s">
        <v>2160</v>
      </c>
      <c r="B110" s="109"/>
      <c r="C110" s="109"/>
      <c r="D110" s="109"/>
      <c r="E110" s="206" t="s">
        <v>2161</v>
      </c>
      <c r="F110" s="206"/>
      <c r="G110" s="206" t="s">
        <v>2161</v>
      </c>
      <c r="H110" s="206"/>
      <c r="I110" s="206" t="s">
        <v>2161</v>
      </c>
      <c r="J110" s="206"/>
      <c r="K110" s="206" t="s">
        <v>2161</v>
      </c>
      <c r="L110" s="206"/>
      <c r="M110" s="206" t="s">
        <v>2161</v>
      </c>
      <c r="N110" s="206"/>
      <c r="O110" s="206" t="s">
        <v>2161</v>
      </c>
      <c r="P110" s="206"/>
      <c r="Q110" s="206" t="s">
        <v>2161</v>
      </c>
      <c r="R110" s="206"/>
      <c r="S110" s="206" t="s">
        <v>2161</v>
      </c>
      <c r="T110" s="206"/>
      <c r="U110" s="206" t="s">
        <v>2162</v>
      </c>
      <c r="V110" s="206"/>
      <c r="W110" s="110"/>
      <c r="X110" s="119" t="s">
        <v>0</v>
      </c>
      <c r="Y110" s="110"/>
    </row>
    <row r="111" spans="1:25" ht="4.5" customHeight="1" x14ac:dyDescent="0.2">
      <c r="A111" s="140"/>
      <c r="B111" s="122"/>
      <c r="C111" s="122"/>
      <c r="D111" s="122"/>
      <c r="E111" s="123"/>
      <c r="F111" s="145"/>
      <c r="G111" s="123"/>
      <c r="H111" s="145"/>
      <c r="I111" s="123"/>
      <c r="J111" s="145"/>
      <c r="K111" s="123"/>
      <c r="L111" s="145"/>
      <c r="M111" s="123"/>
      <c r="N111" s="145"/>
      <c r="O111" s="123"/>
      <c r="P111" s="145"/>
      <c r="Q111" s="123"/>
      <c r="R111" s="145"/>
      <c r="S111" s="123"/>
      <c r="T111" s="145"/>
      <c r="U111" s="123"/>
      <c r="V111" s="145"/>
      <c r="W111" s="110"/>
      <c r="Y111" s="110"/>
    </row>
    <row r="112" spans="1:25" ht="4.5" customHeight="1" x14ac:dyDescent="0.2">
      <c r="A112" s="141"/>
      <c r="B112" s="117"/>
      <c r="C112" s="117"/>
      <c r="D112" s="117"/>
      <c r="E112" s="121"/>
      <c r="F112" s="146"/>
      <c r="G112" s="121"/>
      <c r="H112" s="146"/>
      <c r="I112" s="121"/>
      <c r="J112" s="146"/>
      <c r="K112" s="121"/>
      <c r="L112" s="146"/>
      <c r="M112" s="121"/>
      <c r="N112" s="146"/>
      <c r="O112" s="121"/>
      <c r="P112" s="146"/>
      <c r="Q112" s="121"/>
      <c r="R112" s="146"/>
      <c r="S112" s="121"/>
      <c r="T112" s="146"/>
      <c r="U112" s="121"/>
      <c r="V112" s="146"/>
    </row>
    <row r="113" spans="1:24" ht="9" customHeight="1" x14ac:dyDescent="0.2">
      <c r="A113" s="114" t="s">
        <v>2210</v>
      </c>
      <c r="B113" s="108"/>
      <c r="C113" s="108"/>
      <c r="D113" s="108"/>
    </row>
    <row r="114" spans="1:24" ht="9" customHeight="1" x14ac:dyDescent="0.2">
      <c r="A114" s="113" t="s">
        <v>2212</v>
      </c>
      <c r="E114" s="119"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119"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119"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119"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119"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119"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119"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119"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119">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49">
        <v>1248</v>
      </c>
    </row>
    <row r="115" spans="1:24" ht="9" customHeight="1" x14ac:dyDescent="0.2">
      <c r="A115" s="113" t="s">
        <v>2213</v>
      </c>
      <c r="E115" s="119"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119"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119"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119">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119">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119"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119"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119">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119">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49">
        <v>615</v>
      </c>
    </row>
    <row r="116" spans="1:24" ht="9" customHeight="1" x14ac:dyDescent="0.2">
      <c r="A116" s="113" t="s">
        <v>2214</v>
      </c>
      <c r="E116" s="119"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119"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119"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119">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119">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119"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119"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119">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119">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49">
        <v>1600</v>
      </c>
    </row>
    <row r="117" spans="1:24" ht="9" customHeight="1" x14ac:dyDescent="0.2">
      <c r="A117" s="113" t="s">
        <v>2215</v>
      </c>
      <c r="E117" s="119"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119"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119"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119">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119">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119"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119"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119">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119">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49">
        <v>1537</v>
      </c>
    </row>
    <row r="118" spans="1:24" ht="9" customHeight="1" x14ac:dyDescent="0.2">
      <c r="A118" s="113" t="s">
        <v>641</v>
      </c>
      <c r="E118" s="119"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119"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119"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119">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119">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119"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119"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119">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119"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49">
        <v>1390</v>
      </c>
    </row>
    <row r="119" spans="1:24" ht="9" customHeight="1" x14ac:dyDescent="0.2">
      <c r="A119" s="113" t="s">
        <v>2216</v>
      </c>
      <c r="E119" s="119"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48" t="str">
        <f>IF(E119="-","(1)","")</f>
        <v>(1)</v>
      </c>
      <c r="G119" s="119"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48" t="str">
        <f>IF(G119="-","(1)","")</f>
        <v>(1)</v>
      </c>
      <c r="I119" s="119"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48" t="str">
        <f>IF(I119="-","(1)","")</f>
        <v>(1)</v>
      </c>
      <c r="K119" s="119"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48" t="str">
        <f>IF(K119="-","(1)","")</f>
        <v>(1)</v>
      </c>
      <c r="M119" s="119"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48" t="str">
        <f>IF(M119="-","(1)","")</f>
        <v>(1)</v>
      </c>
      <c r="O119" s="119"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119"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119"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119"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49">
        <v>482</v>
      </c>
    </row>
    <row r="120" spans="1:24" ht="4.5" customHeight="1" x14ac:dyDescent="0.2">
      <c r="A120" s="113"/>
    </row>
    <row r="121" spans="1:24" ht="9" customHeight="1" x14ac:dyDescent="0.2">
      <c r="A121" s="114" t="s">
        <v>2217</v>
      </c>
      <c r="B121" s="108"/>
      <c r="C121" s="108"/>
      <c r="D121" s="108"/>
    </row>
    <row r="122" spans="1:24" ht="9" customHeight="1" x14ac:dyDescent="0.2">
      <c r="A122" s="113" t="s">
        <v>20</v>
      </c>
      <c r="E122" s="119"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48" t="str">
        <f t="shared" ref="F122:F128" si="7">IF(E122="-","(1)","")</f>
        <v>(1)</v>
      </c>
      <c r="G122" s="119"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48" t="str">
        <f t="shared" ref="H122:H128" si="8">IF(G122="-","(1)","")</f>
        <v>(1)</v>
      </c>
      <c r="I122" s="119"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48" t="str">
        <f t="shared" ref="J122:J128" si="9">IF(I122="-","(1)","")</f>
        <v>(1)</v>
      </c>
      <c r="K122" s="119"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48" t="str">
        <f t="shared" ref="L122:L128" si="10">IF(K122="-","(1)","")</f>
        <v>(1)</v>
      </c>
      <c r="M122" s="119"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48" t="str">
        <f t="shared" ref="N122:N128" si="11">IF(M122="-","(1)","")</f>
        <v>(1)</v>
      </c>
      <c r="O122" s="119"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119"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119"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119"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49">
        <v>1381</v>
      </c>
    </row>
    <row r="123" spans="1:24" ht="9" customHeight="1" x14ac:dyDescent="0.2">
      <c r="A123" s="113" t="s">
        <v>21</v>
      </c>
      <c r="E123" s="119"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48" t="str">
        <f t="shared" si="7"/>
        <v>(1)</v>
      </c>
      <c r="G123" s="119"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48" t="str">
        <f t="shared" si="8"/>
        <v>(1)</v>
      </c>
      <c r="I123" s="119"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48" t="str">
        <f t="shared" si="9"/>
        <v>(1)</v>
      </c>
      <c r="K123" s="119"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48" t="str">
        <f t="shared" si="10"/>
        <v>(1)</v>
      </c>
      <c r="M123" s="119"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48" t="str">
        <f t="shared" si="11"/>
        <v>(1)</v>
      </c>
      <c r="O123" s="119"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119"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119"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119"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49">
        <v>1382</v>
      </c>
    </row>
    <row r="124" spans="1:24" ht="9" customHeight="1" x14ac:dyDescent="0.2">
      <c r="A124" s="113" t="s">
        <v>22</v>
      </c>
      <c r="E124" s="119"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48" t="str">
        <f t="shared" si="7"/>
        <v>(1)</v>
      </c>
      <c r="G124" s="119"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48" t="str">
        <f t="shared" si="8"/>
        <v>(1)</v>
      </c>
      <c r="I124" s="119"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48" t="str">
        <f t="shared" si="9"/>
        <v>(1)</v>
      </c>
      <c r="K124" s="119"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48" t="str">
        <f t="shared" si="10"/>
        <v>(1)</v>
      </c>
      <c r="M124" s="119"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48" t="str">
        <f t="shared" si="11"/>
        <v>(1)</v>
      </c>
      <c r="O124" s="119"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119"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119"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119"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49">
        <v>1372</v>
      </c>
    </row>
    <row r="125" spans="1:24" ht="9" customHeight="1" x14ac:dyDescent="0.2">
      <c r="A125" s="113" t="s">
        <v>23</v>
      </c>
      <c r="E125" s="119"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48" t="str">
        <f t="shared" si="7"/>
        <v>(1)</v>
      </c>
      <c r="G125" s="119"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48" t="str">
        <f t="shared" si="8"/>
        <v>(1)</v>
      </c>
      <c r="I125" s="119"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48" t="str">
        <f t="shared" si="9"/>
        <v>(1)</v>
      </c>
      <c r="K125" s="119"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48" t="str">
        <f t="shared" si="10"/>
        <v>(1)</v>
      </c>
      <c r="M125" s="119"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48" t="str">
        <f t="shared" si="11"/>
        <v>(1)</v>
      </c>
      <c r="O125" s="119"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119"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119"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119"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49">
        <v>1374</v>
      </c>
    </row>
    <row r="126" spans="1:24" ht="9" customHeight="1" x14ac:dyDescent="0.2">
      <c r="A126" s="113" t="s">
        <v>24</v>
      </c>
      <c r="E126" s="119"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48" t="str">
        <f t="shared" si="7"/>
        <v>(1)</v>
      </c>
      <c r="G126" s="119"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48" t="str">
        <f t="shared" si="8"/>
        <v>(1)</v>
      </c>
      <c r="I126" s="119"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48" t="str">
        <f t="shared" si="9"/>
        <v>(1)</v>
      </c>
      <c r="K126" s="119"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48" t="str">
        <f t="shared" si="10"/>
        <v>(1)</v>
      </c>
      <c r="M126" s="119"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48" t="str">
        <f t="shared" si="11"/>
        <v>(1)</v>
      </c>
      <c r="O126" s="119"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119"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119"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119"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49">
        <v>1376</v>
      </c>
    </row>
    <row r="127" spans="1:24" ht="9" customHeight="1" x14ac:dyDescent="0.2">
      <c r="A127" s="113" t="s">
        <v>25</v>
      </c>
      <c r="E127" s="119"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48" t="str">
        <f t="shared" si="7"/>
        <v>(1)</v>
      </c>
      <c r="G127" s="119"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48" t="str">
        <f t="shared" si="8"/>
        <v>(1)</v>
      </c>
      <c r="I127" s="119"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48" t="str">
        <f t="shared" si="9"/>
        <v>(1)</v>
      </c>
      <c r="K127" s="119"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48" t="str">
        <f t="shared" si="10"/>
        <v>(1)</v>
      </c>
      <c r="M127" s="119"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48" t="str">
        <f t="shared" si="11"/>
        <v>(1)</v>
      </c>
      <c r="O127" s="119"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119"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119"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119"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49">
        <v>1377</v>
      </c>
    </row>
    <row r="128" spans="1:24" ht="9" customHeight="1" x14ac:dyDescent="0.2">
      <c r="A128" s="113" t="s">
        <v>26</v>
      </c>
      <c r="E128" s="119"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48" t="str">
        <f t="shared" si="7"/>
        <v>(1)</v>
      </c>
      <c r="G128" s="119"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48" t="str">
        <f t="shared" si="8"/>
        <v>(1)</v>
      </c>
      <c r="I128" s="119"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48" t="str">
        <f t="shared" si="9"/>
        <v>(1)</v>
      </c>
      <c r="K128" s="119"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48" t="str">
        <f t="shared" si="10"/>
        <v>(1)</v>
      </c>
      <c r="M128" s="119"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48" t="str">
        <f t="shared" si="11"/>
        <v>(1)</v>
      </c>
      <c r="O128" s="119"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119"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119"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119"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49">
        <v>1380</v>
      </c>
    </row>
    <row r="129" spans="1:24" ht="9" customHeight="1" x14ac:dyDescent="0.2">
      <c r="A129" s="113" t="s">
        <v>2218</v>
      </c>
      <c r="E129" s="119"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119"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119"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119"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119"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119"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119"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119"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119"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49">
        <v>1365</v>
      </c>
    </row>
    <row r="130" spans="1:24" ht="4.5" customHeight="1" x14ac:dyDescent="0.2">
      <c r="A130" s="141"/>
      <c r="B130" s="117"/>
      <c r="C130" s="117"/>
      <c r="D130" s="117"/>
      <c r="E130" s="121"/>
      <c r="F130" s="146"/>
      <c r="G130" s="121"/>
      <c r="H130" s="146"/>
      <c r="I130" s="121"/>
      <c r="J130" s="146"/>
      <c r="K130" s="121"/>
      <c r="L130" s="146"/>
      <c r="M130" s="121"/>
      <c r="N130" s="146"/>
      <c r="O130" s="121"/>
      <c r="P130" s="146"/>
      <c r="Q130" s="121"/>
      <c r="R130" s="146"/>
      <c r="S130" s="121"/>
      <c r="T130" s="146"/>
      <c r="U130" s="121"/>
      <c r="V130" s="146"/>
    </row>
    <row r="131" spans="1:24" ht="9" customHeight="1" x14ac:dyDescent="0.2">
      <c r="A131" s="114" t="s">
        <v>2219</v>
      </c>
      <c r="B131" s="108"/>
      <c r="C131" s="108"/>
      <c r="D131" s="108"/>
    </row>
    <row r="132" spans="1:24" ht="9" customHeight="1" x14ac:dyDescent="0.2">
      <c r="A132" s="113" t="s">
        <v>2221</v>
      </c>
      <c r="E132" s="119"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119"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119"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119">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119">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119"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119"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119">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119">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49">
        <v>2561</v>
      </c>
    </row>
    <row r="133" spans="1:24" ht="9" customHeight="1" x14ac:dyDescent="0.2">
      <c r="A133" s="113" t="s">
        <v>2220</v>
      </c>
      <c r="E133" s="119"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119"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119"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119"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48" t="str">
        <f>IF(K133="-","(1)","")</f>
        <v>(1)</v>
      </c>
      <c r="M133" s="119"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48" t="str">
        <f>IF(M133="-","(1)","")</f>
        <v>(1)</v>
      </c>
      <c r="O133" s="119"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119"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119"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119"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49">
        <v>1385</v>
      </c>
    </row>
    <row r="134" spans="1:24" ht="9" customHeight="1" x14ac:dyDescent="0.2">
      <c r="A134" s="113" t="s">
        <v>2222</v>
      </c>
      <c r="E134" s="119"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119"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119"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119"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119"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119"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119"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119"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119"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49">
        <v>4417</v>
      </c>
    </row>
    <row r="135" spans="1:24" ht="9" customHeight="1" x14ac:dyDescent="0.2">
      <c r="A135" s="113" t="s">
        <v>2223</v>
      </c>
      <c r="E135" s="119"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119"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119">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119">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119">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119"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119"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119">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119"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49">
        <v>491</v>
      </c>
    </row>
    <row r="136" spans="1:24" ht="4.5" customHeight="1" x14ac:dyDescent="0.2">
      <c r="A136" s="142"/>
      <c r="B136" s="116"/>
      <c r="C136" s="116"/>
      <c r="D136" s="116"/>
      <c r="E136" s="120"/>
      <c r="F136" s="147"/>
      <c r="G136" s="120"/>
      <c r="H136" s="147"/>
      <c r="I136" s="120"/>
      <c r="J136" s="147"/>
      <c r="K136" s="120"/>
      <c r="L136" s="147"/>
      <c r="M136" s="120"/>
      <c r="N136" s="147"/>
      <c r="O136" s="120"/>
      <c r="P136" s="147"/>
      <c r="Q136" s="120"/>
      <c r="R136" s="147"/>
      <c r="S136" s="120"/>
      <c r="T136" s="147"/>
      <c r="U136" s="120"/>
      <c r="V136" s="147"/>
    </row>
    <row r="137" spans="1:24" ht="4.5" customHeight="1" x14ac:dyDescent="0.2">
      <c r="A137" s="141"/>
      <c r="B137" s="117"/>
      <c r="C137" s="117"/>
      <c r="D137" s="117"/>
      <c r="E137" s="121"/>
      <c r="F137" s="146"/>
      <c r="G137" s="121"/>
      <c r="H137" s="146"/>
      <c r="I137" s="121"/>
      <c r="J137" s="146"/>
      <c r="K137" s="121"/>
      <c r="L137" s="146"/>
      <c r="M137" s="121"/>
      <c r="N137" s="146"/>
      <c r="O137" s="121"/>
      <c r="P137" s="146"/>
      <c r="Q137" s="121"/>
      <c r="R137" s="146"/>
      <c r="S137" s="121"/>
      <c r="T137" s="146"/>
      <c r="U137" s="121"/>
      <c r="V137" s="146"/>
    </row>
    <row r="138" spans="1:24" ht="9" customHeight="1" x14ac:dyDescent="0.2">
      <c r="A138" s="114" t="s">
        <v>2224</v>
      </c>
      <c r="B138" s="108"/>
      <c r="C138" s="108"/>
      <c r="D138" s="108"/>
    </row>
    <row r="139" spans="1:24" ht="9" customHeight="1" x14ac:dyDescent="0.2">
      <c r="A139" s="114" t="s">
        <v>2225</v>
      </c>
      <c r="B139" s="108"/>
      <c r="C139" s="108"/>
      <c r="D139" s="108"/>
    </row>
    <row r="140" spans="1:24" ht="9" customHeight="1" x14ac:dyDescent="0.2">
      <c r="A140" s="113" t="s">
        <v>2226</v>
      </c>
      <c r="E140" s="119"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119"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119"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119"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119"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119"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119"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119"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119"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49">
        <v>480</v>
      </c>
    </row>
    <row r="141" spans="1:24" ht="9" customHeight="1" x14ac:dyDescent="0.2">
      <c r="A141" s="113" t="s">
        <v>2233</v>
      </c>
      <c r="E141" s="119"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119"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119"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119"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119"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119"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119"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119"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119"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49">
        <v>554</v>
      </c>
    </row>
    <row r="142" spans="1:24" ht="9" customHeight="1" x14ac:dyDescent="0.2">
      <c r="A142" s="113" t="s">
        <v>2232</v>
      </c>
      <c r="E142" s="119"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119"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119"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119"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119"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119"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119"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119"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119"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49">
        <v>553</v>
      </c>
    </row>
    <row r="143" spans="1:24" ht="9" customHeight="1" x14ac:dyDescent="0.2">
      <c r="A143" s="113" t="s">
        <v>2234</v>
      </c>
      <c r="E143" s="119"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119"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119">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119">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119">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119"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119"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119">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119"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49">
        <v>552</v>
      </c>
    </row>
    <row r="144" spans="1:24" ht="9" customHeight="1" x14ac:dyDescent="0.2">
      <c r="A144" s="113" t="s">
        <v>2235</v>
      </c>
      <c r="E144" s="119"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48" t="str">
        <f t="shared" ref="F144:F149" si="12">IF(E144="-","(1)","")</f>
        <v>(1)</v>
      </c>
      <c r="G144" s="119"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48" t="str">
        <f t="shared" ref="H144:H149" si="13">IF(G144="-","(1)","")</f>
        <v>(1)</v>
      </c>
      <c r="I144" s="119"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48" t="str">
        <f t="shared" ref="J144:J149" si="14">IF(I144="-","(1)","")</f>
        <v>(1)</v>
      </c>
      <c r="K144" s="119"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48" t="str">
        <f>IF(K144="-","(1)","")</f>
        <v>(1)</v>
      </c>
      <c r="M144" s="119"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48" t="str">
        <f>IF(M144="-","(1)","")</f>
        <v>(1)</v>
      </c>
      <c r="O144" s="119"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119"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119"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119"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49">
        <v>555</v>
      </c>
    </row>
    <row r="145" spans="1:25" ht="9" customHeight="1" x14ac:dyDescent="0.2">
      <c r="A145" s="113" t="s">
        <v>2236</v>
      </c>
      <c r="E145" s="119"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48" t="str">
        <f t="shared" si="12"/>
        <v>(1)</v>
      </c>
      <c r="G145" s="119"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48" t="str">
        <f t="shared" si="13"/>
        <v>(1)</v>
      </c>
      <c r="I145" s="119"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48" t="str">
        <f t="shared" si="14"/>
        <v>(1)</v>
      </c>
      <c r="K145" s="119"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119"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119"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119"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119"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119"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49">
        <v>268</v>
      </c>
    </row>
    <row r="146" spans="1:25" ht="9" customHeight="1" x14ac:dyDescent="0.2">
      <c r="A146" s="113" t="s">
        <v>99</v>
      </c>
      <c r="E146" s="119"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48" t="str">
        <f t="shared" si="12"/>
        <v>(1)</v>
      </c>
      <c r="G146" s="119"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48" t="str">
        <f t="shared" si="13"/>
        <v>(1)</v>
      </c>
      <c r="I146" s="119"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48" t="str">
        <f t="shared" si="14"/>
        <v>(1)</v>
      </c>
      <c r="K146" s="119"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48" t="str">
        <f>IF(K146="-","(1)","")</f>
        <v>(1)</v>
      </c>
      <c r="M146" s="119"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48" t="str">
        <f>IF(M146="-","(1)","")</f>
        <v>(1)</v>
      </c>
      <c r="O146" s="119"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119"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119"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119"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49">
        <v>633</v>
      </c>
    </row>
    <row r="147" spans="1:25" ht="9" customHeight="1" x14ac:dyDescent="0.2">
      <c r="A147" s="113" t="s">
        <v>100</v>
      </c>
      <c r="E147" s="119"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48" t="str">
        <f t="shared" si="12"/>
        <v>(1)</v>
      </c>
      <c r="G147" s="119"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48" t="str">
        <f t="shared" si="13"/>
        <v>(1)</v>
      </c>
      <c r="I147" s="119"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48" t="str">
        <f t="shared" si="14"/>
        <v>(1)</v>
      </c>
      <c r="K147" s="119"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48" t="str">
        <f>IF(K147="-","(1)","")</f>
        <v>(1)</v>
      </c>
      <c r="M147" s="119"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48" t="str">
        <f>IF(M147="-","(1)","")</f>
        <v>(1)</v>
      </c>
      <c r="O147" s="119"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119"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119"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119"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49">
        <v>704</v>
      </c>
    </row>
    <row r="148" spans="1:25" ht="9" customHeight="1" x14ac:dyDescent="0.2">
      <c r="A148" s="113" t="s">
        <v>101</v>
      </c>
      <c r="E148" s="119"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48" t="str">
        <f t="shared" si="12"/>
        <v>(1)</v>
      </c>
      <c r="G148" s="119"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48" t="str">
        <f t="shared" si="13"/>
        <v>(1)</v>
      </c>
      <c r="I148" s="119"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48" t="str">
        <f t="shared" si="14"/>
        <v>(1)</v>
      </c>
      <c r="K148" s="119"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48" t="str">
        <f>IF(K148="-","(1)","")</f>
        <v>(1)</v>
      </c>
      <c r="M148" s="119"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48" t="str">
        <f>IF(M148="-","(1)","")</f>
        <v>(1)</v>
      </c>
      <c r="O148" s="119"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119"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119"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119"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49">
        <v>907</v>
      </c>
    </row>
    <row r="149" spans="1:25" ht="9" customHeight="1" x14ac:dyDescent="0.2">
      <c r="A149" s="113" t="s">
        <v>102</v>
      </c>
      <c r="E149" s="119"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48" t="str">
        <f t="shared" si="12"/>
        <v>(1)</v>
      </c>
      <c r="G149" s="119"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48" t="str">
        <f t="shared" si="13"/>
        <v>(1)</v>
      </c>
      <c r="I149" s="119"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48" t="str">
        <f t="shared" si="14"/>
        <v>(1)</v>
      </c>
      <c r="K149" s="119"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48" t="str">
        <f>IF(K149="-","(1)","")</f>
        <v>(1)</v>
      </c>
      <c r="M149" s="119"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48" t="str">
        <f>IF(M149="-","(1)","")</f>
        <v>(1)</v>
      </c>
      <c r="O149" s="119"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119"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119"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119"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49">
        <v>1521</v>
      </c>
    </row>
    <row r="150" spans="1:25" ht="9" customHeight="1" x14ac:dyDescent="0.2">
      <c r="A150" s="113" t="s">
        <v>2237</v>
      </c>
      <c r="E150" s="119"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119"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119"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119"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119"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119"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119"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119"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119"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49">
        <v>689</v>
      </c>
    </row>
    <row r="151" spans="1:25" ht="9" customHeight="1" x14ac:dyDescent="0.2">
      <c r="A151" s="113" t="s">
        <v>644</v>
      </c>
      <c r="E151" s="119"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48" t="str">
        <f>IF(E151="-","(1)","")</f>
        <v>(1)</v>
      </c>
      <c r="G151" s="119"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48" t="str">
        <f>IF(G151="-","(1)","")</f>
        <v>(1)</v>
      </c>
      <c r="I151" s="119"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48" t="str">
        <f>IF(I151="-","(1)","")</f>
        <v>(1)</v>
      </c>
      <c r="K151" s="119"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48" t="str">
        <f>IF(K151="-","(1)","")</f>
        <v>(1)</v>
      </c>
      <c r="M151" s="119"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48" t="str">
        <f>IF(M151="-","(1)","")</f>
        <v>(1)</v>
      </c>
      <c r="O151" s="119"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119"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119"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119"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49">
        <v>703</v>
      </c>
    </row>
    <row r="152" spans="1:25" ht="9" customHeight="1" x14ac:dyDescent="0.2">
      <c r="A152" s="113" t="s">
        <v>2227</v>
      </c>
      <c r="E152" s="119"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119"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119"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119"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119"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119"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119"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119"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119"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49">
        <v>269</v>
      </c>
    </row>
    <row r="153" spans="1:25" ht="9" customHeight="1" x14ac:dyDescent="0.2">
      <c r="A153" s="113" t="s">
        <v>2228</v>
      </c>
      <c r="E153" s="119"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119"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119"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119">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119">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119"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119"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119">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119"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49">
        <v>271</v>
      </c>
    </row>
    <row r="154" spans="1:25" ht="9" customHeight="1" x14ac:dyDescent="0.2">
      <c r="A154" s="113" t="s">
        <v>2229</v>
      </c>
      <c r="E154" s="119"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119"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119"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119"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119"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119"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119"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119"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119"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49">
        <v>366</v>
      </c>
    </row>
    <row r="155" spans="1:25" ht="9" customHeight="1" x14ac:dyDescent="0.2">
      <c r="A155" s="113" t="s">
        <v>2230</v>
      </c>
      <c r="E155" s="119"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119"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119"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119"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119"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119"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119"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119"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119"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49">
        <v>816</v>
      </c>
    </row>
    <row r="156" spans="1:25" ht="9" customHeight="1" x14ac:dyDescent="0.2">
      <c r="A156" s="113" t="s">
        <v>2231</v>
      </c>
      <c r="E156" s="119"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48" t="str">
        <f>IF(E156="-","(1)","")</f>
        <v>(1)</v>
      </c>
      <c r="G156" s="119"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48" t="str">
        <f>IF(G156="-","(1)","")</f>
        <v>(1)</v>
      </c>
      <c r="I156" s="119"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48" t="str">
        <f>IF(I156="-","(1)","")</f>
        <v>(1)</v>
      </c>
      <c r="K156" s="119"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48" t="str">
        <f>IF(K156="-","(1)","")</f>
        <v>(1)</v>
      </c>
      <c r="M156" s="119"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48" t="str">
        <f>IF(M156="-","(1)","")</f>
        <v>(1)</v>
      </c>
      <c r="O156" s="119"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119"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119"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119"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49">
        <v>562</v>
      </c>
    </row>
    <row r="157" spans="1:25" ht="9" customHeight="1" x14ac:dyDescent="0.2">
      <c r="A157" s="113" t="s">
        <v>2238</v>
      </c>
      <c r="E157" s="119"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48" t="str">
        <f>IF(E157="-","(1)","")</f>
        <v>(1)</v>
      </c>
      <c r="G157" s="119"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48" t="str">
        <f>IF(G157="-","(1)","")</f>
        <v>(1)</v>
      </c>
      <c r="I157" s="119"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48" t="str">
        <f>IF(I157="-","(1)","")</f>
        <v>(1)</v>
      </c>
      <c r="K157" s="119"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48" t="str">
        <f>IF(K157="-","(1)","")</f>
        <v>(1)</v>
      </c>
      <c r="M157" s="119"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48" t="str">
        <f>IF(M157="-","(1)","")</f>
        <v>(1)</v>
      </c>
      <c r="O157" s="119"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119"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119"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119"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49">
        <v>849</v>
      </c>
    </row>
    <row r="158" spans="1:25" ht="9" customHeight="1" x14ac:dyDescent="0.2">
      <c r="A158" s="113" t="s">
        <v>107</v>
      </c>
      <c r="E158" s="119"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119"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119"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119"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119"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119"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119"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119"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119"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49">
        <v>853</v>
      </c>
    </row>
    <row r="159" spans="1:25" ht="4.5" customHeight="1" x14ac:dyDescent="0.2">
      <c r="A159" s="124"/>
      <c r="B159" s="124"/>
      <c r="C159" s="124"/>
      <c r="D159" s="124"/>
      <c r="E159" s="125"/>
      <c r="F159" s="143"/>
      <c r="G159" s="125"/>
      <c r="H159" s="143"/>
      <c r="I159" s="125"/>
      <c r="J159" s="143"/>
      <c r="K159" s="125"/>
      <c r="L159" s="143"/>
      <c r="M159" s="125"/>
      <c r="N159" s="143"/>
      <c r="O159" s="125"/>
      <c r="P159" s="143"/>
      <c r="Q159" s="125"/>
      <c r="R159" s="143"/>
      <c r="S159" s="125"/>
      <c r="T159" s="143"/>
      <c r="U159" s="125"/>
      <c r="V159" s="143"/>
      <c r="W159" s="110"/>
      <c r="Y159" s="110"/>
    </row>
    <row r="160" spans="1:25" s="164" customFormat="1" ht="45" customHeight="1" x14ac:dyDescent="0.2">
      <c r="A160" s="161"/>
      <c r="B160" s="162"/>
      <c r="C160" s="162"/>
      <c r="D160" s="162"/>
      <c r="E160" s="207" t="s">
        <v>2153</v>
      </c>
      <c r="F160" s="207"/>
      <c r="G160" s="207" t="s">
        <v>2154</v>
      </c>
      <c r="H160" s="207"/>
      <c r="I160" s="207" t="s">
        <v>2155</v>
      </c>
      <c r="J160" s="207"/>
      <c r="K160" s="207" t="s">
        <v>2156</v>
      </c>
      <c r="L160" s="207"/>
      <c r="M160" s="207" t="s">
        <v>2157</v>
      </c>
      <c r="N160" s="207"/>
      <c r="O160" s="207" t="s">
        <v>2158</v>
      </c>
      <c r="P160" s="207"/>
      <c r="Q160" s="207" t="s">
        <v>2159</v>
      </c>
      <c r="R160" s="207"/>
      <c r="S160" s="207" t="s">
        <v>875</v>
      </c>
      <c r="T160" s="207"/>
      <c r="U160" s="207" t="s">
        <v>2163</v>
      </c>
      <c r="V160" s="207"/>
      <c r="W160" s="163"/>
      <c r="Y160" s="163"/>
    </row>
    <row r="161" spans="1:25" ht="9" customHeight="1" x14ac:dyDescent="0.2">
      <c r="A161" s="112"/>
      <c r="B161" s="109"/>
      <c r="C161" s="109"/>
      <c r="D161" s="109"/>
      <c r="E161" s="118"/>
      <c r="F161" s="144"/>
      <c r="G161" s="118"/>
      <c r="H161" s="144"/>
      <c r="I161" s="118"/>
      <c r="J161" s="144"/>
      <c r="K161" s="118"/>
      <c r="L161" s="144"/>
      <c r="M161" s="118"/>
      <c r="N161" s="144"/>
      <c r="O161" s="118"/>
      <c r="P161" s="144"/>
      <c r="Q161" s="118"/>
      <c r="R161" s="144"/>
      <c r="S161" s="118"/>
      <c r="T161" s="144"/>
      <c r="U161" s="118"/>
      <c r="V161" s="144"/>
      <c r="W161" s="110"/>
      <c r="Y161" s="110"/>
    </row>
    <row r="162" spans="1:25" ht="9" customHeight="1" x14ac:dyDescent="0.2">
      <c r="A162" s="112" t="s">
        <v>2160</v>
      </c>
      <c r="B162" s="109"/>
      <c r="C162" s="109"/>
      <c r="D162" s="109"/>
      <c r="E162" s="206" t="s">
        <v>2161</v>
      </c>
      <c r="F162" s="206"/>
      <c r="G162" s="206" t="s">
        <v>2161</v>
      </c>
      <c r="H162" s="206"/>
      <c r="I162" s="206" t="s">
        <v>2161</v>
      </c>
      <c r="J162" s="206"/>
      <c r="K162" s="206" t="s">
        <v>2161</v>
      </c>
      <c r="L162" s="206"/>
      <c r="M162" s="206" t="s">
        <v>2161</v>
      </c>
      <c r="N162" s="206"/>
      <c r="O162" s="206" t="s">
        <v>2161</v>
      </c>
      <c r="P162" s="206"/>
      <c r="Q162" s="206" t="s">
        <v>2161</v>
      </c>
      <c r="R162" s="206"/>
      <c r="S162" s="206" t="s">
        <v>2161</v>
      </c>
      <c r="T162" s="206"/>
      <c r="U162" s="206" t="s">
        <v>2162</v>
      </c>
      <c r="V162" s="206"/>
      <c r="W162" s="110"/>
      <c r="X162" s="119" t="s">
        <v>0</v>
      </c>
      <c r="Y162" s="110"/>
    </row>
    <row r="163" spans="1:25" ht="4.5" customHeight="1" x14ac:dyDescent="0.2">
      <c r="A163" s="140"/>
      <c r="B163" s="122"/>
      <c r="C163" s="122"/>
      <c r="D163" s="122"/>
      <c r="E163" s="123"/>
      <c r="F163" s="145"/>
      <c r="G163" s="123"/>
      <c r="H163" s="145"/>
      <c r="I163" s="123"/>
      <c r="J163" s="145"/>
      <c r="K163" s="123"/>
      <c r="L163" s="145"/>
      <c r="M163" s="123"/>
      <c r="N163" s="145"/>
      <c r="O163" s="123"/>
      <c r="P163" s="145"/>
      <c r="Q163" s="123"/>
      <c r="R163" s="145"/>
      <c r="S163" s="123"/>
      <c r="T163" s="145"/>
      <c r="U163" s="123"/>
      <c r="V163" s="145"/>
      <c r="W163" s="110"/>
      <c r="Y163" s="110"/>
    </row>
    <row r="164" spans="1:25" ht="4.5" customHeight="1" x14ac:dyDescent="0.2">
      <c r="A164" s="141"/>
      <c r="B164" s="117"/>
      <c r="C164" s="117"/>
      <c r="D164" s="117"/>
      <c r="E164" s="121"/>
      <c r="F164" s="146"/>
      <c r="G164" s="121"/>
      <c r="H164" s="146"/>
      <c r="I164" s="121"/>
      <c r="J164" s="146"/>
      <c r="K164" s="121"/>
      <c r="L164" s="146"/>
      <c r="M164" s="121"/>
      <c r="N164" s="146"/>
      <c r="O164" s="121"/>
      <c r="P164" s="146"/>
      <c r="Q164" s="121"/>
      <c r="R164" s="146"/>
      <c r="S164" s="121"/>
      <c r="T164" s="146"/>
      <c r="U164" s="121"/>
      <c r="V164" s="146"/>
    </row>
    <row r="165" spans="1:25" ht="9" customHeight="1" x14ac:dyDescent="0.2">
      <c r="A165" s="113" t="s">
        <v>2239</v>
      </c>
      <c r="E165" s="119"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119"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119"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119"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119"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119"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119"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119"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119"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49">
        <v>857</v>
      </c>
    </row>
    <row r="166" spans="1:25" ht="9" customHeight="1" x14ac:dyDescent="0.2">
      <c r="A166" s="113" t="s">
        <v>111</v>
      </c>
      <c r="E166" s="119"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119"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48" t="str">
        <f>IF(G166="-","(1)","")</f>
        <v>(1)</v>
      </c>
      <c r="I166" s="119"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48" t="str">
        <f>IF(I166="-","(1)","")</f>
        <v>(1)</v>
      </c>
      <c r="K166" s="119"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48" t="str">
        <f>IF(K166="-","(1)","")</f>
        <v>(1)</v>
      </c>
      <c r="M166" s="119"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48" t="str">
        <f>IF(M166="-","(1)","")</f>
        <v>(1)</v>
      </c>
      <c r="O166" s="119"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119"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119"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119"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49">
        <v>2146</v>
      </c>
    </row>
    <row r="167" spans="1:25" ht="9" customHeight="1" x14ac:dyDescent="0.2">
      <c r="A167" s="113" t="s">
        <v>2240</v>
      </c>
      <c r="E167" s="119"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119"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48" t="str">
        <f>IF(G167="-","(1)","")</f>
        <v>(1)</v>
      </c>
      <c r="I167" s="119"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48" t="str">
        <f>IF(I167="-","(1)","")</f>
        <v>(1)</v>
      </c>
      <c r="K167" s="119"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48" t="str">
        <f>IF(K167="-","(1)","")</f>
        <v>(1)</v>
      </c>
      <c r="M167" s="119"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48" t="str">
        <f>IF(M167="-","(1)","")</f>
        <v>(1)</v>
      </c>
      <c r="O167" s="119"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119"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119"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119"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49">
        <v>2718</v>
      </c>
    </row>
    <row r="168" spans="1:25" ht="4.5" customHeight="1" x14ac:dyDescent="0.2">
      <c r="A168" s="113"/>
    </row>
    <row r="169" spans="1:25" ht="9" customHeight="1" x14ac:dyDescent="0.2">
      <c r="A169" s="114" t="s">
        <v>2241</v>
      </c>
      <c r="B169" s="108"/>
      <c r="C169" s="108"/>
      <c r="D169" s="108"/>
    </row>
    <row r="170" spans="1:25" ht="9" customHeight="1" x14ac:dyDescent="0.2">
      <c r="A170" s="113" t="s">
        <v>902</v>
      </c>
      <c r="E170" s="119"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119"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119"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119"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48" t="str">
        <f>IF(K170="-","(1)","")</f>
        <v>(1)</v>
      </c>
      <c r="M170" s="119"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48" t="str">
        <f>IF(M170="-","(1)","")</f>
        <v>(1)</v>
      </c>
      <c r="O170" s="119"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119"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119"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119"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49">
        <v>328</v>
      </c>
    </row>
    <row r="171" spans="1:25" ht="4.5" customHeight="1" x14ac:dyDescent="0.2">
      <c r="A171" s="113"/>
    </row>
    <row r="172" spans="1:25" ht="9" customHeight="1" x14ac:dyDescent="0.2">
      <c r="A172" s="114" t="s">
        <v>2242</v>
      </c>
      <c r="B172" s="108"/>
      <c r="C172" s="108"/>
      <c r="D172" s="108"/>
    </row>
    <row r="173" spans="1:25" ht="9" customHeight="1" x14ac:dyDescent="0.2">
      <c r="A173" s="113" t="s">
        <v>2243</v>
      </c>
      <c r="E173" s="119"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119"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119"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119"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119"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119"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119"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119"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119"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49">
        <v>2583</v>
      </c>
    </row>
    <row r="174" spans="1:25" ht="9" customHeight="1" x14ac:dyDescent="0.2">
      <c r="A174" s="113" t="s">
        <v>2244</v>
      </c>
      <c r="E174" s="119"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119"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119"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119"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48" t="str">
        <f>IF(K174="-","(1)","")</f>
        <v>(1)</v>
      </c>
      <c r="M174" s="119"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48" t="str">
        <f>IF(M174="-","(1)","")</f>
        <v>(1)</v>
      </c>
      <c r="O174" s="119"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119"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119"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119"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49">
        <v>1712</v>
      </c>
    </row>
    <row r="175" spans="1:25" ht="4.5" customHeight="1" x14ac:dyDescent="0.2">
      <c r="A175" s="113"/>
    </row>
    <row r="176" spans="1:25" ht="9" customHeight="1" x14ac:dyDescent="0.2">
      <c r="A176" s="114" t="s">
        <v>2245</v>
      </c>
      <c r="B176" s="108"/>
      <c r="C176" s="108"/>
      <c r="D176" s="108"/>
    </row>
    <row r="177" spans="1:24" ht="9" customHeight="1" x14ac:dyDescent="0.2">
      <c r="A177" s="113" t="s">
        <v>836</v>
      </c>
      <c r="E177" s="119"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119"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119"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119"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119"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119"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119"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119"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119">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49">
        <v>4129</v>
      </c>
    </row>
    <row r="178" spans="1:24" ht="4.5" customHeight="1" x14ac:dyDescent="0.2">
      <c r="A178" s="113"/>
    </row>
    <row r="179" spans="1:24" ht="9" customHeight="1" x14ac:dyDescent="0.2">
      <c r="A179" s="114" t="s">
        <v>2246</v>
      </c>
      <c r="B179" s="108"/>
      <c r="C179" s="108"/>
      <c r="D179" s="108"/>
    </row>
    <row r="180" spans="1:24" ht="9" customHeight="1" x14ac:dyDescent="0.2">
      <c r="A180" s="113" t="s">
        <v>675</v>
      </c>
      <c r="E180" s="119"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119"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119"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119"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119"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119"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119"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119"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119">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49">
        <v>325</v>
      </c>
    </row>
    <row r="181" spans="1:24" ht="9" customHeight="1" x14ac:dyDescent="0.2">
      <c r="A181" s="113" t="s">
        <v>830</v>
      </c>
      <c r="E181" s="119"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119"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119"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119"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119"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119"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119"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119"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119">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49">
        <v>458</v>
      </c>
    </row>
    <row r="182" spans="1:24" ht="9" customHeight="1" x14ac:dyDescent="0.2">
      <c r="A182" s="113" t="s">
        <v>2247</v>
      </c>
      <c r="E182" s="119"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119"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119"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119"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119"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119"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119"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119"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119">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49">
        <v>462</v>
      </c>
    </row>
    <row r="183" spans="1:24" ht="9" customHeight="1" x14ac:dyDescent="0.2">
      <c r="A183" s="113" t="s">
        <v>2248</v>
      </c>
      <c r="E183" s="119"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119"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119"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119"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48" t="str">
        <f>IF(K183="-","(1)","")</f>
        <v>(1)</v>
      </c>
      <c r="M183" s="119"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48" t="str">
        <f>IF(M183="-","(1)","")</f>
        <v>(1)</v>
      </c>
      <c r="O183" s="119"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119"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119"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119"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49">
        <v>2253</v>
      </c>
    </row>
    <row r="184" spans="1:24" ht="9" customHeight="1" x14ac:dyDescent="0.2">
      <c r="A184" s="113" t="s">
        <v>2250</v>
      </c>
      <c r="E184" s="119"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119"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119"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119"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48" t="str">
        <f>IF(K184="-","(1)","")</f>
        <v>(1)</v>
      </c>
      <c r="M184" s="119"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48" t="str">
        <f>IF(M184="-","(1)","")</f>
        <v>(1)</v>
      </c>
      <c r="O184" s="119"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119"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119"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119"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49">
        <v>2244</v>
      </c>
    </row>
    <row r="185" spans="1:24" ht="9" customHeight="1" x14ac:dyDescent="0.2">
      <c r="A185" s="113" t="s">
        <v>2249</v>
      </c>
    </row>
    <row r="186" spans="1:24" ht="4.5" customHeight="1" x14ac:dyDescent="0.2">
      <c r="A186" s="142"/>
      <c r="B186" s="116"/>
      <c r="C186" s="116"/>
      <c r="D186" s="116"/>
      <c r="E186" s="120"/>
      <c r="F186" s="147"/>
      <c r="G186" s="120"/>
      <c r="H186" s="147"/>
      <c r="I186" s="120"/>
      <c r="J186" s="147"/>
      <c r="K186" s="120"/>
      <c r="L186" s="147"/>
      <c r="M186" s="120"/>
      <c r="N186" s="147"/>
      <c r="O186" s="120"/>
      <c r="P186" s="147"/>
      <c r="Q186" s="120"/>
      <c r="R186" s="147"/>
      <c r="S186" s="120"/>
      <c r="T186" s="147"/>
      <c r="U186" s="120"/>
      <c r="V186" s="147"/>
    </row>
    <row r="187" spans="1:24" ht="4.5" customHeight="1" x14ac:dyDescent="0.2">
      <c r="A187" s="141"/>
      <c r="B187" s="117"/>
      <c r="C187" s="117"/>
      <c r="D187" s="117"/>
      <c r="E187" s="121"/>
      <c r="F187" s="146"/>
      <c r="G187" s="121"/>
      <c r="H187" s="146"/>
      <c r="I187" s="121"/>
      <c r="J187" s="146"/>
      <c r="K187" s="121"/>
      <c r="L187" s="146"/>
      <c r="M187" s="121"/>
      <c r="N187" s="146"/>
      <c r="O187" s="121"/>
      <c r="P187" s="146"/>
      <c r="Q187" s="121"/>
      <c r="R187" s="146"/>
      <c r="S187" s="121"/>
      <c r="T187" s="146"/>
      <c r="U187" s="121"/>
      <c r="V187" s="146"/>
    </row>
    <row r="188" spans="1:24" ht="9" customHeight="1" x14ac:dyDescent="0.2">
      <c r="A188" s="114" t="s">
        <v>2251</v>
      </c>
      <c r="B188" s="108"/>
      <c r="C188" s="108"/>
      <c r="D188" s="108"/>
    </row>
    <row r="189" spans="1:24" ht="9" customHeight="1" x14ac:dyDescent="0.2">
      <c r="A189" s="113" t="s">
        <v>2381</v>
      </c>
      <c r="E189" s="119"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119"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119"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119"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119"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119"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119"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119"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119"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49">
        <v>6039</v>
      </c>
    </row>
    <row r="190" spans="1:24" ht="9" customHeight="1" x14ac:dyDescent="0.2">
      <c r="A190" s="113" t="s">
        <v>2382</v>
      </c>
      <c r="E190" s="119"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119"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119"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119"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119"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119"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119"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119"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119"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49">
        <v>6040</v>
      </c>
    </row>
    <row r="191" spans="1:24" ht="9" customHeight="1" x14ac:dyDescent="0.2">
      <c r="A191" s="113" t="s">
        <v>2383</v>
      </c>
      <c r="E191" s="119"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119"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119"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119"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119"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119"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119"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119"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119">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49">
        <v>5741</v>
      </c>
    </row>
    <row r="192" spans="1:24" ht="9" customHeight="1" x14ac:dyDescent="0.2">
      <c r="A192" s="113" t="s">
        <v>2252</v>
      </c>
      <c r="E192" s="119"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119"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119"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119"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48" t="str">
        <f>IF(K192="-","(1)","")</f>
        <v/>
      </c>
      <c r="M192" s="119"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48" t="str">
        <f>IF(M192="-","(1)","")</f>
        <v/>
      </c>
      <c r="O192" s="119"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119"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119"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119"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49">
        <v>4437</v>
      </c>
    </row>
    <row r="193" spans="1:24" ht="4.5" customHeight="1" x14ac:dyDescent="0.2">
      <c r="A193" s="142"/>
      <c r="B193" s="116"/>
      <c r="C193" s="116"/>
      <c r="D193" s="116"/>
      <c r="E193" s="120"/>
      <c r="F193" s="147"/>
      <c r="G193" s="120"/>
      <c r="H193" s="147"/>
      <c r="I193" s="120"/>
      <c r="J193" s="147"/>
      <c r="K193" s="120"/>
      <c r="L193" s="147"/>
      <c r="M193" s="120"/>
      <c r="N193" s="147"/>
      <c r="O193" s="120"/>
      <c r="P193" s="147"/>
      <c r="Q193" s="120"/>
      <c r="R193" s="147"/>
      <c r="S193" s="120"/>
      <c r="T193" s="147"/>
      <c r="U193" s="120"/>
      <c r="V193" s="147"/>
    </row>
    <row r="194" spans="1:24" ht="4.5" customHeight="1" x14ac:dyDescent="0.2">
      <c r="A194" s="141"/>
      <c r="B194" s="117"/>
      <c r="C194" s="117"/>
      <c r="D194" s="117"/>
      <c r="E194" s="121"/>
      <c r="F194" s="146"/>
      <c r="G194" s="121"/>
      <c r="H194" s="146"/>
      <c r="I194" s="121"/>
      <c r="J194" s="146"/>
      <c r="K194" s="121"/>
      <c r="L194" s="146"/>
      <c r="M194" s="121"/>
      <c r="N194" s="146"/>
      <c r="O194" s="121"/>
      <c r="P194" s="146"/>
      <c r="Q194" s="121"/>
      <c r="R194" s="146"/>
      <c r="S194" s="121"/>
      <c r="T194" s="146"/>
      <c r="U194" s="121"/>
      <c r="V194" s="146"/>
    </row>
    <row r="195" spans="1:24" ht="9" customHeight="1" x14ac:dyDescent="0.2">
      <c r="A195" s="114" t="s">
        <v>2253</v>
      </c>
      <c r="B195" s="108"/>
      <c r="C195" s="108"/>
      <c r="D195" s="108"/>
    </row>
    <row r="196" spans="1:24" ht="9" customHeight="1" x14ac:dyDescent="0.2">
      <c r="A196" s="113" t="s">
        <v>2261</v>
      </c>
      <c r="E196" s="119">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48" t="s">
        <v>2272</v>
      </c>
      <c r="G196" s="119">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119">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119">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119">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119"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119"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119">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119"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49">
        <v>313</v>
      </c>
    </row>
    <row r="197" spans="1:24" ht="9" customHeight="1" x14ac:dyDescent="0.2">
      <c r="A197" s="113" t="s">
        <v>2254</v>
      </c>
      <c r="E197" s="119"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119"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119">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119">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119">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119"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119"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119">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119">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49">
        <v>542</v>
      </c>
    </row>
    <row r="198" spans="1:24" ht="9" customHeight="1" x14ac:dyDescent="0.2">
      <c r="A198" s="113" t="s">
        <v>688</v>
      </c>
      <c r="E198" s="119"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119"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119">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119">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119">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119"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119"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119">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119"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49">
        <v>661</v>
      </c>
    </row>
    <row r="199" spans="1:24" ht="9" customHeight="1" x14ac:dyDescent="0.2">
      <c r="A199" s="113" t="s">
        <v>687</v>
      </c>
      <c r="E199" s="119"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119"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119">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119">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119">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119"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119"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119">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119"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49">
        <v>642</v>
      </c>
    </row>
    <row r="200" spans="1:24" ht="9" customHeight="1" x14ac:dyDescent="0.2">
      <c r="A200" s="113" t="s">
        <v>837</v>
      </c>
      <c r="E200" s="119"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119"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119">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119">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119">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119"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119"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119">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119"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49">
        <v>577</v>
      </c>
    </row>
    <row r="201" spans="1:24" ht="9" customHeight="1" x14ac:dyDescent="0.2">
      <c r="A201" s="113" t="s">
        <v>2255</v>
      </c>
      <c r="E201" s="119"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119"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119">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119">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119">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119"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119"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119">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119"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49">
        <v>600</v>
      </c>
    </row>
    <row r="202" spans="1:24" ht="9" customHeight="1" x14ac:dyDescent="0.2">
      <c r="A202" s="113" t="s">
        <v>685</v>
      </c>
      <c r="E202" s="119"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119"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119">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119">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119">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119"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119"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119">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119"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49">
        <v>361</v>
      </c>
    </row>
    <row r="203" spans="1:24" ht="9" customHeight="1" x14ac:dyDescent="0.2">
      <c r="A203" s="113" t="s">
        <v>2256</v>
      </c>
      <c r="E203" s="119"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119"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119"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119"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119"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119"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119"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119"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119"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49">
        <v>650</v>
      </c>
    </row>
    <row r="204" spans="1:24" ht="9" customHeight="1" x14ac:dyDescent="0.2">
      <c r="A204" s="113" t="s">
        <v>2257</v>
      </c>
      <c r="E204" s="119"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119"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119">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119">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119">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119"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119"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119">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119"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49">
        <v>382</v>
      </c>
    </row>
    <row r="205" spans="1:24" ht="9" customHeight="1" x14ac:dyDescent="0.2">
      <c r="A205" s="113" t="s">
        <v>2262</v>
      </c>
      <c r="E205" s="119"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119"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119"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119"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119"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119"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119"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119">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119"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49">
        <v>808</v>
      </c>
    </row>
    <row r="206" spans="1:24" ht="9" customHeight="1" x14ac:dyDescent="0.2">
      <c r="A206" s="113" t="s">
        <v>2263</v>
      </c>
      <c r="E206" s="119">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119">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119">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119">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119">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119"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119"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119">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119">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49">
        <v>1200</v>
      </c>
    </row>
    <row r="207" spans="1:24" ht="9" customHeight="1" x14ac:dyDescent="0.2">
      <c r="A207" s="113" t="s">
        <v>854</v>
      </c>
      <c r="E207" s="119"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119"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119"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119">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119">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119"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119"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119">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119">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49">
        <v>1451</v>
      </c>
    </row>
    <row r="208" spans="1:24" ht="9" customHeight="1" x14ac:dyDescent="0.2">
      <c r="A208" s="113" t="s">
        <v>855</v>
      </c>
      <c r="E208" s="119"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119"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119"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119"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119"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119"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119"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119"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119">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49">
        <v>1544</v>
      </c>
    </row>
    <row r="209" spans="1:25" ht="9" customHeight="1" x14ac:dyDescent="0.2">
      <c r="A209" s="113" t="s">
        <v>856</v>
      </c>
      <c r="E209" s="119"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119"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119"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119"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119"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119"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119"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119"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119">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49">
        <v>1546</v>
      </c>
    </row>
    <row r="210" spans="1:25" ht="9" customHeight="1" x14ac:dyDescent="0.2">
      <c r="A210" s="113" t="s">
        <v>899</v>
      </c>
      <c r="E210" s="119"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119"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119"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119">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119">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119"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119"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119">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119">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49">
        <v>1590</v>
      </c>
    </row>
    <row r="211" spans="1:25" ht="4.5" customHeight="1" x14ac:dyDescent="0.2">
      <c r="A211" s="124"/>
      <c r="B211" s="124"/>
      <c r="C211" s="124"/>
      <c r="D211" s="124"/>
      <c r="E211" s="125"/>
      <c r="F211" s="143"/>
      <c r="G211" s="125"/>
      <c r="H211" s="143"/>
      <c r="I211" s="125"/>
      <c r="J211" s="143"/>
      <c r="K211" s="125"/>
      <c r="L211" s="143"/>
      <c r="M211" s="125"/>
      <c r="N211" s="143"/>
      <c r="O211" s="125"/>
      <c r="P211" s="143"/>
      <c r="Q211" s="125"/>
      <c r="R211" s="143"/>
      <c r="S211" s="125"/>
      <c r="T211" s="143"/>
      <c r="U211" s="125"/>
      <c r="V211" s="143"/>
      <c r="W211" s="110"/>
      <c r="Y211" s="110"/>
    </row>
    <row r="212" spans="1:25" s="164" customFormat="1" ht="45" customHeight="1" x14ac:dyDescent="0.2">
      <c r="A212" s="161"/>
      <c r="B212" s="162"/>
      <c r="C212" s="162"/>
      <c r="D212" s="162"/>
      <c r="E212" s="207" t="s">
        <v>2153</v>
      </c>
      <c r="F212" s="207"/>
      <c r="G212" s="207" t="s">
        <v>2154</v>
      </c>
      <c r="H212" s="207"/>
      <c r="I212" s="207" t="s">
        <v>2155</v>
      </c>
      <c r="J212" s="207"/>
      <c r="K212" s="207" t="s">
        <v>2156</v>
      </c>
      <c r="L212" s="207"/>
      <c r="M212" s="207" t="s">
        <v>2157</v>
      </c>
      <c r="N212" s="207"/>
      <c r="O212" s="207" t="s">
        <v>2158</v>
      </c>
      <c r="P212" s="207"/>
      <c r="Q212" s="207" t="s">
        <v>2159</v>
      </c>
      <c r="R212" s="207"/>
      <c r="S212" s="207" t="s">
        <v>875</v>
      </c>
      <c r="T212" s="207"/>
      <c r="U212" s="207" t="s">
        <v>2163</v>
      </c>
      <c r="V212" s="207"/>
      <c r="W212" s="163"/>
      <c r="Y212" s="163"/>
    </row>
    <row r="213" spans="1:25" ht="9" customHeight="1" x14ac:dyDescent="0.2">
      <c r="A213" s="112"/>
      <c r="B213" s="109"/>
      <c r="C213" s="109"/>
      <c r="D213" s="109"/>
      <c r="E213" s="118"/>
      <c r="F213" s="144"/>
      <c r="G213" s="118"/>
      <c r="H213" s="144"/>
      <c r="I213" s="118"/>
      <c r="J213" s="144"/>
      <c r="K213" s="118"/>
      <c r="L213" s="144"/>
      <c r="M213" s="118"/>
      <c r="N213" s="144"/>
      <c r="O213" s="118"/>
      <c r="P213" s="144"/>
      <c r="Q213" s="118"/>
      <c r="R213" s="144"/>
      <c r="S213" s="118"/>
      <c r="T213" s="144"/>
      <c r="U213" s="118"/>
      <c r="V213" s="144"/>
      <c r="W213" s="110"/>
      <c r="Y213" s="110"/>
    </row>
    <row r="214" spans="1:25" ht="9" customHeight="1" x14ac:dyDescent="0.2">
      <c r="A214" s="112" t="s">
        <v>2160</v>
      </c>
      <c r="B214" s="109"/>
      <c r="C214" s="109"/>
      <c r="D214" s="109"/>
      <c r="E214" s="206" t="s">
        <v>2161</v>
      </c>
      <c r="F214" s="206"/>
      <c r="G214" s="206" t="s">
        <v>2161</v>
      </c>
      <c r="H214" s="206"/>
      <c r="I214" s="206" t="s">
        <v>2161</v>
      </c>
      <c r="J214" s="206"/>
      <c r="K214" s="206" t="s">
        <v>2161</v>
      </c>
      <c r="L214" s="206"/>
      <c r="M214" s="206" t="s">
        <v>2161</v>
      </c>
      <c r="N214" s="206"/>
      <c r="O214" s="206" t="s">
        <v>2161</v>
      </c>
      <c r="P214" s="206"/>
      <c r="Q214" s="206" t="s">
        <v>2161</v>
      </c>
      <c r="R214" s="206"/>
      <c r="S214" s="206" t="s">
        <v>2161</v>
      </c>
      <c r="T214" s="206"/>
      <c r="U214" s="206" t="s">
        <v>2162</v>
      </c>
      <c r="V214" s="206"/>
      <c r="W214" s="110"/>
      <c r="X214" s="119" t="s">
        <v>0</v>
      </c>
      <c r="Y214" s="110"/>
    </row>
    <row r="215" spans="1:25" ht="4.5" customHeight="1" x14ac:dyDescent="0.2">
      <c r="A215" s="140"/>
      <c r="B215" s="122"/>
      <c r="C215" s="122"/>
      <c r="D215" s="122"/>
      <c r="E215" s="123"/>
      <c r="F215" s="145"/>
      <c r="G215" s="123"/>
      <c r="H215" s="145"/>
      <c r="I215" s="123"/>
      <c r="J215" s="145"/>
      <c r="K215" s="123"/>
      <c r="L215" s="145"/>
      <c r="M215" s="123"/>
      <c r="N215" s="145"/>
      <c r="O215" s="123"/>
      <c r="P215" s="145"/>
      <c r="Q215" s="123"/>
      <c r="R215" s="145"/>
      <c r="S215" s="123"/>
      <c r="T215" s="145"/>
      <c r="U215" s="123"/>
      <c r="V215" s="145"/>
      <c r="W215" s="110"/>
      <c r="Y215" s="110"/>
    </row>
    <row r="216" spans="1:25" ht="4.5" customHeight="1" x14ac:dyDescent="0.2">
      <c r="A216" s="141"/>
      <c r="B216" s="117"/>
      <c r="C216" s="117"/>
      <c r="D216" s="117"/>
      <c r="E216" s="121"/>
      <c r="F216" s="146"/>
      <c r="G216" s="121"/>
      <c r="H216" s="146"/>
      <c r="I216" s="121"/>
      <c r="J216" s="146"/>
      <c r="K216" s="121"/>
      <c r="L216" s="146"/>
      <c r="M216" s="121"/>
      <c r="N216" s="146"/>
      <c r="O216" s="121"/>
      <c r="P216" s="146"/>
      <c r="Q216" s="121"/>
      <c r="R216" s="146"/>
      <c r="S216" s="121"/>
      <c r="T216" s="146"/>
      <c r="U216" s="121"/>
      <c r="V216" s="146"/>
    </row>
    <row r="217" spans="1:25" ht="9" customHeight="1" x14ac:dyDescent="0.2">
      <c r="A217" s="113" t="s">
        <v>535</v>
      </c>
      <c r="E217" s="119"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119"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119"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119"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48" t="str">
        <f t="shared" ref="L217:L227" si="15">IF(K217="-","(1)","")</f>
        <v>(1)</v>
      </c>
      <c r="M217" s="119"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48" t="str">
        <f t="shared" ref="N217:N227" si="16">IF(M217="-","(1)","")</f>
        <v>(1)</v>
      </c>
      <c r="O217" s="119"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119"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119">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119"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49">
        <v>732</v>
      </c>
    </row>
    <row r="218" spans="1:25" ht="9" customHeight="1" x14ac:dyDescent="0.2">
      <c r="A218" s="113" t="s">
        <v>839</v>
      </c>
      <c r="E218" s="119"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119"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119"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119"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48" t="str">
        <f t="shared" si="15"/>
        <v>(1)</v>
      </c>
      <c r="M218" s="119"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48" t="str">
        <f t="shared" si="16"/>
        <v>(1)</v>
      </c>
      <c r="O218" s="119"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119"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119"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119"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49">
        <v>639</v>
      </c>
    </row>
    <row r="219" spans="1:25" ht="9" customHeight="1" x14ac:dyDescent="0.2">
      <c r="A219" s="113" t="s">
        <v>857</v>
      </c>
      <c r="E219" s="119"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119"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119"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119"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48" t="str">
        <f t="shared" si="15"/>
        <v>(1)</v>
      </c>
      <c r="M219" s="119"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48" t="str">
        <f t="shared" si="16"/>
        <v>(1)</v>
      </c>
      <c r="O219" s="119"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119"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119"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119"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49">
        <v>254</v>
      </c>
    </row>
    <row r="220" spans="1:25" ht="9" customHeight="1" x14ac:dyDescent="0.2">
      <c r="A220" s="113" t="s">
        <v>858</v>
      </c>
      <c r="E220" s="119"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119"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119"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119"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48" t="str">
        <f t="shared" si="15"/>
        <v>(1)</v>
      </c>
      <c r="M220" s="119"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48" t="str">
        <f t="shared" si="16"/>
        <v>(1)</v>
      </c>
      <c r="O220" s="119"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119"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119"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119"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49">
        <v>785</v>
      </c>
    </row>
    <row r="221" spans="1:25" ht="9" customHeight="1" x14ac:dyDescent="0.2">
      <c r="A221" s="113" t="s">
        <v>2258</v>
      </c>
      <c r="E221" s="119"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119"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119"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119"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48" t="str">
        <f t="shared" si="15"/>
        <v>(1)</v>
      </c>
      <c r="M221" s="119"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48" t="str">
        <f t="shared" si="16"/>
        <v>(1)</v>
      </c>
      <c r="O221" s="119"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119"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119"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119"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49">
        <v>174</v>
      </c>
    </row>
    <row r="222" spans="1:25" ht="9" customHeight="1" x14ac:dyDescent="0.2">
      <c r="A222" s="113" t="s">
        <v>766</v>
      </c>
      <c r="E222" s="119"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119"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119"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119"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48" t="str">
        <f t="shared" si="15"/>
        <v>(1)</v>
      </c>
      <c r="M222" s="119"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48" t="str">
        <f t="shared" si="16"/>
        <v>(1)</v>
      </c>
      <c r="O222" s="119"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119"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119"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119"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49">
        <v>1154</v>
      </c>
    </row>
    <row r="223" spans="1:25" ht="9" customHeight="1" x14ac:dyDescent="0.2">
      <c r="A223" s="113" t="s">
        <v>2259</v>
      </c>
      <c r="E223" s="119"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119"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119"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119"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48" t="str">
        <f t="shared" si="15"/>
        <v>(1)</v>
      </c>
      <c r="M223" s="119"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48" t="str">
        <f t="shared" si="16"/>
        <v>(1)</v>
      </c>
      <c r="O223" s="119"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119"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119"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119"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49">
        <v>1516</v>
      </c>
    </row>
    <row r="224" spans="1:25" ht="9" customHeight="1" x14ac:dyDescent="0.2">
      <c r="A224" s="113" t="s">
        <v>775</v>
      </c>
      <c r="E224" s="119"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119"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119"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119"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48" t="str">
        <f t="shared" si="15"/>
        <v>(1)</v>
      </c>
      <c r="M224" s="119"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48" t="str">
        <f t="shared" si="16"/>
        <v>(1)</v>
      </c>
      <c r="O224" s="119"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119"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119"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119"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49">
        <v>412</v>
      </c>
    </row>
    <row r="225" spans="1:24" ht="9" customHeight="1" x14ac:dyDescent="0.2">
      <c r="A225" s="113" t="s">
        <v>774</v>
      </c>
      <c r="E225" s="119"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119"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119"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119"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48" t="str">
        <f t="shared" si="15"/>
        <v>(1)</v>
      </c>
      <c r="M225" s="119"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48" t="str">
        <f t="shared" si="16"/>
        <v>(1)</v>
      </c>
      <c r="O225" s="119"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119"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119"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119"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49">
        <v>725</v>
      </c>
    </row>
    <row r="226" spans="1:24" ht="9" customHeight="1" x14ac:dyDescent="0.2">
      <c r="A226" s="113" t="s">
        <v>2260</v>
      </c>
      <c r="E226" s="119"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119"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119"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119"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48" t="str">
        <f t="shared" si="15"/>
        <v>(1)</v>
      </c>
      <c r="M226" s="119"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48" t="str">
        <f t="shared" si="16"/>
        <v>(1)</v>
      </c>
      <c r="O226" s="119"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119"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119"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119"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49">
        <v>1163</v>
      </c>
    </row>
    <row r="227" spans="1:24" ht="9" customHeight="1" x14ac:dyDescent="0.2">
      <c r="A227" s="113" t="s">
        <v>779</v>
      </c>
      <c r="E227" s="119"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119"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119"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119"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48" t="str">
        <f t="shared" si="15"/>
        <v>(1)</v>
      </c>
      <c r="M227" s="119"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48" t="str">
        <f t="shared" si="16"/>
        <v>(1)</v>
      </c>
      <c r="O227" s="119"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119"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119"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119"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49">
        <v>1171</v>
      </c>
    </row>
    <row r="228" spans="1:24" ht="4.5" customHeight="1" x14ac:dyDescent="0.2">
      <c r="A228" s="142"/>
      <c r="B228" s="116"/>
      <c r="C228" s="116"/>
      <c r="D228" s="116"/>
      <c r="E228" s="120"/>
      <c r="F228" s="147"/>
      <c r="G228" s="120"/>
      <c r="H228" s="147"/>
      <c r="I228" s="120"/>
      <c r="J228" s="147"/>
      <c r="K228" s="120"/>
      <c r="L228" s="147"/>
      <c r="M228" s="120"/>
      <c r="N228" s="147"/>
      <c r="O228" s="120"/>
      <c r="P228" s="147"/>
      <c r="Q228" s="120"/>
      <c r="R228" s="147"/>
      <c r="S228" s="120"/>
      <c r="T228" s="147"/>
      <c r="U228" s="120"/>
      <c r="V228" s="147"/>
    </row>
    <row r="229" spans="1:24" ht="9" customHeight="1" x14ac:dyDescent="0.2">
      <c r="V229" s="146"/>
    </row>
    <row r="230" spans="1:24" ht="9" customHeight="1" x14ac:dyDescent="0.2">
      <c r="A230" s="49" t="s">
        <v>2274</v>
      </c>
    </row>
    <row r="231" spans="1:24" ht="4.5" customHeight="1" x14ac:dyDescent="0.2"/>
    <row r="232" spans="1:24" s="127" customFormat="1" ht="9" customHeight="1" x14ac:dyDescent="0.2">
      <c r="A232" s="126" t="s">
        <v>176</v>
      </c>
      <c r="B232" s="208" t="s">
        <v>2280</v>
      </c>
      <c r="C232" s="208"/>
      <c r="D232" s="208"/>
      <c r="E232" s="208"/>
      <c r="F232" s="208"/>
      <c r="G232" s="208"/>
      <c r="H232" s="208"/>
      <c r="I232" s="208"/>
      <c r="J232" s="208"/>
      <c r="K232" s="208"/>
      <c r="L232" s="208"/>
      <c r="M232" s="208"/>
      <c r="N232" s="208"/>
      <c r="O232" s="208"/>
      <c r="P232" s="208"/>
      <c r="Q232" s="208"/>
      <c r="R232" s="208"/>
      <c r="S232" s="208"/>
      <c r="T232" s="208"/>
      <c r="U232" s="208"/>
      <c r="V232" s="208"/>
    </row>
    <row r="233" spans="1:24" s="127" customFormat="1" ht="9" customHeight="1" x14ac:dyDescent="0.2">
      <c r="B233" s="208" t="s">
        <v>2281</v>
      </c>
      <c r="C233" s="208"/>
      <c r="D233" s="208"/>
      <c r="E233" s="208"/>
      <c r="F233" s="208"/>
      <c r="G233" s="208"/>
      <c r="H233" s="208"/>
      <c r="I233" s="208"/>
      <c r="J233" s="208"/>
      <c r="K233" s="208"/>
      <c r="L233" s="208"/>
      <c r="M233" s="208"/>
      <c r="N233" s="208"/>
      <c r="O233" s="208"/>
      <c r="P233" s="208"/>
      <c r="Q233" s="208"/>
      <c r="R233" s="208"/>
      <c r="S233" s="208"/>
      <c r="T233" s="208"/>
      <c r="U233" s="208"/>
      <c r="V233" s="208"/>
    </row>
    <row r="234" spans="1:24" s="127" customFormat="1" ht="9" customHeight="1" x14ac:dyDescent="0.2">
      <c r="B234" s="208" t="s">
        <v>2282</v>
      </c>
      <c r="C234" s="208"/>
      <c r="D234" s="208"/>
      <c r="E234" s="208"/>
      <c r="F234" s="208"/>
      <c r="G234" s="208"/>
      <c r="H234" s="208"/>
      <c r="I234" s="208"/>
      <c r="J234" s="208"/>
      <c r="K234" s="208"/>
      <c r="L234" s="208"/>
      <c r="M234" s="208"/>
      <c r="N234" s="208"/>
      <c r="O234" s="208"/>
      <c r="P234" s="208"/>
      <c r="Q234" s="208"/>
      <c r="R234" s="208"/>
      <c r="S234" s="208"/>
      <c r="T234" s="208"/>
      <c r="U234" s="208"/>
      <c r="V234" s="208"/>
    </row>
    <row r="235" spans="1:24" s="127" customFormat="1" ht="9" customHeight="1" x14ac:dyDescent="0.2">
      <c r="B235" s="208" t="s">
        <v>2283</v>
      </c>
      <c r="C235" s="208"/>
      <c r="D235" s="208"/>
      <c r="E235" s="208"/>
      <c r="F235" s="208"/>
      <c r="G235" s="208"/>
      <c r="H235" s="208"/>
      <c r="I235" s="208"/>
      <c r="J235" s="208"/>
      <c r="K235" s="208"/>
      <c r="L235" s="208"/>
      <c r="M235" s="208"/>
      <c r="N235" s="208"/>
      <c r="O235" s="208"/>
      <c r="P235" s="208"/>
      <c r="Q235" s="208"/>
      <c r="R235" s="208"/>
      <c r="S235" s="208"/>
      <c r="T235" s="208"/>
      <c r="U235" s="208"/>
      <c r="V235" s="208"/>
    </row>
    <row r="236" spans="1:24" s="127" customFormat="1" ht="9" customHeight="1" x14ac:dyDescent="0.2">
      <c r="B236" s="127" t="s">
        <v>45</v>
      </c>
      <c r="C236" s="209" t="s">
        <v>2275</v>
      </c>
      <c r="D236" s="209"/>
      <c r="E236" s="209"/>
      <c r="F236" s="209"/>
      <c r="G236" s="209"/>
      <c r="H236" s="209"/>
      <c r="I236" s="209"/>
      <c r="J236" s="209"/>
      <c r="K236" s="209"/>
      <c r="L236" s="209"/>
      <c r="M236" s="209"/>
      <c r="N236" s="209"/>
      <c r="O236" s="209"/>
      <c r="P236" s="209"/>
      <c r="Q236" s="209"/>
      <c r="R236" s="209"/>
      <c r="S236" s="209"/>
      <c r="T236" s="209"/>
      <c r="U236" s="209"/>
      <c r="V236" s="209"/>
    </row>
    <row r="237" spans="1:24" s="127" customFormat="1" ht="9" customHeight="1" x14ac:dyDescent="0.2">
      <c r="C237" s="130" t="s">
        <v>2284</v>
      </c>
      <c r="D237" s="209" t="s">
        <v>2276</v>
      </c>
      <c r="E237" s="209"/>
      <c r="F237" s="209"/>
      <c r="G237" s="209"/>
      <c r="H237" s="209"/>
      <c r="I237" s="209"/>
      <c r="J237" s="209"/>
      <c r="K237" s="209"/>
      <c r="L237" s="209"/>
      <c r="M237" s="209"/>
      <c r="N237" s="209"/>
      <c r="O237" s="209"/>
      <c r="P237" s="209"/>
      <c r="Q237" s="209"/>
      <c r="R237" s="209"/>
      <c r="S237" s="209"/>
      <c r="T237" s="209"/>
      <c r="U237" s="209"/>
      <c r="V237" s="209"/>
    </row>
    <row r="238" spans="1:24" s="127" customFormat="1" ht="9" customHeight="1" x14ac:dyDescent="0.2">
      <c r="C238" s="130" t="s">
        <v>2284</v>
      </c>
      <c r="D238" s="208" t="s">
        <v>2277</v>
      </c>
      <c r="E238" s="208"/>
      <c r="F238" s="208"/>
      <c r="G238" s="208"/>
      <c r="H238" s="208"/>
      <c r="I238" s="208"/>
      <c r="J238" s="208"/>
      <c r="K238" s="208"/>
      <c r="L238" s="208"/>
      <c r="M238" s="208"/>
      <c r="N238" s="208"/>
      <c r="O238" s="208"/>
      <c r="P238" s="208"/>
      <c r="Q238" s="208"/>
      <c r="R238" s="208"/>
      <c r="S238" s="208"/>
      <c r="T238" s="208"/>
      <c r="U238" s="208"/>
      <c r="V238" s="208"/>
    </row>
    <row r="239" spans="1:24" s="127" customFormat="1" ht="9" customHeight="1" x14ac:dyDescent="0.2">
      <c r="B239" s="127" t="s">
        <v>45</v>
      </c>
      <c r="C239" s="208" t="s">
        <v>2285</v>
      </c>
      <c r="D239" s="208"/>
      <c r="E239" s="208"/>
      <c r="F239" s="208"/>
      <c r="G239" s="208"/>
      <c r="H239" s="208"/>
      <c r="I239" s="208"/>
      <c r="J239" s="208"/>
      <c r="K239" s="208"/>
      <c r="L239" s="208"/>
      <c r="M239" s="208"/>
      <c r="N239" s="208"/>
      <c r="O239" s="208"/>
      <c r="P239" s="208"/>
      <c r="Q239" s="208"/>
      <c r="R239" s="208"/>
      <c r="S239" s="208"/>
      <c r="T239" s="208"/>
      <c r="U239" s="208"/>
      <c r="V239" s="208"/>
    </row>
    <row r="240" spans="1:24" s="127" customFormat="1" ht="9" customHeight="1" x14ac:dyDescent="0.2">
      <c r="C240" s="208" t="s">
        <v>2286</v>
      </c>
      <c r="D240" s="208"/>
      <c r="E240" s="208"/>
      <c r="F240" s="208"/>
      <c r="G240" s="208"/>
      <c r="H240" s="208"/>
      <c r="I240" s="208"/>
      <c r="J240" s="208"/>
      <c r="K240" s="208"/>
      <c r="L240" s="208"/>
      <c r="M240" s="208"/>
      <c r="N240" s="208"/>
      <c r="O240" s="208"/>
      <c r="P240" s="208"/>
      <c r="Q240" s="208"/>
      <c r="R240" s="208"/>
      <c r="S240" s="208"/>
      <c r="T240" s="208"/>
      <c r="U240" s="208"/>
      <c r="V240" s="208"/>
    </row>
    <row r="241" spans="1:22" s="127" customFormat="1" ht="9" customHeight="1" x14ac:dyDescent="0.2">
      <c r="C241" s="130" t="s">
        <v>2284</v>
      </c>
      <c r="D241" s="208" t="s">
        <v>2278</v>
      </c>
      <c r="E241" s="208"/>
      <c r="F241" s="208"/>
      <c r="G241" s="208"/>
      <c r="H241" s="208"/>
      <c r="I241" s="208"/>
      <c r="J241" s="208"/>
      <c r="K241" s="208"/>
      <c r="L241" s="208"/>
      <c r="M241" s="208"/>
      <c r="N241" s="208"/>
      <c r="O241" s="208"/>
      <c r="P241" s="208"/>
      <c r="Q241" s="208"/>
      <c r="R241" s="208"/>
      <c r="S241" s="208"/>
      <c r="T241" s="208"/>
      <c r="U241" s="208"/>
      <c r="V241" s="208"/>
    </row>
    <row r="242" spans="1:22" s="127" customFormat="1" ht="9" customHeight="1" x14ac:dyDescent="0.2">
      <c r="C242" s="130" t="s">
        <v>2284</v>
      </c>
      <c r="D242" s="208" t="s">
        <v>2279</v>
      </c>
      <c r="E242" s="208"/>
      <c r="F242" s="208"/>
      <c r="G242" s="208"/>
      <c r="H242" s="208"/>
      <c r="I242" s="208"/>
      <c r="J242" s="208"/>
      <c r="K242" s="208"/>
      <c r="L242" s="208"/>
      <c r="M242" s="208"/>
      <c r="N242" s="208"/>
      <c r="O242" s="208"/>
      <c r="P242" s="208"/>
      <c r="Q242" s="208"/>
      <c r="R242" s="208"/>
      <c r="S242" s="208"/>
      <c r="T242" s="208"/>
      <c r="U242" s="208"/>
      <c r="V242" s="208"/>
    </row>
    <row r="243" spans="1:22" s="127" customFormat="1" ht="9" customHeight="1" x14ac:dyDescent="0.2">
      <c r="B243" s="127" t="s">
        <v>45</v>
      </c>
      <c r="C243" s="209" t="s">
        <v>2287</v>
      </c>
      <c r="D243" s="209"/>
      <c r="E243" s="209"/>
      <c r="F243" s="209"/>
      <c r="G243" s="209"/>
      <c r="H243" s="209"/>
      <c r="I243" s="209"/>
      <c r="J243" s="209"/>
      <c r="K243" s="209"/>
      <c r="L243" s="209"/>
      <c r="M243" s="209"/>
      <c r="N243" s="209"/>
      <c r="O243" s="209"/>
      <c r="P243" s="209"/>
      <c r="Q243" s="209"/>
      <c r="R243" s="209"/>
      <c r="S243" s="209"/>
      <c r="T243" s="209"/>
      <c r="U243" s="209"/>
      <c r="V243" s="209"/>
    </row>
    <row r="244" spans="1:22" s="127" customFormat="1" ht="9" customHeight="1" x14ac:dyDescent="0.2">
      <c r="C244" s="209" t="s">
        <v>2288</v>
      </c>
      <c r="D244" s="209"/>
      <c r="E244" s="209"/>
      <c r="F244" s="209"/>
      <c r="G244" s="209"/>
      <c r="H244" s="209"/>
      <c r="I244" s="209"/>
      <c r="J244" s="209"/>
      <c r="K244" s="209"/>
      <c r="L244" s="209"/>
      <c r="M244" s="209"/>
      <c r="N244" s="209"/>
      <c r="O244" s="209"/>
      <c r="P244" s="209"/>
      <c r="Q244" s="209"/>
      <c r="R244" s="209"/>
      <c r="S244" s="209"/>
      <c r="T244" s="209"/>
      <c r="U244" s="209"/>
      <c r="V244" s="209"/>
    </row>
    <row r="245" spans="1:22" s="127" customFormat="1" ht="9" customHeight="1" x14ac:dyDescent="0.2">
      <c r="B245" s="127" t="s">
        <v>45</v>
      </c>
      <c r="C245" s="209" t="s">
        <v>2289</v>
      </c>
      <c r="D245" s="209"/>
      <c r="E245" s="209"/>
      <c r="F245" s="209"/>
      <c r="G245" s="209"/>
      <c r="H245" s="209"/>
      <c r="I245" s="209"/>
      <c r="J245" s="209"/>
      <c r="K245" s="209"/>
      <c r="L245" s="209"/>
      <c r="M245" s="209"/>
      <c r="N245" s="209"/>
      <c r="O245" s="209"/>
      <c r="P245" s="209"/>
      <c r="Q245" s="209"/>
      <c r="R245" s="209"/>
      <c r="S245" s="209"/>
      <c r="T245" s="209"/>
      <c r="U245" s="209"/>
      <c r="V245" s="209"/>
    </row>
    <row r="246" spans="1:22" s="127" customFormat="1" ht="9" customHeight="1" x14ac:dyDescent="0.2">
      <c r="C246" s="209" t="s">
        <v>2290</v>
      </c>
      <c r="D246" s="209"/>
      <c r="E246" s="209"/>
      <c r="F246" s="209"/>
      <c r="G246" s="209"/>
      <c r="H246" s="209"/>
      <c r="I246" s="209"/>
      <c r="J246" s="209"/>
      <c r="K246" s="209"/>
      <c r="L246" s="209"/>
      <c r="M246" s="209"/>
      <c r="N246" s="209"/>
      <c r="O246" s="209"/>
      <c r="P246" s="209"/>
      <c r="Q246" s="209"/>
      <c r="R246" s="209"/>
      <c r="S246" s="209"/>
      <c r="T246" s="209"/>
      <c r="U246" s="209"/>
      <c r="V246" s="209"/>
    </row>
    <row r="247" spans="1:22" s="127" customFormat="1" ht="4.5" customHeight="1" x14ac:dyDescent="0.2">
      <c r="E247" s="128"/>
      <c r="F247" s="149"/>
      <c r="G247" s="128"/>
      <c r="H247" s="149"/>
      <c r="I247" s="128"/>
      <c r="J247" s="149"/>
      <c r="K247" s="128"/>
      <c r="L247" s="149"/>
      <c r="M247" s="128"/>
      <c r="N247" s="149"/>
      <c r="O247" s="128"/>
      <c r="P247" s="149"/>
      <c r="Q247" s="128"/>
      <c r="R247" s="149"/>
      <c r="S247" s="128"/>
      <c r="T247" s="149"/>
      <c r="U247" s="128"/>
      <c r="V247" s="149"/>
    </row>
    <row r="248" spans="1:22" s="127" customFormat="1" ht="9" customHeight="1" x14ac:dyDescent="0.2">
      <c r="A248" s="126" t="s">
        <v>2291</v>
      </c>
      <c r="B248" s="209" t="s">
        <v>2292</v>
      </c>
      <c r="C248" s="209"/>
      <c r="D248" s="209"/>
      <c r="E248" s="209"/>
      <c r="F248" s="209"/>
      <c r="G248" s="209"/>
      <c r="H248" s="209"/>
      <c r="I248" s="209"/>
      <c r="J248" s="209"/>
      <c r="K248" s="209"/>
      <c r="L248" s="209"/>
      <c r="M248" s="209"/>
      <c r="N248" s="209"/>
      <c r="O248" s="209"/>
      <c r="P248" s="209"/>
      <c r="Q248" s="209"/>
      <c r="R248" s="209"/>
      <c r="S248" s="209"/>
      <c r="T248" s="209"/>
      <c r="U248" s="209"/>
      <c r="V248" s="209"/>
    </row>
    <row r="249" spans="1:22" s="127" customFormat="1" ht="9" customHeight="1" x14ac:dyDescent="0.2">
      <c r="B249" s="127" t="s">
        <v>2293</v>
      </c>
      <c r="C249" s="209" t="s">
        <v>2295</v>
      </c>
      <c r="D249" s="209"/>
      <c r="E249" s="209"/>
      <c r="F249" s="209"/>
      <c r="G249" s="209"/>
      <c r="H249" s="209"/>
      <c r="I249" s="209"/>
      <c r="J249" s="209"/>
      <c r="K249" s="209"/>
      <c r="L249" s="209"/>
      <c r="M249" s="209"/>
      <c r="N249" s="209"/>
      <c r="O249" s="209"/>
      <c r="P249" s="209"/>
      <c r="Q249" s="209"/>
      <c r="R249" s="209"/>
      <c r="S249" s="209"/>
      <c r="T249" s="209"/>
      <c r="U249" s="209"/>
      <c r="V249" s="209"/>
    </row>
    <row r="250" spans="1:22" s="127" customFormat="1" ht="9" customHeight="1" x14ac:dyDescent="0.2">
      <c r="B250" s="127" t="s">
        <v>2294</v>
      </c>
      <c r="C250" s="209" t="s">
        <v>2296</v>
      </c>
      <c r="D250" s="209"/>
      <c r="E250" s="209"/>
      <c r="F250" s="209"/>
      <c r="G250" s="209"/>
      <c r="H250" s="209"/>
      <c r="I250" s="209"/>
      <c r="J250" s="209"/>
      <c r="K250" s="209"/>
      <c r="L250" s="209"/>
      <c r="M250" s="209"/>
      <c r="N250" s="209"/>
      <c r="O250" s="209"/>
      <c r="P250" s="209"/>
      <c r="Q250" s="209"/>
      <c r="R250" s="209"/>
      <c r="S250" s="209"/>
      <c r="T250" s="209"/>
      <c r="U250" s="209"/>
      <c r="V250" s="209"/>
    </row>
    <row r="251" spans="1:22" s="127" customFormat="1" ht="9" customHeight="1" x14ac:dyDescent="0.2">
      <c r="C251" s="209" t="s">
        <v>2297</v>
      </c>
      <c r="D251" s="209"/>
      <c r="E251" s="209"/>
      <c r="F251" s="209"/>
      <c r="G251" s="209"/>
      <c r="H251" s="209"/>
      <c r="I251" s="209"/>
      <c r="J251" s="209"/>
      <c r="K251" s="209"/>
      <c r="L251" s="209"/>
      <c r="M251" s="209"/>
      <c r="N251" s="209"/>
      <c r="O251" s="209"/>
      <c r="P251" s="209"/>
      <c r="Q251" s="209"/>
      <c r="R251" s="209"/>
      <c r="S251" s="209"/>
      <c r="T251" s="209"/>
      <c r="U251" s="209"/>
      <c r="V251" s="209"/>
    </row>
    <row r="252" spans="1:22" s="127" customFormat="1" ht="4.5" customHeight="1" x14ac:dyDescent="0.2">
      <c r="E252" s="128"/>
      <c r="F252" s="149"/>
      <c r="G252" s="128"/>
      <c r="H252" s="149"/>
      <c r="I252" s="128"/>
      <c r="J252" s="149"/>
      <c r="K252" s="128"/>
      <c r="L252" s="149"/>
      <c r="M252" s="128"/>
      <c r="N252" s="149"/>
      <c r="O252" s="128"/>
      <c r="P252" s="149"/>
      <c r="Q252" s="128"/>
      <c r="R252" s="149"/>
      <c r="S252" s="128"/>
      <c r="T252" s="149"/>
      <c r="U252" s="128"/>
      <c r="V252" s="149"/>
    </row>
    <row r="253" spans="1:22" s="127" customFormat="1" ht="9" customHeight="1" x14ac:dyDescent="0.2">
      <c r="A253" s="126" t="s">
        <v>2269</v>
      </c>
      <c r="B253" s="209" t="s">
        <v>2298</v>
      </c>
      <c r="C253" s="209"/>
      <c r="D253" s="209"/>
      <c r="E253" s="209"/>
      <c r="F253" s="209"/>
      <c r="G253" s="209"/>
      <c r="H253" s="209"/>
      <c r="I253" s="209"/>
      <c r="J253" s="209"/>
      <c r="K253" s="209"/>
      <c r="L253" s="209"/>
      <c r="M253" s="209"/>
      <c r="N253" s="209"/>
      <c r="O253" s="209"/>
      <c r="P253" s="209"/>
      <c r="Q253" s="209"/>
      <c r="R253" s="209"/>
      <c r="S253" s="209"/>
      <c r="T253" s="209"/>
      <c r="U253" s="209"/>
      <c r="V253" s="209"/>
    </row>
    <row r="254" spans="1:22" s="127" customFormat="1" ht="9" customHeight="1" x14ac:dyDescent="0.2">
      <c r="B254" s="209" t="s">
        <v>2299</v>
      </c>
      <c r="C254" s="209"/>
      <c r="D254" s="209"/>
      <c r="E254" s="209"/>
      <c r="F254" s="209"/>
      <c r="G254" s="209"/>
      <c r="H254" s="209"/>
      <c r="I254" s="209"/>
      <c r="J254" s="209"/>
      <c r="K254" s="209"/>
      <c r="L254" s="209"/>
      <c r="M254" s="209"/>
      <c r="N254" s="209"/>
      <c r="O254" s="209"/>
      <c r="P254" s="209"/>
      <c r="Q254" s="209"/>
      <c r="R254" s="209"/>
      <c r="S254" s="209"/>
      <c r="T254" s="209"/>
      <c r="U254" s="209"/>
      <c r="V254" s="209"/>
    </row>
    <row r="255" spans="1:22" s="127" customFormat="1" ht="4.5" customHeight="1" x14ac:dyDescent="0.2">
      <c r="E255" s="128"/>
      <c r="F255" s="149"/>
      <c r="G255" s="128"/>
      <c r="H255" s="149"/>
      <c r="I255" s="128"/>
      <c r="J255" s="149"/>
      <c r="K255" s="128"/>
      <c r="L255" s="149"/>
      <c r="M255" s="128"/>
      <c r="N255" s="149"/>
      <c r="O255" s="128"/>
      <c r="P255" s="149"/>
      <c r="Q255" s="128"/>
      <c r="R255" s="149"/>
      <c r="S255" s="128"/>
      <c r="T255" s="149"/>
      <c r="U255" s="128"/>
      <c r="V255" s="149"/>
    </row>
    <row r="256" spans="1:22" s="127" customFormat="1" ht="9" customHeight="1" x14ac:dyDescent="0.2">
      <c r="A256" s="126" t="s">
        <v>2300</v>
      </c>
      <c r="B256" s="208" t="s">
        <v>2301</v>
      </c>
      <c r="C256" s="208"/>
      <c r="D256" s="208"/>
      <c r="E256" s="208"/>
      <c r="F256" s="208"/>
      <c r="G256" s="208"/>
      <c r="H256" s="208"/>
      <c r="I256" s="208"/>
      <c r="J256" s="208"/>
      <c r="K256" s="208"/>
      <c r="L256" s="208"/>
      <c r="M256" s="208"/>
      <c r="N256" s="208"/>
      <c r="O256" s="208"/>
      <c r="P256" s="208"/>
      <c r="Q256" s="208"/>
      <c r="R256" s="208"/>
      <c r="S256" s="208"/>
      <c r="T256" s="208"/>
      <c r="U256" s="208"/>
      <c r="V256" s="208"/>
    </row>
    <row r="257" spans="1:22" s="127" customFormat="1" ht="9" customHeight="1" x14ac:dyDescent="0.2">
      <c r="B257" s="208" t="s">
        <v>2302</v>
      </c>
      <c r="C257" s="208"/>
      <c r="D257" s="208"/>
      <c r="E257" s="208"/>
      <c r="F257" s="208"/>
      <c r="G257" s="208"/>
      <c r="H257" s="208"/>
      <c r="I257" s="208"/>
      <c r="J257" s="208"/>
      <c r="K257" s="208"/>
      <c r="L257" s="208"/>
      <c r="M257" s="208"/>
      <c r="N257" s="208"/>
      <c r="O257" s="208"/>
      <c r="P257" s="208"/>
      <c r="Q257" s="208"/>
      <c r="R257" s="208"/>
      <c r="S257" s="208"/>
      <c r="T257" s="208"/>
      <c r="U257" s="208"/>
      <c r="V257" s="208"/>
    </row>
    <row r="258" spans="1:22" s="127" customFormat="1" ht="4.5" customHeight="1" x14ac:dyDescent="0.2">
      <c r="E258" s="128"/>
      <c r="F258" s="149"/>
      <c r="G258" s="128"/>
      <c r="H258" s="149"/>
      <c r="I258" s="128"/>
      <c r="J258" s="149"/>
      <c r="K258" s="128"/>
      <c r="L258" s="149"/>
      <c r="M258" s="128"/>
      <c r="N258" s="149"/>
      <c r="O258" s="128"/>
      <c r="P258" s="149"/>
      <c r="Q258" s="128"/>
      <c r="R258" s="149"/>
      <c r="S258" s="128"/>
      <c r="T258" s="149"/>
      <c r="U258" s="128"/>
      <c r="V258" s="149"/>
    </row>
    <row r="259" spans="1:22" s="127" customFormat="1" ht="9" customHeight="1" x14ac:dyDescent="0.2">
      <c r="A259" s="126" t="s">
        <v>2267</v>
      </c>
      <c r="B259" s="208" t="s">
        <v>2303</v>
      </c>
      <c r="C259" s="208"/>
      <c r="D259" s="208"/>
      <c r="E259" s="208"/>
      <c r="F259" s="208"/>
      <c r="G259" s="208"/>
      <c r="H259" s="208"/>
      <c r="I259" s="208"/>
      <c r="J259" s="208"/>
      <c r="K259" s="208"/>
      <c r="L259" s="208"/>
      <c r="M259" s="208"/>
      <c r="N259" s="208"/>
      <c r="O259" s="208"/>
      <c r="P259" s="208"/>
      <c r="Q259" s="208"/>
      <c r="R259" s="208"/>
      <c r="S259" s="208"/>
      <c r="T259" s="208"/>
      <c r="U259" s="208"/>
      <c r="V259" s="208"/>
    </row>
    <row r="260" spans="1:22" s="127" customFormat="1" ht="9" customHeight="1" x14ac:dyDescent="0.2">
      <c r="B260" s="209" t="s">
        <v>2304</v>
      </c>
      <c r="C260" s="209"/>
      <c r="D260" s="209"/>
      <c r="E260" s="209"/>
      <c r="F260" s="209"/>
      <c r="G260" s="209"/>
      <c r="H260" s="209"/>
      <c r="I260" s="209"/>
      <c r="J260" s="209"/>
      <c r="K260" s="209"/>
      <c r="L260" s="209"/>
      <c r="M260" s="209"/>
      <c r="N260" s="209"/>
      <c r="O260" s="209"/>
      <c r="P260" s="209"/>
      <c r="Q260" s="209"/>
      <c r="R260" s="209"/>
      <c r="S260" s="209"/>
      <c r="T260" s="209"/>
      <c r="U260" s="209"/>
      <c r="V260" s="209"/>
    </row>
    <row r="261" spans="1:22" s="127" customFormat="1" ht="4.5" customHeight="1" x14ac:dyDescent="0.2">
      <c r="E261" s="128"/>
      <c r="F261" s="149"/>
      <c r="G261" s="128"/>
      <c r="H261" s="149"/>
      <c r="I261" s="128"/>
      <c r="J261" s="149"/>
      <c r="K261" s="128"/>
      <c r="L261" s="149"/>
      <c r="M261" s="128"/>
      <c r="N261" s="149"/>
      <c r="O261" s="128"/>
      <c r="P261" s="149"/>
      <c r="Q261" s="128"/>
      <c r="R261" s="149"/>
      <c r="S261" s="128"/>
      <c r="T261" s="149"/>
      <c r="U261" s="128"/>
      <c r="V261" s="149"/>
    </row>
    <row r="262" spans="1:22" s="127" customFormat="1" ht="9" customHeight="1" x14ac:dyDescent="0.2">
      <c r="A262" s="126" t="s">
        <v>2268</v>
      </c>
      <c r="B262" s="208" t="s">
        <v>2305</v>
      </c>
      <c r="C262" s="208"/>
      <c r="D262" s="208"/>
      <c r="E262" s="208"/>
      <c r="F262" s="208"/>
      <c r="G262" s="208"/>
      <c r="H262" s="208"/>
      <c r="I262" s="208"/>
      <c r="J262" s="208"/>
      <c r="K262" s="208"/>
      <c r="L262" s="208"/>
      <c r="M262" s="208"/>
      <c r="N262" s="208"/>
      <c r="O262" s="208"/>
      <c r="P262" s="208"/>
      <c r="Q262" s="208"/>
      <c r="R262" s="208"/>
      <c r="S262" s="208"/>
      <c r="T262" s="208"/>
      <c r="U262" s="208"/>
      <c r="V262" s="208"/>
    </row>
    <row r="263" spans="1:22" s="127" customFormat="1" ht="9" customHeight="1" x14ac:dyDescent="0.2">
      <c r="B263" s="209" t="s">
        <v>2306</v>
      </c>
      <c r="C263" s="209"/>
      <c r="D263" s="209"/>
      <c r="E263" s="209"/>
      <c r="F263" s="209"/>
      <c r="G263" s="209"/>
      <c r="H263" s="209"/>
      <c r="I263" s="209"/>
      <c r="J263" s="209"/>
      <c r="K263" s="209"/>
      <c r="L263" s="209"/>
      <c r="M263" s="209"/>
      <c r="N263" s="209"/>
      <c r="O263" s="209"/>
      <c r="P263" s="209"/>
      <c r="Q263" s="209"/>
      <c r="R263" s="209"/>
      <c r="S263" s="209"/>
      <c r="T263" s="209"/>
      <c r="U263" s="209"/>
      <c r="V263" s="209"/>
    </row>
    <row r="264" spans="1:22" s="127" customFormat="1" ht="4.5" customHeight="1" x14ac:dyDescent="0.2">
      <c r="E264" s="128"/>
      <c r="F264" s="149"/>
      <c r="G264" s="128"/>
      <c r="H264" s="149"/>
      <c r="I264" s="128"/>
      <c r="J264" s="149"/>
      <c r="K264" s="128"/>
      <c r="L264" s="149"/>
      <c r="M264" s="128"/>
      <c r="N264" s="149"/>
      <c r="O264" s="128"/>
      <c r="P264" s="149"/>
      <c r="Q264" s="128"/>
      <c r="R264" s="149"/>
      <c r="S264" s="128"/>
      <c r="T264" s="149"/>
      <c r="U264" s="128"/>
      <c r="V264" s="149"/>
    </row>
    <row r="265" spans="1:22" s="127" customFormat="1" ht="9" customHeight="1" x14ac:dyDescent="0.2">
      <c r="A265" s="126" t="s">
        <v>2270</v>
      </c>
      <c r="B265" s="209" t="s">
        <v>2307</v>
      </c>
      <c r="C265" s="209"/>
      <c r="D265" s="209"/>
      <c r="E265" s="209"/>
      <c r="F265" s="209"/>
      <c r="G265" s="209"/>
      <c r="H265" s="209"/>
      <c r="I265" s="209"/>
      <c r="J265" s="209"/>
      <c r="K265" s="209"/>
      <c r="L265" s="209"/>
      <c r="M265" s="209"/>
      <c r="N265" s="209"/>
      <c r="O265" s="209"/>
      <c r="P265" s="209"/>
      <c r="Q265" s="209"/>
      <c r="R265" s="209"/>
      <c r="S265" s="209"/>
      <c r="T265" s="209"/>
      <c r="U265" s="209"/>
      <c r="V265" s="209"/>
    </row>
    <row r="266" spans="1:22" s="127" customFormat="1" ht="9" customHeight="1" x14ac:dyDescent="0.2">
      <c r="B266" s="209" t="s">
        <v>2308</v>
      </c>
      <c r="C266" s="209"/>
      <c r="D266" s="209"/>
      <c r="E266" s="209"/>
      <c r="F266" s="209"/>
      <c r="G266" s="209"/>
      <c r="H266" s="209"/>
      <c r="I266" s="209"/>
      <c r="J266" s="209"/>
      <c r="K266" s="209"/>
      <c r="L266" s="209"/>
      <c r="M266" s="209"/>
      <c r="N266" s="209"/>
      <c r="O266" s="209"/>
      <c r="P266" s="209"/>
      <c r="Q266" s="209"/>
      <c r="R266" s="209"/>
      <c r="S266" s="209"/>
      <c r="T266" s="209"/>
      <c r="U266" s="209"/>
      <c r="V266" s="209"/>
    </row>
    <row r="267" spans="1:22" s="127" customFormat="1" ht="9" customHeight="1" x14ac:dyDescent="0.2">
      <c r="B267" s="209" t="s">
        <v>2309</v>
      </c>
      <c r="C267" s="209"/>
      <c r="D267" s="209"/>
      <c r="E267" s="209"/>
      <c r="F267" s="209"/>
      <c r="G267" s="209"/>
      <c r="H267" s="209"/>
      <c r="I267" s="209"/>
      <c r="J267" s="209"/>
      <c r="K267" s="209"/>
      <c r="L267" s="209"/>
      <c r="M267" s="209"/>
      <c r="N267" s="209"/>
      <c r="O267" s="209"/>
      <c r="P267" s="209"/>
      <c r="Q267" s="209"/>
      <c r="R267" s="209"/>
      <c r="S267" s="209"/>
      <c r="T267" s="209"/>
      <c r="U267" s="209"/>
      <c r="V267" s="209"/>
    </row>
    <row r="268" spans="1:22" s="127" customFormat="1" ht="4.5" customHeight="1" x14ac:dyDescent="0.2">
      <c r="E268" s="128"/>
      <c r="F268" s="149"/>
      <c r="G268" s="128"/>
      <c r="H268" s="149"/>
      <c r="I268" s="128"/>
      <c r="J268" s="149"/>
      <c r="K268" s="128"/>
      <c r="L268" s="149"/>
      <c r="M268" s="128"/>
      <c r="N268" s="149"/>
      <c r="O268" s="128"/>
      <c r="P268" s="149"/>
      <c r="Q268" s="128"/>
      <c r="R268" s="149"/>
      <c r="S268" s="128"/>
      <c r="T268" s="149"/>
      <c r="U268" s="128"/>
      <c r="V268" s="149"/>
    </row>
    <row r="269" spans="1:22" s="127" customFormat="1" ht="9" customHeight="1" x14ac:dyDescent="0.2">
      <c r="A269" s="126" t="s">
        <v>2271</v>
      </c>
      <c r="B269" s="209" t="s">
        <v>2310</v>
      </c>
      <c r="C269" s="209"/>
      <c r="D269" s="209"/>
      <c r="E269" s="209"/>
      <c r="F269" s="209"/>
      <c r="G269" s="209"/>
      <c r="H269" s="209"/>
      <c r="I269" s="209"/>
      <c r="J269" s="209"/>
      <c r="K269" s="209"/>
      <c r="L269" s="209"/>
      <c r="M269" s="209"/>
      <c r="N269" s="209"/>
      <c r="O269" s="209"/>
      <c r="P269" s="209"/>
      <c r="Q269" s="209"/>
      <c r="R269" s="209"/>
      <c r="S269" s="209"/>
      <c r="T269" s="209"/>
      <c r="U269" s="209"/>
      <c r="V269" s="209"/>
    </row>
    <row r="270" spans="1:22" s="127" customFormat="1" ht="9" customHeight="1" x14ac:dyDescent="0.2">
      <c r="B270" s="209" t="s">
        <v>2311</v>
      </c>
      <c r="C270" s="209"/>
      <c r="D270" s="209"/>
      <c r="E270" s="209"/>
      <c r="F270" s="209"/>
      <c r="G270" s="209"/>
      <c r="H270" s="209"/>
      <c r="I270" s="209"/>
      <c r="J270" s="209"/>
      <c r="K270" s="209"/>
      <c r="L270" s="209"/>
      <c r="M270" s="209"/>
      <c r="N270" s="209"/>
      <c r="O270" s="209"/>
      <c r="P270" s="209"/>
      <c r="Q270" s="209"/>
      <c r="R270" s="209"/>
      <c r="S270" s="209"/>
      <c r="T270" s="209"/>
      <c r="U270" s="209"/>
      <c r="V270" s="209"/>
    </row>
    <row r="271" spans="1:22" s="127" customFormat="1" ht="4.5" customHeight="1" x14ac:dyDescent="0.2">
      <c r="E271" s="128"/>
      <c r="F271" s="149"/>
      <c r="G271" s="128"/>
      <c r="H271" s="149"/>
      <c r="I271" s="128"/>
      <c r="J271" s="149"/>
      <c r="K271" s="128"/>
      <c r="L271" s="149"/>
      <c r="M271" s="128"/>
      <c r="N271" s="149"/>
      <c r="O271" s="128"/>
      <c r="P271" s="149"/>
      <c r="Q271" s="128"/>
      <c r="R271" s="149"/>
      <c r="S271" s="128"/>
      <c r="T271" s="149"/>
      <c r="U271" s="128"/>
      <c r="V271" s="149"/>
    </row>
    <row r="272" spans="1:22" s="127" customFormat="1" ht="9" customHeight="1" x14ac:dyDescent="0.2">
      <c r="A272" s="126" t="s">
        <v>2312</v>
      </c>
      <c r="B272" s="209" t="s">
        <v>2313</v>
      </c>
      <c r="C272" s="209"/>
      <c r="D272" s="209"/>
      <c r="E272" s="209"/>
      <c r="F272" s="209"/>
      <c r="G272" s="209"/>
      <c r="H272" s="209"/>
      <c r="I272" s="209"/>
      <c r="J272" s="209"/>
      <c r="K272" s="209"/>
      <c r="L272" s="209"/>
      <c r="M272" s="209"/>
      <c r="N272" s="209"/>
      <c r="O272" s="209"/>
      <c r="P272" s="209"/>
      <c r="Q272" s="209"/>
      <c r="R272" s="209"/>
      <c r="S272" s="209"/>
      <c r="T272" s="209"/>
      <c r="U272" s="209"/>
      <c r="V272" s="209"/>
    </row>
    <row r="273" spans="1:22" s="127" customFormat="1" ht="4.5" customHeight="1" x14ac:dyDescent="0.2">
      <c r="E273" s="128"/>
      <c r="F273" s="149"/>
      <c r="G273" s="128"/>
      <c r="H273" s="149"/>
      <c r="I273" s="128"/>
      <c r="J273" s="149"/>
      <c r="K273" s="128"/>
      <c r="L273" s="149"/>
      <c r="M273" s="128"/>
      <c r="N273" s="149"/>
      <c r="O273" s="128"/>
      <c r="P273" s="149"/>
      <c r="Q273" s="128"/>
      <c r="R273" s="149"/>
      <c r="S273" s="128"/>
      <c r="T273" s="149"/>
      <c r="U273" s="128"/>
      <c r="V273" s="149"/>
    </row>
    <row r="274" spans="1:22" s="127" customFormat="1" ht="9" customHeight="1" x14ac:dyDescent="0.2">
      <c r="A274" s="126" t="s">
        <v>2273</v>
      </c>
      <c r="B274" s="209" t="s">
        <v>2314</v>
      </c>
      <c r="C274" s="209"/>
      <c r="D274" s="209"/>
      <c r="E274" s="209"/>
      <c r="F274" s="209"/>
      <c r="G274" s="209"/>
      <c r="H274" s="209"/>
      <c r="I274" s="209"/>
      <c r="J274" s="209"/>
      <c r="K274" s="209"/>
      <c r="L274" s="209"/>
      <c r="M274" s="209"/>
      <c r="N274" s="209"/>
      <c r="O274" s="209"/>
      <c r="P274" s="209"/>
      <c r="Q274" s="209"/>
      <c r="R274" s="209"/>
      <c r="S274" s="209"/>
      <c r="T274" s="209"/>
      <c r="U274" s="209"/>
      <c r="V274" s="209"/>
    </row>
    <row r="275" spans="1:22" s="127" customFormat="1" ht="9" customHeight="1" x14ac:dyDescent="0.2">
      <c r="B275" s="208" t="s">
        <v>2315</v>
      </c>
      <c r="C275" s="208"/>
      <c r="D275" s="208"/>
      <c r="E275" s="208"/>
      <c r="F275" s="208"/>
      <c r="G275" s="208"/>
      <c r="H275" s="208"/>
      <c r="I275" s="208"/>
      <c r="J275" s="208"/>
      <c r="K275" s="208"/>
      <c r="L275" s="208"/>
      <c r="M275" s="208"/>
      <c r="N275" s="208"/>
      <c r="O275" s="208"/>
      <c r="P275" s="208"/>
      <c r="Q275" s="208"/>
      <c r="R275" s="208"/>
      <c r="S275" s="208"/>
      <c r="T275" s="208"/>
      <c r="U275" s="208"/>
      <c r="V275" s="208"/>
    </row>
    <row r="276" spans="1:22" s="127" customFormat="1" ht="4.5" customHeight="1" x14ac:dyDescent="0.2">
      <c r="B276" s="129"/>
      <c r="C276" s="129"/>
      <c r="D276" s="129"/>
      <c r="E276" s="129"/>
      <c r="F276" s="149"/>
      <c r="G276" s="129"/>
      <c r="H276" s="149"/>
      <c r="I276" s="129"/>
      <c r="J276" s="149"/>
      <c r="K276" s="129"/>
      <c r="L276" s="149"/>
      <c r="M276" s="129"/>
      <c r="N276" s="149"/>
      <c r="O276" s="129"/>
      <c r="P276" s="149"/>
      <c r="Q276" s="129"/>
      <c r="R276" s="149"/>
      <c r="S276" s="129"/>
      <c r="T276" s="149"/>
      <c r="U276" s="129"/>
      <c r="V276" s="149"/>
    </row>
    <row r="277" spans="1:22" s="127" customFormat="1" ht="9" customHeight="1" x14ac:dyDescent="0.2">
      <c r="A277" s="126" t="s">
        <v>2316</v>
      </c>
      <c r="B277" s="209" t="s">
        <v>2317</v>
      </c>
      <c r="C277" s="209"/>
      <c r="D277" s="209"/>
      <c r="E277" s="209"/>
      <c r="F277" s="209"/>
      <c r="G277" s="209"/>
      <c r="H277" s="209"/>
      <c r="I277" s="209"/>
      <c r="J277" s="209"/>
      <c r="K277" s="209"/>
      <c r="L277" s="209"/>
      <c r="M277" s="209"/>
      <c r="N277" s="209"/>
      <c r="O277" s="209"/>
      <c r="P277" s="209"/>
      <c r="Q277" s="209"/>
      <c r="R277" s="209"/>
      <c r="S277" s="209"/>
      <c r="T277" s="209"/>
      <c r="U277" s="209"/>
      <c r="V277" s="209"/>
    </row>
    <row r="278" spans="1:22" s="127" customFormat="1" ht="9" customHeight="1" x14ac:dyDescent="0.2">
      <c r="B278" s="209" t="s">
        <v>2318</v>
      </c>
      <c r="C278" s="209"/>
      <c r="D278" s="209"/>
      <c r="E278" s="209"/>
      <c r="F278" s="209"/>
      <c r="G278" s="209"/>
      <c r="H278" s="209"/>
      <c r="I278" s="209"/>
      <c r="J278" s="209"/>
      <c r="K278" s="209"/>
      <c r="L278" s="209"/>
      <c r="M278" s="209"/>
      <c r="N278" s="209"/>
      <c r="O278" s="209"/>
      <c r="P278" s="209"/>
      <c r="Q278" s="209"/>
      <c r="R278" s="209"/>
      <c r="S278" s="209"/>
      <c r="T278" s="209"/>
      <c r="U278" s="209"/>
      <c r="V278" s="209"/>
    </row>
    <row r="279" spans="1:22" s="127" customFormat="1" ht="9" customHeight="1" x14ac:dyDescent="0.2">
      <c r="B279" s="209" t="s">
        <v>2319</v>
      </c>
      <c r="C279" s="209"/>
      <c r="D279" s="209"/>
      <c r="E279" s="209"/>
      <c r="F279" s="209"/>
      <c r="G279" s="209"/>
      <c r="H279" s="209"/>
      <c r="I279" s="209"/>
      <c r="J279" s="209"/>
      <c r="K279" s="209"/>
      <c r="L279" s="209"/>
      <c r="M279" s="209"/>
      <c r="N279" s="209"/>
      <c r="O279" s="209"/>
      <c r="P279" s="209"/>
      <c r="Q279" s="209"/>
      <c r="R279" s="209"/>
      <c r="S279" s="209"/>
      <c r="T279" s="209"/>
      <c r="U279" s="209"/>
      <c r="V279" s="209"/>
    </row>
    <row r="280" spans="1:22" s="127" customFormat="1" ht="4.5" customHeight="1" x14ac:dyDescent="0.2">
      <c r="E280" s="128"/>
      <c r="F280" s="149"/>
      <c r="G280" s="128"/>
      <c r="H280" s="149"/>
      <c r="I280" s="128"/>
      <c r="J280" s="149"/>
      <c r="K280" s="128"/>
      <c r="L280" s="149"/>
      <c r="M280" s="128"/>
      <c r="N280" s="149"/>
      <c r="O280" s="128"/>
      <c r="P280" s="149"/>
      <c r="Q280" s="128"/>
      <c r="R280" s="149"/>
      <c r="S280" s="128"/>
      <c r="T280" s="149"/>
      <c r="U280" s="128"/>
      <c r="V280" s="149"/>
    </row>
    <row r="281" spans="1:22" s="127" customFormat="1" ht="9" customHeight="1" x14ac:dyDescent="0.2">
      <c r="A281" s="126" t="s">
        <v>2320</v>
      </c>
      <c r="B281" s="209" t="s">
        <v>2321</v>
      </c>
      <c r="C281" s="209"/>
      <c r="D281" s="209"/>
      <c r="E281" s="209"/>
      <c r="F281" s="209"/>
      <c r="G281" s="209"/>
      <c r="H281" s="209"/>
      <c r="I281" s="209"/>
      <c r="J281" s="209"/>
      <c r="K281" s="209"/>
      <c r="L281" s="209"/>
      <c r="M281" s="209"/>
      <c r="N281" s="209"/>
      <c r="O281" s="209"/>
      <c r="P281" s="209"/>
      <c r="Q281" s="209"/>
      <c r="R281" s="209"/>
      <c r="S281" s="209"/>
      <c r="T281" s="209"/>
      <c r="U281" s="209"/>
      <c r="V281" s="209"/>
    </row>
    <row r="282" spans="1:22" s="127" customFormat="1" ht="9" customHeight="1" x14ac:dyDescent="0.2">
      <c r="B282" s="209" t="s">
        <v>2322</v>
      </c>
      <c r="C282" s="209"/>
      <c r="D282" s="209"/>
      <c r="E282" s="209"/>
      <c r="F282" s="209"/>
      <c r="G282" s="209"/>
      <c r="H282" s="209"/>
      <c r="I282" s="209"/>
      <c r="J282" s="209"/>
      <c r="K282" s="209"/>
      <c r="L282" s="209"/>
      <c r="M282" s="209"/>
      <c r="N282" s="209"/>
      <c r="O282" s="209"/>
      <c r="P282" s="209"/>
      <c r="Q282" s="209"/>
      <c r="R282" s="209"/>
      <c r="S282" s="209"/>
      <c r="T282" s="209"/>
      <c r="U282" s="209"/>
      <c r="V282" s="209"/>
    </row>
    <row r="283" spans="1:22" s="127" customFormat="1" ht="4.5" customHeight="1" x14ac:dyDescent="0.2">
      <c r="E283" s="128"/>
      <c r="F283" s="149"/>
      <c r="G283" s="128"/>
      <c r="H283" s="149"/>
      <c r="I283" s="128"/>
      <c r="J283" s="149"/>
      <c r="K283" s="128"/>
      <c r="L283" s="149"/>
      <c r="M283" s="128"/>
      <c r="N283" s="149"/>
      <c r="O283" s="128"/>
      <c r="P283" s="149"/>
      <c r="Q283" s="128"/>
      <c r="R283" s="149"/>
      <c r="S283" s="128"/>
      <c r="T283" s="149"/>
      <c r="U283" s="128"/>
      <c r="V283" s="149"/>
    </row>
    <row r="284" spans="1:22" s="127" customFormat="1" ht="9" customHeight="1" x14ac:dyDescent="0.2">
      <c r="A284" s="126" t="s">
        <v>2323</v>
      </c>
      <c r="B284" s="209" t="s">
        <v>2324</v>
      </c>
      <c r="C284" s="209"/>
      <c r="D284" s="209"/>
      <c r="E284" s="209"/>
      <c r="F284" s="209"/>
      <c r="G284" s="209"/>
      <c r="H284" s="209"/>
      <c r="I284" s="209"/>
      <c r="J284" s="209"/>
      <c r="K284" s="209"/>
      <c r="L284" s="209"/>
      <c r="M284" s="209"/>
      <c r="N284" s="209"/>
      <c r="O284" s="209"/>
      <c r="P284" s="209"/>
      <c r="Q284" s="209"/>
      <c r="R284" s="209"/>
      <c r="S284" s="209"/>
      <c r="T284" s="209"/>
      <c r="U284" s="209"/>
      <c r="V284" s="209"/>
    </row>
    <row r="285" spans="1:22" s="127" customFormat="1" ht="4.5" customHeight="1" x14ac:dyDescent="0.2">
      <c r="E285" s="128"/>
      <c r="F285" s="149"/>
      <c r="G285" s="128"/>
      <c r="H285" s="149"/>
      <c r="I285" s="128"/>
      <c r="J285" s="149"/>
      <c r="K285" s="128"/>
      <c r="L285" s="149"/>
      <c r="M285" s="128"/>
      <c r="N285" s="149"/>
      <c r="O285" s="128"/>
      <c r="P285" s="149"/>
      <c r="Q285" s="128"/>
      <c r="R285" s="149"/>
      <c r="S285" s="128"/>
      <c r="T285" s="149"/>
      <c r="U285" s="128"/>
      <c r="V285" s="149"/>
    </row>
    <row r="286" spans="1:22" s="127" customFormat="1" ht="9" customHeight="1" x14ac:dyDescent="0.2">
      <c r="A286" s="126" t="s">
        <v>2325</v>
      </c>
      <c r="B286" s="209" t="s">
        <v>2326</v>
      </c>
      <c r="C286" s="209"/>
      <c r="D286" s="209"/>
      <c r="E286" s="209"/>
      <c r="F286" s="209"/>
      <c r="G286" s="209"/>
      <c r="H286" s="209"/>
      <c r="I286" s="209"/>
      <c r="J286" s="209"/>
      <c r="K286" s="209"/>
      <c r="L286" s="209"/>
      <c r="M286" s="209"/>
      <c r="N286" s="209"/>
      <c r="O286" s="209"/>
      <c r="P286" s="209"/>
      <c r="Q286" s="209"/>
      <c r="R286" s="209"/>
      <c r="S286" s="209"/>
      <c r="T286" s="209"/>
      <c r="U286" s="209"/>
      <c r="V286" s="209"/>
    </row>
    <row r="287" spans="1:22" s="127" customFormat="1" ht="9" customHeight="1" x14ac:dyDescent="0.2">
      <c r="B287" s="209" t="s">
        <v>2327</v>
      </c>
      <c r="C287" s="209"/>
      <c r="D287" s="209"/>
      <c r="E287" s="209"/>
      <c r="F287" s="209"/>
      <c r="G287" s="209"/>
      <c r="H287" s="209"/>
      <c r="I287" s="209"/>
      <c r="J287" s="209"/>
      <c r="K287" s="209"/>
      <c r="L287" s="209"/>
      <c r="M287" s="209"/>
      <c r="N287" s="209"/>
      <c r="O287" s="209"/>
      <c r="P287" s="209"/>
      <c r="Q287" s="209"/>
      <c r="R287" s="209"/>
      <c r="S287" s="209"/>
      <c r="T287" s="209"/>
      <c r="U287" s="209"/>
      <c r="V287" s="209"/>
    </row>
    <row r="288" spans="1:22" s="127" customFormat="1" ht="4.5" customHeight="1" x14ac:dyDescent="0.2">
      <c r="E288" s="128"/>
      <c r="F288" s="149"/>
      <c r="G288" s="128"/>
      <c r="H288" s="149"/>
      <c r="I288" s="128"/>
      <c r="J288" s="149"/>
      <c r="K288" s="128"/>
      <c r="L288" s="149"/>
      <c r="M288" s="128"/>
      <c r="N288" s="149"/>
      <c r="O288" s="128"/>
      <c r="P288" s="149"/>
      <c r="Q288" s="128"/>
      <c r="R288" s="149"/>
      <c r="S288" s="128"/>
      <c r="T288" s="149"/>
      <c r="U288" s="128"/>
      <c r="V288" s="149"/>
    </row>
    <row r="289" spans="1:22" s="127" customFormat="1" ht="9" customHeight="1" x14ac:dyDescent="0.2">
      <c r="A289" s="126" t="s">
        <v>2328</v>
      </c>
      <c r="B289" s="209" t="s">
        <v>2329</v>
      </c>
      <c r="C289" s="209"/>
      <c r="D289" s="209"/>
      <c r="E289" s="209"/>
      <c r="F289" s="209"/>
      <c r="G289" s="209"/>
      <c r="H289" s="209"/>
      <c r="I289" s="209"/>
      <c r="J289" s="209"/>
      <c r="K289" s="209"/>
      <c r="L289" s="209"/>
      <c r="M289" s="209"/>
      <c r="N289" s="209"/>
      <c r="O289" s="209"/>
      <c r="P289" s="209"/>
      <c r="Q289" s="209"/>
      <c r="R289" s="209"/>
      <c r="S289" s="209"/>
      <c r="T289" s="209"/>
      <c r="U289" s="209"/>
      <c r="V289" s="209"/>
    </row>
    <row r="290" spans="1:22" s="127" customFormat="1" ht="9" customHeight="1" x14ac:dyDescent="0.2">
      <c r="B290" s="209" t="s">
        <v>2330</v>
      </c>
      <c r="C290" s="209"/>
      <c r="D290" s="209"/>
      <c r="E290" s="209"/>
      <c r="F290" s="209"/>
      <c r="G290" s="209"/>
      <c r="H290" s="209"/>
      <c r="I290" s="209"/>
      <c r="J290" s="209"/>
      <c r="K290" s="209"/>
      <c r="L290" s="209"/>
      <c r="M290" s="209"/>
      <c r="N290" s="209"/>
      <c r="O290" s="209"/>
      <c r="P290" s="209"/>
      <c r="Q290" s="209"/>
      <c r="R290" s="209"/>
      <c r="S290" s="209"/>
      <c r="T290" s="209"/>
      <c r="U290" s="209"/>
      <c r="V290" s="209"/>
    </row>
    <row r="291" spans="1:22" s="127" customFormat="1" ht="9" customHeight="1" x14ac:dyDescent="0.2">
      <c r="B291" s="209" t="s">
        <v>2331</v>
      </c>
      <c r="C291" s="209"/>
      <c r="D291" s="209"/>
      <c r="E291" s="209"/>
      <c r="F291" s="209"/>
      <c r="G291" s="209"/>
      <c r="H291" s="209"/>
      <c r="I291" s="209"/>
      <c r="J291" s="209"/>
      <c r="K291" s="209"/>
      <c r="L291" s="209"/>
      <c r="M291" s="209"/>
      <c r="N291" s="209"/>
      <c r="O291" s="209"/>
      <c r="P291" s="209"/>
      <c r="Q291" s="209"/>
      <c r="R291" s="209"/>
      <c r="S291" s="209"/>
      <c r="T291" s="209"/>
      <c r="U291" s="209"/>
      <c r="V291" s="209"/>
    </row>
    <row r="292" spans="1:22" s="127" customFormat="1" ht="4.5" customHeight="1" x14ac:dyDescent="0.2">
      <c r="E292" s="128"/>
      <c r="F292" s="149"/>
      <c r="G292" s="128"/>
      <c r="H292" s="149"/>
      <c r="I292" s="128"/>
      <c r="J292" s="149"/>
      <c r="K292" s="128"/>
      <c r="L292" s="149"/>
      <c r="M292" s="128"/>
      <c r="N292" s="149"/>
      <c r="O292" s="128"/>
      <c r="P292" s="149"/>
      <c r="Q292" s="128"/>
      <c r="R292" s="149"/>
      <c r="S292" s="128"/>
      <c r="T292" s="149"/>
      <c r="U292" s="128"/>
      <c r="V292" s="149"/>
    </row>
    <row r="293" spans="1:22" s="127" customFormat="1" ht="9" customHeight="1" x14ac:dyDescent="0.2">
      <c r="A293" s="126" t="s">
        <v>2332</v>
      </c>
      <c r="B293" s="209" t="s">
        <v>2333</v>
      </c>
      <c r="C293" s="209"/>
      <c r="D293" s="209"/>
      <c r="E293" s="209"/>
      <c r="F293" s="209"/>
      <c r="G293" s="209"/>
      <c r="H293" s="209"/>
      <c r="I293" s="209"/>
      <c r="J293" s="209"/>
      <c r="K293" s="209"/>
      <c r="L293" s="209"/>
      <c r="M293" s="209"/>
      <c r="N293" s="209"/>
      <c r="O293" s="209"/>
      <c r="P293" s="209"/>
      <c r="Q293" s="209"/>
      <c r="R293" s="209"/>
      <c r="S293" s="209"/>
      <c r="T293" s="209"/>
      <c r="U293" s="209"/>
      <c r="V293" s="209"/>
    </row>
    <row r="294" spans="1:22" s="127" customFormat="1" ht="9" customHeight="1" x14ac:dyDescent="0.2">
      <c r="B294" s="209" t="s">
        <v>2334</v>
      </c>
      <c r="C294" s="209"/>
      <c r="D294" s="209"/>
      <c r="E294" s="209"/>
      <c r="F294" s="209"/>
      <c r="G294" s="209"/>
      <c r="H294" s="209"/>
      <c r="I294" s="209"/>
      <c r="J294" s="209"/>
      <c r="K294" s="209"/>
      <c r="L294" s="209"/>
      <c r="M294" s="209"/>
      <c r="N294" s="209"/>
      <c r="O294" s="209"/>
      <c r="P294" s="209"/>
      <c r="Q294" s="209"/>
      <c r="R294" s="209"/>
      <c r="S294" s="209"/>
      <c r="T294" s="209"/>
      <c r="U294" s="209"/>
      <c r="V294" s="209"/>
    </row>
    <row r="295" spans="1:22" s="127" customFormat="1" ht="4.5" customHeight="1" x14ac:dyDescent="0.2">
      <c r="E295" s="128"/>
      <c r="F295" s="149"/>
      <c r="G295" s="128"/>
      <c r="H295" s="149"/>
      <c r="I295" s="128"/>
      <c r="J295" s="149"/>
      <c r="K295" s="128"/>
      <c r="L295" s="149"/>
      <c r="M295" s="128"/>
      <c r="N295" s="149"/>
      <c r="O295" s="128"/>
      <c r="P295" s="149"/>
      <c r="Q295" s="128"/>
      <c r="R295" s="149"/>
      <c r="S295" s="128"/>
      <c r="T295" s="149"/>
      <c r="U295" s="128"/>
      <c r="V295" s="149"/>
    </row>
    <row r="296" spans="1:22" s="127" customFormat="1" ht="9" customHeight="1" x14ac:dyDescent="0.2">
      <c r="A296" s="126" t="s">
        <v>2335</v>
      </c>
      <c r="B296" s="209" t="s">
        <v>2336</v>
      </c>
      <c r="C296" s="209"/>
      <c r="D296" s="209"/>
      <c r="E296" s="209"/>
      <c r="F296" s="209"/>
      <c r="G296" s="209"/>
      <c r="H296" s="209"/>
      <c r="I296" s="209"/>
      <c r="J296" s="209"/>
      <c r="K296" s="209"/>
      <c r="L296" s="209"/>
      <c r="M296" s="209"/>
      <c r="N296" s="209"/>
      <c r="O296" s="209"/>
      <c r="P296" s="209"/>
      <c r="Q296" s="209"/>
      <c r="R296" s="209"/>
      <c r="S296" s="209"/>
      <c r="T296" s="209"/>
      <c r="U296" s="209"/>
      <c r="V296" s="209"/>
    </row>
    <row r="297" spans="1:22" s="127" customFormat="1" ht="9" customHeight="1" x14ac:dyDescent="0.2">
      <c r="B297" s="209" t="s">
        <v>2337</v>
      </c>
      <c r="C297" s="209"/>
      <c r="D297" s="209"/>
      <c r="E297" s="209"/>
      <c r="F297" s="209"/>
      <c r="G297" s="209"/>
      <c r="H297" s="209"/>
      <c r="I297" s="209"/>
      <c r="J297" s="209"/>
      <c r="K297" s="209"/>
      <c r="L297" s="209"/>
      <c r="M297" s="209"/>
      <c r="N297" s="209"/>
      <c r="O297" s="209"/>
      <c r="P297" s="209"/>
      <c r="Q297" s="209"/>
      <c r="R297" s="209"/>
      <c r="S297" s="209"/>
      <c r="T297" s="209"/>
      <c r="U297" s="209"/>
      <c r="V297" s="209"/>
    </row>
    <row r="298" spans="1:22" s="127" customFormat="1" ht="4.5" customHeight="1" x14ac:dyDescent="0.2">
      <c r="E298" s="128"/>
      <c r="F298" s="149"/>
      <c r="G298" s="128"/>
      <c r="H298" s="149"/>
      <c r="I298" s="128"/>
      <c r="J298" s="149"/>
      <c r="K298" s="128"/>
      <c r="L298" s="149"/>
      <c r="M298" s="128"/>
      <c r="N298" s="149"/>
      <c r="O298" s="128"/>
      <c r="P298" s="149"/>
      <c r="Q298" s="128"/>
      <c r="R298" s="149"/>
      <c r="S298" s="128"/>
      <c r="T298" s="149"/>
      <c r="U298" s="128"/>
      <c r="V298" s="149"/>
    </row>
    <row r="299" spans="1:22" s="127" customFormat="1" ht="9" customHeight="1" x14ac:dyDescent="0.2">
      <c r="A299" s="126" t="s">
        <v>2338</v>
      </c>
      <c r="B299" s="209" t="s">
        <v>2339</v>
      </c>
      <c r="C299" s="209"/>
      <c r="D299" s="209"/>
      <c r="E299" s="209"/>
      <c r="F299" s="209"/>
      <c r="G299" s="209"/>
      <c r="H299" s="209"/>
      <c r="I299" s="209"/>
      <c r="J299" s="209"/>
      <c r="K299" s="209"/>
      <c r="L299" s="209"/>
      <c r="M299" s="209"/>
      <c r="N299" s="209"/>
      <c r="O299" s="209"/>
      <c r="P299" s="209"/>
      <c r="Q299" s="209"/>
      <c r="R299" s="209"/>
      <c r="S299" s="209"/>
      <c r="T299" s="209"/>
      <c r="U299" s="209"/>
      <c r="V299" s="209"/>
    </row>
    <row r="300" spans="1:22" s="127" customFormat="1" ht="9" customHeight="1" x14ac:dyDescent="0.2">
      <c r="B300" s="209" t="s">
        <v>2340</v>
      </c>
      <c r="C300" s="209"/>
      <c r="D300" s="209"/>
      <c r="E300" s="209"/>
      <c r="F300" s="209"/>
      <c r="G300" s="209"/>
      <c r="H300" s="209"/>
      <c r="I300" s="209"/>
      <c r="J300" s="209"/>
      <c r="K300" s="209"/>
      <c r="L300" s="209"/>
      <c r="M300" s="209"/>
      <c r="N300" s="209"/>
      <c r="O300" s="209"/>
      <c r="P300" s="209"/>
      <c r="Q300" s="209"/>
      <c r="R300" s="209"/>
      <c r="S300" s="209"/>
      <c r="T300" s="209"/>
      <c r="U300" s="209"/>
      <c r="V300" s="209"/>
    </row>
    <row r="301" spans="1:22" s="127" customFormat="1" ht="9" customHeight="1" x14ac:dyDescent="0.2">
      <c r="B301" s="209" t="s">
        <v>2341</v>
      </c>
      <c r="C301" s="209"/>
      <c r="D301" s="209"/>
      <c r="E301" s="209"/>
      <c r="F301" s="209"/>
      <c r="G301" s="209"/>
      <c r="H301" s="209"/>
      <c r="I301" s="209"/>
      <c r="J301" s="209"/>
      <c r="K301" s="209"/>
      <c r="L301" s="209"/>
      <c r="M301" s="209"/>
      <c r="N301" s="209"/>
      <c r="O301" s="209"/>
      <c r="P301" s="209"/>
      <c r="Q301" s="209"/>
      <c r="R301" s="209"/>
      <c r="S301" s="209"/>
      <c r="T301" s="209"/>
      <c r="U301" s="209"/>
      <c r="V301" s="209"/>
    </row>
    <row r="302" spans="1:22" s="127" customFormat="1" ht="4.5" customHeight="1" x14ac:dyDescent="0.2">
      <c r="E302" s="128"/>
      <c r="F302" s="149"/>
      <c r="G302" s="128"/>
      <c r="H302" s="149"/>
      <c r="I302" s="128"/>
      <c r="J302" s="149"/>
      <c r="K302" s="128"/>
      <c r="L302" s="149"/>
      <c r="M302" s="128"/>
      <c r="N302" s="149"/>
      <c r="O302" s="128"/>
      <c r="P302" s="149"/>
      <c r="Q302" s="128"/>
      <c r="R302" s="149"/>
      <c r="S302" s="128"/>
      <c r="T302" s="149"/>
      <c r="U302" s="128"/>
      <c r="V302" s="149"/>
    </row>
    <row r="303" spans="1:22" s="127" customFormat="1" ht="9" customHeight="1" x14ac:dyDescent="0.2">
      <c r="A303" s="126" t="s">
        <v>2342</v>
      </c>
      <c r="B303" s="209" t="s">
        <v>2343</v>
      </c>
      <c r="C303" s="209"/>
      <c r="D303" s="209"/>
      <c r="E303" s="209"/>
      <c r="F303" s="209"/>
      <c r="G303" s="209"/>
      <c r="H303" s="209"/>
      <c r="I303" s="209"/>
      <c r="J303" s="209"/>
      <c r="K303" s="209"/>
      <c r="L303" s="209"/>
      <c r="M303" s="209"/>
      <c r="N303" s="209"/>
      <c r="O303" s="209"/>
      <c r="P303" s="209"/>
      <c r="Q303" s="209"/>
      <c r="R303" s="209"/>
      <c r="S303" s="209"/>
      <c r="T303" s="209"/>
      <c r="U303" s="209"/>
      <c r="V303" s="209"/>
    </row>
    <row r="304" spans="1:22" s="127" customFormat="1" ht="9" customHeight="1" x14ac:dyDescent="0.2">
      <c r="B304" s="209" t="s">
        <v>2344</v>
      </c>
      <c r="C304" s="209"/>
      <c r="D304" s="209"/>
      <c r="E304" s="209"/>
      <c r="F304" s="209"/>
      <c r="G304" s="209"/>
      <c r="H304" s="209"/>
      <c r="I304" s="209"/>
      <c r="J304" s="209"/>
      <c r="K304" s="209"/>
      <c r="L304" s="209"/>
      <c r="M304" s="209"/>
      <c r="N304" s="209"/>
      <c r="O304" s="209"/>
      <c r="P304" s="209"/>
      <c r="Q304" s="209"/>
      <c r="R304" s="209"/>
      <c r="S304" s="209"/>
      <c r="T304" s="209"/>
      <c r="U304" s="209"/>
      <c r="V304" s="209"/>
    </row>
    <row r="305" spans="1:22" s="127" customFormat="1" ht="9" customHeight="1" x14ac:dyDescent="0.2">
      <c r="B305" s="209" t="s">
        <v>2345</v>
      </c>
      <c r="C305" s="209"/>
      <c r="D305" s="209"/>
      <c r="E305" s="209"/>
      <c r="F305" s="209"/>
      <c r="G305" s="209"/>
      <c r="H305" s="209"/>
      <c r="I305" s="209"/>
      <c r="J305" s="209"/>
      <c r="K305" s="209"/>
      <c r="L305" s="209"/>
      <c r="M305" s="209"/>
      <c r="N305" s="209"/>
      <c r="O305" s="209"/>
      <c r="P305" s="209"/>
      <c r="Q305" s="209"/>
      <c r="R305" s="209"/>
      <c r="S305" s="209"/>
      <c r="T305" s="209"/>
      <c r="U305" s="209"/>
      <c r="V305" s="209"/>
    </row>
    <row r="306" spans="1:22" s="127" customFormat="1" ht="4.5" customHeight="1" x14ac:dyDescent="0.2">
      <c r="E306" s="128"/>
      <c r="F306" s="149"/>
      <c r="G306" s="128"/>
      <c r="H306" s="149"/>
      <c r="I306" s="128"/>
      <c r="J306" s="149"/>
      <c r="K306" s="128"/>
      <c r="L306" s="149"/>
      <c r="M306" s="128"/>
      <c r="N306" s="149"/>
      <c r="O306" s="128"/>
      <c r="P306" s="149"/>
      <c r="Q306" s="128"/>
      <c r="R306" s="149"/>
      <c r="S306" s="128"/>
      <c r="T306" s="149"/>
      <c r="U306" s="128"/>
      <c r="V306" s="149"/>
    </row>
    <row r="307" spans="1:22" s="127" customFormat="1" ht="9" customHeight="1" x14ac:dyDescent="0.2">
      <c r="A307" s="126" t="s">
        <v>2346</v>
      </c>
      <c r="B307" s="209" t="s">
        <v>2347</v>
      </c>
      <c r="C307" s="209"/>
      <c r="D307" s="209"/>
      <c r="E307" s="209"/>
      <c r="F307" s="209"/>
      <c r="G307" s="209"/>
      <c r="H307" s="209"/>
      <c r="I307" s="209"/>
      <c r="J307" s="209"/>
      <c r="K307" s="209"/>
      <c r="L307" s="209"/>
      <c r="M307" s="209"/>
      <c r="N307" s="209"/>
      <c r="O307" s="209"/>
      <c r="P307" s="209"/>
      <c r="Q307" s="209"/>
      <c r="R307" s="209"/>
      <c r="S307" s="209"/>
      <c r="T307" s="209"/>
      <c r="U307" s="209"/>
      <c r="V307" s="209"/>
    </row>
    <row r="308" spans="1:22" s="127" customFormat="1" ht="4.5" customHeight="1" x14ac:dyDescent="0.2">
      <c r="E308" s="128"/>
      <c r="F308" s="149"/>
      <c r="G308" s="128"/>
      <c r="H308" s="149"/>
      <c r="I308" s="128"/>
      <c r="J308" s="149"/>
      <c r="K308" s="128"/>
      <c r="L308" s="149"/>
      <c r="M308" s="128"/>
      <c r="N308" s="149"/>
      <c r="O308" s="128"/>
      <c r="P308" s="149"/>
      <c r="Q308" s="128"/>
      <c r="R308" s="149"/>
      <c r="S308" s="128"/>
      <c r="T308" s="149"/>
      <c r="U308" s="128"/>
      <c r="V308" s="149"/>
    </row>
    <row r="309" spans="1:22" s="127" customFormat="1" ht="9" customHeight="1" x14ac:dyDescent="0.2">
      <c r="A309" s="126" t="s">
        <v>2272</v>
      </c>
      <c r="B309" s="209" t="s">
        <v>2348</v>
      </c>
      <c r="C309" s="209"/>
      <c r="D309" s="209"/>
      <c r="E309" s="209"/>
      <c r="F309" s="209"/>
      <c r="G309" s="209"/>
      <c r="H309" s="209"/>
      <c r="I309" s="209"/>
      <c r="J309" s="209"/>
      <c r="K309" s="209"/>
      <c r="L309" s="209"/>
      <c r="M309" s="209"/>
      <c r="N309" s="209"/>
      <c r="O309" s="209"/>
      <c r="P309" s="209"/>
      <c r="Q309" s="209"/>
      <c r="R309" s="209"/>
      <c r="S309" s="209"/>
      <c r="T309" s="209"/>
      <c r="U309" s="209"/>
      <c r="V309" s="209"/>
    </row>
    <row r="310" spans="1:22" s="127" customFormat="1" ht="9" customHeight="1" x14ac:dyDescent="0.2">
      <c r="B310" s="209" t="s">
        <v>2349</v>
      </c>
      <c r="C310" s="209"/>
      <c r="D310" s="209"/>
      <c r="E310" s="209"/>
      <c r="F310" s="209"/>
      <c r="G310" s="209"/>
      <c r="H310" s="209"/>
      <c r="I310" s="209"/>
      <c r="J310" s="209"/>
      <c r="K310" s="209"/>
      <c r="L310" s="209"/>
      <c r="M310" s="209"/>
      <c r="N310" s="209"/>
      <c r="O310" s="209"/>
      <c r="P310" s="209"/>
      <c r="Q310" s="209"/>
      <c r="R310" s="209"/>
      <c r="S310" s="209"/>
      <c r="T310" s="209"/>
      <c r="U310" s="209"/>
      <c r="V310" s="209"/>
    </row>
    <row r="311" spans="1:22" s="127" customFormat="1" ht="9" customHeight="1" x14ac:dyDescent="0.2">
      <c r="B311" s="209" t="s">
        <v>2350</v>
      </c>
      <c r="C311" s="209"/>
      <c r="D311" s="209"/>
      <c r="E311" s="209"/>
      <c r="F311" s="209"/>
      <c r="G311" s="209"/>
      <c r="H311" s="209"/>
      <c r="I311" s="209"/>
      <c r="J311" s="209"/>
      <c r="K311" s="209"/>
      <c r="L311" s="209"/>
      <c r="M311" s="209"/>
      <c r="N311" s="209"/>
      <c r="O311" s="209"/>
      <c r="P311" s="209"/>
      <c r="Q311" s="209"/>
      <c r="R311" s="209"/>
      <c r="S311" s="209"/>
      <c r="T311" s="209"/>
      <c r="U311" s="209"/>
      <c r="V311" s="209"/>
    </row>
    <row r="312" spans="1:22" s="127" customFormat="1" ht="9" customHeight="1" x14ac:dyDescent="0.2">
      <c r="B312" s="209" t="s">
        <v>2351</v>
      </c>
      <c r="C312" s="209"/>
      <c r="D312" s="209"/>
      <c r="E312" s="209"/>
      <c r="F312" s="209"/>
      <c r="G312" s="209"/>
      <c r="H312" s="209"/>
      <c r="I312" s="209"/>
      <c r="J312" s="209"/>
      <c r="K312" s="209"/>
      <c r="L312" s="209"/>
      <c r="M312" s="209"/>
      <c r="N312" s="209"/>
      <c r="O312" s="209"/>
      <c r="P312" s="209"/>
      <c r="Q312" s="209"/>
      <c r="R312" s="209"/>
      <c r="S312" s="209"/>
      <c r="T312" s="209"/>
      <c r="U312" s="209"/>
      <c r="V312" s="209"/>
    </row>
    <row r="313" spans="1:22" s="127" customFormat="1" ht="9" customHeight="1" x14ac:dyDescent="0.2">
      <c r="B313" s="209" t="s">
        <v>2352</v>
      </c>
      <c r="C313" s="209"/>
      <c r="D313" s="209"/>
      <c r="E313" s="209"/>
      <c r="F313" s="209"/>
      <c r="G313" s="209"/>
      <c r="H313" s="209"/>
      <c r="I313" s="209"/>
      <c r="J313" s="209"/>
      <c r="K313" s="209"/>
      <c r="L313" s="209"/>
      <c r="M313" s="209"/>
      <c r="N313" s="209"/>
      <c r="O313" s="209"/>
      <c r="P313" s="209"/>
      <c r="Q313" s="209"/>
      <c r="R313" s="209"/>
      <c r="S313" s="209"/>
      <c r="T313" s="209"/>
      <c r="U313" s="209"/>
      <c r="V313" s="209"/>
    </row>
    <row r="314" spans="1:22" s="127" customFormat="1" ht="9" customHeight="1" x14ac:dyDescent="0.2">
      <c r="B314" s="209" t="s">
        <v>2353</v>
      </c>
      <c r="C314" s="209"/>
      <c r="D314" s="209"/>
      <c r="E314" s="209"/>
      <c r="F314" s="209"/>
      <c r="G314" s="209"/>
      <c r="H314" s="209"/>
      <c r="I314" s="209"/>
      <c r="J314" s="209"/>
      <c r="K314" s="209"/>
      <c r="L314" s="209"/>
      <c r="M314" s="209"/>
      <c r="N314" s="209"/>
      <c r="O314" s="209"/>
      <c r="P314" s="209"/>
      <c r="Q314" s="209"/>
      <c r="R314" s="209"/>
      <c r="S314" s="209"/>
      <c r="T314" s="209"/>
      <c r="U314" s="209"/>
      <c r="V314" s="209"/>
    </row>
    <row r="315" spans="1:22" s="127" customFormat="1" ht="9" customHeight="1" x14ac:dyDescent="0.2">
      <c r="B315" s="209" t="s">
        <v>2354</v>
      </c>
      <c r="C315" s="209"/>
      <c r="D315" s="209"/>
      <c r="E315" s="209"/>
      <c r="F315" s="209"/>
      <c r="G315" s="209"/>
      <c r="H315" s="209"/>
      <c r="I315" s="209"/>
      <c r="J315" s="209"/>
      <c r="K315" s="209"/>
      <c r="L315" s="209"/>
      <c r="M315" s="209"/>
      <c r="N315" s="209"/>
      <c r="O315" s="209"/>
      <c r="P315" s="209"/>
      <c r="Q315" s="209"/>
      <c r="R315" s="209"/>
      <c r="S315" s="209"/>
      <c r="T315" s="209"/>
      <c r="U315" s="209"/>
      <c r="V315" s="209"/>
    </row>
    <row r="316" spans="1:22" s="127" customFormat="1" ht="4.5" customHeight="1" x14ac:dyDescent="0.2">
      <c r="E316" s="128"/>
      <c r="F316" s="149"/>
      <c r="G316" s="128"/>
      <c r="H316" s="149"/>
      <c r="I316" s="128"/>
      <c r="J316" s="149"/>
      <c r="K316" s="128"/>
      <c r="L316" s="149"/>
      <c r="M316" s="128"/>
      <c r="N316" s="149"/>
      <c r="O316" s="128"/>
      <c r="P316" s="149"/>
      <c r="Q316" s="128"/>
      <c r="R316" s="149"/>
      <c r="S316" s="128"/>
      <c r="T316" s="149"/>
      <c r="U316" s="128"/>
      <c r="V316" s="149"/>
    </row>
    <row r="317" spans="1:22" s="127" customFormat="1" ht="9" customHeight="1" x14ac:dyDescent="0.2">
      <c r="A317" s="126" t="s">
        <v>2355</v>
      </c>
      <c r="B317" s="209" t="s">
        <v>2356</v>
      </c>
      <c r="C317" s="209"/>
      <c r="D317" s="209"/>
      <c r="E317" s="209"/>
      <c r="F317" s="209"/>
      <c r="G317" s="209"/>
      <c r="H317" s="209"/>
      <c r="I317" s="209"/>
      <c r="J317" s="209"/>
      <c r="K317" s="209"/>
      <c r="L317" s="209"/>
      <c r="M317" s="209"/>
      <c r="N317" s="209"/>
      <c r="O317" s="209"/>
      <c r="P317" s="209"/>
      <c r="Q317" s="209"/>
      <c r="R317" s="209"/>
      <c r="S317" s="209"/>
      <c r="T317" s="209"/>
      <c r="U317" s="209"/>
      <c r="V317" s="209"/>
    </row>
    <row r="318" spans="1:22" s="127" customFormat="1" ht="9" customHeight="1" x14ac:dyDescent="0.2">
      <c r="B318" s="209" t="s">
        <v>2357</v>
      </c>
      <c r="C318" s="209"/>
      <c r="D318" s="209"/>
      <c r="E318" s="209"/>
      <c r="F318" s="209"/>
      <c r="G318" s="209"/>
      <c r="H318" s="209"/>
      <c r="I318" s="209"/>
      <c r="J318" s="209"/>
      <c r="K318" s="209"/>
      <c r="L318" s="209"/>
      <c r="M318" s="209"/>
      <c r="N318" s="209"/>
      <c r="O318" s="209"/>
      <c r="P318" s="209"/>
      <c r="Q318" s="209"/>
      <c r="R318" s="209"/>
      <c r="S318" s="209"/>
      <c r="T318" s="209"/>
      <c r="U318" s="209"/>
      <c r="V318" s="209"/>
    </row>
    <row r="319" spans="1:22" s="127" customFormat="1" ht="9" customHeight="1" x14ac:dyDescent="0.2">
      <c r="B319" s="209" t="s">
        <v>2358</v>
      </c>
      <c r="C319" s="209"/>
      <c r="D319" s="209"/>
      <c r="E319" s="209"/>
      <c r="F319" s="209"/>
      <c r="G319" s="209"/>
      <c r="H319" s="209"/>
      <c r="I319" s="209"/>
      <c r="J319" s="209"/>
      <c r="K319" s="209"/>
      <c r="L319" s="209"/>
      <c r="M319" s="209"/>
      <c r="N319" s="209"/>
      <c r="O319" s="209"/>
      <c r="P319" s="209"/>
      <c r="Q319" s="209"/>
      <c r="R319" s="209"/>
      <c r="S319" s="209"/>
      <c r="T319" s="209"/>
      <c r="U319" s="209"/>
      <c r="V319" s="209"/>
    </row>
    <row r="320" spans="1:22" s="127" customFormat="1" ht="9" customHeight="1" x14ac:dyDescent="0.2">
      <c r="B320" s="209" t="s">
        <v>2359</v>
      </c>
      <c r="C320" s="209"/>
      <c r="D320" s="209"/>
      <c r="E320" s="209"/>
      <c r="F320" s="209"/>
      <c r="G320" s="209"/>
      <c r="H320" s="209"/>
      <c r="I320" s="209"/>
      <c r="J320" s="209"/>
      <c r="K320" s="209"/>
      <c r="L320" s="209"/>
      <c r="M320" s="209"/>
      <c r="N320" s="209"/>
      <c r="O320" s="209"/>
      <c r="P320" s="209"/>
      <c r="Q320" s="209"/>
      <c r="R320" s="209"/>
      <c r="S320" s="209"/>
      <c r="T320" s="209"/>
      <c r="U320" s="209"/>
      <c r="V320" s="209"/>
    </row>
    <row r="321" spans="1:22" s="127" customFormat="1" ht="9" customHeight="1" x14ac:dyDescent="0.2">
      <c r="E321" s="128"/>
      <c r="F321" s="149"/>
      <c r="G321" s="128"/>
      <c r="H321" s="149"/>
      <c r="I321" s="128"/>
      <c r="J321" s="149"/>
      <c r="K321" s="128"/>
      <c r="L321" s="149"/>
      <c r="M321" s="128"/>
      <c r="N321" s="149"/>
      <c r="O321" s="128"/>
      <c r="P321" s="149"/>
      <c r="Q321" s="128"/>
      <c r="R321" s="149"/>
      <c r="S321" s="128"/>
      <c r="T321" s="149"/>
      <c r="U321" s="128"/>
      <c r="V321" s="149"/>
    </row>
    <row r="322" spans="1:22" s="127" customFormat="1" ht="9" customHeight="1" x14ac:dyDescent="0.2">
      <c r="A322" s="131" t="s">
        <v>2360</v>
      </c>
      <c r="E322" s="128"/>
      <c r="F322" s="149"/>
      <c r="G322" s="128"/>
      <c r="H322" s="149"/>
      <c r="I322" s="128"/>
      <c r="J322" s="149"/>
      <c r="K322" s="128"/>
      <c r="L322" s="149"/>
      <c r="M322" s="128"/>
      <c r="N322" s="149"/>
      <c r="O322" s="128"/>
      <c r="P322" s="149"/>
      <c r="Q322" s="128"/>
      <c r="R322" s="149"/>
      <c r="S322" s="128"/>
      <c r="T322" s="149"/>
      <c r="U322" s="128"/>
      <c r="V322" s="149"/>
    </row>
    <row r="323" spans="1:22" s="127" customFormat="1" ht="9" customHeight="1" x14ac:dyDescent="0.2">
      <c r="E323" s="128"/>
      <c r="F323" s="149"/>
      <c r="G323" s="128"/>
      <c r="H323" s="149"/>
      <c r="I323" s="128"/>
      <c r="J323" s="149"/>
      <c r="K323" s="128"/>
      <c r="L323" s="149"/>
      <c r="M323" s="128"/>
      <c r="N323" s="149"/>
      <c r="O323" s="128"/>
      <c r="P323" s="149"/>
      <c r="Q323" s="128"/>
      <c r="R323" s="149"/>
      <c r="S323" s="128"/>
      <c r="T323" s="149"/>
      <c r="U323" s="128"/>
      <c r="V323" s="149"/>
    </row>
    <row r="324" spans="1:22" s="127" customFormat="1" ht="9" customHeight="1" x14ac:dyDescent="0.2">
      <c r="A324" s="209" t="s">
        <v>2361</v>
      </c>
      <c r="B324" s="209"/>
      <c r="C324" s="209"/>
      <c r="D324" s="209"/>
      <c r="E324" s="209"/>
      <c r="F324" s="209"/>
      <c r="G324" s="209"/>
      <c r="H324" s="209"/>
      <c r="I324" s="209"/>
      <c r="J324" s="209"/>
      <c r="K324" s="209"/>
      <c r="L324" s="209"/>
      <c r="M324" s="209"/>
      <c r="N324" s="209"/>
      <c r="O324" s="209"/>
      <c r="P324" s="209"/>
      <c r="Q324" s="209"/>
      <c r="R324" s="209"/>
      <c r="S324" s="209"/>
      <c r="T324" s="209"/>
      <c r="U324" s="209"/>
      <c r="V324" s="209"/>
    </row>
    <row r="325" spans="1:22" s="127" customFormat="1" ht="9" customHeight="1" x14ac:dyDescent="0.2">
      <c r="A325" s="209" t="s">
        <v>2362</v>
      </c>
      <c r="B325" s="209"/>
      <c r="C325" s="209"/>
      <c r="D325" s="209"/>
      <c r="E325" s="209"/>
      <c r="F325" s="209"/>
      <c r="G325" s="209"/>
      <c r="H325" s="209"/>
      <c r="I325" s="209"/>
      <c r="J325" s="209"/>
      <c r="K325" s="209"/>
      <c r="L325" s="209"/>
      <c r="M325" s="209"/>
      <c r="N325" s="209"/>
      <c r="O325" s="209"/>
      <c r="P325" s="209"/>
      <c r="Q325" s="209"/>
      <c r="R325" s="209"/>
      <c r="S325" s="209"/>
      <c r="T325" s="209"/>
      <c r="U325" s="209"/>
      <c r="V325" s="209"/>
    </row>
    <row r="326" spans="1:22" s="127" customFormat="1" ht="9" customHeight="1" x14ac:dyDescent="0.2">
      <c r="A326" s="209" t="s">
        <v>2363</v>
      </c>
      <c r="B326" s="209"/>
      <c r="C326" s="209"/>
      <c r="D326" s="209"/>
      <c r="E326" s="209"/>
      <c r="F326" s="209"/>
      <c r="G326" s="209"/>
      <c r="H326" s="209"/>
      <c r="I326" s="209"/>
      <c r="J326" s="209"/>
      <c r="K326" s="209"/>
      <c r="L326" s="209"/>
      <c r="M326" s="209"/>
      <c r="N326" s="209"/>
      <c r="O326" s="209"/>
      <c r="P326" s="209"/>
      <c r="Q326" s="209"/>
      <c r="R326" s="209"/>
      <c r="S326" s="209"/>
      <c r="T326" s="209"/>
      <c r="U326" s="209"/>
      <c r="V326" s="209"/>
    </row>
    <row r="327" spans="1:22" s="127" customFormat="1" ht="9" customHeight="1" x14ac:dyDescent="0.2">
      <c r="A327" s="209" t="s">
        <v>2364</v>
      </c>
      <c r="B327" s="209"/>
      <c r="C327" s="209"/>
      <c r="D327" s="209"/>
      <c r="E327" s="209"/>
      <c r="F327" s="209"/>
      <c r="G327" s="209"/>
      <c r="H327" s="209"/>
      <c r="I327" s="209"/>
      <c r="J327" s="209"/>
      <c r="K327" s="209"/>
      <c r="L327" s="209"/>
      <c r="M327" s="209"/>
      <c r="N327" s="209"/>
      <c r="O327" s="209"/>
      <c r="P327" s="209"/>
      <c r="Q327" s="209"/>
      <c r="R327" s="209"/>
      <c r="S327" s="209"/>
      <c r="T327" s="209"/>
      <c r="U327" s="209"/>
      <c r="V327" s="209"/>
    </row>
    <row r="328" spans="1:22" s="127" customFormat="1" ht="9" customHeight="1" x14ac:dyDescent="0.2">
      <c r="A328" s="209" t="s">
        <v>2365</v>
      </c>
      <c r="B328" s="209"/>
      <c r="C328" s="209"/>
      <c r="D328" s="209"/>
      <c r="E328" s="209"/>
      <c r="F328" s="209"/>
      <c r="G328" s="209"/>
      <c r="H328" s="209"/>
      <c r="I328" s="209"/>
      <c r="J328" s="209"/>
      <c r="K328" s="209"/>
      <c r="L328" s="209"/>
      <c r="M328" s="209"/>
      <c r="N328" s="209"/>
      <c r="O328" s="209"/>
      <c r="P328" s="209"/>
      <c r="Q328" s="209"/>
      <c r="R328" s="209"/>
      <c r="S328" s="209"/>
      <c r="T328" s="209"/>
      <c r="U328" s="209"/>
      <c r="V328" s="209"/>
    </row>
    <row r="329" spans="1:22" s="127" customFormat="1" ht="9" customHeight="1" x14ac:dyDescent="0.2">
      <c r="A329" s="209" t="s">
        <v>2366</v>
      </c>
      <c r="B329" s="209"/>
      <c r="C329" s="209"/>
      <c r="D329" s="209"/>
      <c r="E329" s="209"/>
      <c r="F329" s="209"/>
      <c r="G329" s="209"/>
      <c r="H329" s="209"/>
      <c r="I329" s="209"/>
      <c r="J329" s="209"/>
      <c r="K329" s="209"/>
      <c r="L329" s="209"/>
      <c r="M329" s="209"/>
      <c r="N329" s="209"/>
      <c r="O329" s="209"/>
      <c r="P329" s="209"/>
      <c r="Q329" s="209"/>
      <c r="R329" s="209"/>
      <c r="S329" s="209"/>
      <c r="T329" s="209"/>
      <c r="U329" s="209"/>
      <c r="V329" s="209"/>
    </row>
    <row r="330" spans="1:22" s="127" customFormat="1" ht="9" customHeight="1" x14ac:dyDescent="0.2">
      <c r="A330" s="209" t="s">
        <v>2367</v>
      </c>
      <c r="B330" s="209"/>
      <c r="C330" s="209"/>
      <c r="D330" s="209"/>
      <c r="E330" s="209"/>
      <c r="F330" s="209"/>
      <c r="G330" s="209"/>
      <c r="H330" s="209"/>
      <c r="I330" s="209"/>
      <c r="J330" s="209"/>
      <c r="K330" s="209"/>
      <c r="L330" s="209"/>
      <c r="M330" s="209"/>
      <c r="N330" s="209"/>
      <c r="O330" s="209"/>
      <c r="P330" s="209"/>
      <c r="Q330" s="209"/>
      <c r="R330" s="209"/>
      <c r="S330" s="209"/>
      <c r="T330" s="209"/>
      <c r="U330" s="209"/>
      <c r="V330" s="209"/>
    </row>
    <row r="331" spans="1:22" s="127" customFormat="1" ht="9" customHeight="1" x14ac:dyDescent="0.2">
      <c r="E331" s="128"/>
      <c r="F331" s="149"/>
      <c r="G331" s="128"/>
      <c r="H331" s="149"/>
      <c r="I331" s="128"/>
      <c r="J331" s="149"/>
      <c r="K331" s="128"/>
      <c r="L331" s="149"/>
      <c r="M331" s="128"/>
      <c r="N331" s="149"/>
      <c r="O331" s="128"/>
      <c r="P331" s="149"/>
      <c r="Q331" s="128"/>
      <c r="R331" s="149"/>
      <c r="S331" s="128"/>
      <c r="T331" s="149"/>
      <c r="U331" s="128"/>
      <c r="V331" s="149"/>
    </row>
    <row r="332" spans="1:22" s="127" customFormat="1" ht="9" customHeight="1" x14ac:dyDescent="0.2">
      <c r="A332" s="209" t="s">
        <v>2368</v>
      </c>
      <c r="B332" s="209"/>
      <c r="C332" s="209"/>
      <c r="D332" s="209"/>
      <c r="E332" s="209"/>
      <c r="F332" s="209"/>
      <c r="G332" s="209"/>
      <c r="H332" s="209"/>
      <c r="I332" s="209"/>
      <c r="J332" s="209"/>
      <c r="K332" s="209"/>
      <c r="L332" s="209"/>
      <c r="M332" s="209"/>
      <c r="N332" s="209"/>
      <c r="O332" s="209"/>
      <c r="P332" s="209"/>
      <c r="Q332" s="209"/>
      <c r="R332" s="209"/>
      <c r="S332" s="209"/>
      <c r="T332" s="209"/>
      <c r="U332" s="209"/>
      <c r="V332" s="209"/>
    </row>
    <row r="333" spans="1:22" s="127" customFormat="1" ht="9" customHeight="1" x14ac:dyDescent="0.2">
      <c r="E333" s="128"/>
      <c r="F333" s="149"/>
      <c r="G333" s="128"/>
      <c r="H333" s="149"/>
      <c r="I333" s="128"/>
      <c r="J333" s="149"/>
      <c r="K333" s="128"/>
      <c r="L333" s="149"/>
      <c r="M333" s="128"/>
      <c r="N333" s="149"/>
      <c r="O333" s="128"/>
      <c r="P333" s="149"/>
      <c r="Q333" s="128"/>
      <c r="R333" s="149"/>
      <c r="S333" s="128"/>
      <c r="T333" s="149"/>
      <c r="U333" s="128"/>
      <c r="V333" s="149"/>
    </row>
    <row r="334" spans="1:22" s="127" customFormat="1" ht="9" customHeight="1" x14ac:dyDescent="0.2">
      <c r="E334" s="128"/>
      <c r="F334" s="149"/>
      <c r="G334" s="128"/>
      <c r="H334" s="149"/>
      <c r="I334" s="128"/>
      <c r="J334" s="149"/>
      <c r="K334" s="128"/>
      <c r="L334" s="149"/>
      <c r="M334" s="128"/>
      <c r="N334" s="149"/>
      <c r="O334" s="128"/>
      <c r="P334" s="149"/>
      <c r="Q334" s="128"/>
      <c r="R334" s="149"/>
      <c r="S334" s="128"/>
      <c r="T334" s="149"/>
      <c r="U334" s="128"/>
      <c r="V334" s="149"/>
    </row>
    <row r="335" spans="1:22" s="127" customFormat="1" ht="9" customHeight="1" x14ac:dyDescent="0.2">
      <c r="E335" s="128"/>
      <c r="F335" s="149"/>
      <c r="G335" s="128"/>
      <c r="H335" s="149"/>
      <c r="I335" s="128"/>
      <c r="J335" s="149"/>
      <c r="K335" s="128"/>
      <c r="L335" s="149"/>
      <c r="M335" s="128"/>
      <c r="N335" s="149"/>
      <c r="O335" s="128"/>
      <c r="P335" s="149"/>
      <c r="Q335" s="128"/>
      <c r="R335" s="149"/>
      <c r="S335" s="128"/>
      <c r="T335" s="149"/>
      <c r="U335" s="128"/>
      <c r="V335" s="149"/>
    </row>
    <row r="336" spans="1:22" s="127" customFormat="1" ht="9" customHeight="1" x14ac:dyDescent="0.2">
      <c r="E336" s="128"/>
      <c r="F336" s="149"/>
      <c r="G336" s="128"/>
      <c r="H336" s="149"/>
      <c r="I336" s="128"/>
      <c r="J336" s="149"/>
      <c r="K336" s="128"/>
      <c r="L336" s="149"/>
      <c r="M336" s="128"/>
      <c r="N336" s="149"/>
      <c r="O336" s="128"/>
      <c r="P336" s="149"/>
      <c r="Q336" s="128"/>
      <c r="R336" s="149"/>
      <c r="S336" s="128"/>
      <c r="T336" s="149"/>
      <c r="U336" s="128"/>
      <c r="V336" s="149"/>
    </row>
    <row r="337" spans="1:22" s="127" customFormat="1" ht="9" customHeight="1" x14ac:dyDescent="0.2">
      <c r="A337" s="208" t="s">
        <v>2369</v>
      </c>
      <c r="B337" s="208"/>
      <c r="C337" s="208"/>
      <c r="D337" s="208"/>
      <c r="E337" s="208"/>
      <c r="F337" s="208"/>
      <c r="G337" s="208"/>
      <c r="H337" s="208"/>
      <c r="I337" s="208"/>
      <c r="J337" s="208"/>
      <c r="K337" s="208"/>
      <c r="L337" s="208"/>
      <c r="M337" s="208"/>
      <c r="N337" s="208"/>
      <c r="O337" s="208"/>
      <c r="P337" s="208"/>
      <c r="Q337" s="208"/>
      <c r="R337" s="208"/>
      <c r="S337" s="208"/>
      <c r="T337" s="208"/>
      <c r="U337" s="208"/>
      <c r="V337" s="208"/>
    </row>
    <row r="338" spans="1:22" s="127" customFormat="1" ht="9" customHeight="1" x14ac:dyDescent="0.2">
      <c r="A338" s="208" t="s">
        <v>2370</v>
      </c>
      <c r="B338" s="208"/>
      <c r="C338" s="208"/>
      <c r="D338" s="208"/>
      <c r="E338" s="208"/>
      <c r="F338" s="208"/>
      <c r="G338" s="208"/>
      <c r="H338" s="208"/>
      <c r="I338" s="208"/>
      <c r="J338" s="208"/>
      <c r="K338" s="208"/>
      <c r="L338" s="208"/>
      <c r="M338" s="208"/>
      <c r="N338" s="208"/>
      <c r="O338" s="208"/>
      <c r="P338" s="208"/>
      <c r="Q338" s="208"/>
      <c r="R338" s="208"/>
      <c r="S338" s="208"/>
      <c r="T338" s="208"/>
      <c r="U338" s="208"/>
      <c r="V338" s="208"/>
    </row>
    <row r="339" spans="1:22" s="127" customFormat="1" ht="9" customHeight="1" x14ac:dyDescent="0.2">
      <c r="A339" s="208" t="s">
        <v>2371</v>
      </c>
      <c r="B339" s="208"/>
      <c r="C339" s="208"/>
      <c r="D339" s="208"/>
      <c r="E339" s="208"/>
      <c r="F339" s="208"/>
      <c r="G339" s="208"/>
      <c r="H339" s="208"/>
      <c r="I339" s="208"/>
      <c r="J339" s="208"/>
      <c r="K339" s="208"/>
      <c r="L339" s="208"/>
      <c r="M339" s="208"/>
      <c r="N339" s="208"/>
      <c r="O339" s="208"/>
      <c r="P339" s="208"/>
      <c r="Q339" s="208"/>
      <c r="R339" s="208"/>
      <c r="S339" s="208"/>
      <c r="T339" s="208"/>
      <c r="U339" s="208"/>
      <c r="V339" s="208"/>
    </row>
    <row r="340" spans="1:22" s="127" customFormat="1" ht="9" customHeight="1" x14ac:dyDescent="0.2">
      <c r="A340" s="208" t="s">
        <v>2372</v>
      </c>
      <c r="B340" s="208"/>
      <c r="C340" s="208"/>
      <c r="D340" s="208"/>
      <c r="E340" s="208"/>
      <c r="F340" s="208"/>
      <c r="G340" s="208"/>
      <c r="H340" s="208"/>
      <c r="I340" s="208"/>
      <c r="J340" s="208"/>
      <c r="K340" s="208"/>
      <c r="L340" s="208"/>
      <c r="M340" s="208"/>
      <c r="N340" s="208"/>
      <c r="O340" s="208"/>
      <c r="P340" s="208"/>
      <c r="Q340" s="208"/>
      <c r="R340" s="208"/>
      <c r="S340" s="208"/>
      <c r="T340" s="208"/>
      <c r="U340" s="208"/>
      <c r="V340" s="208"/>
    </row>
    <row r="341" spans="1:22" s="127" customFormat="1" ht="9" customHeight="1" x14ac:dyDescent="0.2">
      <c r="A341" s="208" t="s">
        <v>2374</v>
      </c>
      <c r="B341" s="208"/>
      <c r="C341" s="208"/>
      <c r="D341" s="208"/>
      <c r="E341" s="208"/>
      <c r="F341" s="208"/>
      <c r="G341" s="208"/>
      <c r="H341" s="208"/>
      <c r="I341" s="208"/>
      <c r="J341" s="208"/>
      <c r="K341" s="208"/>
      <c r="L341" s="208"/>
      <c r="M341" s="208"/>
      <c r="N341" s="208"/>
      <c r="O341" s="208"/>
      <c r="P341" s="208"/>
      <c r="Q341" s="208"/>
      <c r="R341" s="208"/>
      <c r="S341" s="208"/>
      <c r="T341" s="208"/>
      <c r="U341" s="208"/>
      <c r="V341" s="208"/>
    </row>
    <row r="342" spans="1:22" s="127" customFormat="1" ht="9" customHeight="1" x14ac:dyDescent="0.2">
      <c r="A342" s="208" t="s">
        <v>2373</v>
      </c>
      <c r="B342" s="208"/>
      <c r="C342" s="208"/>
      <c r="D342" s="208"/>
      <c r="E342" s="208"/>
      <c r="F342" s="208"/>
      <c r="G342" s="208"/>
      <c r="H342" s="208"/>
      <c r="I342" s="208"/>
      <c r="J342" s="208"/>
      <c r="K342" s="208"/>
      <c r="L342" s="208"/>
      <c r="M342" s="208"/>
      <c r="N342" s="208"/>
      <c r="O342" s="208"/>
      <c r="P342" s="208"/>
      <c r="Q342" s="208"/>
      <c r="R342" s="208"/>
      <c r="S342" s="208"/>
      <c r="T342" s="208"/>
      <c r="U342" s="208"/>
      <c r="V342" s="208"/>
    </row>
    <row r="343" spans="1:22" s="127" customFormat="1" ht="9" customHeight="1" x14ac:dyDescent="0.2">
      <c r="E343" s="128"/>
      <c r="F343" s="149"/>
      <c r="G343" s="128"/>
      <c r="H343" s="149"/>
      <c r="I343" s="128"/>
      <c r="J343" s="149"/>
      <c r="K343" s="128"/>
      <c r="L343" s="149"/>
      <c r="M343" s="128"/>
      <c r="N343" s="149"/>
      <c r="O343" s="128"/>
      <c r="P343" s="149"/>
      <c r="Q343" s="128"/>
      <c r="R343" s="149"/>
      <c r="S343" s="128"/>
      <c r="T343" s="149"/>
      <c r="U343" s="128"/>
      <c r="V343" s="149"/>
    </row>
    <row r="344" spans="1:22" s="127" customFormat="1" ht="4.5" customHeight="1" x14ac:dyDescent="0.2">
      <c r="A344" s="138"/>
      <c r="B344" s="138"/>
      <c r="C344" s="138"/>
      <c r="D344" s="138"/>
      <c r="E344" s="139"/>
      <c r="F344" s="150"/>
      <c r="G344" s="139"/>
      <c r="H344" s="150"/>
      <c r="I344" s="139"/>
      <c r="J344" s="150"/>
      <c r="K344" s="139"/>
      <c r="L344" s="150"/>
      <c r="M344" s="139"/>
      <c r="N344" s="150"/>
      <c r="O344" s="139"/>
      <c r="P344" s="150"/>
      <c r="Q344" s="139"/>
      <c r="R344" s="154"/>
      <c r="S344" s="128"/>
      <c r="T344" s="149"/>
      <c r="U344" s="128"/>
      <c r="V344" s="149"/>
    </row>
    <row r="345" spans="1:22" s="127" customFormat="1" ht="9" customHeight="1" x14ac:dyDescent="0.2">
      <c r="A345" s="132"/>
      <c r="B345" s="132"/>
      <c r="C345" s="132"/>
      <c r="D345" s="132"/>
      <c r="E345" s="133"/>
      <c r="F345" s="151"/>
      <c r="G345" s="133"/>
      <c r="H345" s="151"/>
      <c r="I345" s="133"/>
      <c r="J345" s="151"/>
      <c r="K345" s="210" t="s">
        <v>2377</v>
      </c>
      <c r="L345" s="210"/>
      <c r="M345" s="210"/>
      <c r="N345" s="151"/>
      <c r="O345" s="210" t="s">
        <v>44</v>
      </c>
      <c r="P345" s="210"/>
      <c r="Q345" s="210"/>
      <c r="R345" s="155"/>
      <c r="S345" s="128"/>
      <c r="T345" s="149"/>
      <c r="U345" s="128"/>
      <c r="V345" s="149"/>
    </row>
    <row r="346" spans="1:22" s="127" customFormat="1" ht="9" customHeight="1" x14ac:dyDescent="0.2">
      <c r="A346" s="132" t="s">
        <v>2160</v>
      </c>
      <c r="B346" s="132"/>
      <c r="C346" s="132"/>
      <c r="D346" s="132"/>
      <c r="E346" s="133" t="s">
        <v>884</v>
      </c>
      <c r="F346" s="151"/>
      <c r="G346" s="133" t="s">
        <v>885</v>
      </c>
      <c r="H346" s="151"/>
      <c r="I346" s="133" t="s">
        <v>886</v>
      </c>
      <c r="J346" s="151"/>
      <c r="K346" s="133" t="s">
        <v>2375</v>
      </c>
      <c r="L346" s="151"/>
      <c r="M346" s="133" t="s">
        <v>2376</v>
      </c>
      <c r="N346" s="151"/>
      <c r="O346" s="133" t="s">
        <v>2375</v>
      </c>
      <c r="P346" s="151"/>
      <c r="Q346" s="133" t="s">
        <v>2376</v>
      </c>
      <c r="R346" s="155"/>
      <c r="S346" s="128"/>
      <c r="T346" s="149"/>
      <c r="U346" s="128"/>
      <c r="V346" s="149"/>
    </row>
    <row r="347" spans="1:22" s="127" customFormat="1" ht="4.5" customHeight="1" x14ac:dyDescent="0.2">
      <c r="A347" s="136"/>
      <c r="B347" s="136"/>
      <c r="C347" s="136"/>
      <c r="D347" s="136"/>
      <c r="E347" s="137"/>
      <c r="F347" s="152"/>
      <c r="G347" s="137"/>
      <c r="H347" s="152"/>
      <c r="I347" s="137"/>
      <c r="J347" s="152"/>
      <c r="K347" s="137"/>
      <c r="L347" s="152"/>
      <c r="M347" s="137"/>
      <c r="N347" s="152"/>
      <c r="O347" s="137"/>
      <c r="P347" s="152"/>
      <c r="Q347" s="137"/>
      <c r="R347" s="156"/>
      <c r="S347" s="128"/>
      <c r="T347" s="149"/>
      <c r="U347" s="128"/>
      <c r="V347" s="149"/>
    </row>
    <row r="348" spans="1:22" s="127" customFormat="1" ht="4.5" customHeight="1" x14ac:dyDescent="0.2">
      <c r="E348" s="128"/>
      <c r="F348" s="149"/>
      <c r="G348" s="128"/>
      <c r="H348" s="149"/>
      <c r="I348" s="128"/>
      <c r="J348" s="149"/>
      <c r="K348" s="128"/>
      <c r="L348" s="149"/>
      <c r="M348" s="128"/>
      <c r="N348" s="149"/>
      <c r="O348" s="128"/>
      <c r="P348" s="149"/>
      <c r="Q348" s="128"/>
      <c r="R348" s="149"/>
      <c r="S348" s="128"/>
      <c r="T348" s="149"/>
      <c r="U348" s="128"/>
      <c r="V348" s="149"/>
    </row>
    <row r="349" spans="1:22" s="127" customFormat="1" ht="9" customHeight="1" x14ac:dyDescent="0.2">
      <c r="A349" s="127" t="s">
        <v>591</v>
      </c>
      <c r="E349" s="128">
        <v>1</v>
      </c>
      <c r="F349" s="149"/>
      <c r="G349" s="128">
        <v>0</v>
      </c>
      <c r="H349" s="149"/>
      <c r="I349" s="128">
        <v>0</v>
      </c>
      <c r="J349" s="149"/>
      <c r="K349" s="128">
        <v>2</v>
      </c>
      <c r="L349" s="149"/>
      <c r="M349" s="128" t="s">
        <v>45</v>
      </c>
      <c r="N349" s="149"/>
      <c r="O349" s="128">
        <v>2</v>
      </c>
      <c r="P349" s="149"/>
      <c r="Q349" s="128" t="s">
        <v>45</v>
      </c>
      <c r="R349" s="149"/>
      <c r="S349" s="128"/>
      <c r="T349" s="149"/>
      <c r="U349" s="128"/>
      <c r="V349" s="149"/>
    </row>
    <row r="350" spans="1:22" s="127" customFormat="1" ht="9" customHeight="1" x14ac:dyDescent="0.2">
      <c r="A350" s="127" t="s">
        <v>55</v>
      </c>
      <c r="E350" s="128">
        <v>15</v>
      </c>
      <c r="F350" s="149"/>
      <c r="G350" s="128">
        <v>0.4</v>
      </c>
      <c r="H350" s="149"/>
      <c r="I350" s="128">
        <v>0.4</v>
      </c>
      <c r="J350" s="149"/>
      <c r="K350" s="128">
        <v>2</v>
      </c>
      <c r="L350" s="149"/>
      <c r="M350" s="128" t="s">
        <v>45</v>
      </c>
      <c r="N350" s="149"/>
      <c r="O350" s="128">
        <v>2</v>
      </c>
      <c r="P350" s="149"/>
      <c r="Q350" s="128" t="s">
        <v>45</v>
      </c>
      <c r="R350" s="149"/>
      <c r="S350" s="128"/>
      <c r="T350" s="149"/>
      <c r="U350" s="128"/>
      <c r="V350" s="149"/>
    </row>
    <row r="351" spans="1:22" s="127" customFormat="1" ht="9" customHeight="1" x14ac:dyDescent="0.2">
      <c r="A351" s="127" t="s">
        <v>1</v>
      </c>
      <c r="E351" s="128">
        <v>30</v>
      </c>
      <c r="F351" s="149"/>
      <c r="G351" s="128">
        <v>5</v>
      </c>
      <c r="H351" s="149"/>
      <c r="I351" s="128">
        <v>0</v>
      </c>
      <c r="J351" s="149"/>
      <c r="K351" s="128">
        <v>2</v>
      </c>
      <c r="L351" s="149"/>
      <c r="M351" s="128" t="s">
        <v>45</v>
      </c>
      <c r="N351" s="149"/>
      <c r="O351" s="128">
        <v>2</v>
      </c>
      <c r="P351" s="149"/>
      <c r="Q351" s="128" t="s">
        <v>45</v>
      </c>
      <c r="R351" s="149"/>
      <c r="S351" s="128"/>
      <c r="T351" s="149"/>
      <c r="U351" s="128"/>
      <c r="V351" s="149"/>
    </row>
    <row r="352" spans="1:22" s="127" customFormat="1" ht="9" customHeight="1" x14ac:dyDescent="0.2">
      <c r="A352" s="127" t="s">
        <v>895</v>
      </c>
      <c r="E352" s="128">
        <v>8</v>
      </c>
      <c r="F352" s="149"/>
      <c r="G352" s="128">
        <v>0.9</v>
      </c>
      <c r="H352" s="149"/>
      <c r="I352" s="128">
        <v>0</v>
      </c>
      <c r="J352" s="149"/>
      <c r="K352" s="128">
        <v>2</v>
      </c>
      <c r="L352" s="149"/>
      <c r="M352" s="128" t="s">
        <v>45</v>
      </c>
      <c r="N352" s="149"/>
      <c r="O352" s="128">
        <v>2</v>
      </c>
      <c r="P352" s="149"/>
      <c r="Q352" s="128" t="s">
        <v>45</v>
      </c>
      <c r="R352" s="149"/>
      <c r="S352" s="128"/>
      <c r="T352" s="149"/>
      <c r="U352" s="128"/>
      <c r="V352" s="149"/>
    </row>
    <row r="353" spans="1:22" s="127" customFormat="1" ht="9" customHeight="1" x14ac:dyDescent="0.2">
      <c r="A353" s="127" t="s">
        <v>2</v>
      </c>
      <c r="E353" s="128">
        <v>0.1</v>
      </c>
      <c r="F353" s="149"/>
      <c r="G353" s="128">
        <v>7.0000000000000001E-3</v>
      </c>
      <c r="H353" s="149"/>
      <c r="I353" s="128">
        <v>2.1000000000000001E-2</v>
      </c>
      <c r="J353" s="149"/>
      <c r="K353" s="128">
        <v>2</v>
      </c>
      <c r="L353" s="149"/>
      <c r="M353" s="128" t="s">
        <v>45</v>
      </c>
      <c r="N353" s="149"/>
      <c r="O353" s="128">
        <v>2</v>
      </c>
      <c r="P353" s="149"/>
      <c r="Q353" s="128" t="s">
        <v>45</v>
      </c>
      <c r="R353" s="149"/>
      <c r="S353" s="128"/>
      <c r="T353" s="149"/>
      <c r="U353" s="128"/>
      <c r="V353" s="149"/>
    </row>
    <row r="354" spans="1:22" s="127" customFormat="1" ht="9" customHeight="1" x14ac:dyDescent="0.2">
      <c r="A354" s="127" t="s">
        <v>56</v>
      </c>
      <c r="E354" s="128">
        <v>50</v>
      </c>
      <c r="F354" s="149"/>
      <c r="G354" s="128">
        <v>2</v>
      </c>
      <c r="H354" s="149"/>
      <c r="I354" s="128">
        <v>0</v>
      </c>
      <c r="J354" s="149"/>
      <c r="K354" s="128">
        <v>2</v>
      </c>
      <c r="L354" s="149"/>
      <c r="M354" s="128" t="s">
        <v>45</v>
      </c>
      <c r="N354" s="149"/>
      <c r="O354" s="128">
        <v>2</v>
      </c>
      <c r="P354" s="149"/>
      <c r="Q354" s="128" t="s">
        <v>45</v>
      </c>
      <c r="R354" s="149"/>
      <c r="S354" s="128"/>
      <c r="T354" s="149"/>
      <c r="U354" s="128"/>
      <c r="V354" s="149"/>
    </row>
    <row r="355" spans="1:22" s="127" customFormat="1" ht="9" customHeight="1" x14ac:dyDescent="0.2">
      <c r="A355" s="127" t="s">
        <v>3</v>
      </c>
      <c r="E355" s="128">
        <v>2</v>
      </c>
      <c r="F355" s="149"/>
      <c r="G355" s="128">
        <v>0.28000000000000003</v>
      </c>
      <c r="H355" s="149"/>
      <c r="I355" s="128">
        <v>0</v>
      </c>
      <c r="J355" s="149"/>
      <c r="K355" s="128">
        <v>2</v>
      </c>
      <c r="L355" s="149"/>
      <c r="M355" s="128" t="s">
        <v>45</v>
      </c>
      <c r="N355" s="149"/>
      <c r="O355" s="128">
        <v>2</v>
      </c>
      <c r="P355" s="149"/>
      <c r="Q355" s="128" t="s">
        <v>45</v>
      </c>
      <c r="R355" s="149"/>
      <c r="S355" s="128"/>
      <c r="T355" s="149"/>
      <c r="U355" s="128"/>
      <c r="V355" s="149"/>
    </row>
    <row r="356" spans="1:22" s="127" customFormat="1" ht="9" customHeight="1" x14ac:dyDescent="0.2">
      <c r="A356" s="127" t="s">
        <v>4</v>
      </c>
      <c r="E356" s="128">
        <v>15</v>
      </c>
      <c r="F356" s="149"/>
      <c r="G356" s="128">
        <v>0.6</v>
      </c>
      <c r="H356" s="149"/>
      <c r="I356" s="128">
        <v>0.6</v>
      </c>
      <c r="J356" s="149"/>
      <c r="K356" s="128">
        <v>2</v>
      </c>
      <c r="L356" s="149"/>
      <c r="M356" s="128" t="s">
        <v>45</v>
      </c>
      <c r="N356" s="149"/>
      <c r="O356" s="128">
        <v>2</v>
      </c>
      <c r="P356" s="149"/>
      <c r="Q356" s="128" t="s">
        <v>45</v>
      </c>
      <c r="R356" s="149"/>
      <c r="S356" s="128"/>
      <c r="T356" s="149"/>
      <c r="U356" s="128"/>
      <c r="V356" s="149"/>
    </row>
    <row r="357" spans="1:22" s="127" customFormat="1" ht="9" customHeight="1" x14ac:dyDescent="0.2">
      <c r="A357" s="127" t="s">
        <v>5</v>
      </c>
      <c r="E357" s="128">
        <v>0.2</v>
      </c>
      <c r="F357" s="149"/>
      <c r="G357" s="128">
        <v>3.3999999999999998E-3</v>
      </c>
      <c r="H357" s="149"/>
      <c r="I357" s="128">
        <v>1.7099999999999999E-3</v>
      </c>
      <c r="J357" s="149"/>
      <c r="K357" s="128">
        <v>2</v>
      </c>
      <c r="L357" s="149"/>
      <c r="M357" s="128" t="s">
        <v>45</v>
      </c>
      <c r="N357" s="149"/>
      <c r="O357" s="128">
        <v>2</v>
      </c>
      <c r="P357" s="149"/>
      <c r="Q357" s="128" t="s">
        <v>45</v>
      </c>
      <c r="R357" s="149"/>
      <c r="S357" s="128"/>
      <c r="T357" s="149"/>
      <c r="U357" s="128"/>
      <c r="V357" s="149"/>
    </row>
    <row r="358" spans="1:22" s="127" customFormat="1" ht="9" customHeight="1" x14ac:dyDescent="0.2">
      <c r="A358" s="127" t="s">
        <v>6</v>
      </c>
      <c r="E358" s="128">
        <v>50</v>
      </c>
      <c r="F358" s="149"/>
      <c r="G358" s="128">
        <v>1</v>
      </c>
      <c r="H358" s="149"/>
      <c r="I358" s="128">
        <v>1</v>
      </c>
      <c r="J358" s="149"/>
      <c r="K358" s="128">
        <v>2</v>
      </c>
      <c r="L358" s="149"/>
      <c r="M358" s="128" t="s">
        <v>45</v>
      </c>
      <c r="N358" s="149"/>
      <c r="O358" s="128">
        <v>2</v>
      </c>
      <c r="P358" s="149"/>
      <c r="Q358" s="128" t="s">
        <v>45</v>
      </c>
      <c r="R358" s="149"/>
      <c r="S358" s="128"/>
      <c r="T358" s="149"/>
      <c r="U358" s="128"/>
      <c r="V358" s="149"/>
    </row>
    <row r="359" spans="1:22" s="127" customFormat="1" ht="9" customHeight="1" x14ac:dyDescent="0.2">
      <c r="A359" s="127" t="s">
        <v>7</v>
      </c>
      <c r="E359" s="128">
        <v>1</v>
      </c>
      <c r="F359" s="149"/>
      <c r="G359" s="128">
        <v>0</v>
      </c>
      <c r="H359" s="149"/>
      <c r="I359" s="128">
        <v>0</v>
      </c>
      <c r="J359" s="149"/>
      <c r="K359" s="128">
        <v>2</v>
      </c>
      <c r="L359" s="149"/>
      <c r="M359" s="128" t="s">
        <v>45</v>
      </c>
      <c r="N359" s="149"/>
      <c r="O359" s="128">
        <v>2</v>
      </c>
      <c r="P359" s="149"/>
      <c r="Q359" s="128" t="s">
        <v>45</v>
      </c>
      <c r="R359" s="149"/>
      <c r="S359" s="128"/>
      <c r="T359" s="149"/>
      <c r="U359" s="128"/>
      <c r="V359" s="149"/>
    </row>
    <row r="360" spans="1:22" s="127" customFormat="1" ht="9" customHeight="1" x14ac:dyDescent="0.2">
      <c r="A360" s="127" t="s">
        <v>8</v>
      </c>
      <c r="E360" s="128">
        <v>10</v>
      </c>
      <c r="F360" s="149"/>
      <c r="G360" s="128">
        <v>1</v>
      </c>
      <c r="H360" s="149"/>
      <c r="I360" s="128">
        <v>0</v>
      </c>
      <c r="J360" s="149"/>
      <c r="K360" s="128">
        <v>2</v>
      </c>
      <c r="L360" s="149"/>
      <c r="M360" s="128" t="s">
        <v>45</v>
      </c>
      <c r="N360" s="149"/>
      <c r="O360" s="128">
        <v>2</v>
      </c>
      <c r="P360" s="149"/>
      <c r="Q360" s="128" t="s">
        <v>45</v>
      </c>
      <c r="R360" s="149"/>
      <c r="S360" s="128"/>
      <c r="T360" s="149"/>
      <c r="U360" s="128"/>
      <c r="V360" s="149"/>
    </row>
    <row r="361" spans="1:22" s="127" customFormat="1" ht="9" customHeight="1" x14ac:dyDescent="0.2">
      <c r="A361" s="127" t="s">
        <v>898</v>
      </c>
      <c r="E361" s="128">
        <v>1</v>
      </c>
      <c r="F361" s="149"/>
      <c r="G361" s="128">
        <v>0</v>
      </c>
      <c r="H361" s="149"/>
      <c r="I361" s="128">
        <v>0</v>
      </c>
      <c r="J361" s="149"/>
      <c r="K361" s="128">
        <v>2</v>
      </c>
      <c r="L361" s="149"/>
      <c r="M361" s="128" t="s">
        <v>45</v>
      </c>
      <c r="N361" s="149"/>
      <c r="O361" s="128">
        <v>2</v>
      </c>
      <c r="P361" s="149"/>
      <c r="Q361" s="128" t="s">
        <v>45</v>
      </c>
      <c r="R361" s="149"/>
      <c r="S361" s="128"/>
      <c r="T361" s="149"/>
      <c r="U361" s="128"/>
      <c r="V361" s="149"/>
    </row>
    <row r="362" spans="1:22" s="127" customFormat="1" ht="9" customHeight="1" x14ac:dyDescent="0.2">
      <c r="A362" s="127" t="s">
        <v>594</v>
      </c>
      <c r="E362" s="128">
        <v>4</v>
      </c>
      <c r="F362" s="149"/>
      <c r="G362" s="128">
        <v>0.6</v>
      </c>
      <c r="H362" s="149"/>
      <c r="I362" s="128">
        <v>0</v>
      </c>
      <c r="J362" s="149"/>
      <c r="K362" s="128">
        <v>2</v>
      </c>
      <c r="L362" s="149"/>
      <c r="M362" s="128" t="s">
        <v>45</v>
      </c>
      <c r="N362" s="149"/>
      <c r="O362" s="128">
        <v>2</v>
      </c>
      <c r="P362" s="149"/>
      <c r="Q362" s="128" t="s">
        <v>45</v>
      </c>
      <c r="R362" s="149"/>
      <c r="S362" s="128"/>
      <c r="T362" s="149"/>
      <c r="U362" s="128"/>
      <c r="V362" s="149"/>
    </row>
    <row r="363" spans="1:22" s="127" customFormat="1" ht="9" customHeight="1" x14ac:dyDescent="0.2">
      <c r="A363" s="127" t="s">
        <v>595</v>
      </c>
      <c r="E363" s="128">
        <v>12</v>
      </c>
      <c r="F363" s="149"/>
      <c r="G363" s="128">
        <v>1.2</v>
      </c>
      <c r="H363" s="149"/>
      <c r="I363" s="128">
        <v>0</v>
      </c>
      <c r="J363" s="149"/>
      <c r="K363" s="128">
        <v>2</v>
      </c>
      <c r="L363" s="149"/>
      <c r="M363" s="128" t="s">
        <v>45</v>
      </c>
      <c r="N363" s="149"/>
      <c r="O363" s="128">
        <v>2</v>
      </c>
      <c r="P363" s="149"/>
      <c r="Q363" s="128" t="s">
        <v>45</v>
      </c>
      <c r="R363" s="149"/>
      <c r="S363" s="128"/>
      <c r="T363" s="149"/>
      <c r="U363" s="128"/>
      <c r="V363" s="149"/>
    </row>
    <row r="364" spans="1:22" s="127" customFormat="1" ht="9" customHeight="1" x14ac:dyDescent="0.2">
      <c r="A364" s="127" t="s">
        <v>9</v>
      </c>
      <c r="E364" s="128">
        <v>50</v>
      </c>
      <c r="F364" s="149"/>
      <c r="G364" s="128">
        <v>3</v>
      </c>
      <c r="H364" s="149"/>
      <c r="I364" s="128">
        <v>1.5</v>
      </c>
      <c r="J364" s="149"/>
      <c r="K364" s="128">
        <v>2</v>
      </c>
      <c r="L364" s="149"/>
      <c r="M364" s="128" t="s">
        <v>45</v>
      </c>
      <c r="N364" s="149"/>
      <c r="O364" s="128">
        <v>2</v>
      </c>
      <c r="P364" s="149"/>
      <c r="Q364" s="128" t="s">
        <v>45</v>
      </c>
      <c r="R364" s="149"/>
      <c r="S364" s="128"/>
      <c r="T364" s="149"/>
      <c r="U364" s="128"/>
      <c r="V364" s="149"/>
    </row>
    <row r="365" spans="1:22" s="127" customFormat="1" ht="9" customHeight="1" x14ac:dyDescent="0.2">
      <c r="A365" s="127" t="s">
        <v>2378</v>
      </c>
      <c r="E365" s="128">
        <v>0</v>
      </c>
      <c r="F365" s="149"/>
      <c r="G365" s="128">
        <v>0</v>
      </c>
      <c r="H365" s="149"/>
      <c r="I365" s="128">
        <v>1</v>
      </c>
      <c r="J365" s="149"/>
      <c r="K365" s="128">
        <v>10</v>
      </c>
      <c r="L365" s="149"/>
      <c r="M365" s="128">
        <v>30</v>
      </c>
      <c r="N365" s="149"/>
      <c r="O365" s="128" t="s">
        <v>45</v>
      </c>
      <c r="P365" s="149"/>
      <c r="Q365" s="128" t="s">
        <v>45</v>
      </c>
      <c r="R365" s="149"/>
      <c r="S365" s="128"/>
      <c r="T365" s="149"/>
      <c r="U365" s="128"/>
      <c r="V365" s="149"/>
    </row>
    <row r="366" spans="1:22" s="127" customFormat="1" ht="9" customHeight="1" x14ac:dyDescent="0.2">
      <c r="A366" s="127" t="s">
        <v>2379</v>
      </c>
      <c r="E366" s="128">
        <v>0</v>
      </c>
      <c r="F366" s="149"/>
      <c r="G366" s="128">
        <v>0</v>
      </c>
      <c r="H366" s="149"/>
      <c r="I366" s="128">
        <v>1</v>
      </c>
      <c r="J366" s="149"/>
      <c r="K366" s="128">
        <v>2</v>
      </c>
      <c r="L366" s="149"/>
      <c r="M366" s="128">
        <v>30</v>
      </c>
      <c r="N366" s="149"/>
      <c r="O366" s="128" t="s">
        <v>45</v>
      </c>
      <c r="P366" s="149"/>
      <c r="Q366" s="128" t="s">
        <v>45</v>
      </c>
      <c r="R366" s="149"/>
      <c r="S366" s="128"/>
      <c r="T366" s="149"/>
      <c r="U366" s="128"/>
      <c r="V366" s="149"/>
    </row>
    <row r="367" spans="1:22" s="127" customFormat="1" ht="9" customHeight="1" x14ac:dyDescent="0.2">
      <c r="A367" s="127" t="s">
        <v>2380</v>
      </c>
      <c r="E367" s="128">
        <v>1</v>
      </c>
      <c r="F367" s="149"/>
      <c r="G367" s="128">
        <v>0</v>
      </c>
      <c r="H367" s="149"/>
      <c r="I367" s="128">
        <v>0</v>
      </c>
      <c r="J367" s="149"/>
      <c r="K367" s="128" t="s">
        <v>45</v>
      </c>
      <c r="L367" s="149"/>
      <c r="M367" s="128" t="s">
        <v>45</v>
      </c>
      <c r="N367" s="149"/>
      <c r="O367" s="128" t="s">
        <v>45</v>
      </c>
      <c r="P367" s="149"/>
      <c r="Q367" s="128" t="s">
        <v>45</v>
      </c>
      <c r="R367" s="149"/>
      <c r="S367" s="128"/>
      <c r="T367" s="149"/>
      <c r="U367" s="128"/>
      <c r="V367" s="149"/>
    </row>
    <row r="368" spans="1:22" s="127" customFormat="1" ht="4.5" customHeight="1" x14ac:dyDescent="0.2">
      <c r="A368" s="134"/>
      <c r="B368" s="134"/>
      <c r="C368" s="134"/>
      <c r="D368" s="134"/>
      <c r="E368" s="135"/>
      <c r="F368" s="153"/>
      <c r="G368" s="135"/>
      <c r="H368" s="153"/>
      <c r="I368" s="135"/>
      <c r="J368" s="153"/>
      <c r="K368" s="135"/>
      <c r="L368" s="153"/>
      <c r="M368" s="135"/>
      <c r="N368" s="153"/>
      <c r="O368" s="135"/>
      <c r="P368" s="153"/>
      <c r="Q368" s="135"/>
      <c r="R368" s="149"/>
      <c r="S368" s="128"/>
      <c r="T368" s="149"/>
      <c r="U368" s="128"/>
      <c r="V368" s="149"/>
    </row>
    <row r="369" spans="5:22" s="127" customFormat="1" ht="4.5" customHeight="1" x14ac:dyDescent="0.2">
      <c r="E369" s="128"/>
      <c r="F369" s="149"/>
      <c r="G369" s="128"/>
      <c r="H369" s="149"/>
      <c r="I369" s="128"/>
      <c r="J369" s="149"/>
      <c r="K369" s="128"/>
      <c r="L369" s="149"/>
      <c r="M369" s="128"/>
      <c r="N369" s="149"/>
      <c r="O369" s="128"/>
      <c r="P369" s="149"/>
      <c r="Q369" s="128"/>
      <c r="R369" s="149"/>
      <c r="S369" s="128"/>
      <c r="T369" s="149"/>
      <c r="U369" s="128"/>
      <c r="V369" s="149"/>
    </row>
    <row r="370" spans="5:22" s="127" customFormat="1" ht="9" customHeight="1" x14ac:dyDescent="0.2">
      <c r="E370" s="128"/>
      <c r="F370" s="149"/>
      <c r="G370" s="128"/>
      <c r="H370" s="149"/>
      <c r="I370" s="128"/>
      <c r="J370" s="149"/>
      <c r="K370" s="128"/>
      <c r="L370" s="149"/>
      <c r="M370" s="128"/>
      <c r="N370" s="149"/>
      <c r="O370" s="128"/>
      <c r="P370" s="149"/>
      <c r="Q370" s="128"/>
      <c r="R370" s="149"/>
      <c r="S370" s="128"/>
      <c r="T370" s="149"/>
      <c r="U370" s="128"/>
      <c r="V370" s="149"/>
    </row>
    <row r="371" spans="5:22" s="127" customFormat="1" ht="9" customHeight="1" x14ac:dyDescent="0.2">
      <c r="E371" s="128"/>
      <c r="F371" s="149"/>
      <c r="G371" s="128"/>
      <c r="H371" s="149"/>
      <c r="I371" s="128"/>
      <c r="J371" s="149"/>
      <c r="K371" s="128"/>
      <c r="L371" s="149"/>
      <c r="M371" s="128"/>
      <c r="N371" s="149"/>
      <c r="O371" s="128"/>
      <c r="P371" s="149"/>
      <c r="Q371" s="128"/>
      <c r="R371" s="149"/>
      <c r="S371" s="128"/>
      <c r="T371" s="149"/>
      <c r="U371" s="128"/>
      <c r="V371" s="149"/>
    </row>
    <row r="372" spans="5:22" s="127" customFormat="1" ht="9" customHeight="1" x14ac:dyDescent="0.2">
      <c r="E372" s="128"/>
      <c r="F372" s="149"/>
      <c r="G372" s="128"/>
      <c r="H372" s="149"/>
      <c r="I372" s="128"/>
      <c r="J372" s="149"/>
      <c r="K372" s="128"/>
      <c r="L372" s="149"/>
      <c r="M372" s="128"/>
      <c r="N372" s="149"/>
      <c r="O372" s="128"/>
      <c r="P372" s="149"/>
      <c r="Q372" s="128"/>
      <c r="R372" s="149"/>
      <c r="S372" s="128"/>
      <c r="T372" s="149"/>
      <c r="U372" s="128"/>
      <c r="V372" s="149"/>
    </row>
    <row r="373" spans="5:22" s="127" customFormat="1" ht="9" customHeight="1" x14ac:dyDescent="0.2">
      <c r="E373" s="128"/>
      <c r="F373" s="149"/>
      <c r="G373" s="128"/>
      <c r="H373" s="149"/>
      <c r="I373" s="128"/>
      <c r="J373" s="149"/>
      <c r="K373" s="128"/>
      <c r="L373" s="149"/>
      <c r="M373" s="128"/>
      <c r="N373" s="149"/>
      <c r="O373" s="128"/>
      <c r="P373" s="149"/>
      <c r="Q373" s="128"/>
      <c r="R373" s="149"/>
      <c r="S373" s="128"/>
      <c r="T373" s="149"/>
      <c r="U373" s="128"/>
      <c r="V373" s="149"/>
    </row>
    <row r="374" spans="5:22" s="127" customFormat="1" ht="9" customHeight="1" x14ac:dyDescent="0.2">
      <c r="E374" s="128"/>
      <c r="F374" s="149"/>
      <c r="G374" s="128"/>
      <c r="H374" s="149"/>
      <c r="I374" s="128"/>
      <c r="J374" s="149"/>
      <c r="K374" s="128"/>
      <c r="L374" s="149"/>
      <c r="M374" s="128"/>
      <c r="N374" s="149"/>
      <c r="O374" s="128"/>
      <c r="P374" s="149"/>
      <c r="Q374" s="128"/>
      <c r="R374" s="149"/>
      <c r="S374" s="128"/>
      <c r="T374" s="149"/>
      <c r="U374" s="128"/>
      <c r="V374" s="149"/>
    </row>
    <row r="375" spans="5:22" s="127" customFormat="1" ht="9" customHeight="1" x14ac:dyDescent="0.2">
      <c r="E375" s="128"/>
      <c r="F375" s="149"/>
      <c r="G375" s="128"/>
      <c r="H375" s="149"/>
      <c r="I375" s="128"/>
      <c r="J375" s="149"/>
      <c r="K375" s="128"/>
      <c r="L375" s="149"/>
      <c r="M375" s="128"/>
      <c r="N375" s="149"/>
      <c r="O375" s="128"/>
      <c r="P375" s="149"/>
      <c r="Q375" s="128"/>
      <c r="R375" s="149"/>
      <c r="S375" s="128"/>
      <c r="T375" s="149"/>
      <c r="U375" s="128"/>
      <c r="V375" s="149"/>
    </row>
    <row r="376" spans="5:22" s="127" customFormat="1" ht="9" customHeight="1" x14ac:dyDescent="0.2">
      <c r="E376" s="128"/>
      <c r="F376" s="149"/>
      <c r="G376" s="128"/>
      <c r="H376" s="149"/>
      <c r="I376" s="128"/>
      <c r="J376" s="149"/>
      <c r="K376" s="128"/>
      <c r="L376" s="149"/>
      <c r="M376" s="128"/>
      <c r="N376" s="149"/>
      <c r="O376" s="128"/>
      <c r="P376" s="149"/>
      <c r="Q376" s="128"/>
      <c r="R376" s="149"/>
      <c r="S376" s="128"/>
      <c r="T376" s="149"/>
      <c r="U376" s="128"/>
      <c r="V376" s="149"/>
    </row>
    <row r="377" spans="5:22" s="127" customFormat="1" ht="9" customHeight="1" x14ac:dyDescent="0.2">
      <c r="E377" s="128"/>
      <c r="F377" s="149"/>
      <c r="G377" s="128"/>
      <c r="H377" s="149"/>
      <c r="I377" s="128"/>
      <c r="J377" s="149"/>
      <c r="K377" s="128"/>
      <c r="L377" s="149"/>
      <c r="M377" s="128"/>
      <c r="N377" s="149"/>
      <c r="O377" s="128"/>
      <c r="P377" s="149"/>
      <c r="Q377" s="128"/>
      <c r="R377" s="149"/>
      <c r="S377" s="128"/>
      <c r="T377" s="149"/>
      <c r="U377" s="128"/>
      <c r="V377" s="149"/>
    </row>
    <row r="378" spans="5:22" s="127" customFormat="1" ht="9" customHeight="1" x14ac:dyDescent="0.2">
      <c r="E378" s="128"/>
      <c r="F378" s="149"/>
      <c r="G378" s="128"/>
      <c r="H378" s="149"/>
      <c r="I378" s="128"/>
      <c r="J378" s="149"/>
      <c r="K378" s="128"/>
      <c r="L378" s="149"/>
      <c r="M378" s="128"/>
      <c r="N378" s="149"/>
      <c r="O378" s="128"/>
      <c r="P378" s="149"/>
      <c r="Q378" s="128"/>
      <c r="R378" s="149"/>
      <c r="S378" s="128"/>
      <c r="T378" s="149"/>
      <c r="U378" s="128"/>
      <c r="V378" s="149"/>
    </row>
    <row r="379" spans="5:22" s="127" customFormat="1" ht="9" customHeight="1" x14ac:dyDescent="0.2">
      <c r="E379" s="128"/>
      <c r="F379" s="149"/>
      <c r="G379" s="128"/>
      <c r="H379" s="149"/>
      <c r="I379" s="128"/>
      <c r="J379" s="149"/>
      <c r="K379" s="128"/>
      <c r="L379" s="149"/>
      <c r="M379" s="128"/>
      <c r="N379" s="149"/>
      <c r="O379" s="128"/>
      <c r="P379" s="149"/>
      <c r="Q379" s="128"/>
      <c r="R379" s="149"/>
      <c r="S379" s="128"/>
      <c r="T379" s="149"/>
      <c r="U379" s="128"/>
      <c r="V379" s="149"/>
    </row>
    <row r="380" spans="5:22" s="127" customFormat="1" ht="9" customHeight="1" x14ac:dyDescent="0.2">
      <c r="E380" s="128"/>
      <c r="F380" s="149"/>
      <c r="G380" s="128"/>
      <c r="H380" s="149"/>
      <c r="I380" s="128"/>
      <c r="J380" s="149"/>
      <c r="K380" s="128"/>
      <c r="L380" s="149"/>
      <c r="M380" s="128"/>
      <c r="N380" s="149"/>
      <c r="O380" s="128"/>
      <c r="P380" s="149"/>
      <c r="Q380" s="128"/>
      <c r="R380" s="149"/>
      <c r="S380" s="128"/>
      <c r="T380" s="149"/>
      <c r="U380" s="128"/>
      <c r="V380" s="149"/>
    </row>
    <row r="381" spans="5:22" s="127" customFormat="1" ht="9" customHeight="1" x14ac:dyDescent="0.2">
      <c r="E381" s="128"/>
      <c r="F381" s="149"/>
      <c r="G381" s="128"/>
      <c r="H381" s="149"/>
      <c r="I381" s="128"/>
      <c r="J381" s="149"/>
      <c r="K381" s="128"/>
      <c r="L381" s="149"/>
      <c r="M381" s="128"/>
      <c r="N381" s="149"/>
      <c r="O381" s="128"/>
      <c r="P381" s="149"/>
      <c r="Q381" s="128"/>
      <c r="R381" s="149"/>
      <c r="S381" s="128"/>
      <c r="T381" s="149"/>
      <c r="U381" s="128"/>
      <c r="V381" s="149"/>
    </row>
    <row r="382" spans="5:22" s="127" customFormat="1" ht="9" customHeight="1" x14ac:dyDescent="0.2">
      <c r="E382" s="128"/>
      <c r="F382" s="149"/>
      <c r="G382" s="128"/>
      <c r="H382" s="149"/>
      <c r="I382" s="128"/>
      <c r="J382" s="149"/>
      <c r="K382" s="128"/>
      <c r="L382" s="149"/>
      <c r="M382" s="128"/>
      <c r="N382" s="149"/>
      <c r="O382" s="128"/>
      <c r="P382" s="149"/>
      <c r="Q382" s="128"/>
      <c r="R382" s="149"/>
      <c r="S382" s="128"/>
      <c r="T382" s="149"/>
      <c r="U382" s="128"/>
      <c r="V382" s="149"/>
    </row>
    <row r="383" spans="5:22" s="127" customFormat="1" ht="9" customHeight="1" x14ac:dyDescent="0.2">
      <c r="E383" s="128"/>
      <c r="F383" s="149"/>
      <c r="G383" s="128"/>
      <c r="H383" s="149"/>
      <c r="I383" s="128"/>
      <c r="J383" s="149"/>
      <c r="K383" s="128"/>
      <c r="L383" s="149"/>
      <c r="M383" s="128"/>
      <c r="N383" s="149"/>
      <c r="O383" s="128"/>
      <c r="P383" s="149"/>
      <c r="Q383" s="128"/>
      <c r="R383" s="149"/>
      <c r="S383" s="128"/>
      <c r="T383" s="149"/>
      <c r="U383" s="128"/>
      <c r="V383" s="149"/>
    </row>
    <row r="384" spans="5:22" s="127" customFormat="1" ht="9" customHeight="1" x14ac:dyDescent="0.2">
      <c r="E384" s="128"/>
      <c r="F384" s="149"/>
      <c r="G384" s="128"/>
      <c r="H384" s="149"/>
      <c r="I384" s="128"/>
      <c r="J384" s="149"/>
      <c r="K384" s="128"/>
      <c r="L384" s="149"/>
      <c r="M384" s="128"/>
      <c r="N384" s="149"/>
      <c r="O384" s="128"/>
      <c r="P384" s="149"/>
      <c r="Q384" s="128"/>
      <c r="R384" s="149"/>
      <c r="S384" s="128"/>
      <c r="T384" s="149"/>
      <c r="U384" s="128"/>
      <c r="V384" s="149"/>
    </row>
    <row r="385" spans="5:22" s="127" customFormat="1" ht="9" customHeight="1" x14ac:dyDescent="0.2">
      <c r="E385" s="128"/>
      <c r="F385" s="149"/>
      <c r="G385" s="128"/>
      <c r="H385" s="149"/>
      <c r="I385" s="128"/>
      <c r="J385" s="149"/>
      <c r="K385" s="128"/>
      <c r="L385" s="149"/>
      <c r="M385" s="128"/>
      <c r="N385" s="149"/>
      <c r="O385" s="128"/>
      <c r="P385" s="149"/>
      <c r="Q385" s="128"/>
      <c r="R385" s="149"/>
      <c r="S385" s="128"/>
      <c r="T385" s="149"/>
      <c r="U385" s="128"/>
      <c r="V385" s="149"/>
    </row>
    <row r="386" spans="5:22" s="127" customFormat="1" ht="9" customHeight="1" x14ac:dyDescent="0.2">
      <c r="E386" s="128"/>
      <c r="F386" s="149"/>
      <c r="G386" s="128"/>
      <c r="H386" s="149"/>
      <c r="I386" s="128"/>
      <c r="J386" s="149"/>
      <c r="K386" s="128"/>
      <c r="L386" s="149"/>
      <c r="M386" s="128"/>
      <c r="N386" s="149"/>
      <c r="O386" s="128"/>
      <c r="P386" s="149"/>
      <c r="Q386" s="128"/>
      <c r="R386" s="149"/>
      <c r="S386" s="128"/>
      <c r="T386" s="149"/>
      <c r="U386" s="128"/>
      <c r="V386" s="149"/>
    </row>
    <row r="387" spans="5:22" s="127" customFormat="1" ht="9" customHeight="1" x14ac:dyDescent="0.2">
      <c r="E387" s="128"/>
      <c r="F387" s="149"/>
      <c r="G387" s="128"/>
      <c r="H387" s="149"/>
      <c r="I387" s="128"/>
      <c r="J387" s="149"/>
      <c r="K387" s="128"/>
      <c r="L387" s="149"/>
      <c r="M387" s="128"/>
      <c r="N387" s="149"/>
      <c r="O387" s="128"/>
      <c r="P387" s="149"/>
      <c r="Q387" s="128"/>
      <c r="R387" s="149"/>
      <c r="S387" s="128"/>
      <c r="T387" s="149"/>
      <c r="U387" s="128"/>
      <c r="V387" s="149"/>
    </row>
    <row r="388" spans="5:22" s="127" customFormat="1" ht="9" customHeight="1" x14ac:dyDescent="0.2">
      <c r="E388" s="128"/>
      <c r="F388" s="149"/>
      <c r="G388" s="128"/>
      <c r="H388" s="149"/>
      <c r="I388" s="128"/>
      <c r="J388" s="149"/>
      <c r="K388" s="128"/>
      <c r="L388" s="149"/>
      <c r="M388" s="128"/>
      <c r="N388" s="149"/>
      <c r="O388" s="128"/>
      <c r="P388" s="149"/>
      <c r="Q388" s="128"/>
      <c r="R388" s="149"/>
      <c r="S388" s="128"/>
      <c r="T388" s="149"/>
      <c r="U388" s="128"/>
      <c r="V388" s="149"/>
    </row>
    <row r="389" spans="5:22" s="127" customFormat="1" ht="9" customHeight="1" x14ac:dyDescent="0.2">
      <c r="E389" s="128"/>
      <c r="F389" s="149"/>
      <c r="G389" s="128"/>
      <c r="H389" s="149"/>
      <c r="I389" s="128"/>
      <c r="J389" s="149"/>
      <c r="K389" s="128"/>
      <c r="L389" s="149"/>
      <c r="M389" s="128"/>
      <c r="N389" s="149"/>
      <c r="O389" s="128"/>
      <c r="P389" s="149"/>
      <c r="Q389" s="128"/>
      <c r="R389" s="149"/>
      <c r="S389" s="128"/>
      <c r="T389" s="149"/>
      <c r="U389" s="128"/>
      <c r="V389" s="149"/>
    </row>
    <row r="390" spans="5:22" s="127" customFormat="1" ht="9" customHeight="1" x14ac:dyDescent="0.2">
      <c r="E390" s="128"/>
      <c r="F390" s="149"/>
      <c r="G390" s="128"/>
      <c r="H390" s="149"/>
      <c r="I390" s="128"/>
      <c r="J390" s="149"/>
      <c r="K390" s="128"/>
      <c r="L390" s="149"/>
      <c r="M390" s="128"/>
      <c r="N390" s="149"/>
      <c r="O390" s="128"/>
      <c r="P390" s="149"/>
      <c r="Q390" s="128"/>
      <c r="R390" s="149"/>
      <c r="S390" s="128"/>
      <c r="T390" s="149"/>
      <c r="U390" s="128"/>
      <c r="V390" s="149"/>
    </row>
    <row r="391" spans="5:22" s="127" customFormat="1" ht="9" customHeight="1" x14ac:dyDescent="0.2">
      <c r="E391" s="128"/>
      <c r="F391" s="149"/>
      <c r="G391" s="128"/>
      <c r="H391" s="149"/>
      <c r="I391" s="128"/>
      <c r="J391" s="149"/>
      <c r="K391" s="128"/>
      <c r="L391" s="149"/>
      <c r="M391" s="128"/>
      <c r="N391" s="149"/>
      <c r="O391" s="128"/>
      <c r="P391" s="149"/>
      <c r="Q391" s="128"/>
      <c r="R391" s="149"/>
      <c r="S391" s="128"/>
      <c r="T391" s="149"/>
      <c r="U391" s="128"/>
      <c r="V391" s="149"/>
    </row>
    <row r="392" spans="5:22" s="127" customFormat="1" ht="9" customHeight="1" x14ac:dyDescent="0.2">
      <c r="E392" s="128"/>
      <c r="F392" s="149"/>
      <c r="G392" s="128"/>
      <c r="H392" s="149"/>
      <c r="I392" s="128"/>
      <c r="J392" s="149"/>
      <c r="K392" s="128"/>
      <c r="L392" s="149"/>
      <c r="M392" s="128"/>
      <c r="N392" s="149"/>
      <c r="O392" s="128"/>
      <c r="P392" s="149"/>
      <c r="Q392" s="128"/>
      <c r="R392" s="149"/>
      <c r="S392" s="128"/>
      <c r="T392" s="149"/>
      <c r="U392" s="128"/>
      <c r="V392" s="149"/>
    </row>
    <row r="393" spans="5:22" s="127" customFormat="1" ht="9" customHeight="1" x14ac:dyDescent="0.2">
      <c r="E393" s="128"/>
      <c r="F393" s="149"/>
      <c r="G393" s="128"/>
      <c r="H393" s="149"/>
      <c r="I393" s="128"/>
      <c r="J393" s="149"/>
      <c r="K393" s="128"/>
      <c r="L393" s="149"/>
      <c r="M393" s="128"/>
      <c r="N393" s="149"/>
      <c r="O393" s="128"/>
      <c r="P393" s="149"/>
      <c r="Q393" s="128"/>
      <c r="R393" s="149"/>
      <c r="S393" s="128"/>
      <c r="T393" s="149"/>
      <c r="U393" s="128"/>
      <c r="V393" s="149"/>
    </row>
    <row r="394" spans="5:22" s="127" customFormat="1" ht="9" customHeight="1" x14ac:dyDescent="0.2">
      <c r="E394" s="128"/>
      <c r="F394" s="149"/>
      <c r="G394" s="128"/>
      <c r="H394" s="149"/>
      <c r="I394" s="128"/>
      <c r="J394" s="149"/>
      <c r="K394" s="128"/>
      <c r="L394" s="149"/>
      <c r="M394" s="128"/>
      <c r="N394" s="149"/>
      <c r="O394" s="128"/>
      <c r="P394" s="149"/>
      <c r="Q394" s="128"/>
      <c r="R394" s="149"/>
      <c r="S394" s="128"/>
      <c r="T394" s="149"/>
      <c r="U394" s="128"/>
      <c r="V394" s="149"/>
    </row>
    <row r="395" spans="5:22" s="127" customFormat="1" ht="9" customHeight="1" x14ac:dyDescent="0.2">
      <c r="E395" s="128"/>
      <c r="F395" s="149"/>
      <c r="G395" s="128"/>
      <c r="H395" s="149"/>
      <c r="I395" s="128"/>
      <c r="J395" s="149"/>
      <c r="K395" s="128"/>
      <c r="L395" s="149"/>
      <c r="M395" s="128"/>
      <c r="N395" s="149"/>
      <c r="O395" s="128"/>
      <c r="P395" s="149"/>
      <c r="Q395" s="128"/>
      <c r="R395" s="149"/>
      <c r="S395" s="128"/>
      <c r="T395" s="149"/>
      <c r="U395" s="128"/>
      <c r="V395" s="149"/>
    </row>
    <row r="396" spans="5:22" s="127" customFormat="1" ht="9" customHeight="1" x14ac:dyDescent="0.2">
      <c r="E396" s="128"/>
      <c r="F396" s="149"/>
      <c r="G396" s="128"/>
      <c r="H396" s="149"/>
      <c r="I396" s="128"/>
      <c r="J396" s="149"/>
      <c r="K396" s="128"/>
      <c r="L396" s="149"/>
      <c r="M396" s="128"/>
      <c r="N396" s="149"/>
      <c r="O396" s="128"/>
      <c r="P396" s="149"/>
      <c r="Q396" s="128"/>
      <c r="R396" s="149"/>
      <c r="S396" s="128"/>
      <c r="T396" s="149"/>
      <c r="U396" s="128"/>
      <c r="V396" s="149"/>
    </row>
    <row r="397" spans="5:22" s="127" customFormat="1" ht="9" customHeight="1" x14ac:dyDescent="0.2">
      <c r="E397" s="128"/>
      <c r="F397" s="149"/>
      <c r="G397" s="128"/>
      <c r="H397" s="149"/>
      <c r="I397" s="128"/>
      <c r="J397" s="149"/>
      <c r="K397" s="128"/>
      <c r="L397" s="149"/>
      <c r="M397" s="128"/>
      <c r="N397" s="149"/>
      <c r="O397" s="128"/>
      <c r="P397" s="149"/>
      <c r="Q397" s="128"/>
      <c r="R397" s="149"/>
      <c r="S397" s="128"/>
      <c r="T397" s="149"/>
      <c r="U397" s="128"/>
      <c r="V397" s="149"/>
    </row>
    <row r="398" spans="5:22" s="127" customFormat="1" ht="9" customHeight="1" x14ac:dyDescent="0.2">
      <c r="E398" s="128"/>
      <c r="F398" s="149"/>
      <c r="G398" s="128"/>
      <c r="H398" s="149"/>
      <c r="I398" s="128"/>
      <c r="J398" s="149"/>
      <c r="K398" s="128"/>
      <c r="L398" s="149"/>
      <c r="M398" s="128"/>
      <c r="N398" s="149"/>
      <c r="O398" s="128"/>
      <c r="P398" s="149"/>
      <c r="Q398" s="128"/>
      <c r="R398" s="149"/>
      <c r="S398" s="128"/>
      <c r="T398" s="149"/>
      <c r="U398" s="128"/>
      <c r="V398" s="149"/>
    </row>
    <row r="399" spans="5:22" s="127" customFormat="1" ht="9" customHeight="1" x14ac:dyDescent="0.2">
      <c r="E399" s="128"/>
      <c r="F399" s="149"/>
      <c r="G399" s="128"/>
      <c r="H399" s="149"/>
      <c r="I399" s="128"/>
      <c r="J399" s="149"/>
      <c r="K399" s="128"/>
      <c r="L399" s="149"/>
      <c r="M399" s="128"/>
      <c r="N399" s="149"/>
      <c r="O399" s="128"/>
      <c r="P399" s="149"/>
      <c r="Q399" s="128"/>
      <c r="R399" s="149"/>
      <c r="S399" s="128"/>
      <c r="T399" s="149"/>
      <c r="U399" s="128"/>
      <c r="V399" s="149"/>
    </row>
    <row r="400" spans="5:22" s="127" customFormat="1" ht="9" customHeight="1" x14ac:dyDescent="0.2">
      <c r="E400" s="128"/>
      <c r="F400" s="149"/>
      <c r="G400" s="128"/>
      <c r="H400" s="149"/>
      <c r="I400" s="128"/>
      <c r="J400" s="149"/>
      <c r="K400" s="128"/>
      <c r="L400" s="149"/>
      <c r="M400" s="128"/>
      <c r="N400" s="149"/>
      <c r="O400" s="128"/>
      <c r="P400" s="149"/>
      <c r="Q400" s="128"/>
      <c r="R400" s="149"/>
      <c r="S400" s="128"/>
      <c r="T400" s="149"/>
      <c r="U400" s="128"/>
      <c r="V400" s="149"/>
    </row>
    <row r="401" spans="5:22" s="127" customFormat="1" ht="9" customHeight="1" x14ac:dyDescent="0.2">
      <c r="E401" s="128"/>
      <c r="F401" s="149"/>
      <c r="G401" s="128"/>
      <c r="H401" s="149"/>
      <c r="I401" s="128"/>
      <c r="J401" s="149"/>
      <c r="K401" s="128"/>
      <c r="L401" s="149"/>
      <c r="M401" s="128"/>
      <c r="N401" s="149"/>
      <c r="O401" s="128"/>
      <c r="P401" s="149"/>
      <c r="Q401" s="128"/>
      <c r="R401" s="149"/>
      <c r="S401" s="128"/>
      <c r="T401" s="149"/>
      <c r="U401" s="128"/>
      <c r="V401" s="149"/>
    </row>
    <row r="402" spans="5:22" s="127" customFormat="1" ht="9" customHeight="1" x14ac:dyDescent="0.2">
      <c r="E402" s="128"/>
      <c r="F402" s="149"/>
      <c r="G402" s="128"/>
      <c r="H402" s="149"/>
      <c r="I402" s="128"/>
      <c r="J402" s="149"/>
      <c r="K402" s="128"/>
      <c r="L402" s="149"/>
      <c r="M402" s="128"/>
      <c r="N402" s="149"/>
      <c r="O402" s="128"/>
      <c r="P402" s="149"/>
      <c r="Q402" s="128"/>
      <c r="R402" s="149"/>
      <c r="S402" s="128"/>
      <c r="T402" s="149"/>
      <c r="U402" s="128"/>
      <c r="V402" s="149"/>
    </row>
    <row r="403" spans="5:22" s="127" customFormat="1" ht="9" customHeight="1" x14ac:dyDescent="0.2">
      <c r="E403" s="128"/>
      <c r="F403" s="149"/>
      <c r="G403" s="128"/>
      <c r="H403" s="149"/>
      <c r="I403" s="128"/>
      <c r="J403" s="149"/>
      <c r="K403" s="128"/>
      <c r="L403" s="149"/>
      <c r="M403" s="128"/>
      <c r="N403" s="149"/>
      <c r="O403" s="128"/>
      <c r="P403" s="149"/>
      <c r="Q403" s="128"/>
      <c r="R403" s="149"/>
      <c r="S403" s="128"/>
      <c r="T403" s="149"/>
      <c r="U403" s="128"/>
      <c r="V403" s="149"/>
    </row>
    <row r="404" spans="5:22" s="127" customFormat="1" ht="9" customHeight="1" x14ac:dyDescent="0.2">
      <c r="E404" s="128"/>
      <c r="F404" s="149"/>
      <c r="G404" s="128"/>
      <c r="H404" s="149"/>
      <c r="I404" s="128"/>
      <c r="J404" s="149"/>
      <c r="K404" s="128"/>
      <c r="L404" s="149"/>
      <c r="M404" s="128"/>
      <c r="N404" s="149"/>
      <c r="O404" s="128"/>
      <c r="P404" s="149"/>
      <c r="Q404" s="128"/>
      <c r="R404" s="149"/>
      <c r="S404" s="128"/>
      <c r="T404" s="149"/>
      <c r="U404" s="128"/>
      <c r="V404" s="149"/>
    </row>
    <row r="405" spans="5:22" s="127" customFormat="1" ht="9" customHeight="1" x14ac:dyDescent="0.2">
      <c r="E405" s="128"/>
      <c r="F405" s="149"/>
      <c r="G405" s="128"/>
      <c r="H405" s="149"/>
      <c r="I405" s="128"/>
      <c r="J405" s="149"/>
      <c r="K405" s="128"/>
      <c r="L405" s="149"/>
      <c r="M405" s="128"/>
      <c r="N405" s="149"/>
      <c r="O405" s="128"/>
      <c r="P405" s="149"/>
      <c r="Q405" s="128"/>
      <c r="R405" s="149"/>
      <c r="S405" s="128"/>
      <c r="T405" s="149"/>
      <c r="U405" s="128"/>
      <c r="V405" s="149"/>
    </row>
    <row r="406" spans="5:22" s="127" customFormat="1" ht="9" customHeight="1" x14ac:dyDescent="0.2">
      <c r="E406" s="128"/>
      <c r="F406" s="149"/>
      <c r="G406" s="128"/>
      <c r="H406" s="149"/>
      <c r="I406" s="128"/>
      <c r="J406" s="149"/>
      <c r="K406" s="128"/>
      <c r="L406" s="149"/>
      <c r="M406" s="128"/>
      <c r="N406" s="149"/>
      <c r="O406" s="128"/>
      <c r="P406" s="149"/>
      <c r="Q406" s="128"/>
      <c r="R406" s="149"/>
      <c r="S406" s="128"/>
      <c r="T406" s="149"/>
      <c r="U406" s="128"/>
      <c r="V406" s="149"/>
    </row>
    <row r="407" spans="5:22" s="127" customFormat="1" ht="9" customHeight="1" x14ac:dyDescent="0.2">
      <c r="E407" s="128"/>
      <c r="F407" s="149"/>
      <c r="G407" s="128"/>
      <c r="H407" s="149"/>
      <c r="I407" s="128"/>
      <c r="J407" s="149"/>
      <c r="K407" s="128"/>
      <c r="L407" s="149"/>
      <c r="M407" s="128"/>
      <c r="N407" s="149"/>
      <c r="O407" s="128"/>
      <c r="P407" s="149"/>
      <c r="Q407" s="128"/>
      <c r="R407" s="149"/>
      <c r="S407" s="128"/>
      <c r="T407" s="149"/>
      <c r="U407" s="128"/>
      <c r="V407" s="149"/>
    </row>
    <row r="408" spans="5:22" s="127" customFormat="1" ht="9" customHeight="1" x14ac:dyDescent="0.2">
      <c r="E408" s="128"/>
      <c r="F408" s="149"/>
      <c r="G408" s="128"/>
      <c r="H408" s="149"/>
      <c r="I408" s="128"/>
      <c r="J408" s="149"/>
      <c r="K408" s="128"/>
      <c r="L408" s="149"/>
      <c r="M408" s="128"/>
      <c r="N408" s="149"/>
      <c r="O408" s="128"/>
      <c r="P408" s="149"/>
      <c r="Q408" s="128"/>
      <c r="R408" s="149"/>
      <c r="S408" s="128"/>
      <c r="T408" s="149"/>
      <c r="U408" s="128"/>
      <c r="V408" s="149"/>
    </row>
    <row r="409" spans="5:22" s="127" customFormat="1" ht="9" customHeight="1" x14ac:dyDescent="0.2">
      <c r="E409" s="128"/>
      <c r="F409" s="149"/>
      <c r="G409" s="128"/>
      <c r="H409" s="149"/>
      <c r="I409" s="128"/>
      <c r="J409" s="149"/>
      <c r="K409" s="128"/>
      <c r="L409" s="149"/>
      <c r="M409" s="128"/>
      <c r="N409" s="149"/>
      <c r="O409" s="128"/>
      <c r="P409" s="149"/>
      <c r="Q409" s="128"/>
      <c r="R409" s="149"/>
      <c r="S409" s="128"/>
      <c r="T409" s="149"/>
      <c r="U409" s="128"/>
      <c r="V409" s="149"/>
    </row>
    <row r="410" spans="5:22" s="127" customFormat="1" ht="9" customHeight="1" x14ac:dyDescent="0.2">
      <c r="E410" s="128"/>
      <c r="F410" s="149"/>
      <c r="G410" s="128"/>
      <c r="H410" s="149"/>
      <c r="I410" s="128"/>
      <c r="J410" s="149"/>
      <c r="K410" s="128"/>
      <c r="L410" s="149"/>
      <c r="M410" s="128"/>
      <c r="N410" s="149"/>
      <c r="O410" s="128"/>
      <c r="P410" s="149"/>
      <c r="Q410" s="128"/>
      <c r="R410" s="149"/>
      <c r="S410" s="128"/>
      <c r="T410" s="149"/>
      <c r="U410" s="128"/>
      <c r="V410" s="149"/>
    </row>
    <row r="411" spans="5:22" s="127" customFormat="1" ht="9" customHeight="1" x14ac:dyDescent="0.2">
      <c r="E411" s="128"/>
      <c r="F411" s="149"/>
      <c r="G411" s="128"/>
      <c r="H411" s="149"/>
      <c r="I411" s="128"/>
      <c r="J411" s="149"/>
      <c r="K411" s="128"/>
      <c r="L411" s="149"/>
      <c r="M411" s="128"/>
      <c r="N411" s="149"/>
      <c r="O411" s="128"/>
      <c r="P411" s="149"/>
      <c r="Q411" s="128"/>
      <c r="R411" s="149"/>
      <c r="S411" s="128"/>
      <c r="T411" s="149"/>
      <c r="U411" s="128"/>
      <c r="V411" s="149"/>
    </row>
    <row r="412" spans="5:22" s="127" customFormat="1" ht="9" customHeight="1" x14ac:dyDescent="0.2">
      <c r="E412" s="128"/>
      <c r="F412" s="149"/>
      <c r="G412" s="128"/>
      <c r="H412" s="149"/>
      <c r="I412" s="128"/>
      <c r="J412" s="149"/>
      <c r="K412" s="128"/>
      <c r="L412" s="149"/>
      <c r="M412" s="128"/>
      <c r="N412" s="149"/>
      <c r="O412" s="128"/>
      <c r="P412" s="149"/>
      <c r="Q412" s="128"/>
      <c r="R412" s="149"/>
      <c r="S412" s="128"/>
      <c r="T412" s="149"/>
      <c r="U412" s="128"/>
      <c r="V412" s="149"/>
    </row>
    <row r="413" spans="5:22" s="127" customFormat="1" ht="9" customHeight="1" x14ac:dyDescent="0.2">
      <c r="E413" s="128"/>
      <c r="F413" s="149"/>
      <c r="G413" s="128"/>
      <c r="H413" s="149"/>
      <c r="I413" s="128"/>
      <c r="J413" s="149"/>
      <c r="K413" s="128"/>
      <c r="L413" s="149"/>
      <c r="M413" s="128"/>
      <c r="N413" s="149"/>
      <c r="O413" s="128"/>
      <c r="P413" s="149"/>
      <c r="Q413" s="128"/>
      <c r="R413" s="149"/>
      <c r="S413" s="128"/>
      <c r="T413" s="149"/>
      <c r="U413" s="128"/>
      <c r="V413" s="149"/>
    </row>
    <row r="414" spans="5:22" s="127" customFormat="1" ht="9" customHeight="1" x14ac:dyDescent="0.2">
      <c r="E414" s="128"/>
      <c r="F414" s="149"/>
      <c r="G414" s="128"/>
      <c r="H414" s="149"/>
      <c r="I414" s="128"/>
      <c r="J414" s="149"/>
      <c r="K414" s="128"/>
      <c r="L414" s="149"/>
      <c r="M414" s="128"/>
      <c r="N414" s="149"/>
      <c r="O414" s="128"/>
      <c r="P414" s="149"/>
      <c r="Q414" s="128"/>
      <c r="R414" s="149"/>
      <c r="S414" s="128"/>
      <c r="T414" s="149"/>
      <c r="U414" s="128"/>
      <c r="V414" s="149"/>
    </row>
    <row r="415" spans="5:22" s="127" customFormat="1" ht="9" customHeight="1" x14ac:dyDescent="0.2">
      <c r="E415" s="128"/>
      <c r="F415" s="149"/>
      <c r="G415" s="128"/>
      <c r="H415" s="149"/>
      <c r="I415" s="128"/>
      <c r="J415" s="149"/>
      <c r="K415" s="128"/>
      <c r="L415" s="149"/>
      <c r="M415" s="128"/>
      <c r="N415" s="149"/>
      <c r="O415" s="128"/>
      <c r="P415" s="149"/>
      <c r="Q415" s="128"/>
      <c r="R415" s="149"/>
      <c r="S415" s="128"/>
      <c r="T415" s="149"/>
      <c r="U415" s="128"/>
      <c r="V415" s="149"/>
    </row>
    <row r="416" spans="5:22" s="127" customFormat="1" ht="9" customHeight="1" x14ac:dyDescent="0.2">
      <c r="E416" s="128"/>
      <c r="F416" s="149"/>
      <c r="G416" s="128"/>
      <c r="H416" s="149"/>
      <c r="I416" s="128"/>
      <c r="J416" s="149"/>
      <c r="K416" s="128"/>
      <c r="L416" s="149"/>
      <c r="M416" s="128"/>
      <c r="N416" s="149"/>
      <c r="O416" s="128"/>
      <c r="P416" s="149"/>
      <c r="Q416" s="128"/>
      <c r="R416" s="149"/>
      <c r="S416" s="128"/>
      <c r="T416" s="149"/>
      <c r="U416" s="128"/>
      <c r="V416" s="149"/>
    </row>
    <row r="417" spans="5:22" s="127" customFormat="1" ht="9" customHeight="1" x14ac:dyDescent="0.2">
      <c r="E417" s="128"/>
      <c r="F417" s="149"/>
      <c r="G417" s="128"/>
      <c r="H417" s="149"/>
      <c r="I417" s="128"/>
      <c r="J417" s="149"/>
      <c r="K417" s="128"/>
      <c r="L417" s="149"/>
      <c r="M417" s="128"/>
      <c r="N417" s="149"/>
      <c r="O417" s="128"/>
      <c r="P417" s="149"/>
      <c r="Q417" s="128"/>
      <c r="R417" s="149"/>
      <c r="S417" s="128"/>
      <c r="T417" s="149"/>
      <c r="U417" s="128"/>
      <c r="V417" s="149"/>
    </row>
    <row r="418" spans="5:22" s="127" customFormat="1" ht="9" customHeight="1" x14ac:dyDescent="0.2">
      <c r="E418" s="128"/>
      <c r="F418" s="149"/>
      <c r="G418" s="128"/>
      <c r="H418" s="149"/>
      <c r="I418" s="128"/>
      <c r="J418" s="149"/>
      <c r="K418" s="128"/>
      <c r="L418" s="149"/>
      <c r="M418" s="128"/>
      <c r="N418" s="149"/>
      <c r="O418" s="128"/>
      <c r="P418" s="149"/>
      <c r="Q418" s="128"/>
      <c r="R418" s="149"/>
      <c r="S418" s="128"/>
      <c r="T418" s="149"/>
      <c r="U418" s="128"/>
      <c r="V418" s="149"/>
    </row>
    <row r="419" spans="5:22" s="127" customFormat="1" ht="9" customHeight="1" x14ac:dyDescent="0.2">
      <c r="E419" s="128"/>
      <c r="F419" s="149"/>
      <c r="G419" s="128"/>
      <c r="H419" s="149"/>
      <c r="I419" s="128"/>
      <c r="J419" s="149"/>
      <c r="K419" s="128"/>
      <c r="L419" s="149"/>
      <c r="M419" s="128"/>
      <c r="N419" s="149"/>
      <c r="O419" s="128"/>
      <c r="P419" s="149"/>
      <c r="Q419" s="128"/>
      <c r="R419" s="149"/>
      <c r="S419" s="128"/>
      <c r="T419" s="149"/>
      <c r="U419" s="128"/>
      <c r="V419" s="149"/>
    </row>
    <row r="420" spans="5:22" s="127" customFormat="1" ht="9" customHeight="1" x14ac:dyDescent="0.2">
      <c r="E420" s="128"/>
      <c r="F420" s="149"/>
      <c r="G420" s="128"/>
      <c r="H420" s="149"/>
      <c r="I420" s="128"/>
      <c r="J420" s="149"/>
      <c r="K420" s="128"/>
      <c r="L420" s="149"/>
      <c r="M420" s="128"/>
      <c r="N420" s="149"/>
      <c r="O420" s="128"/>
      <c r="P420" s="149"/>
      <c r="Q420" s="128"/>
      <c r="R420" s="149"/>
      <c r="S420" s="128"/>
      <c r="T420" s="149"/>
      <c r="U420" s="128"/>
      <c r="V420" s="149"/>
    </row>
    <row r="421" spans="5:22" s="127" customFormat="1" ht="9" customHeight="1" x14ac:dyDescent="0.2">
      <c r="E421" s="128"/>
      <c r="F421" s="149"/>
      <c r="G421" s="128"/>
      <c r="H421" s="149"/>
      <c r="I421" s="128"/>
      <c r="J421" s="149"/>
      <c r="K421" s="128"/>
      <c r="L421" s="149"/>
      <c r="M421" s="128"/>
      <c r="N421" s="149"/>
      <c r="O421" s="128"/>
      <c r="P421" s="149"/>
      <c r="Q421" s="128"/>
      <c r="R421" s="149"/>
      <c r="S421" s="128"/>
      <c r="T421" s="149"/>
      <c r="U421" s="128"/>
      <c r="V421" s="149"/>
    </row>
    <row r="422" spans="5:22" s="127" customFormat="1" ht="9" customHeight="1" x14ac:dyDescent="0.2">
      <c r="E422" s="128"/>
      <c r="F422" s="149"/>
      <c r="G422" s="128"/>
      <c r="H422" s="149"/>
      <c r="I422" s="128"/>
      <c r="J422" s="149"/>
      <c r="K422" s="128"/>
      <c r="L422" s="149"/>
      <c r="M422" s="128"/>
      <c r="N422" s="149"/>
      <c r="O422" s="128"/>
      <c r="P422" s="149"/>
      <c r="Q422" s="128"/>
      <c r="R422" s="149"/>
      <c r="S422" s="128"/>
      <c r="T422" s="149"/>
      <c r="U422" s="128"/>
      <c r="V422" s="149"/>
    </row>
    <row r="423" spans="5:22" s="127" customFormat="1" ht="9" customHeight="1" x14ac:dyDescent="0.2">
      <c r="E423" s="128"/>
      <c r="F423" s="149"/>
      <c r="G423" s="128"/>
      <c r="H423" s="149"/>
      <c r="I423" s="128"/>
      <c r="J423" s="149"/>
      <c r="K423" s="128"/>
      <c r="L423" s="149"/>
      <c r="M423" s="128"/>
      <c r="N423" s="149"/>
      <c r="O423" s="128"/>
      <c r="P423" s="149"/>
      <c r="Q423" s="128"/>
      <c r="R423" s="149"/>
      <c r="S423" s="128"/>
      <c r="T423" s="149"/>
      <c r="U423" s="128"/>
      <c r="V423" s="149"/>
    </row>
    <row r="424" spans="5:22" s="127" customFormat="1" ht="9" customHeight="1" x14ac:dyDescent="0.2">
      <c r="E424" s="128"/>
      <c r="F424" s="149"/>
      <c r="G424" s="128"/>
      <c r="H424" s="149"/>
      <c r="I424" s="128"/>
      <c r="J424" s="149"/>
      <c r="K424" s="128"/>
      <c r="L424" s="149"/>
      <c r="M424" s="128"/>
      <c r="N424" s="149"/>
      <c r="O424" s="128"/>
      <c r="P424" s="149"/>
      <c r="Q424" s="128"/>
      <c r="R424" s="149"/>
      <c r="S424" s="128"/>
      <c r="T424" s="149"/>
      <c r="U424" s="128"/>
      <c r="V424" s="149"/>
    </row>
    <row r="425" spans="5:22" s="127" customFormat="1" ht="9" customHeight="1" x14ac:dyDescent="0.2">
      <c r="E425" s="128"/>
      <c r="F425" s="149"/>
      <c r="G425" s="128"/>
      <c r="H425" s="149"/>
      <c r="I425" s="128"/>
      <c r="J425" s="149"/>
      <c r="K425" s="128"/>
      <c r="L425" s="149"/>
      <c r="M425" s="128"/>
      <c r="N425" s="149"/>
      <c r="O425" s="128"/>
      <c r="P425" s="149"/>
      <c r="Q425" s="128"/>
      <c r="R425" s="149"/>
      <c r="S425" s="128"/>
      <c r="T425" s="149"/>
      <c r="U425" s="128"/>
      <c r="V425" s="149"/>
    </row>
    <row r="426" spans="5:22" s="127" customFormat="1" ht="9" customHeight="1" x14ac:dyDescent="0.2">
      <c r="E426" s="128"/>
      <c r="F426" s="149"/>
      <c r="G426" s="128"/>
      <c r="H426" s="149"/>
      <c r="I426" s="128"/>
      <c r="J426" s="149"/>
      <c r="K426" s="128"/>
      <c r="L426" s="149"/>
      <c r="M426" s="128"/>
      <c r="N426" s="149"/>
      <c r="O426" s="128"/>
      <c r="P426" s="149"/>
      <c r="Q426" s="128"/>
      <c r="R426" s="149"/>
      <c r="S426" s="128"/>
      <c r="T426" s="149"/>
      <c r="U426" s="128"/>
      <c r="V426" s="149"/>
    </row>
    <row r="427" spans="5:22" s="127" customFormat="1" ht="9" customHeight="1" x14ac:dyDescent="0.2">
      <c r="E427" s="128"/>
      <c r="F427" s="149"/>
      <c r="G427" s="128"/>
      <c r="H427" s="149"/>
      <c r="I427" s="128"/>
      <c r="J427" s="149"/>
      <c r="K427" s="128"/>
      <c r="L427" s="149"/>
      <c r="M427" s="128"/>
      <c r="N427" s="149"/>
      <c r="O427" s="128"/>
      <c r="P427" s="149"/>
      <c r="Q427" s="128"/>
      <c r="R427" s="149"/>
      <c r="S427" s="128"/>
      <c r="T427" s="149"/>
      <c r="U427" s="128"/>
      <c r="V427" s="149"/>
    </row>
    <row r="428" spans="5:22" s="127" customFormat="1" ht="9" customHeight="1" x14ac:dyDescent="0.2">
      <c r="E428" s="128"/>
      <c r="F428" s="149"/>
      <c r="G428" s="128"/>
      <c r="H428" s="149"/>
      <c r="I428" s="128"/>
      <c r="J428" s="149"/>
      <c r="K428" s="128"/>
      <c r="L428" s="149"/>
      <c r="M428" s="128"/>
      <c r="N428" s="149"/>
      <c r="O428" s="128"/>
      <c r="P428" s="149"/>
      <c r="Q428" s="128"/>
      <c r="R428" s="149"/>
      <c r="S428" s="128"/>
      <c r="T428" s="149"/>
      <c r="U428" s="128"/>
      <c r="V428" s="149"/>
    </row>
    <row r="429" spans="5:22" s="127" customFormat="1" ht="9" customHeight="1" x14ac:dyDescent="0.2">
      <c r="E429" s="128"/>
      <c r="F429" s="149"/>
      <c r="G429" s="128"/>
      <c r="H429" s="149"/>
      <c r="I429" s="128"/>
      <c r="J429" s="149"/>
      <c r="K429" s="128"/>
      <c r="L429" s="149"/>
      <c r="M429" s="128"/>
      <c r="N429" s="149"/>
      <c r="O429" s="128"/>
      <c r="P429" s="149"/>
      <c r="Q429" s="128"/>
      <c r="R429" s="149"/>
      <c r="S429" s="128"/>
      <c r="T429" s="149"/>
      <c r="U429" s="128"/>
      <c r="V429" s="149"/>
    </row>
    <row r="430" spans="5:22" s="127" customFormat="1" ht="9" customHeight="1" x14ac:dyDescent="0.2">
      <c r="E430" s="128"/>
      <c r="F430" s="149"/>
      <c r="G430" s="128"/>
      <c r="H430" s="149"/>
      <c r="I430" s="128"/>
      <c r="J430" s="149"/>
      <c r="K430" s="128"/>
      <c r="L430" s="149"/>
      <c r="M430" s="128"/>
      <c r="N430" s="149"/>
      <c r="O430" s="128"/>
      <c r="P430" s="149"/>
      <c r="Q430" s="128"/>
      <c r="R430" s="149"/>
      <c r="S430" s="128"/>
      <c r="T430" s="149"/>
      <c r="U430" s="128"/>
      <c r="V430" s="149"/>
    </row>
    <row r="431" spans="5:22" s="127" customFormat="1" ht="9" customHeight="1" x14ac:dyDescent="0.2">
      <c r="E431" s="128"/>
      <c r="F431" s="149"/>
      <c r="G431" s="128"/>
      <c r="H431" s="149"/>
      <c r="I431" s="128"/>
      <c r="J431" s="149"/>
      <c r="K431" s="128"/>
      <c r="L431" s="149"/>
      <c r="M431" s="128"/>
      <c r="N431" s="149"/>
      <c r="O431" s="128"/>
      <c r="P431" s="149"/>
      <c r="Q431" s="128"/>
      <c r="R431" s="149"/>
      <c r="S431" s="128"/>
      <c r="T431" s="149"/>
      <c r="U431" s="128"/>
      <c r="V431" s="149"/>
    </row>
    <row r="432" spans="5:22" s="127" customFormat="1" ht="9" customHeight="1" x14ac:dyDescent="0.2">
      <c r="E432" s="128"/>
      <c r="F432" s="149"/>
      <c r="G432" s="128"/>
      <c r="H432" s="149"/>
      <c r="I432" s="128"/>
      <c r="J432" s="149"/>
      <c r="K432" s="128"/>
      <c r="L432" s="149"/>
      <c r="M432" s="128"/>
      <c r="N432" s="149"/>
      <c r="O432" s="128"/>
      <c r="P432" s="149"/>
      <c r="Q432" s="128"/>
      <c r="R432" s="149"/>
      <c r="S432" s="128"/>
      <c r="T432" s="149"/>
      <c r="U432" s="128"/>
      <c r="V432" s="149"/>
    </row>
    <row r="433" spans="5:22" s="127" customFormat="1" ht="9" customHeight="1" x14ac:dyDescent="0.2">
      <c r="E433" s="128"/>
      <c r="F433" s="149"/>
      <c r="G433" s="128"/>
      <c r="H433" s="149"/>
      <c r="I433" s="128"/>
      <c r="J433" s="149"/>
      <c r="K433" s="128"/>
      <c r="L433" s="149"/>
      <c r="M433" s="128"/>
      <c r="N433" s="149"/>
      <c r="O433" s="128"/>
      <c r="P433" s="149"/>
      <c r="Q433" s="128"/>
      <c r="R433" s="149"/>
      <c r="S433" s="128"/>
      <c r="T433" s="149"/>
      <c r="U433" s="128"/>
      <c r="V433" s="149"/>
    </row>
    <row r="434" spans="5:22" s="127" customFormat="1" ht="9" customHeight="1" x14ac:dyDescent="0.2">
      <c r="E434" s="128"/>
      <c r="F434" s="149"/>
      <c r="G434" s="128"/>
      <c r="H434" s="149"/>
      <c r="I434" s="128"/>
      <c r="J434" s="149"/>
      <c r="K434" s="128"/>
      <c r="L434" s="149"/>
      <c r="M434" s="128"/>
      <c r="N434" s="149"/>
      <c r="O434" s="128"/>
      <c r="P434" s="149"/>
      <c r="Q434" s="128"/>
      <c r="R434" s="149"/>
      <c r="S434" s="128"/>
      <c r="T434" s="149"/>
      <c r="U434" s="128"/>
      <c r="V434" s="149"/>
    </row>
    <row r="435" spans="5:22" s="127" customFormat="1" ht="9" customHeight="1" x14ac:dyDescent="0.2">
      <c r="E435" s="128"/>
      <c r="F435" s="149"/>
      <c r="G435" s="128"/>
      <c r="H435" s="149"/>
      <c r="I435" s="128"/>
      <c r="J435" s="149"/>
      <c r="K435" s="128"/>
      <c r="L435" s="149"/>
      <c r="M435" s="128"/>
      <c r="N435" s="149"/>
      <c r="O435" s="128"/>
      <c r="P435" s="149"/>
      <c r="Q435" s="128"/>
      <c r="R435" s="149"/>
      <c r="S435" s="128"/>
      <c r="T435" s="149"/>
      <c r="U435" s="128"/>
      <c r="V435" s="149"/>
    </row>
    <row r="436" spans="5:22" s="127" customFormat="1" ht="9" customHeight="1" x14ac:dyDescent="0.2">
      <c r="E436" s="128"/>
      <c r="F436" s="149"/>
      <c r="G436" s="128"/>
      <c r="H436" s="149"/>
      <c r="I436" s="128"/>
      <c r="J436" s="149"/>
      <c r="K436" s="128"/>
      <c r="L436" s="149"/>
      <c r="M436" s="128"/>
      <c r="N436" s="149"/>
      <c r="O436" s="128"/>
      <c r="P436" s="149"/>
      <c r="Q436" s="128"/>
      <c r="R436" s="149"/>
      <c r="S436" s="128"/>
      <c r="T436" s="149"/>
      <c r="U436" s="128"/>
      <c r="V436" s="149"/>
    </row>
    <row r="437" spans="5:22" s="127" customFormat="1" ht="9" customHeight="1" x14ac:dyDescent="0.2">
      <c r="E437" s="128"/>
      <c r="F437" s="149"/>
      <c r="G437" s="128"/>
      <c r="H437" s="149"/>
      <c r="I437" s="128"/>
      <c r="J437" s="149"/>
      <c r="K437" s="128"/>
      <c r="L437" s="149"/>
      <c r="M437" s="128"/>
      <c r="N437" s="149"/>
      <c r="O437" s="128"/>
      <c r="P437" s="149"/>
      <c r="Q437" s="128"/>
      <c r="R437" s="149"/>
      <c r="S437" s="128"/>
      <c r="T437" s="149"/>
      <c r="U437" s="128"/>
      <c r="V437" s="149"/>
    </row>
    <row r="438" spans="5:22" s="127" customFormat="1" ht="9" customHeight="1" x14ac:dyDescent="0.2">
      <c r="E438" s="128"/>
      <c r="F438" s="149"/>
      <c r="G438" s="128"/>
      <c r="H438" s="149"/>
      <c r="I438" s="128"/>
      <c r="J438" s="149"/>
      <c r="K438" s="128"/>
      <c r="L438" s="149"/>
      <c r="M438" s="128"/>
      <c r="N438" s="149"/>
      <c r="O438" s="128"/>
      <c r="P438" s="149"/>
      <c r="Q438" s="128"/>
      <c r="R438" s="149"/>
      <c r="S438" s="128"/>
      <c r="T438" s="149"/>
      <c r="U438" s="128"/>
      <c r="V438" s="149"/>
    </row>
    <row r="439" spans="5:22" s="127" customFormat="1" ht="9" customHeight="1" x14ac:dyDescent="0.2">
      <c r="E439" s="128"/>
      <c r="F439" s="149"/>
      <c r="G439" s="128"/>
      <c r="H439" s="149"/>
      <c r="I439" s="128"/>
      <c r="J439" s="149"/>
      <c r="K439" s="128"/>
      <c r="L439" s="149"/>
      <c r="M439" s="128"/>
      <c r="N439" s="149"/>
      <c r="O439" s="128"/>
      <c r="P439" s="149"/>
      <c r="Q439" s="128"/>
      <c r="R439" s="149"/>
      <c r="S439" s="128"/>
      <c r="T439" s="149"/>
      <c r="U439" s="128"/>
      <c r="V439" s="149"/>
    </row>
    <row r="440" spans="5:22" s="127" customFormat="1" ht="9" customHeight="1" x14ac:dyDescent="0.2">
      <c r="E440" s="128"/>
      <c r="F440" s="149"/>
      <c r="G440" s="128"/>
      <c r="H440" s="149"/>
      <c r="I440" s="128"/>
      <c r="J440" s="149"/>
      <c r="K440" s="128"/>
      <c r="L440" s="149"/>
      <c r="M440" s="128"/>
      <c r="N440" s="149"/>
      <c r="O440" s="128"/>
      <c r="P440" s="149"/>
      <c r="Q440" s="128"/>
      <c r="R440" s="149"/>
      <c r="S440" s="128"/>
      <c r="T440" s="149"/>
      <c r="U440" s="128"/>
      <c r="V440" s="149"/>
    </row>
    <row r="441" spans="5:22" s="127" customFormat="1" ht="9" customHeight="1" x14ac:dyDescent="0.2">
      <c r="E441" s="128"/>
      <c r="F441" s="149"/>
      <c r="G441" s="128"/>
      <c r="H441" s="149"/>
      <c r="I441" s="128"/>
      <c r="J441" s="149"/>
      <c r="K441" s="128"/>
      <c r="L441" s="149"/>
      <c r="M441" s="128"/>
      <c r="N441" s="149"/>
      <c r="O441" s="128"/>
      <c r="P441" s="149"/>
      <c r="Q441" s="128"/>
      <c r="R441" s="149"/>
      <c r="S441" s="128"/>
      <c r="T441" s="149"/>
      <c r="U441" s="128"/>
      <c r="V441" s="149"/>
    </row>
    <row r="442" spans="5:22" s="127" customFormat="1" ht="9" customHeight="1" x14ac:dyDescent="0.2">
      <c r="E442" s="128"/>
      <c r="F442" s="149"/>
      <c r="G442" s="128"/>
      <c r="H442" s="149"/>
      <c r="I442" s="128"/>
      <c r="J442" s="149"/>
      <c r="K442" s="128"/>
      <c r="L442" s="149"/>
      <c r="M442" s="128"/>
      <c r="N442" s="149"/>
      <c r="O442" s="128"/>
      <c r="P442" s="149"/>
      <c r="Q442" s="128"/>
      <c r="R442" s="149"/>
      <c r="S442" s="128"/>
      <c r="T442" s="149"/>
      <c r="U442" s="128"/>
      <c r="V442" s="149"/>
    </row>
    <row r="443" spans="5:22" s="127" customFormat="1" ht="9" customHeight="1" x14ac:dyDescent="0.2">
      <c r="E443" s="128"/>
      <c r="F443" s="149"/>
      <c r="G443" s="128"/>
      <c r="H443" s="149"/>
      <c r="I443" s="128"/>
      <c r="J443" s="149"/>
      <c r="K443" s="128"/>
      <c r="L443" s="149"/>
      <c r="M443" s="128"/>
      <c r="N443" s="149"/>
      <c r="O443" s="128"/>
      <c r="P443" s="149"/>
      <c r="Q443" s="128"/>
      <c r="R443" s="149"/>
      <c r="S443" s="128"/>
      <c r="T443" s="149"/>
      <c r="U443" s="128"/>
      <c r="V443" s="149"/>
    </row>
    <row r="444" spans="5:22" s="127" customFormat="1" ht="9" customHeight="1" x14ac:dyDescent="0.2">
      <c r="E444" s="128"/>
      <c r="F444" s="149"/>
      <c r="G444" s="128"/>
      <c r="H444" s="149"/>
      <c r="I444" s="128"/>
      <c r="J444" s="149"/>
      <c r="K444" s="128"/>
      <c r="L444" s="149"/>
      <c r="M444" s="128"/>
      <c r="N444" s="149"/>
      <c r="O444" s="128"/>
      <c r="P444" s="149"/>
      <c r="Q444" s="128"/>
      <c r="R444" s="149"/>
      <c r="S444" s="128"/>
      <c r="T444" s="149"/>
      <c r="U444" s="128"/>
      <c r="V444" s="149"/>
    </row>
    <row r="445" spans="5:22" s="127" customFormat="1" ht="9" customHeight="1" x14ac:dyDescent="0.2">
      <c r="E445" s="128"/>
      <c r="F445" s="149"/>
      <c r="G445" s="128"/>
      <c r="H445" s="149"/>
      <c r="I445" s="128"/>
      <c r="J445" s="149"/>
      <c r="K445" s="128"/>
      <c r="L445" s="149"/>
      <c r="M445" s="128"/>
      <c r="N445" s="149"/>
      <c r="O445" s="128"/>
      <c r="P445" s="149"/>
      <c r="Q445" s="128"/>
      <c r="R445" s="149"/>
      <c r="S445" s="128"/>
      <c r="T445" s="149"/>
      <c r="U445" s="128"/>
      <c r="V445" s="149"/>
    </row>
    <row r="446" spans="5:22" s="127" customFormat="1" ht="9" customHeight="1" x14ac:dyDescent="0.2">
      <c r="E446" s="128"/>
      <c r="F446" s="149"/>
      <c r="G446" s="128"/>
      <c r="H446" s="149"/>
      <c r="I446" s="128"/>
      <c r="J446" s="149"/>
      <c r="K446" s="128"/>
      <c r="L446" s="149"/>
      <c r="M446" s="128"/>
      <c r="N446" s="149"/>
      <c r="O446" s="128"/>
      <c r="P446" s="149"/>
      <c r="Q446" s="128"/>
      <c r="R446" s="149"/>
      <c r="S446" s="128"/>
      <c r="T446" s="149"/>
      <c r="U446" s="128"/>
      <c r="V446" s="149"/>
    </row>
    <row r="447" spans="5:22" s="127" customFormat="1" ht="9" customHeight="1" x14ac:dyDescent="0.2">
      <c r="E447" s="128"/>
      <c r="F447" s="149"/>
      <c r="G447" s="128"/>
      <c r="H447" s="149"/>
      <c r="I447" s="128"/>
      <c r="J447" s="149"/>
      <c r="K447" s="128"/>
      <c r="L447" s="149"/>
      <c r="M447" s="128"/>
      <c r="N447" s="149"/>
      <c r="O447" s="128"/>
      <c r="P447" s="149"/>
      <c r="Q447" s="128"/>
      <c r="R447" s="149"/>
      <c r="S447" s="128"/>
      <c r="T447" s="149"/>
      <c r="U447" s="128"/>
      <c r="V447" s="149"/>
    </row>
    <row r="448" spans="5:22" s="127" customFormat="1" ht="9" customHeight="1" x14ac:dyDescent="0.2">
      <c r="E448" s="128"/>
      <c r="F448" s="149"/>
      <c r="G448" s="128"/>
      <c r="H448" s="149"/>
      <c r="I448" s="128"/>
      <c r="J448" s="149"/>
      <c r="K448" s="128"/>
      <c r="L448" s="149"/>
      <c r="M448" s="128"/>
      <c r="N448" s="149"/>
      <c r="O448" s="128"/>
      <c r="P448" s="149"/>
      <c r="Q448" s="128"/>
      <c r="R448" s="149"/>
      <c r="S448" s="128"/>
      <c r="T448" s="149"/>
      <c r="U448" s="128"/>
      <c r="V448" s="149"/>
    </row>
    <row r="449" spans="5:22" s="127" customFormat="1" ht="9" customHeight="1" x14ac:dyDescent="0.2">
      <c r="E449" s="128"/>
      <c r="F449" s="149"/>
      <c r="G449" s="128"/>
      <c r="H449" s="149"/>
      <c r="I449" s="128"/>
      <c r="J449" s="149"/>
      <c r="K449" s="128"/>
      <c r="L449" s="149"/>
      <c r="M449" s="128"/>
      <c r="N449" s="149"/>
      <c r="O449" s="128"/>
      <c r="P449" s="149"/>
      <c r="Q449" s="128"/>
      <c r="R449" s="149"/>
      <c r="S449" s="128"/>
      <c r="T449" s="149"/>
      <c r="U449" s="128"/>
      <c r="V449" s="149"/>
    </row>
    <row r="450" spans="5:22" s="127" customFormat="1" ht="9" customHeight="1" x14ac:dyDescent="0.2">
      <c r="E450" s="128"/>
      <c r="F450" s="149"/>
      <c r="G450" s="128"/>
      <c r="H450" s="149"/>
      <c r="I450" s="128"/>
      <c r="J450" s="149"/>
      <c r="K450" s="128"/>
      <c r="L450" s="149"/>
      <c r="M450" s="128"/>
      <c r="N450" s="149"/>
      <c r="O450" s="128"/>
      <c r="P450" s="149"/>
      <c r="Q450" s="128"/>
      <c r="R450" s="149"/>
      <c r="S450" s="128"/>
      <c r="T450" s="149"/>
      <c r="U450" s="128"/>
      <c r="V450" s="149"/>
    </row>
    <row r="451" spans="5:22" s="127" customFormat="1" ht="9" customHeight="1" x14ac:dyDescent="0.2">
      <c r="E451" s="128"/>
      <c r="F451" s="149"/>
      <c r="G451" s="128"/>
      <c r="H451" s="149"/>
      <c r="I451" s="128"/>
      <c r="J451" s="149"/>
      <c r="K451" s="128"/>
      <c r="L451" s="149"/>
      <c r="M451" s="128"/>
      <c r="N451" s="149"/>
      <c r="O451" s="128"/>
      <c r="P451" s="149"/>
      <c r="Q451" s="128"/>
      <c r="R451" s="149"/>
      <c r="S451" s="128"/>
      <c r="T451" s="149"/>
      <c r="U451" s="128"/>
      <c r="V451" s="149"/>
    </row>
    <row r="452" spans="5:22" s="127" customFormat="1" ht="9" customHeight="1" x14ac:dyDescent="0.2">
      <c r="E452" s="128"/>
      <c r="F452" s="149"/>
      <c r="G452" s="128"/>
      <c r="H452" s="149"/>
      <c r="I452" s="128"/>
      <c r="J452" s="149"/>
      <c r="K452" s="128"/>
      <c r="L452" s="149"/>
      <c r="M452" s="128"/>
      <c r="N452" s="149"/>
      <c r="O452" s="128"/>
      <c r="P452" s="149"/>
      <c r="Q452" s="128"/>
      <c r="R452" s="149"/>
      <c r="S452" s="128"/>
      <c r="T452" s="149"/>
      <c r="U452" s="128"/>
      <c r="V452" s="149"/>
    </row>
    <row r="453" spans="5:22" s="127" customFormat="1" ht="9" customHeight="1" x14ac:dyDescent="0.2">
      <c r="E453" s="128"/>
      <c r="F453" s="149"/>
      <c r="G453" s="128"/>
      <c r="H453" s="149"/>
      <c r="I453" s="128"/>
      <c r="J453" s="149"/>
      <c r="K453" s="128"/>
      <c r="L453" s="149"/>
      <c r="M453" s="128"/>
      <c r="N453" s="149"/>
      <c r="O453" s="128"/>
      <c r="P453" s="149"/>
      <c r="Q453" s="128"/>
      <c r="R453" s="149"/>
      <c r="S453" s="128"/>
      <c r="T453" s="149"/>
      <c r="U453" s="128"/>
      <c r="V453" s="149"/>
    </row>
    <row r="454" spans="5:22" s="127" customFormat="1" ht="9" customHeight="1" x14ac:dyDescent="0.2">
      <c r="E454" s="128"/>
      <c r="F454" s="149"/>
      <c r="G454" s="128"/>
      <c r="H454" s="149"/>
      <c r="I454" s="128"/>
      <c r="J454" s="149"/>
      <c r="K454" s="128"/>
      <c r="L454" s="149"/>
      <c r="M454" s="128"/>
      <c r="N454" s="149"/>
      <c r="O454" s="128"/>
      <c r="P454" s="149"/>
      <c r="Q454" s="128"/>
      <c r="R454" s="149"/>
      <c r="S454" s="128"/>
      <c r="T454" s="149"/>
      <c r="U454" s="128"/>
      <c r="V454" s="149"/>
    </row>
    <row r="455" spans="5:22" s="127" customFormat="1" ht="9" customHeight="1" x14ac:dyDescent="0.2">
      <c r="E455" s="128"/>
      <c r="F455" s="149"/>
      <c r="G455" s="128"/>
      <c r="H455" s="149"/>
      <c r="I455" s="128"/>
      <c r="J455" s="149"/>
      <c r="K455" s="128"/>
      <c r="L455" s="149"/>
      <c r="M455" s="128"/>
      <c r="N455" s="149"/>
      <c r="O455" s="128"/>
      <c r="P455" s="149"/>
      <c r="Q455" s="128"/>
      <c r="R455" s="149"/>
      <c r="S455" s="128"/>
      <c r="T455" s="149"/>
      <c r="U455" s="128"/>
      <c r="V455" s="149"/>
    </row>
    <row r="456" spans="5:22" s="127" customFormat="1" ht="9" customHeight="1" x14ac:dyDescent="0.2">
      <c r="E456" s="128"/>
      <c r="F456" s="149"/>
      <c r="G456" s="128"/>
      <c r="H456" s="149"/>
      <c r="I456" s="128"/>
      <c r="J456" s="149"/>
      <c r="K456" s="128"/>
      <c r="L456" s="149"/>
      <c r="M456" s="128"/>
      <c r="N456" s="149"/>
      <c r="O456" s="128"/>
      <c r="P456" s="149"/>
      <c r="Q456" s="128"/>
      <c r="R456" s="149"/>
      <c r="S456" s="128"/>
      <c r="T456" s="149"/>
      <c r="U456" s="128"/>
      <c r="V456" s="149"/>
    </row>
    <row r="457" spans="5:22" s="127" customFormat="1" ht="9" customHeight="1" x14ac:dyDescent="0.2">
      <c r="E457" s="128"/>
      <c r="F457" s="149"/>
      <c r="G457" s="128"/>
      <c r="H457" s="149"/>
      <c r="I457" s="128"/>
      <c r="J457" s="149"/>
      <c r="K457" s="128"/>
      <c r="L457" s="149"/>
      <c r="M457" s="128"/>
      <c r="N457" s="149"/>
      <c r="O457" s="128"/>
      <c r="P457" s="149"/>
      <c r="Q457" s="128"/>
      <c r="R457" s="149"/>
      <c r="S457" s="128"/>
      <c r="T457" s="149"/>
      <c r="U457" s="128"/>
      <c r="V457" s="149"/>
    </row>
    <row r="458" spans="5:22" s="127" customFormat="1" ht="9" customHeight="1" x14ac:dyDescent="0.2">
      <c r="E458" s="128"/>
      <c r="F458" s="149"/>
      <c r="G458" s="128"/>
      <c r="H458" s="149"/>
      <c r="I458" s="128"/>
      <c r="J458" s="149"/>
      <c r="K458" s="128"/>
      <c r="L458" s="149"/>
      <c r="M458" s="128"/>
      <c r="N458" s="149"/>
      <c r="O458" s="128"/>
      <c r="P458" s="149"/>
      <c r="Q458" s="128"/>
      <c r="R458" s="149"/>
      <c r="S458" s="128"/>
      <c r="T458" s="149"/>
      <c r="U458" s="128"/>
      <c r="V458" s="149"/>
    </row>
    <row r="459" spans="5:22" s="127" customFormat="1" ht="9" customHeight="1" x14ac:dyDescent="0.2">
      <c r="E459" s="128"/>
      <c r="F459" s="149"/>
      <c r="G459" s="128"/>
      <c r="H459" s="149"/>
      <c r="I459" s="128"/>
      <c r="J459" s="149"/>
      <c r="K459" s="128"/>
      <c r="L459" s="149"/>
      <c r="M459" s="128"/>
      <c r="N459" s="149"/>
      <c r="O459" s="128"/>
      <c r="P459" s="149"/>
      <c r="Q459" s="128"/>
      <c r="R459" s="149"/>
      <c r="S459" s="128"/>
      <c r="T459" s="149"/>
      <c r="U459" s="128"/>
      <c r="V459" s="149"/>
    </row>
    <row r="460" spans="5:22" s="127" customFormat="1" ht="9" customHeight="1" x14ac:dyDescent="0.2">
      <c r="E460" s="128"/>
      <c r="F460" s="149"/>
      <c r="G460" s="128"/>
      <c r="H460" s="149"/>
      <c r="I460" s="128"/>
      <c r="J460" s="149"/>
      <c r="K460" s="128"/>
      <c r="L460" s="149"/>
      <c r="M460" s="128"/>
      <c r="N460" s="149"/>
      <c r="O460" s="128"/>
      <c r="P460" s="149"/>
      <c r="Q460" s="128"/>
      <c r="R460" s="149"/>
      <c r="S460" s="128"/>
      <c r="T460" s="149"/>
      <c r="U460" s="128"/>
      <c r="V460" s="149"/>
    </row>
    <row r="461" spans="5:22" s="127" customFormat="1" ht="9" customHeight="1" x14ac:dyDescent="0.2">
      <c r="E461" s="128"/>
      <c r="F461" s="149"/>
      <c r="G461" s="128"/>
      <c r="H461" s="149"/>
      <c r="I461" s="128"/>
      <c r="J461" s="149"/>
      <c r="K461" s="128"/>
      <c r="L461" s="149"/>
      <c r="M461" s="128"/>
      <c r="N461" s="149"/>
      <c r="O461" s="128"/>
      <c r="P461" s="149"/>
      <c r="Q461" s="128"/>
      <c r="R461" s="149"/>
      <c r="S461" s="128"/>
      <c r="T461" s="149"/>
      <c r="U461" s="128"/>
      <c r="V461" s="149"/>
    </row>
    <row r="462" spans="5:22" s="127" customFormat="1" ht="9" customHeight="1" x14ac:dyDescent="0.2">
      <c r="E462" s="128"/>
      <c r="F462" s="149"/>
      <c r="G462" s="128"/>
      <c r="H462" s="149"/>
      <c r="I462" s="128"/>
      <c r="J462" s="149"/>
      <c r="K462" s="128"/>
      <c r="L462" s="149"/>
      <c r="M462" s="128"/>
      <c r="N462" s="149"/>
      <c r="O462" s="128"/>
      <c r="P462" s="149"/>
      <c r="Q462" s="128"/>
      <c r="R462" s="149"/>
      <c r="S462" s="128"/>
      <c r="T462" s="149"/>
      <c r="U462" s="128"/>
      <c r="V462" s="149"/>
    </row>
    <row r="463" spans="5:22" s="127" customFormat="1" ht="9" customHeight="1" x14ac:dyDescent="0.2">
      <c r="E463" s="128"/>
      <c r="F463" s="149"/>
      <c r="G463" s="128"/>
      <c r="H463" s="149"/>
      <c r="I463" s="128"/>
      <c r="J463" s="149"/>
      <c r="K463" s="128"/>
      <c r="L463" s="149"/>
      <c r="M463" s="128"/>
      <c r="N463" s="149"/>
      <c r="O463" s="128"/>
      <c r="P463" s="149"/>
      <c r="Q463" s="128"/>
      <c r="R463" s="149"/>
      <c r="S463" s="128"/>
      <c r="T463" s="149"/>
      <c r="U463" s="128"/>
      <c r="V463" s="149"/>
    </row>
    <row r="464" spans="5:22" s="127" customFormat="1" ht="9" customHeight="1" x14ac:dyDescent="0.2">
      <c r="E464" s="128"/>
      <c r="F464" s="149"/>
      <c r="G464" s="128"/>
      <c r="H464" s="149"/>
      <c r="I464" s="128"/>
      <c r="J464" s="149"/>
      <c r="K464" s="128"/>
      <c r="L464" s="149"/>
      <c r="M464" s="128"/>
      <c r="N464" s="149"/>
      <c r="O464" s="128"/>
      <c r="P464" s="149"/>
      <c r="Q464" s="128"/>
      <c r="R464" s="149"/>
      <c r="S464" s="128"/>
      <c r="T464" s="149"/>
      <c r="U464" s="128"/>
      <c r="V464" s="149"/>
    </row>
    <row r="465" spans="5:22" s="127" customFormat="1" ht="9" customHeight="1" x14ac:dyDescent="0.2">
      <c r="E465" s="128"/>
      <c r="F465" s="149"/>
      <c r="G465" s="128"/>
      <c r="H465" s="149"/>
      <c r="I465" s="128"/>
      <c r="J465" s="149"/>
      <c r="K465" s="128"/>
      <c r="L465" s="149"/>
      <c r="M465" s="128"/>
      <c r="N465" s="149"/>
      <c r="O465" s="128"/>
      <c r="P465" s="149"/>
      <c r="Q465" s="128"/>
      <c r="R465" s="149"/>
      <c r="S465" s="128"/>
      <c r="T465" s="149"/>
      <c r="U465" s="128"/>
      <c r="V465" s="149"/>
    </row>
    <row r="466" spans="5:22" s="127" customFormat="1" ht="9" customHeight="1" x14ac:dyDescent="0.2">
      <c r="E466" s="128"/>
      <c r="F466" s="149"/>
      <c r="G466" s="128"/>
      <c r="H466" s="149"/>
      <c r="I466" s="128"/>
      <c r="J466" s="149"/>
      <c r="K466" s="128"/>
      <c r="L466" s="149"/>
      <c r="M466" s="128"/>
      <c r="N466" s="149"/>
      <c r="O466" s="128"/>
      <c r="P466" s="149"/>
      <c r="Q466" s="128"/>
      <c r="R466" s="149"/>
      <c r="S466" s="128"/>
      <c r="T466" s="149"/>
      <c r="U466" s="128"/>
      <c r="V466" s="149"/>
    </row>
    <row r="467" spans="5:22" s="127" customFormat="1" ht="9" customHeight="1" x14ac:dyDescent="0.2">
      <c r="E467" s="128"/>
      <c r="F467" s="149"/>
      <c r="G467" s="128"/>
      <c r="H467" s="149"/>
      <c r="I467" s="128"/>
      <c r="J467" s="149"/>
      <c r="K467" s="128"/>
      <c r="L467" s="149"/>
      <c r="M467" s="128"/>
      <c r="N467" s="149"/>
      <c r="O467" s="128"/>
      <c r="P467" s="149"/>
      <c r="Q467" s="128"/>
      <c r="R467" s="149"/>
      <c r="S467" s="128"/>
      <c r="T467" s="149"/>
      <c r="U467" s="128"/>
      <c r="V467" s="149"/>
    </row>
    <row r="468" spans="5:22" s="127" customFormat="1" ht="9" customHeight="1" x14ac:dyDescent="0.2">
      <c r="E468" s="128"/>
      <c r="F468" s="149"/>
      <c r="G468" s="128"/>
      <c r="H468" s="149"/>
      <c r="I468" s="128"/>
      <c r="J468" s="149"/>
      <c r="K468" s="128"/>
      <c r="L468" s="149"/>
      <c r="M468" s="128"/>
      <c r="N468" s="149"/>
      <c r="O468" s="128"/>
      <c r="P468" s="149"/>
      <c r="Q468" s="128"/>
      <c r="R468" s="149"/>
      <c r="S468" s="128"/>
      <c r="T468" s="149"/>
      <c r="U468" s="128"/>
      <c r="V468" s="149"/>
    </row>
    <row r="469" spans="5:22" s="127" customFormat="1" ht="9" customHeight="1" x14ac:dyDescent="0.2">
      <c r="E469" s="128"/>
      <c r="F469" s="149"/>
      <c r="G469" s="128"/>
      <c r="H469" s="149"/>
      <c r="I469" s="128"/>
      <c r="J469" s="149"/>
      <c r="K469" s="128"/>
      <c r="L469" s="149"/>
      <c r="M469" s="128"/>
      <c r="N469" s="149"/>
      <c r="O469" s="128"/>
      <c r="P469" s="149"/>
      <c r="Q469" s="128"/>
      <c r="R469" s="149"/>
      <c r="S469" s="128"/>
      <c r="T469" s="149"/>
      <c r="U469" s="128"/>
      <c r="V469" s="149"/>
    </row>
    <row r="470" spans="5:22" s="127" customFormat="1" ht="9" customHeight="1" x14ac:dyDescent="0.2">
      <c r="E470" s="128"/>
      <c r="F470" s="149"/>
      <c r="G470" s="128"/>
      <c r="H470" s="149"/>
      <c r="I470" s="128"/>
      <c r="J470" s="149"/>
      <c r="K470" s="128"/>
      <c r="L470" s="149"/>
      <c r="M470" s="128"/>
      <c r="N470" s="149"/>
      <c r="O470" s="128"/>
      <c r="P470" s="149"/>
      <c r="Q470" s="128"/>
      <c r="R470" s="149"/>
      <c r="S470" s="128"/>
      <c r="T470" s="149"/>
      <c r="U470" s="128"/>
      <c r="V470" s="149"/>
    </row>
    <row r="471" spans="5:22" s="127" customFormat="1" ht="9" customHeight="1" x14ac:dyDescent="0.2">
      <c r="E471" s="128"/>
      <c r="F471" s="149"/>
      <c r="G471" s="128"/>
      <c r="H471" s="149"/>
      <c r="I471" s="128"/>
      <c r="J471" s="149"/>
      <c r="K471" s="128"/>
      <c r="L471" s="149"/>
      <c r="M471" s="128"/>
      <c r="N471" s="149"/>
      <c r="O471" s="128"/>
      <c r="P471" s="149"/>
      <c r="Q471" s="128"/>
      <c r="R471" s="149"/>
      <c r="S471" s="128"/>
      <c r="T471" s="149"/>
      <c r="U471" s="128"/>
      <c r="V471" s="149"/>
    </row>
    <row r="472" spans="5:22" s="127" customFormat="1" ht="9" customHeight="1" x14ac:dyDescent="0.2">
      <c r="E472" s="128"/>
      <c r="F472" s="149"/>
      <c r="G472" s="128"/>
      <c r="H472" s="149"/>
      <c r="I472" s="128"/>
      <c r="J472" s="149"/>
      <c r="K472" s="128"/>
      <c r="L472" s="149"/>
      <c r="M472" s="128"/>
      <c r="N472" s="149"/>
      <c r="O472" s="128"/>
      <c r="P472" s="149"/>
      <c r="Q472" s="128"/>
      <c r="R472" s="149"/>
      <c r="S472" s="128"/>
      <c r="T472" s="149"/>
      <c r="U472" s="128"/>
      <c r="V472" s="149"/>
    </row>
    <row r="473" spans="5:22" s="127" customFormat="1" ht="9" customHeight="1" x14ac:dyDescent="0.2">
      <c r="E473" s="128"/>
      <c r="F473" s="149"/>
      <c r="G473" s="128"/>
      <c r="H473" s="149"/>
      <c r="I473" s="128"/>
      <c r="J473" s="149"/>
      <c r="K473" s="128"/>
      <c r="L473" s="149"/>
      <c r="M473" s="128"/>
      <c r="N473" s="149"/>
      <c r="O473" s="128"/>
      <c r="P473" s="149"/>
      <c r="Q473" s="128"/>
      <c r="R473" s="149"/>
      <c r="S473" s="128"/>
      <c r="T473" s="149"/>
      <c r="U473" s="128"/>
      <c r="V473" s="149"/>
    </row>
    <row r="474" spans="5:22" s="127" customFormat="1" ht="9" customHeight="1" x14ac:dyDescent="0.2">
      <c r="E474" s="128"/>
      <c r="F474" s="149"/>
      <c r="G474" s="128"/>
      <c r="H474" s="149"/>
      <c r="I474" s="128"/>
      <c r="J474" s="149"/>
      <c r="K474" s="128"/>
      <c r="L474" s="149"/>
      <c r="M474" s="128"/>
      <c r="N474" s="149"/>
      <c r="O474" s="128"/>
      <c r="P474" s="149"/>
      <c r="Q474" s="128"/>
      <c r="R474" s="149"/>
      <c r="S474" s="128"/>
      <c r="T474" s="149"/>
      <c r="U474" s="128"/>
      <c r="V474" s="149"/>
    </row>
    <row r="475" spans="5:22" s="127" customFormat="1" ht="9" customHeight="1" x14ac:dyDescent="0.2">
      <c r="E475" s="128"/>
      <c r="F475" s="149"/>
      <c r="G475" s="128"/>
      <c r="H475" s="149"/>
      <c r="I475" s="128"/>
      <c r="J475" s="149"/>
      <c r="K475" s="128"/>
      <c r="L475" s="149"/>
      <c r="M475" s="128"/>
      <c r="N475" s="149"/>
      <c r="O475" s="128"/>
      <c r="P475" s="149"/>
      <c r="Q475" s="128"/>
      <c r="R475" s="149"/>
      <c r="S475" s="128"/>
      <c r="T475" s="149"/>
      <c r="U475" s="128"/>
      <c r="V475" s="149"/>
    </row>
    <row r="476" spans="5:22" s="127" customFormat="1" ht="9" customHeight="1" x14ac:dyDescent="0.2">
      <c r="E476" s="128"/>
      <c r="F476" s="149"/>
      <c r="G476" s="128"/>
      <c r="H476" s="149"/>
      <c r="I476" s="128"/>
      <c r="J476" s="149"/>
      <c r="K476" s="128"/>
      <c r="L476" s="149"/>
      <c r="M476" s="128"/>
      <c r="N476" s="149"/>
      <c r="O476" s="128"/>
      <c r="P476" s="149"/>
      <c r="Q476" s="128"/>
      <c r="R476" s="149"/>
      <c r="S476" s="128"/>
      <c r="T476" s="149"/>
      <c r="U476" s="128"/>
      <c r="V476" s="149"/>
    </row>
    <row r="477" spans="5:22" s="127" customFormat="1" ht="9" customHeight="1" x14ac:dyDescent="0.2">
      <c r="E477" s="128"/>
      <c r="F477" s="149"/>
      <c r="G477" s="128"/>
      <c r="H477" s="149"/>
      <c r="I477" s="128"/>
      <c r="J477" s="149"/>
      <c r="K477" s="128"/>
      <c r="L477" s="149"/>
      <c r="M477" s="128"/>
      <c r="N477" s="149"/>
      <c r="O477" s="128"/>
      <c r="P477" s="149"/>
      <c r="Q477" s="128"/>
      <c r="R477" s="149"/>
      <c r="S477" s="128"/>
      <c r="T477" s="149"/>
      <c r="U477" s="128"/>
      <c r="V477" s="149"/>
    </row>
    <row r="478" spans="5:22" s="127" customFormat="1" ht="9" customHeight="1" x14ac:dyDescent="0.2">
      <c r="E478" s="128"/>
      <c r="F478" s="149"/>
      <c r="G478" s="128"/>
      <c r="H478" s="149"/>
      <c r="I478" s="128"/>
      <c r="J478" s="149"/>
      <c r="K478" s="128"/>
      <c r="L478" s="149"/>
      <c r="M478" s="128"/>
      <c r="N478" s="149"/>
      <c r="O478" s="128"/>
      <c r="P478" s="149"/>
      <c r="Q478" s="128"/>
      <c r="R478" s="149"/>
      <c r="S478" s="128"/>
      <c r="T478" s="149"/>
      <c r="U478" s="128"/>
      <c r="V478" s="149"/>
    </row>
    <row r="479" spans="5:22" s="127" customFormat="1" ht="9" customHeight="1" x14ac:dyDescent="0.2">
      <c r="E479" s="128"/>
      <c r="F479" s="149"/>
      <c r="G479" s="128"/>
      <c r="H479" s="149"/>
      <c r="I479" s="128"/>
      <c r="J479" s="149"/>
      <c r="K479" s="128"/>
      <c r="L479" s="149"/>
      <c r="M479" s="128"/>
      <c r="N479" s="149"/>
      <c r="O479" s="128"/>
      <c r="P479" s="149"/>
      <c r="Q479" s="128"/>
      <c r="R479" s="149"/>
      <c r="S479" s="128"/>
      <c r="T479" s="149"/>
      <c r="U479" s="128"/>
      <c r="V479" s="149"/>
    </row>
    <row r="480" spans="5:22" s="127" customFormat="1" ht="9" customHeight="1" x14ac:dyDescent="0.2">
      <c r="E480" s="128"/>
      <c r="F480" s="149"/>
      <c r="G480" s="128"/>
      <c r="H480" s="149"/>
      <c r="I480" s="128"/>
      <c r="J480" s="149"/>
      <c r="K480" s="128"/>
      <c r="L480" s="149"/>
      <c r="M480" s="128"/>
      <c r="N480" s="149"/>
      <c r="O480" s="128"/>
      <c r="P480" s="149"/>
      <c r="Q480" s="128"/>
      <c r="R480" s="149"/>
      <c r="S480" s="128"/>
      <c r="T480" s="149"/>
      <c r="U480" s="128"/>
      <c r="V480" s="149"/>
    </row>
    <row r="481" spans="5:22" s="127" customFormat="1" ht="9" customHeight="1" x14ac:dyDescent="0.2">
      <c r="E481" s="128"/>
      <c r="F481" s="149"/>
      <c r="G481" s="128"/>
      <c r="H481" s="149"/>
      <c r="I481" s="128"/>
      <c r="J481" s="149"/>
      <c r="K481" s="128"/>
      <c r="L481" s="149"/>
      <c r="M481" s="128"/>
      <c r="N481" s="149"/>
      <c r="O481" s="128"/>
      <c r="P481" s="149"/>
      <c r="Q481" s="128"/>
      <c r="R481" s="149"/>
      <c r="S481" s="128"/>
      <c r="T481" s="149"/>
      <c r="U481" s="128"/>
      <c r="V481" s="149"/>
    </row>
    <row r="482" spans="5:22" s="127" customFormat="1" ht="9" customHeight="1" x14ac:dyDescent="0.2">
      <c r="E482" s="128"/>
      <c r="F482" s="149"/>
      <c r="G482" s="128"/>
      <c r="H482" s="149"/>
      <c r="I482" s="128"/>
      <c r="J482" s="149"/>
      <c r="K482" s="128"/>
      <c r="L482" s="149"/>
      <c r="M482" s="128"/>
      <c r="N482" s="149"/>
      <c r="O482" s="128"/>
      <c r="P482" s="149"/>
      <c r="Q482" s="128"/>
      <c r="R482" s="149"/>
      <c r="S482" s="128"/>
      <c r="T482" s="149"/>
      <c r="U482" s="128"/>
      <c r="V482" s="149"/>
    </row>
    <row r="483" spans="5:22" s="127" customFormat="1" ht="9" customHeight="1" x14ac:dyDescent="0.2">
      <c r="E483" s="128"/>
      <c r="F483" s="149"/>
      <c r="G483" s="128"/>
      <c r="H483" s="149"/>
      <c r="I483" s="128"/>
      <c r="J483" s="149"/>
      <c r="K483" s="128"/>
      <c r="L483" s="149"/>
      <c r="M483" s="128"/>
      <c r="N483" s="149"/>
      <c r="O483" s="128"/>
      <c r="P483" s="149"/>
      <c r="Q483" s="128"/>
      <c r="R483" s="149"/>
      <c r="S483" s="128"/>
      <c r="T483" s="149"/>
      <c r="U483" s="128"/>
      <c r="V483" s="149"/>
    </row>
    <row r="484" spans="5:22" s="127" customFormat="1" ht="9" customHeight="1" x14ac:dyDescent="0.2">
      <c r="E484" s="128"/>
      <c r="F484" s="149"/>
      <c r="G484" s="128"/>
      <c r="H484" s="149"/>
      <c r="I484" s="128"/>
      <c r="J484" s="149"/>
      <c r="K484" s="128"/>
      <c r="L484" s="149"/>
      <c r="M484" s="128"/>
      <c r="N484" s="149"/>
      <c r="O484" s="128"/>
      <c r="P484" s="149"/>
      <c r="Q484" s="128"/>
      <c r="R484" s="149"/>
      <c r="S484" s="128"/>
      <c r="T484" s="149"/>
      <c r="U484" s="128"/>
      <c r="V484" s="149"/>
    </row>
    <row r="485" spans="5:22" s="127" customFormat="1" ht="9" customHeight="1" x14ac:dyDescent="0.2">
      <c r="E485" s="128"/>
      <c r="F485" s="149"/>
      <c r="G485" s="128"/>
      <c r="H485" s="149"/>
      <c r="I485" s="128"/>
      <c r="J485" s="149"/>
      <c r="K485" s="128"/>
      <c r="L485" s="149"/>
      <c r="M485" s="128"/>
      <c r="N485" s="149"/>
      <c r="O485" s="128"/>
      <c r="P485" s="149"/>
      <c r="Q485" s="128"/>
      <c r="R485" s="149"/>
      <c r="S485" s="128"/>
      <c r="T485" s="149"/>
      <c r="U485" s="128"/>
      <c r="V485" s="149"/>
    </row>
    <row r="486" spans="5:22" s="127" customFormat="1" ht="9" customHeight="1" x14ac:dyDescent="0.2">
      <c r="E486" s="128"/>
      <c r="F486" s="149"/>
      <c r="G486" s="128"/>
      <c r="H486" s="149"/>
      <c r="I486" s="128"/>
      <c r="J486" s="149"/>
      <c r="K486" s="128"/>
      <c r="L486" s="149"/>
      <c r="M486" s="128"/>
      <c r="N486" s="149"/>
      <c r="O486" s="128"/>
      <c r="P486" s="149"/>
      <c r="Q486" s="128"/>
      <c r="R486" s="149"/>
      <c r="S486" s="128"/>
      <c r="T486" s="149"/>
      <c r="U486" s="128"/>
      <c r="V486" s="149"/>
    </row>
    <row r="487" spans="5:22" s="127" customFormat="1" ht="9" customHeight="1" x14ac:dyDescent="0.2">
      <c r="E487" s="128"/>
      <c r="F487" s="149"/>
      <c r="G487" s="128"/>
      <c r="H487" s="149"/>
      <c r="I487" s="128"/>
      <c r="J487" s="149"/>
      <c r="K487" s="128"/>
      <c r="L487" s="149"/>
      <c r="M487" s="128"/>
      <c r="N487" s="149"/>
      <c r="O487" s="128"/>
      <c r="P487" s="149"/>
      <c r="Q487" s="128"/>
      <c r="R487" s="149"/>
      <c r="S487" s="128"/>
      <c r="T487" s="149"/>
      <c r="U487" s="128"/>
      <c r="V487" s="149"/>
    </row>
    <row r="488" spans="5:22" s="127" customFormat="1" ht="9" customHeight="1" x14ac:dyDescent="0.2">
      <c r="E488" s="128"/>
      <c r="F488" s="149"/>
      <c r="G488" s="128"/>
      <c r="H488" s="149"/>
      <c r="I488" s="128"/>
      <c r="J488" s="149"/>
      <c r="K488" s="128"/>
      <c r="L488" s="149"/>
      <c r="M488" s="128"/>
      <c r="N488" s="149"/>
      <c r="O488" s="128"/>
      <c r="P488" s="149"/>
      <c r="Q488" s="128"/>
      <c r="R488" s="149"/>
      <c r="S488" s="128"/>
      <c r="T488" s="149"/>
      <c r="U488" s="128"/>
      <c r="V488" s="149"/>
    </row>
    <row r="489" spans="5:22" s="127" customFormat="1" ht="9" customHeight="1" x14ac:dyDescent="0.2">
      <c r="E489" s="128"/>
      <c r="F489" s="149"/>
      <c r="G489" s="128"/>
      <c r="H489" s="149"/>
      <c r="I489" s="128"/>
      <c r="J489" s="149"/>
      <c r="K489" s="128"/>
      <c r="L489" s="149"/>
      <c r="M489" s="128"/>
      <c r="N489" s="149"/>
      <c r="O489" s="128"/>
      <c r="P489" s="149"/>
      <c r="Q489" s="128"/>
      <c r="R489" s="149"/>
      <c r="S489" s="128"/>
      <c r="T489" s="149"/>
      <c r="U489" s="128"/>
      <c r="V489" s="149"/>
    </row>
    <row r="490" spans="5:22" s="127" customFormat="1" ht="9" customHeight="1" x14ac:dyDescent="0.2">
      <c r="E490" s="128"/>
      <c r="F490" s="149"/>
      <c r="G490" s="128"/>
      <c r="H490" s="149"/>
      <c r="I490" s="128"/>
      <c r="J490" s="149"/>
      <c r="K490" s="128"/>
      <c r="L490" s="149"/>
      <c r="M490" s="128"/>
      <c r="N490" s="149"/>
      <c r="O490" s="128"/>
      <c r="P490" s="149"/>
      <c r="Q490" s="128"/>
      <c r="R490" s="149"/>
      <c r="S490" s="128"/>
      <c r="T490" s="149"/>
      <c r="U490" s="128"/>
      <c r="V490" s="149"/>
    </row>
    <row r="491" spans="5:22" s="127" customFormat="1" ht="9" customHeight="1" x14ac:dyDescent="0.2">
      <c r="E491" s="128"/>
      <c r="F491" s="149"/>
      <c r="G491" s="128"/>
      <c r="H491" s="149"/>
      <c r="I491" s="128"/>
      <c r="J491" s="149"/>
      <c r="K491" s="128"/>
      <c r="L491" s="149"/>
      <c r="M491" s="128"/>
      <c r="N491" s="149"/>
      <c r="O491" s="128"/>
      <c r="P491" s="149"/>
      <c r="Q491" s="128"/>
      <c r="R491" s="149"/>
      <c r="S491" s="128"/>
      <c r="T491" s="149"/>
      <c r="U491" s="128"/>
      <c r="V491" s="149"/>
    </row>
    <row r="492" spans="5:22" s="127" customFormat="1" ht="9" customHeight="1" x14ac:dyDescent="0.2">
      <c r="E492" s="128"/>
      <c r="F492" s="149"/>
      <c r="G492" s="128"/>
      <c r="H492" s="149"/>
      <c r="I492" s="128"/>
      <c r="J492" s="149"/>
      <c r="K492" s="128"/>
      <c r="L492" s="149"/>
      <c r="M492" s="128"/>
      <c r="N492" s="149"/>
      <c r="O492" s="128"/>
      <c r="P492" s="149"/>
      <c r="Q492" s="128"/>
      <c r="R492" s="149"/>
      <c r="S492" s="128"/>
      <c r="T492" s="149"/>
      <c r="U492" s="128"/>
      <c r="V492" s="149"/>
    </row>
    <row r="493" spans="5:22" s="127" customFormat="1" ht="9" customHeight="1" x14ac:dyDescent="0.2">
      <c r="E493" s="128"/>
      <c r="F493" s="149"/>
      <c r="G493" s="128"/>
      <c r="H493" s="149"/>
      <c r="I493" s="128"/>
      <c r="J493" s="149"/>
      <c r="K493" s="128"/>
      <c r="L493" s="149"/>
      <c r="M493" s="128"/>
      <c r="N493" s="149"/>
      <c r="O493" s="128"/>
      <c r="P493" s="149"/>
      <c r="Q493" s="128"/>
      <c r="R493" s="149"/>
      <c r="S493" s="128"/>
      <c r="T493" s="149"/>
      <c r="U493" s="128"/>
      <c r="V493" s="149"/>
    </row>
    <row r="494" spans="5:22" s="127" customFormat="1" ht="9" customHeight="1" x14ac:dyDescent="0.2">
      <c r="E494" s="128"/>
      <c r="F494" s="149"/>
      <c r="G494" s="128"/>
      <c r="H494" s="149"/>
      <c r="I494" s="128"/>
      <c r="J494" s="149"/>
      <c r="K494" s="128"/>
      <c r="L494" s="149"/>
      <c r="M494" s="128"/>
      <c r="N494" s="149"/>
      <c r="O494" s="128"/>
      <c r="P494" s="149"/>
      <c r="Q494" s="128"/>
      <c r="R494" s="149"/>
      <c r="S494" s="128"/>
      <c r="T494" s="149"/>
      <c r="U494" s="128"/>
      <c r="V494" s="149"/>
    </row>
    <row r="495" spans="5:22" s="127" customFormat="1" ht="9" customHeight="1" x14ac:dyDescent="0.2">
      <c r="E495" s="128"/>
      <c r="F495" s="149"/>
      <c r="G495" s="128"/>
      <c r="H495" s="149"/>
      <c r="I495" s="128"/>
      <c r="J495" s="149"/>
      <c r="K495" s="128"/>
      <c r="L495" s="149"/>
      <c r="M495" s="128"/>
      <c r="N495" s="149"/>
      <c r="O495" s="128"/>
      <c r="P495" s="149"/>
      <c r="Q495" s="128"/>
      <c r="R495" s="149"/>
      <c r="S495" s="128"/>
      <c r="T495" s="149"/>
      <c r="U495" s="128"/>
      <c r="V495" s="149"/>
    </row>
    <row r="496" spans="5:22" s="127" customFormat="1" ht="9" customHeight="1" x14ac:dyDescent="0.2">
      <c r="E496" s="128"/>
      <c r="F496" s="149"/>
      <c r="G496" s="128"/>
      <c r="H496" s="149"/>
      <c r="I496" s="128"/>
      <c r="J496" s="149"/>
      <c r="K496" s="128"/>
      <c r="L496" s="149"/>
      <c r="M496" s="128"/>
      <c r="N496" s="149"/>
      <c r="O496" s="128"/>
      <c r="P496" s="149"/>
      <c r="Q496" s="128"/>
      <c r="R496" s="149"/>
      <c r="S496" s="128"/>
      <c r="T496" s="149"/>
      <c r="U496" s="128"/>
      <c r="V496" s="149"/>
    </row>
    <row r="497" spans="5:22" s="127" customFormat="1" ht="9" customHeight="1" x14ac:dyDescent="0.2">
      <c r="E497" s="128"/>
      <c r="F497" s="149"/>
      <c r="G497" s="128"/>
      <c r="H497" s="149"/>
      <c r="I497" s="128"/>
      <c r="J497" s="149"/>
      <c r="K497" s="128"/>
      <c r="L497" s="149"/>
      <c r="M497" s="128"/>
      <c r="N497" s="149"/>
      <c r="O497" s="128"/>
      <c r="P497" s="149"/>
      <c r="Q497" s="128"/>
      <c r="R497" s="149"/>
      <c r="S497" s="128"/>
      <c r="T497" s="149"/>
      <c r="U497" s="128"/>
      <c r="V497" s="149"/>
    </row>
    <row r="498" spans="5:22" s="127" customFormat="1" ht="9" customHeight="1" x14ac:dyDescent="0.2">
      <c r="E498" s="128"/>
      <c r="F498" s="149"/>
      <c r="G498" s="128"/>
      <c r="H498" s="149"/>
      <c r="I498" s="128"/>
      <c r="J498" s="149"/>
      <c r="K498" s="128"/>
      <c r="L498" s="149"/>
      <c r="M498" s="128"/>
      <c r="N498" s="149"/>
      <c r="O498" s="128"/>
      <c r="P498" s="149"/>
      <c r="Q498" s="128"/>
      <c r="R498" s="149"/>
      <c r="S498" s="128"/>
      <c r="T498" s="149"/>
      <c r="U498" s="128"/>
      <c r="V498" s="149"/>
    </row>
    <row r="499" spans="5:22" s="127" customFormat="1" ht="9" customHeight="1" x14ac:dyDescent="0.2">
      <c r="E499" s="128"/>
      <c r="F499" s="149"/>
      <c r="G499" s="128"/>
      <c r="H499" s="149"/>
      <c r="I499" s="128"/>
      <c r="J499" s="149"/>
      <c r="K499" s="128"/>
      <c r="L499" s="149"/>
      <c r="M499" s="128"/>
      <c r="N499" s="149"/>
      <c r="O499" s="128"/>
      <c r="P499" s="149"/>
      <c r="Q499" s="128"/>
      <c r="R499" s="149"/>
      <c r="S499" s="128"/>
      <c r="T499" s="149"/>
      <c r="U499" s="128"/>
      <c r="V499" s="149"/>
    </row>
    <row r="500" spans="5:22" s="127" customFormat="1" ht="9" customHeight="1" x14ac:dyDescent="0.2">
      <c r="E500" s="128"/>
      <c r="F500" s="149"/>
      <c r="G500" s="128"/>
      <c r="H500" s="149"/>
      <c r="I500" s="128"/>
      <c r="J500" s="149"/>
      <c r="K500" s="128"/>
      <c r="L500" s="149"/>
      <c r="M500" s="128"/>
      <c r="N500" s="149"/>
      <c r="O500" s="128"/>
      <c r="P500" s="149"/>
      <c r="Q500" s="128"/>
      <c r="R500" s="149"/>
      <c r="S500" s="128"/>
      <c r="T500" s="149"/>
      <c r="U500" s="128"/>
      <c r="V500" s="149"/>
    </row>
    <row r="501" spans="5:22" s="127" customFormat="1" ht="9" customHeight="1" x14ac:dyDescent="0.2">
      <c r="E501" s="128"/>
      <c r="F501" s="149"/>
      <c r="G501" s="128"/>
      <c r="H501" s="149"/>
      <c r="I501" s="128"/>
      <c r="J501" s="149"/>
      <c r="K501" s="128"/>
      <c r="L501" s="149"/>
      <c r="M501" s="128"/>
      <c r="N501" s="149"/>
      <c r="O501" s="128"/>
      <c r="P501" s="149"/>
      <c r="Q501" s="128"/>
      <c r="R501" s="149"/>
      <c r="S501" s="128"/>
      <c r="T501" s="149"/>
      <c r="U501" s="128"/>
      <c r="V501" s="149"/>
    </row>
    <row r="502" spans="5:22" s="127" customFormat="1" ht="9" customHeight="1" x14ac:dyDescent="0.2">
      <c r="E502" s="128"/>
      <c r="F502" s="149"/>
      <c r="G502" s="128"/>
      <c r="H502" s="149"/>
      <c r="I502" s="128"/>
      <c r="J502" s="149"/>
      <c r="K502" s="128"/>
      <c r="L502" s="149"/>
      <c r="M502" s="128"/>
      <c r="N502" s="149"/>
      <c r="O502" s="128"/>
      <c r="P502" s="149"/>
      <c r="Q502" s="128"/>
      <c r="R502" s="149"/>
      <c r="S502" s="128"/>
      <c r="T502" s="149"/>
      <c r="U502" s="128"/>
      <c r="V502" s="149"/>
    </row>
    <row r="503" spans="5:22" s="127" customFormat="1" ht="9" customHeight="1" x14ac:dyDescent="0.2">
      <c r="E503" s="128"/>
      <c r="F503" s="149"/>
      <c r="G503" s="128"/>
      <c r="H503" s="149"/>
      <c r="I503" s="128"/>
      <c r="J503" s="149"/>
      <c r="K503" s="128"/>
      <c r="L503" s="149"/>
      <c r="M503" s="128"/>
      <c r="N503" s="149"/>
      <c r="O503" s="128"/>
      <c r="P503" s="149"/>
      <c r="Q503" s="128"/>
      <c r="R503" s="149"/>
      <c r="S503" s="128"/>
      <c r="T503" s="149"/>
      <c r="U503" s="128"/>
      <c r="V503" s="149"/>
    </row>
    <row r="504" spans="5:22" s="127" customFormat="1" ht="9" customHeight="1" x14ac:dyDescent="0.2">
      <c r="E504" s="128"/>
      <c r="F504" s="149"/>
      <c r="G504" s="128"/>
      <c r="H504" s="149"/>
      <c r="I504" s="128"/>
      <c r="J504" s="149"/>
      <c r="K504" s="128"/>
      <c r="L504" s="149"/>
      <c r="M504" s="128"/>
      <c r="N504" s="149"/>
      <c r="O504" s="128"/>
      <c r="P504" s="149"/>
      <c r="Q504" s="128"/>
      <c r="R504" s="149"/>
      <c r="S504" s="128"/>
      <c r="T504" s="149"/>
      <c r="U504" s="128"/>
      <c r="V504" s="149"/>
    </row>
    <row r="505" spans="5:22" s="127" customFormat="1" ht="9" customHeight="1" x14ac:dyDescent="0.2">
      <c r="E505" s="128"/>
      <c r="F505" s="149"/>
      <c r="G505" s="128"/>
      <c r="H505" s="149"/>
      <c r="I505" s="128"/>
      <c r="J505" s="149"/>
      <c r="K505" s="128"/>
      <c r="L505" s="149"/>
      <c r="M505" s="128"/>
      <c r="N505" s="149"/>
      <c r="O505" s="128"/>
      <c r="P505" s="149"/>
      <c r="Q505" s="128"/>
      <c r="R505" s="149"/>
      <c r="S505" s="128"/>
      <c r="T505" s="149"/>
      <c r="U505" s="128"/>
      <c r="V505" s="149"/>
    </row>
    <row r="506" spans="5:22" s="127" customFormat="1" ht="9" customHeight="1" x14ac:dyDescent="0.2">
      <c r="E506" s="128"/>
      <c r="F506" s="149"/>
      <c r="G506" s="128"/>
      <c r="H506" s="149"/>
      <c r="I506" s="128"/>
      <c r="J506" s="149"/>
      <c r="K506" s="128"/>
      <c r="L506" s="149"/>
      <c r="M506" s="128"/>
      <c r="N506" s="149"/>
      <c r="O506" s="128"/>
      <c r="P506" s="149"/>
      <c r="Q506" s="128"/>
      <c r="R506" s="149"/>
      <c r="S506" s="128"/>
      <c r="T506" s="149"/>
      <c r="U506" s="128"/>
      <c r="V506" s="149"/>
    </row>
    <row r="507" spans="5:22" s="127" customFormat="1" ht="9" customHeight="1" x14ac:dyDescent="0.2">
      <c r="E507" s="128"/>
      <c r="F507" s="149"/>
      <c r="G507" s="128"/>
      <c r="H507" s="149"/>
      <c r="I507" s="128"/>
      <c r="J507" s="149"/>
      <c r="K507" s="128"/>
      <c r="L507" s="149"/>
      <c r="M507" s="128"/>
      <c r="N507" s="149"/>
      <c r="O507" s="128"/>
      <c r="P507" s="149"/>
      <c r="Q507" s="128"/>
      <c r="R507" s="149"/>
      <c r="S507" s="128"/>
      <c r="T507" s="149"/>
      <c r="U507" s="128"/>
      <c r="V507" s="149"/>
    </row>
    <row r="508" spans="5:22" s="127" customFormat="1" ht="9" customHeight="1" x14ac:dyDescent="0.2">
      <c r="E508" s="128"/>
      <c r="F508" s="149"/>
      <c r="G508" s="128"/>
      <c r="H508" s="149"/>
      <c r="I508" s="128"/>
      <c r="J508" s="149"/>
      <c r="K508" s="128"/>
      <c r="L508" s="149"/>
      <c r="M508" s="128"/>
      <c r="N508" s="149"/>
      <c r="O508" s="128"/>
      <c r="P508" s="149"/>
      <c r="Q508" s="128"/>
      <c r="R508" s="149"/>
      <c r="S508" s="128"/>
      <c r="T508" s="149"/>
      <c r="U508" s="128"/>
      <c r="V508" s="149"/>
    </row>
  </sheetData>
  <mergeCells count="174">
    <mergeCell ref="U10:V10"/>
    <mergeCell ref="S8:T8"/>
    <mergeCell ref="U8:V8"/>
    <mergeCell ref="E10:F10"/>
    <mergeCell ref="G10:H10"/>
    <mergeCell ref="I10:J10"/>
    <mergeCell ref="K10:L10"/>
    <mergeCell ref="M10:N10"/>
    <mergeCell ref="O10:P10"/>
    <mergeCell ref="Q10:R10"/>
    <mergeCell ref="S10:T10"/>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B320:V320"/>
    <mergeCell ref="A324:V324"/>
    <mergeCell ref="A325:V325"/>
    <mergeCell ref="B310:V310"/>
    <mergeCell ref="B311:V311"/>
    <mergeCell ref="B312:V312"/>
    <mergeCell ref="B313:V313"/>
    <mergeCell ref="B314:V314"/>
    <mergeCell ref="B315:V315"/>
    <mergeCell ref="B301:V301"/>
    <mergeCell ref="B303:V303"/>
    <mergeCell ref="B304:V304"/>
    <mergeCell ref="B305:V305"/>
    <mergeCell ref="B307:V307"/>
    <mergeCell ref="B309:V309"/>
    <mergeCell ref="B293:V293"/>
    <mergeCell ref="B294:V294"/>
    <mergeCell ref="B296:V296"/>
    <mergeCell ref="B297:V297"/>
    <mergeCell ref="B299:V299"/>
    <mergeCell ref="B300:V300"/>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48:V248"/>
    <mergeCell ref="C249:V249"/>
    <mergeCell ref="C250:V250"/>
    <mergeCell ref="C251:V251"/>
    <mergeCell ref="B253:V253"/>
    <mergeCell ref="B254:V254"/>
    <mergeCell ref="D241:V241"/>
    <mergeCell ref="D242:V242"/>
    <mergeCell ref="C243:V243"/>
    <mergeCell ref="C244:V244"/>
    <mergeCell ref="C245:V245"/>
    <mergeCell ref="C246:V246"/>
    <mergeCell ref="D238:V238"/>
    <mergeCell ref="C239:V239"/>
    <mergeCell ref="C240:V240"/>
    <mergeCell ref="B233:V233"/>
    <mergeCell ref="B234:V234"/>
    <mergeCell ref="B235:V235"/>
    <mergeCell ref="B232:V232"/>
    <mergeCell ref="C236:V236"/>
    <mergeCell ref="D237:V237"/>
    <mergeCell ref="E59:F59"/>
    <mergeCell ref="G59:H59"/>
    <mergeCell ref="I59:J59"/>
    <mergeCell ref="K59:L59"/>
    <mergeCell ref="M59:N59"/>
    <mergeCell ref="O59:P59"/>
    <mergeCell ref="Q59:R59"/>
    <mergeCell ref="S59:T59"/>
    <mergeCell ref="U59:V59"/>
    <mergeCell ref="E61:F61"/>
    <mergeCell ref="G61:H61"/>
    <mergeCell ref="I61:J61"/>
    <mergeCell ref="K61:L61"/>
    <mergeCell ref="M61:N61"/>
    <mergeCell ref="O61:P61"/>
    <mergeCell ref="Q61:R61"/>
    <mergeCell ref="S61:T61"/>
    <mergeCell ref="U61:V61"/>
    <mergeCell ref="E108:F108"/>
    <mergeCell ref="G108:H108"/>
    <mergeCell ref="I108:J108"/>
    <mergeCell ref="K108:L108"/>
    <mergeCell ref="M108:N108"/>
    <mergeCell ref="O108:P108"/>
    <mergeCell ref="Q108:R108"/>
    <mergeCell ref="S108:T108"/>
    <mergeCell ref="U108:V108"/>
    <mergeCell ref="E110:F110"/>
    <mergeCell ref="G110:H110"/>
    <mergeCell ref="I110:J110"/>
    <mergeCell ref="K110:L110"/>
    <mergeCell ref="M110:N110"/>
    <mergeCell ref="O110:P110"/>
    <mergeCell ref="Q110:R110"/>
    <mergeCell ref="S110:T110"/>
    <mergeCell ref="U110:V110"/>
    <mergeCell ref="E160:F160"/>
    <mergeCell ref="G160:H160"/>
    <mergeCell ref="I160:J160"/>
    <mergeCell ref="K160:L160"/>
    <mergeCell ref="M160:N160"/>
    <mergeCell ref="O160:P160"/>
    <mergeCell ref="Q160:R160"/>
    <mergeCell ref="S160:T160"/>
    <mergeCell ref="U160:V160"/>
    <mergeCell ref="E162:F162"/>
    <mergeCell ref="G162:H162"/>
    <mergeCell ref="I162:J162"/>
    <mergeCell ref="K162:L162"/>
    <mergeCell ref="M162:N162"/>
    <mergeCell ref="O162:P162"/>
    <mergeCell ref="Q162:R162"/>
    <mergeCell ref="S162:T162"/>
    <mergeCell ref="U162:V162"/>
    <mergeCell ref="E212:F212"/>
    <mergeCell ref="G212:H212"/>
    <mergeCell ref="I212:J212"/>
    <mergeCell ref="K212:L212"/>
    <mergeCell ref="M212:N212"/>
    <mergeCell ref="O212:P212"/>
    <mergeCell ref="Q212:R212"/>
    <mergeCell ref="S212:T212"/>
    <mergeCell ref="U212:V212"/>
    <mergeCell ref="E214:F214"/>
    <mergeCell ref="G214:H214"/>
    <mergeCell ref="I214:J214"/>
    <mergeCell ref="K214:L214"/>
    <mergeCell ref="M214:N214"/>
    <mergeCell ref="O214:P214"/>
    <mergeCell ref="Q214:R214"/>
    <mergeCell ref="S214:T214"/>
    <mergeCell ref="U214:V214"/>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96"/>
  <sheetViews>
    <sheetView workbookViewId="0">
      <selection activeCell="B1" sqref="B1:C1"/>
    </sheetView>
  </sheetViews>
  <sheetFormatPr defaultColWidth="8.85546875" defaultRowHeight="11.25" x14ac:dyDescent="0.2"/>
  <cols>
    <col min="1" max="1" width="36.42578125" style="50" customWidth="1"/>
    <col min="2" max="2" width="2.140625" style="62" customWidth="1"/>
    <col min="3" max="3" width="108.85546875" style="50" customWidth="1"/>
    <col min="4" max="4" width="8.85546875" style="49"/>
    <col min="5" max="16384" width="8.85546875" style="50"/>
  </cols>
  <sheetData>
    <row r="1" spans="1:3" x14ac:dyDescent="0.2">
      <c r="A1" s="50" t="s">
        <v>61</v>
      </c>
      <c r="B1" s="211" t="s">
        <v>2422</v>
      </c>
      <c r="C1" s="211"/>
    </row>
    <row r="2" spans="1:3" x14ac:dyDescent="0.2">
      <c r="A2" s="50" t="s">
        <v>2060</v>
      </c>
      <c r="B2" s="53" t="s">
        <v>2059</v>
      </c>
      <c r="C2" s="62"/>
    </row>
    <row r="3" spans="1:3" x14ac:dyDescent="0.2">
      <c r="A3" s="50" t="s">
        <v>62</v>
      </c>
      <c r="B3" s="212">
        <v>45798</v>
      </c>
      <c r="C3" s="212"/>
    </row>
    <row r="4" spans="1:3" x14ac:dyDescent="0.2">
      <c r="A4" s="50" t="s">
        <v>63</v>
      </c>
      <c r="B4" s="211" t="s">
        <v>257</v>
      </c>
      <c r="C4" s="211"/>
    </row>
    <row r="5" spans="1:3" x14ac:dyDescent="0.2">
      <c r="A5" s="50" t="s">
        <v>64</v>
      </c>
      <c r="B5" s="211" t="s">
        <v>2061</v>
      </c>
      <c r="C5" s="211"/>
    </row>
    <row r="6" spans="1:3" x14ac:dyDescent="0.2">
      <c r="A6" s="50" t="s">
        <v>65</v>
      </c>
      <c r="B6" s="211" t="s">
        <v>257</v>
      </c>
      <c r="C6" s="211"/>
    </row>
    <row r="7" spans="1:3" x14ac:dyDescent="0.2">
      <c r="A7" s="50" t="s">
        <v>66</v>
      </c>
      <c r="B7" s="211" t="s">
        <v>2062</v>
      </c>
      <c r="C7" s="211"/>
    </row>
    <row r="8" spans="1:3" x14ac:dyDescent="0.2">
      <c r="A8" s="50" t="s">
        <v>2063</v>
      </c>
      <c r="B8" s="212">
        <v>45272</v>
      </c>
      <c r="C8" s="212"/>
    </row>
    <row r="9" spans="1:3" x14ac:dyDescent="0.2">
      <c r="A9" s="50" t="s">
        <v>2064</v>
      </c>
      <c r="B9" s="212">
        <v>45566</v>
      </c>
      <c r="C9" s="212"/>
    </row>
    <row r="10" spans="1:3" x14ac:dyDescent="0.2">
      <c r="A10" s="50" t="s">
        <v>2065</v>
      </c>
      <c r="B10" s="212">
        <v>45209</v>
      </c>
      <c r="C10" s="212"/>
    </row>
    <row r="11" spans="1:3" x14ac:dyDescent="0.2">
      <c r="A11" s="50" t="s">
        <v>84</v>
      </c>
      <c r="B11" s="211" t="s">
        <v>2066</v>
      </c>
      <c r="C11" s="211"/>
    </row>
    <row r="13" spans="1:3" x14ac:dyDescent="0.2">
      <c r="A13" s="50" t="s">
        <v>2419</v>
      </c>
      <c r="B13" s="62" t="s">
        <v>45</v>
      </c>
      <c r="C13" s="50" t="s">
        <v>2420</v>
      </c>
    </row>
    <row r="14" spans="1:3" x14ac:dyDescent="0.2">
      <c r="B14" s="62" t="s">
        <v>45</v>
      </c>
      <c r="C14" s="50" t="s">
        <v>2421</v>
      </c>
    </row>
    <row r="15" spans="1:3" x14ac:dyDescent="0.2">
      <c r="A15" s="50" t="s">
        <v>2417</v>
      </c>
      <c r="B15" s="62" t="s">
        <v>45</v>
      </c>
      <c r="C15" s="50" t="s">
        <v>2418</v>
      </c>
    </row>
    <row r="16" spans="1:3" x14ac:dyDescent="0.2">
      <c r="A16" s="50" t="s">
        <v>2416</v>
      </c>
      <c r="B16" s="62" t="s">
        <v>45</v>
      </c>
      <c r="C16" s="50" t="s">
        <v>2411</v>
      </c>
    </row>
    <row r="17" spans="1:3" x14ac:dyDescent="0.2">
      <c r="A17" s="50" t="s">
        <v>2409</v>
      </c>
      <c r="B17" s="62" t="s">
        <v>45</v>
      </c>
      <c r="C17" s="50" t="s">
        <v>2410</v>
      </c>
    </row>
    <row r="18" spans="1:3" x14ac:dyDescent="0.2">
      <c r="A18" s="50" t="s">
        <v>2407</v>
      </c>
      <c r="B18" s="62" t="s">
        <v>45</v>
      </c>
      <c r="C18" s="50" t="s">
        <v>2408</v>
      </c>
    </row>
    <row r="19" spans="1:3" x14ac:dyDescent="0.2">
      <c r="A19" s="50" t="s">
        <v>2404</v>
      </c>
      <c r="B19" s="62" t="s">
        <v>45</v>
      </c>
      <c r="C19" s="50" t="s">
        <v>2405</v>
      </c>
    </row>
    <row r="20" spans="1:3" x14ac:dyDescent="0.2">
      <c r="B20" s="62" t="s">
        <v>45</v>
      </c>
      <c r="C20" s="50" t="s">
        <v>2406</v>
      </c>
    </row>
    <row r="21" spans="1:3" x14ac:dyDescent="0.2">
      <c r="A21" s="50" t="s">
        <v>2395</v>
      </c>
      <c r="B21" s="62" t="s">
        <v>45</v>
      </c>
      <c r="C21" s="50" t="s">
        <v>2396</v>
      </c>
    </row>
    <row r="22" spans="1:3" x14ac:dyDescent="0.2">
      <c r="B22" s="62" t="s">
        <v>45</v>
      </c>
      <c r="C22" s="50" t="s">
        <v>2397</v>
      </c>
    </row>
    <row r="23" spans="1:3" x14ac:dyDescent="0.2">
      <c r="A23" s="50" t="s">
        <v>2393</v>
      </c>
      <c r="B23" s="62" t="s">
        <v>45</v>
      </c>
      <c r="C23" s="50" t="s">
        <v>2394</v>
      </c>
    </row>
    <row r="24" spans="1:3" x14ac:dyDescent="0.2">
      <c r="A24" s="50" t="s">
        <v>2391</v>
      </c>
      <c r="B24" s="62" t="s">
        <v>45</v>
      </c>
      <c r="C24" s="50" t="s">
        <v>2392</v>
      </c>
    </row>
    <row r="25" spans="1:3" x14ac:dyDescent="0.2">
      <c r="A25" s="50" t="s">
        <v>2150</v>
      </c>
      <c r="B25" s="62" t="s">
        <v>45</v>
      </c>
      <c r="C25" s="50" t="s">
        <v>2151</v>
      </c>
    </row>
    <row r="26" spans="1:3" x14ac:dyDescent="0.2">
      <c r="B26" s="62" t="s">
        <v>45</v>
      </c>
      <c r="C26" s="50" t="s">
        <v>2178</v>
      </c>
    </row>
    <row r="27" spans="1:3" x14ac:dyDescent="0.2">
      <c r="B27" s="62" t="s">
        <v>45</v>
      </c>
      <c r="C27" s="50" t="s">
        <v>2385</v>
      </c>
    </row>
    <row r="28" spans="1:3" x14ac:dyDescent="0.2">
      <c r="A28" s="79" t="s">
        <v>2145</v>
      </c>
      <c r="B28" s="62" t="s">
        <v>45</v>
      </c>
      <c r="C28" s="50" t="s">
        <v>2146</v>
      </c>
    </row>
    <row r="29" spans="1:3" x14ac:dyDescent="0.2">
      <c r="B29" s="62" t="s">
        <v>45</v>
      </c>
      <c r="C29" s="50" t="s">
        <v>2147</v>
      </c>
    </row>
    <row r="30" spans="1:3" x14ac:dyDescent="0.2">
      <c r="B30" s="62" t="s">
        <v>45</v>
      </c>
      <c r="C30" s="50" t="s">
        <v>2148</v>
      </c>
    </row>
    <row r="31" spans="1:3" x14ac:dyDescent="0.2">
      <c r="B31" s="62" t="s">
        <v>45</v>
      </c>
      <c r="C31" s="50" t="s">
        <v>2121</v>
      </c>
    </row>
    <row r="32" spans="1:3" x14ac:dyDescent="0.2">
      <c r="A32" s="79" t="s">
        <v>2119</v>
      </c>
      <c r="B32" s="62" t="s">
        <v>45</v>
      </c>
      <c r="C32" s="50" t="s">
        <v>2120</v>
      </c>
    </row>
    <row r="33" spans="1:3" x14ac:dyDescent="0.2">
      <c r="B33" s="62" t="s">
        <v>45</v>
      </c>
      <c r="C33" s="50" t="s">
        <v>2121</v>
      </c>
    </row>
    <row r="34" spans="1:3" x14ac:dyDescent="0.2">
      <c r="A34" s="79" t="s">
        <v>909</v>
      </c>
      <c r="B34" s="80" t="s">
        <v>45</v>
      </c>
      <c r="C34" s="78" t="s">
        <v>2067</v>
      </c>
    </row>
    <row r="35" spans="1:3" x14ac:dyDescent="0.2">
      <c r="A35" s="79"/>
      <c r="B35" s="80" t="s">
        <v>45</v>
      </c>
      <c r="C35" s="78" t="s">
        <v>2069</v>
      </c>
    </row>
    <row r="36" spans="1:3" x14ac:dyDescent="0.2">
      <c r="A36" s="79"/>
      <c r="B36" s="80" t="s">
        <v>45</v>
      </c>
      <c r="C36" s="78" t="s">
        <v>2070</v>
      </c>
    </row>
    <row r="37" spans="1:3" x14ac:dyDescent="0.2">
      <c r="A37" s="79"/>
      <c r="B37" s="80" t="s">
        <v>45</v>
      </c>
      <c r="C37" s="78" t="s">
        <v>2075</v>
      </c>
    </row>
    <row r="38" spans="1:3" x14ac:dyDescent="0.2">
      <c r="A38" s="79"/>
      <c r="B38" s="80" t="s">
        <v>45</v>
      </c>
      <c r="C38" s="78" t="s">
        <v>2068</v>
      </c>
    </row>
    <row r="39" spans="1:3" x14ac:dyDescent="0.2">
      <c r="A39" s="50" t="s">
        <v>799</v>
      </c>
      <c r="B39" s="62" t="s">
        <v>45</v>
      </c>
      <c r="C39" s="50" t="s">
        <v>800</v>
      </c>
    </row>
    <row r="40" spans="1:3" x14ac:dyDescent="0.2">
      <c r="B40" s="62" t="s">
        <v>45</v>
      </c>
      <c r="C40" s="50" t="s">
        <v>801</v>
      </c>
    </row>
    <row r="41" spans="1:3" x14ac:dyDescent="0.2">
      <c r="B41" s="62" t="s">
        <v>45</v>
      </c>
      <c r="C41" s="50" t="s">
        <v>802</v>
      </c>
    </row>
    <row r="42" spans="1:3" x14ac:dyDescent="0.2">
      <c r="A42" s="50" t="s">
        <v>797</v>
      </c>
      <c r="B42" s="62" t="s">
        <v>45</v>
      </c>
      <c r="C42" s="50" t="s">
        <v>798</v>
      </c>
    </row>
    <row r="43" spans="1:3" x14ac:dyDescent="0.2">
      <c r="A43" s="50" t="s">
        <v>796</v>
      </c>
      <c r="B43" s="62" t="s">
        <v>45</v>
      </c>
      <c r="C43" s="50" t="s">
        <v>795</v>
      </c>
    </row>
    <row r="44" spans="1:3" x14ac:dyDescent="0.2">
      <c r="A44" s="50" t="s">
        <v>793</v>
      </c>
      <c r="B44" s="62" t="s">
        <v>45</v>
      </c>
      <c r="C44" s="50" t="s">
        <v>794</v>
      </c>
    </row>
    <row r="45" spans="1:3" x14ac:dyDescent="0.2">
      <c r="A45" s="50" t="s">
        <v>791</v>
      </c>
      <c r="B45" s="62" t="s">
        <v>45</v>
      </c>
      <c r="C45" s="50" t="s">
        <v>792</v>
      </c>
    </row>
    <row r="46" spans="1:3" x14ac:dyDescent="0.2">
      <c r="A46" s="50" t="s">
        <v>788</v>
      </c>
      <c r="B46" s="62" t="s">
        <v>45</v>
      </c>
      <c r="C46" s="50" t="s">
        <v>790</v>
      </c>
    </row>
    <row r="47" spans="1:3" x14ac:dyDescent="0.2">
      <c r="A47" s="50" t="s">
        <v>786</v>
      </c>
      <c r="B47" s="62" t="s">
        <v>45</v>
      </c>
      <c r="C47" s="50" t="s">
        <v>789</v>
      </c>
    </row>
    <row r="48" spans="1:3" x14ac:dyDescent="0.2">
      <c r="A48" s="50" t="s">
        <v>782</v>
      </c>
      <c r="B48" s="62" t="s">
        <v>45</v>
      </c>
      <c r="C48" s="50" t="s">
        <v>783</v>
      </c>
    </row>
    <row r="49" spans="1:3" x14ac:dyDescent="0.2">
      <c r="B49" s="62" t="s">
        <v>45</v>
      </c>
      <c r="C49" s="50" t="s">
        <v>784</v>
      </c>
    </row>
    <row r="50" spans="1:3" x14ac:dyDescent="0.2">
      <c r="B50" s="62" t="s">
        <v>45</v>
      </c>
      <c r="C50" s="50" t="s">
        <v>785</v>
      </c>
    </row>
    <row r="51" spans="1:3" x14ac:dyDescent="0.2">
      <c r="A51" s="50" t="s">
        <v>762</v>
      </c>
      <c r="B51" s="62" t="s">
        <v>45</v>
      </c>
      <c r="C51" s="50" t="s">
        <v>781</v>
      </c>
    </row>
    <row r="52" spans="1:3" x14ac:dyDescent="0.2">
      <c r="A52" s="50" t="s">
        <v>756</v>
      </c>
      <c r="B52" s="62" t="s">
        <v>45</v>
      </c>
      <c r="C52" s="50" t="s">
        <v>759</v>
      </c>
    </row>
    <row r="53" spans="1:3" x14ac:dyDescent="0.2">
      <c r="B53" s="62" t="s">
        <v>45</v>
      </c>
      <c r="C53" s="50" t="s">
        <v>757</v>
      </c>
    </row>
    <row r="54" spans="1:3" x14ac:dyDescent="0.2">
      <c r="B54" s="62" t="s">
        <v>45</v>
      </c>
      <c r="C54" s="50" t="s">
        <v>758</v>
      </c>
    </row>
    <row r="55" spans="1:3" x14ac:dyDescent="0.2">
      <c r="B55" s="62" t="s">
        <v>45</v>
      </c>
      <c r="C55" s="50" t="s">
        <v>760</v>
      </c>
    </row>
    <row r="56" spans="1:3" x14ac:dyDescent="0.2">
      <c r="A56" s="50" t="s">
        <v>754</v>
      </c>
      <c r="B56" s="62" t="s">
        <v>45</v>
      </c>
      <c r="C56" s="50" t="s">
        <v>755</v>
      </c>
    </row>
    <row r="57" spans="1:3" x14ac:dyDescent="0.2">
      <c r="A57" s="50" t="s">
        <v>748</v>
      </c>
      <c r="B57" s="62" t="s">
        <v>45</v>
      </c>
      <c r="C57" s="50" t="s">
        <v>749</v>
      </c>
    </row>
    <row r="58" spans="1:3" x14ac:dyDescent="0.2">
      <c r="B58" s="62" t="s">
        <v>45</v>
      </c>
      <c r="C58" s="50" t="s">
        <v>750</v>
      </c>
    </row>
    <row r="59" spans="1:3" x14ac:dyDescent="0.2">
      <c r="A59" s="50" t="s">
        <v>747</v>
      </c>
      <c r="B59" s="62" t="s">
        <v>45</v>
      </c>
      <c r="C59" s="50" t="s">
        <v>746</v>
      </c>
    </row>
    <row r="60" spans="1:3" x14ac:dyDescent="0.2">
      <c r="A60" s="50" t="s">
        <v>743</v>
      </c>
      <c r="B60" s="62" t="s">
        <v>45</v>
      </c>
      <c r="C60" s="50" t="s">
        <v>744</v>
      </c>
    </row>
    <row r="61" spans="1:3" x14ac:dyDescent="0.2">
      <c r="B61" s="62" t="s">
        <v>45</v>
      </c>
      <c r="C61" s="50" t="s">
        <v>745</v>
      </c>
    </row>
    <row r="62" spans="1:3" x14ac:dyDescent="0.2">
      <c r="A62" s="50" t="s">
        <v>740</v>
      </c>
      <c r="B62" s="62" t="s">
        <v>45</v>
      </c>
      <c r="C62" s="50" t="s">
        <v>741</v>
      </c>
    </row>
    <row r="63" spans="1:3" x14ac:dyDescent="0.2">
      <c r="A63" s="50" t="s">
        <v>738</v>
      </c>
      <c r="B63" s="62" t="s">
        <v>45</v>
      </c>
      <c r="C63" s="50" t="s">
        <v>739</v>
      </c>
    </row>
    <row r="64" spans="1:3" x14ac:dyDescent="0.2">
      <c r="A64" s="50" t="s">
        <v>589</v>
      </c>
      <c r="B64" s="62" t="s">
        <v>45</v>
      </c>
      <c r="C64" s="50" t="s">
        <v>590</v>
      </c>
    </row>
    <row r="65" spans="1:3" x14ac:dyDescent="0.2">
      <c r="A65" s="50" t="s">
        <v>586</v>
      </c>
      <c r="B65" s="62" t="s">
        <v>45</v>
      </c>
      <c r="C65" s="50" t="s">
        <v>587</v>
      </c>
    </row>
    <row r="66" spans="1:3" x14ac:dyDescent="0.2">
      <c r="B66" s="62" t="s">
        <v>45</v>
      </c>
      <c r="C66" s="50" t="s">
        <v>588</v>
      </c>
    </row>
    <row r="67" spans="1:3" x14ac:dyDescent="0.2">
      <c r="A67" s="50" t="s">
        <v>574</v>
      </c>
      <c r="B67" s="62" t="s">
        <v>45</v>
      </c>
      <c r="C67" s="50" t="s">
        <v>575</v>
      </c>
    </row>
    <row r="68" spans="1:3" x14ac:dyDescent="0.2">
      <c r="B68" s="62" t="s">
        <v>45</v>
      </c>
      <c r="C68" s="50" t="s">
        <v>583</v>
      </c>
    </row>
    <row r="69" spans="1:3" x14ac:dyDescent="0.2">
      <c r="B69" s="62" t="s">
        <v>45</v>
      </c>
      <c r="C69" s="50" t="s">
        <v>585</v>
      </c>
    </row>
    <row r="70" spans="1:3" x14ac:dyDescent="0.2">
      <c r="B70" s="62" t="s">
        <v>45</v>
      </c>
      <c r="C70" s="50" t="s">
        <v>584</v>
      </c>
    </row>
    <row r="71" spans="1:3" x14ac:dyDescent="0.2">
      <c r="A71" s="50" t="s">
        <v>561</v>
      </c>
      <c r="B71" s="62" t="s">
        <v>45</v>
      </c>
      <c r="C71" s="50" t="s">
        <v>562</v>
      </c>
    </row>
    <row r="72" spans="1:3" x14ac:dyDescent="0.2">
      <c r="B72" s="62" t="s">
        <v>45</v>
      </c>
      <c r="C72" s="50" t="s">
        <v>563</v>
      </c>
    </row>
    <row r="73" spans="1:3" x14ac:dyDescent="0.2">
      <c r="A73" s="50" t="s">
        <v>560</v>
      </c>
      <c r="B73" s="62" t="s">
        <v>45</v>
      </c>
      <c r="C73" s="50" t="s">
        <v>539</v>
      </c>
    </row>
    <row r="74" spans="1:3" x14ac:dyDescent="0.2">
      <c r="A74" s="50" t="s">
        <v>538</v>
      </c>
      <c r="B74" s="62" t="s">
        <v>45</v>
      </c>
      <c r="C74" s="50" t="s">
        <v>540</v>
      </c>
    </row>
    <row r="75" spans="1:3" x14ac:dyDescent="0.2">
      <c r="A75" s="50" t="s">
        <v>526</v>
      </c>
      <c r="B75" s="62" t="s">
        <v>45</v>
      </c>
      <c r="C75" s="50" t="s">
        <v>527</v>
      </c>
    </row>
    <row r="76" spans="1:3" x14ac:dyDescent="0.2">
      <c r="B76" s="62" t="s">
        <v>45</v>
      </c>
      <c r="C76" s="50" t="s">
        <v>536</v>
      </c>
    </row>
    <row r="77" spans="1:3" x14ac:dyDescent="0.2">
      <c r="A77" s="50" t="s">
        <v>524</v>
      </c>
      <c r="B77" s="62" t="s">
        <v>45</v>
      </c>
      <c r="C77" s="50" t="s">
        <v>525</v>
      </c>
    </row>
    <row r="78" spans="1:3" x14ac:dyDescent="0.2">
      <c r="A78" s="50" t="s">
        <v>512</v>
      </c>
      <c r="B78" s="62" t="s">
        <v>45</v>
      </c>
      <c r="C78" s="50" t="s">
        <v>513</v>
      </c>
    </row>
    <row r="79" spans="1:3" x14ac:dyDescent="0.2">
      <c r="B79" s="62" t="s">
        <v>45</v>
      </c>
      <c r="C79" s="50" t="s">
        <v>518</v>
      </c>
    </row>
    <row r="80" spans="1:3" x14ac:dyDescent="0.2">
      <c r="B80" s="62" t="s">
        <v>45</v>
      </c>
      <c r="C80" s="50" t="s">
        <v>519</v>
      </c>
    </row>
    <row r="81" spans="1:3" x14ac:dyDescent="0.2">
      <c r="B81" s="62" t="s">
        <v>45</v>
      </c>
      <c r="C81" s="50" t="s">
        <v>520</v>
      </c>
    </row>
    <row r="82" spans="1:3" x14ac:dyDescent="0.2">
      <c r="B82" s="62" t="s">
        <v>45</v>
      </c>
      <c r="C82" s="50" t="s">
        <v>523</v>
      </c>
    </row>
    <row r="83" spans="1:3" x14ac:dyDescent="0.2">
      <c r="A83" s="50" t="s">
        <v>508</v>
      </c>
      <c r="B83" s="62" t="s">
        <v>45</v>
      </c>
      <c r="C83" s="50" t="s">
        <v>509</v>
      </c>
    </row>
    <row r="84" spans="1:3" x14ac:dyDescent="0.2">
      <c r="B84" s="62" t="s">
        <v>45</v>
      </c>
      <c r="C84" s="50" t="s">
        <v>510</v>
      </c>
    </row>
    <row r="85" spans="1:3" x14ac:dyDescent="0.2">
      <c r="B85" s="62" t="s">
        <v>45</v>
      </c>
      <c r="C85" s="50" t="s">
        <v>511</v>
      </c>
    </row>
    <row r="86" spans="1:3" x14ac:dyDescent="0.2">
      <c r="A86" s="50" t="s">
        <v>504</v>
      </c>
      <c r="B86" s="62" t="s">
        <v>45</v>
      </c>
      <c r="C86" s="50" t="s">
        <v>505</v>
      </c>
    </row>
    <row r="87" spans="1:3" x14ac:dyDescent="0.2">
      <c r="B87" s="62" t="s">
        <v>45</v>
      </c>
      <c r="C87" s="50" t="s">
        <v>506</v>
      </c>
    </row>
    <row r="88" spans="1:3" x14ac:dyDescent="0.2">
      <c r="B88" s="62" t="s">
        <v>45</v>
      </c>
      <c r="C88" s="50" t="s">
        <v>507</v>
      </c>
    </row>
    <row r="89" spans="1:3" x14ac:dyDescent="0.2">
      <c r="A89" s="50" t="s">
        <v>493</v>
      </c>
      <c r="B89" s="62" t="s">
        <v>45</v>
      </c>
      <c r="C89" s="50" t="s">
        <v>494</v>
      </c>
    </row>
    <row r="90" spans="1:3" x14ac:dyDescent="0.2">
      <c r="A90" s="50" t="s">
        <v>488</v>
      </c>
      <c r="B90" s="62" t="s">
        <v>45</v>
      </c>
      <c r="C90" s="50" t="s">
        <v>489</v>
      </c>
    </row>
    <row r="91" spans="1:3" x14ac:dyDescent="0.2">
      <c r="B91" s="62" t="s">
        <v>45</v>
      </c>
      <c r="C91" s="50" t="s">
        <v>490</v>
      </c>
    </row>
    <row r="92" spans="1:3" x14ac:dyDescent="0.2">
      <c r="A92" s="50" t="s">
        <v>486</v>
      </c>
      <c r="B92" s="62" t="s">
        <v>45</v>
      </c>
      <c r="C92" s="50" t="s">
        <v>487</v>
      </c>
    </row>
    <row r="93" spans="1:3" x14ac:dyDescent="0.2">
      <c r="A93" s="50" t="s">
        <v>483</v>
      </c>
      <c r="B93" s="62" t="s">
        <v>45</v>
      </c>
      <c r="C93" s="50" t="s">
        <v>484</v>
      </c>
    </row>
    <row r="94" spans="1:3" x14ac:dyDescent="0.2">
      <c r="B94" s="62" t="s">
        <v>45</v>
      </c>
      <c r="C94" s="50" t="s">
        <v>485</v>
      </c>
    </row>
    <row r="95" spans="1:3" x14ac:dyDescent="0.2">
      <c r="A95" s="50" t="s">
        <v>476</v>
      </c>
      <c r="B95" s="62" t="s">
        <v>45</v>
      </c>
      <c r="C95" s="50" t="s">
        <v>479</v>
      </c>
    </row>
    <row r="96" spans="1:3" x14ac:dyDescent="0.2">
      <c r="B96" s="62" t="s">
        <v>45</v>
      </c>
      <c r="C96" s="50" t="s">
        <v>480</v>
      </c>
    </row>
    <row r="97" spans="1:3" x14ac:dyDescent="0.2">
      <c r="B97" s="62" t="s">
        <v>45</v>
      </c>
      <c r="C97" s="50" t="s">
        <v>478</v>
      </c>
    </row>
    <row r="98" spans="1:3" x14ac:dyDescent="0.2">
      <c r="B98" s="62" t="s">
        <v>45</v>
      </c>
      <c r="C98" s="50" t="s">
        <v>477</v>
      </c>
    </row>
    <row r="99" spans="1:3" x14ac:dyDescent="0.2">
      <c r="B99" s="62" t="s">
        <v>45</v>
      </c>
      <c r="C99" s="50" t="s">
        <v>481</v>
      </c>
    </row>
    <row r="100" spans="1:3" x14ac:dyDescent="0.2">
      <c r="B100" s="62" t="s">
        <v>45</v>
      </c>
      <c r="C100" s="50" t="s">
        <v>482</v>
      </c>
    </row>
    <row r="101" spans="1:3" x14ac:dyDescent="0.2">
      <c r="A101" s="50" t="s">
        <v>473</v>
      </c>
      <c r="B101" s="62" t="s">
        <v>45</v>
      </c>
      <c r="C101" s="50" t="s">
        <v>474</v>
      </c>
    </row>
    <row r="102" spans="1:3" x14ac:dyDescent="0.2">
      <c r="B102" s="62" t="s">
        <v>45</v>
      </c>
      <c r="C102" s="50" t="s">
        <v>475</v>
      </c>
    </row>
    <row r="103" spans="1:3" x14ac:dyDescent="0.2">
      <c r="A103" s="50" t="s">
        <v>462</v>
      </c>
      <c r="B103" s="62" t="s">
        <v>45</v>
      </c>
      <c r="C103" s="50" t="s">
        <v>463</v>
      </c>
    </row>
    <row r="104" spans="1:3" x14ac:dyDescent="0.2">
      <c r="B104" s="62" t="s">
        <v>45</v>
      </c>
      <c r="C104" s="50" t="s">
        <v>464</v>
      </c>
    </row>
    <row r="105" spans="1:3" x14ac:dyDescent="0.2">
      <c r="A105" s="50" t="s">
        <v>422</v>
      </c>
      <c r="B105" s="62" t="s">
        <v>45</v>
      </c>
      <c r="C105" s="50" t="s">
        <v>465</v>
      </c>
    </row>
    <row r="106" spans="1:3" x14ac:dyDescent="0.2">
      <c r="B106" s="62" t="s">
        <v>45</v>
      </c>
      <c r="C106" s="50" t="s">
        <v>466</v>
      </c>
    </row>
    <row r="107" spans="1:3" x14ac:dyDescent="0.2">
      <c r="A107" s="50" t="s">
        <v>421</v>
      </c>
      <c r="B107" s="62" t="s">
        <v>45</v>
      </c>
      <c r="C107" s="50" t="s">
        <v>467</v>
      </c>
    </row>
    <row r="108" spans="1:3" x14ac:dyDescent="0.2">
      <c r="A108" s="50" t="s">
        <v>418</v>
      </c>
      <c r="B108" s="62" t="s">
        <v>45</v>
      </c>
      <c r="C108" s="50" t="s">
        <v>468</v>
      </c>
    </row>
    <row r="109" spans="1:3" x14ac:dyDescent="0.2">
      <c r="B109" s="62" t="s">
        <v>45</v>
      </c>
      <c r="C109" s="50" t="s">
        <v>419</v>
      </c>
    </row>
    <row r="110" spans="1:3" x14ac:dyDescent="0.2">
      <c r="B110" s="62" t="s">
        <v>45</v>
      </c>
      <c r="C110" s="50" t="s">
        <v>469</v>
      </c>
    </row>
    <row r="111" spans="1:3" x14ac:dyDescent="0.2">
      <c r="B111" s="62" t="s">
        <v>45</v>
      </c>
      <c r="C111" s="50" t="s">
        <v>420</v>
      </c>
    </row>
    <row r="112" spans="1:3" x14ac:dyDescent="0.2">
      <c r="A112" s="50" t="s">
        <v>413</v>
      </c>
      <c r="B112" s="62" t="s">
        <v>45</v>
      </c>
      <c r="C112" s="50" t="s">
        <v>414</v>
      </c>
    </row>
    <row r="113" spans="1:3" x14ac:dyDescent="0.2">
      <c r="A113" s="50" t="s">
        <v>411</v>
      </c>
      <c r="B113" s="62" t="s">
        <v>45</v>
      </c>
      <c r="C113" s="50" t="s">
        <v>470</v>
      </c>
    </row>
    <row r="114" spans="1:3" x14ac:dyDescent="0.2">
      <c r="B114" s="62" t="s">
        <v>45</v>
      </c>
      <c r="C114" s="50" t="s">
        <v>471</v>
      </c>
    </row>
    <row r="115" spans="1:3" x14ac:dyDescent="0.2">
      <c r="B115" s="62" t="s">
        <v>45</v>
      </c>
      <c r="C115" s="50" t="s">
        <v>412</v>
      </c>
    </row>
    <row r="116" spans="1:3" x14ac:dyDescent="0.2">
      <c r="B116" s="62" t="s">
        <v>45</v>
      </c>
      <c r="C116" s="50" t="s">
        <v>410</v>
      </c>
    </row>
    <row r="117" spans="1:3" x14ac:dyDescent="0.2">
      <c r="A117" s="50" t="s">
        <v>268</v>
      </c>
      <c r="B117" s="62" t="s">
        <v>45</v>
      </c>
      <c r="C117" s="50" t="s">
        <v>269</v>
      </c>
    </row>
    <row r="118" spans="1:3" x14ac:dyDescent="0.2">
      <c r="B118" s="62" t="s">
        <v>45</v>
      </c>
      <c r="C118" s="50" t="s">
        <v>270</v>
      </c>
    </row>
    <row r="119" spans="1:3" x14ac:dyDescent="0.2">
      <c r="A119" s="50" t="s">
        <v>264</v>
      </c>
      <c r="B119" s="62" t="s">
        <v>45</v>
      </c>
      <c r="C119" s="50" t="s">
        <v>258</v>
      </c>
    </row>
    <row r="120" spans="1:3" x14ac:dyDescent="0.2">
      <c r="B120" s="62" t="s">
        <v>45</v>
      </c>
      <c r="C120" s="50" t="s">
        <v>259</v>
      </c>
    </row>
    <row r="121" spans="1:3" x14ac:dyDescent="0.2">
      <c r="B121" s="62" t="s">
        <v>45</v>
      </c>
      <c r="C121" s="50" t="s">
        <v>260</v>
      </c>
    </row>
    <row r="122" spans="1:3" x14ac:dyDescent="0.2">
      <c r="B122" s="62" t="s">
        <v>45</v>
      </c>
      <c r="C122" s="50" t="s">
        <v>261</v>
      </c>
    </row>
    <row r="123" spans="1:3" x14ac:dyDescent="0.2">
      <c r="B123" s="62" t="s">
        <v>45</v>
      </c>
      <c r="C123" s="50" t="s">
        <v>262</v>
      </c>
    </row>
    <row r="124" spans="1:3" x14ac:dyDescent="0.2">
      <c r="B124" s="62" t="s">
        <v>45</v>
      </c>
      <c r="C124" s="50" t="s">
        <v>263</v>
      </c>
    </row>
    <row r="125" spans="1:3" x14ac:dyDescent="0.2">
      <c r="A125" s="50" t="s">
        <v>254</v>
      </c>
      <c r="B125" s="62" t="s">
        <v>45</v>
      </c>
      <c r="C125" s="50" t="s">
        <v>255</v>
      </c>
    </row>
    <row r="126" spans="1:3" x14ac:dyDescent="0.2">
      <c r="B126" s="62" t="s">
        <v>45</v>
      </c>
      <c r="C126" s="50" t="s">
        <v>256</v>
      </c>
    </row>
    <row r="127" spans="1:3" x14ac:dyDescent="0.2">
      <c r="A127" s="50" t="s">
        <v>252</v>
      </c>
      <c r="B127" s="62" t="s">
        <v>45</v>
      </c>
      <c r="C127" s="50" t="s">
        <v>253</v>
      </c>
    </row>
    <row r="128" spans="1:3" x14ac:dyDescent="0.2">
      <c r="A128" s="50" t="s">
        <v>247</v>
      </c>
      <c r="B128" s="62" t="s">
        <v>45</v>
      </c>
      <c r="C128" s="50" t="s">
        <v>248</v>
      </c>
    </row>
    <row r="129" spans="1:3" x14ac:dyDescent="0.2">
      <c r="A129" s="50" t="s">
        <v>244</v>
      </c>
      <c r="B129" s="62" t="s">
        <v>45</v>
      </c>
      <c r="C129" s="50" t="s">
        <v>245</v>
      </c>
    </row>
    <row r="130" spans="1:3" x14ac:dyDescent="0.2">
      <c r="B130" s="62" t="s">
        <v>45</v>
      </c>
      <c r="C130" s="50" t="s">
        <v>246</v>
      </c>
    </row>
    <row r="131" spans="1:3" x14ac:dyDescent="0.2">
      <c r="A131" s="50" t="s">
        <v>243</v>
      </c>
      <c r="B131" s="62" t="s">
        <v>45</v>
      </c>
      <c r="C131" s="50" t="s">
        <v>241</v>
      </c>
    </row>
    <row r="132" spans="1:3" x14ac:dyDescent="0.2">
      <c r="B132" s="62" t="s">
        <v>45</v>
      </c>
      <c r="C132" s="50" t="s">
        <v>242</v>
      </c>
    </row>
    <row r="133" spans="1:3" x14ac:dyDescent="0.2">
      <c r="A133" s="50" t="s">
        <v>239</v>
      </c>
      <c r="B133" s="62" t="s">
        <v>45</v>
      </c>
      <c r="C133" s="50" t="s">
        <v>238</v>
      </c>
    </row>
    <row r="134" spans="1:3" x14ac:dyDescent="0.2">
      <c r="A134" s="50" t="s">
        <v>232</v>
      </c>
      <c r="B134" s="62" t="s">
        <v>45</v>
      </c>
      <c r="C134" s="50" t="s">
        <v>233</v>
      </c>
    </row>
    <row r="135" spans="1:3" x14ac:dyDescent="0.2">
      <c r="B135" s="62" t="s">
        <v>45</v>
      </c>
      <c r="C135" s="50" t="s">
        <v>234</v>
      </c>
    </row>
    <row r="136" spans="1:3" x14ac:dyDescent="0.2">
      <c r="A136" s="50" t="s">
        <v>222</v>
      </c>
      <c r="B136" s="62" t="s">
        <v>45</v>
      </c>
      <c r="C136" s="50" t="s">
        <v>223</v>
      </c>
    </row>
    <row r="137" spans="1:3" x14ac:dyDescent="0.2">
      <c r="B137" s="62" t="s">
        <v>45</v>
      </c>
      <c r="C137" s="50" t="s">
        <v>231</v>
      </c>
    </row>
    <row r="138" spans="1:3" x14ac:dyDescent="0.2">
      <c r="B138" s="62" t="s">
        <v>45</v>
      </c>
      <c r="C138" s="50" t="s">
        <v>230</v>
      </c>
    </row>
    <row r="139" spans="1:3" x14ac:dyDescent="0.2">
      <c r="B139" s="62" t="s">
        <v>45</v>
      </c>
      <c r="C139" s="50" t="s">
        <v>224</v>
      </c>
    </row>
    <row r="140" spans="1:3" x14ac:dyDescent="0.2">
      <c r="B140" s="62" t="s">
        <v>45</v>
      </c>
      <c r="C140" s="50" t="s">
        <v>225</v>
      </c>
    </row>
    <row r="141" spans="1:3" x14ac:dyDescent="0.2">
      <c r="B141" s="62" t="s">
        <v>45</v>
      </c>
      <c r="C141" s="50" t="s">
        <v>226</v>
      </c>
    </row>
    <row r="142" spans="1:3" x14ac:dyDescent="0.2">
      <c r="A142" s="50" t="s">
        <v>211</v>
      </c>
      <c r="B142" s="62" t="s">
        <v>45</v>
      </c>
      <c r="C142" s="50" t="s">
        <v>212</v>
      </c>
    </row>
    <row r="143" spans="1:3" x14ac:dyDescent="0.2">
      <c r="A143" s="50" t="s">
        <v>209</v>
      </c>
      <c r="B143" s="62" t="s">
        <v>45</v>
      </c>
      <c r="C143" s="50" t="s">
        <v>210</v>
      </c>
    </row>
    <row r="144" spans="1:3" x14ac:dyDescent="0.2">
      <c r="A144" s="50" t="s">
        <v>207</v>
      </c>
      <c r="B144" s="62" t="s">
        <v>45</v>
      </c>
      <c r="C144" s="50" t="s">
        <v>208</v>
      </c>
    </row>
    <row r="145" spans="1:3" x14ac:dyDescent="0.2">
      <c r="A145" s="50" t="s">
        <v>202</v>
      </c>
      <c r="B145" s="62" t="s">
        <v>45</v>
      </c>
      <c r="C145" s="50" t="s">
        <v>203</v>
      </c>
    </row>
    <row r="146" spans="1:3" x14ac:dyDescent="0.2">
      <c r="B146" s="62" t="s">
        <v>45</v>
      </c>
      <c r="C146" s="50" t="s">
        <v>204</v>
      </c>
    </row>
    <row r="147" spans="1:3" x14ac:dyDescent="0.2">
      <c r="B147" s="62" t="s">
        <v>45</v>
      </c>
      <c r="C147" s="50" t="s">
        <v>205</v>
      </c>
    </row>
    <row r="148" spans="1:3" x14ac:dyDescent="0.2">
      <c r="B148" s="62" t="s">
        <v>45</v>
      </c>
      <c r="C148" s="50" t="s">
        <v>206</v>
      </c>
    </row>
    <row r="149" spans="1:3" x14ac:dyDescent="0.2">
      <c r="A149" s="50" t="s">
        <v>201</v>
      </c>
      <c r="B149" s="62" t="s">
        <v>45</v>
      </c>
      <c r="C149" s="50" t="s">
        <v>198</v>
      </c>
    </row>
    <row r="150" spans="1:3" x14ac:dyDescent="0.2">
      <c r="B150" s="62" t="s">
        <v>45</v>
      </c>
      <c r="C150" s="50" t="s">
        <v>199</v>
      </c>
    </row>
    <row r="151" spans="1:3" x14ac:dyDescent="0.2">
      <c r="B151" s="62" t="s">
        <v>45</v>
      </c>
      <c r="C151" s="50" t="s">
        <v>200</v>
      </c>
    </row>
    <row r="152" spans="1:3" x14ac:dyDescent="0.2">
      <c r="A152" s="50" t="s">
        <v>194</v>
      </c>
      <c r="B152" s="62" t="s">
        <v>45</v>
      </c>
      <c r="C152" s="50" t="s">
        <v>195</v>
      </c>
    </row>
    <row r="153" spans="1:3" x14ac:dyDescent="0.2">
      <c r="B153" s="62" t="s">
        <v>45</v>
      </c>
      <c r="C153" s="50" t="s">
        <v>196</v>
      </c>
    </row>
    <row r="154" spans="1:3" x14ac:dyDescent="0.2">
      <c r="B154" s="62" t="s">
        <v>45</v>
      </c>
      <c r="C154" s="50" t="s">
        <v>197</v>
      </c>
    </row>
    <row r="155" spans="1:3" x14ac:dyDescent="0.2">
      <c r="A155" s="50" t="s">
        <v>191</v>
      </c>
      <c r="B155" s="62" t="s">
        <v>45</v>
      </c>
      <c r="C155" s="50" t="s">
        <v>192</v>
      </c>
    </row>
    <row r="156" spans="1:3" x14ac:dyDescent="0.2">
      <c r="A156" s="50" t="s">
        <v>187</v>
      </c>
      <c r="B156" s="62" t="s">
        <v>45</v>
      </c>
      <c r="C156" s="50" t="s">
        <v>188</v>
      </c>
    </row>
    <row r="157" spans="1:3" x14ac:dyDescent="0.2">
      <c r="B157" s="62" t="s">
        <v>45</v>
      </c>
      <c r="C157" s="50" t="s">
        <v>190</v>
      </c>
    </row>
    <row r="158" spans="1:3" x14ac:dyDescent="0.2">
      <c r="B158" s="62" t="s">
        <v>45</v>
      </c>
      <c r="C158" s="50" t="s">
        <v>189</v>
      </c>
    </row>
    <row r="159" spans="1:3" x14ac:dyDescent="0.2">
      <c r="A159" s="50" t="s">
        <v>184</v>
      </c>
      <c r="B159" s="62" t="s">
        <v>45</v>
      </c>
      <c r="C159" s="50" t="s">
        <v>185</v>
      </c>
    </row>
    <row r="160" spans="1:3" x14ac:dyDescent="0.2">
      <c r="B160" s="62" t="s">
        <v>45</v>
      </c>
      <c r="C160" s="50" t="s">
        <v>186</v>
      </c>
    </row>
    <row r="161" spans="1:3" x14ac:dyDescent="0.2">
      <c r="A161" s="50" t="s">
        <v>149</v>
      </c>
      <c r="B161" s="62" t="s">
        <v>45</v>
      </c>
      <c r="C161" s="50" t="s">
        <v>150</v>
      </c>
    </row>
    <row r="162" spans="1:3" x14ac:dyDescent="0.2">
      <c r="B162" s="62" t="s">
        <v>45</v>
      </c>
      <c r="C162" s="50" t="s">
        <v>151</v>
      </c>
    </row>
    <row r="163" spans="1:3" x14ac:dyDescent="0.2">
      <c r="B163" s="62" t="s">
        <v>45</v>
      </c>
      <c r="C163" s="50" t="s">
        <v>152</v>
      </c>
    </row>
    <row r="164" spans="1:3" x14ac:dyDescent="0.2">
      <c r="B164" s="62" t="s">
        <v>45</v>
      </c>
      <c r="C164" s="50" t="s">
        <v>179</v>
      </c>
    </row>
    <row r="165" spans="1:3" x14ac:dyDescent="0.2">
      <c r="B165" s="62" t="s">
        <v>45</v>
      </c>
      <c r="C165" s="50" t="s">
        <v>180</v>
      </c>
    </row>
    <row r="166" spans="1:3" x14ac:dyDescent="0.2">
      <c r="B166" s="62" t="s">
        <v>45</v>
      </c>
      <c r="C166" s="50" t="s">
        <v>153</v>
      </c>
    </row>
    <row r="167" spans="1:3" x14ac:dyDescent="0.2">
      <c r="A167" s="50" t="s">
        <v>145</v>
      </c>
      <c r="B167" s="62" t="s">
        <v>45</v>
      </c>
      <c r="C167" s="50" t="s">
        <v>146</v>
      </c>
    </row>
    <row r="168" spans="1:3" x14ac:dyDescent="0.2">
      <c r="B168" s="62" t="s">
        <v>45</v>
      </c>
      <c r="C168" s="50" t="s">
        <v>147</v>
      </c>
    </row>
    <row r="169" spans="1:3" x14ac:dyDescent="0.2">
      <c r="A169" s="50" t="s">
        <v>126</v>
      </c>
      <c r="B169" s="63" t="s">
        <v>45</v>
      </c>
      <c r="C169" s="50" t="s">
        <v>127</v>
      </c>
    </row>
    <row r="170" spans="1:3" x14ac:dyDescent="0.2">
      <c r="B170" s="63" t="s">
        <v>45</v>
      </c>
      <c r="C170" s="50" t="s">
        <v>128</v>
      </c>
    </row>
    <row r="171" spans="1:3" x14ac:dyDescent="0.2">
      <c r="B171" s="63" t="s">
        <v>45</v>
      </c>
      <c r="C171" s="50" t="s">
        <v>129</v>
      </c>
    </row>
    <row r="172" spans="1:3" x14ac:dyDescent="0.2">
      <c r="B172" s="63" t="s">
        <v>45</v>
      </c>
      <c r="C172" s="50" t="s">
        <v>130</v>
      </c>
    </row>
    <row r="173" spans="1:3" x14ac:dyDescent="0.2">
      <c r="B173" s="63" t="s">
        <v>45</v>
      </c>
      <c r="C173" s="50" t="s">
        <v>140</v>
      </c>
    </row>
    <row r="174" spans="1:3" x14ac:dyDescent="0.2">
      <c r="A174" s="50" t="s">
        <v>122</v>
      </c>
      <c r="B174" s="63" t="s">
        <v>45</v>
      </c>
      <c r="C174" s="50" t="s">
        <v>123</v>
      </c>
    </row>
    <row r="175" spans="1:3" x14ac:dyDescent="0.2">
      <c r="B175" s="63" t="s">
        <v>45</v>
      </c>
      <c r="C175" s="50" t="s">
        <v>124</v>
      </c>
    </row>
    <row r="176" spans="1:3" x14ac:dyDescent="0.2">
      <c r="B176" s="63" t="s">
        <v>45</v>
      </c>
      <c r="C176" s="50" t="s">
        <v>125</v>
      </c>
    </row>
    <row r="177" spans="1:3" x14ac:dyDescent="0.2">
      <c r="A177" s="50" t="s">
        <v>114</v>
      </c>
      <c r="B177" s="63" t="s">
        <v>45</v>
      </c>
      <c r="C177" s="50" t="s">
        <v>115</v>
      </c>
    </row>
    <row r="178" spans="1:3" x14ac:dyDescent="0.2">
      <c r="B178" s="63" t="s">
        <v>45</v>
      </c>
      <c r="C178" s="50" t="s">
        <v>116</v>
      </c>
    </row>
    <row r="179" spans="1:3" x14ac:dyDescent="0.2">
      <c r="A179" s="50" t="s">
        <v>87</v>
      </c>
      <c r="B179" s="63" t="s">
        <v>45</v>
      </c>
      <c r="C179" s="50" t="s">
        <v>88</v>
      </c>
    </row>
    <row r="180" spans="1:3" x14ac:dyDescent="0.2">
      <c r="B180" s="63" t="s">
        <v>45</v>
      </c>
      <c r="C180" s="50" t="s">
        <v>89</v>
      </c>
    </row>
    <row r="181" spans="1:3" x14ac:dyDescent="0.2">
      <c r="B181" s="63" t="s">
        <v>45</v>
      </c>
      <c r="C181" s="50" t="s">
        <v>90</v>
      </c>
    </row>
    <row r="182" spans="1:3" x14ac:dyDescent="0.2">
      <c r="A182" s="50" t="s">
        <v>85</v>
      </c>
      <c r="B182" s="63" t="s">
        <v>45</v>
      </c>
      <c r="C182" s="50" t="s">
        <v>86</v>
      </c>
    </row>
    <row r="183" spans="1:3" x14ac:dyDescent="0.2">
      <c r="A183" s="50" t="s">
        <v>82</v>
      </c>
      <c r="B183" s="63" t="s">
        <v>45</v>
      </c>
      <c r="C183" s="50" t="s">
        <v>83</v>
      </c>
    </row>
    <row r="184" spans="1:3" x14ac:dyDescent="0.2">
      <c r="A184" s="50" t="s">
        <v>80</v>
      </c>
      <c r="B184" s="62" t="s">
        <v>45</v>
      </c>
      <c r="C184" s="50" t="s">
        <v>81</v>
      </c>
    </row>
    <row r="185" spans="1:3" x14ac:dyDescent="0.2">
      <c r="A185" s="50" t="s">
        <v>76</v>
      </c>
      <c r="B185" s="63" t="s">
        <v>45</v>
      </c>
      <c r="C185" s="50" t="s">
        <v>78</v>
      </c>
    </row>
    <row r="186" spans="1:3" x14ac:dyDescent="0.2">
      <c r="B186" s="63" t="s">
        <v>45</v>
      </c>
      <c r="C186" s="50" t="s">
        <v>79</v>
      </c>
    </row>
    <row r="187" spans="1:3" x14ac:dyDescent="0.2">
      <c r="A187" s="50" t="s">
        <v>77</v>
      </c>
      <c r="B187" s="63" t="s">
        <v>45</v>
      </c>
      <c r="C187" s="50" t="s">
        <v>67</v>
      </c>
    </row>
    <row r="188" spans="1:3" x14ac:dyDescent="0.2">
      <c r="B188" s="63" t="s">
        <v>45</v>
      </c>
      <c r="C188" s="50" t="s">
        <v>68</v>
      </c>
    </row>
    <row r="189" spans="1:3" x14ac:dyDescent="0.2">
      <c r="B189" s="63" t="s">
        <v>45</v>
      </c>
      <c r="C189" s="50" t="s">
        <v>69</v>
      </c>
    </row>
    <row r="190" spans="1:3" x14ac:dyDescent="0.2">
      <c r="B190" s="63" t="s">
        <v>45</v>
      </c>
      <c r="C190" s="50" t="s">
        <v>70</v>
      </c>
    </row>
    <row r="191" spans="1:3" x14ac:dyDescent="0.2">
      <c r="B191" s="63" t="s">
        <v>45</v>
      </c>
      <c r="C191" s="50" t="s">
        <v>71</v>
      </c>
    </row>
    <row r="192" spans="1:3" x14ac:dyDescent="0.2">
      <c r="B192" s="63" t="s">
        <v>45</v>
      </c>
      <c r="C192" s="50" t="s">
        <v>72</v>
      </c>
    </row>
    <row r="193" spans="2:3" x14ac:dyDescent="0.2">
      <c r="B193" s="63" t="s">
        <v>45</v>
      </c>
      <c r="C193" s="50" t="s">
        <v>75</v>
      </c>
    </row>
    <row r="194" spans="2:3" x14ac:dyDescent="0.2">
      <c r="B194" s="63" t="s">
        <v>45</v>
      </c>
      <c r="C194" s="50" t="s">
        <v>73</v>
      </c>
    </row>
    <row r="195" spans="2:3" x14ac:dyDescent="0.2">
      <c r="B195" s="63" t="s">
        <v>45</v>
      </c>
      <c r="C195" s="50" t="s">
        <v>74</v>
      </c>
    </row>
    <row r="196" spans="2:3" x14ac:dyDescent="0.2">
      <c r="B196" s="63"/>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18" t="s">
        <v>2071</v>
      </c>
    </row>
    <row r="3" spans="1:2" x14ac:dyDescent="0.2">
      <c r="B3" s="18" t="s">
        <v>2072</v>
      </c>
    </row>
    <row r="4" spans="1:2" x14ac:dyDescent="0.2">
      <c r="B4" s="12" t="s">
        <v>148</v>
      </c>
    </row>
    <row r="6" spans="1:2" x14ac:dyDescent="0.2">
      <c r="A6">
        <v>2</v>
      </c>
      <c r="B6" t="s">
        <v>51</v>
      </c>
    </row>
    <row r="7" spans="1:2" x14ac:dyDescent="0.2">
      <c r="A7" s="7" t="s">
        <v>52</v>
      </c>
      <c r="B7" s="18" t="s">
        <v>502</v>
      </c>
    </row>
    <row r="8" spans="1:2" x14ac:dyDescent="0.2">
      <c r="A8" s="7" t="s">
        <v>53</v>
      </c>
      <c r="B8" s="18" t="s">
        <v>2073</v>
      </c>
    </row>
    <row r="9" spans="1:2" x14ac:dyDescent="0.2">
      <c r="A9" s="99" t="s">
        <v>54</v>
      </c>
      <c r="B9" s="18" t="s">
        <v>2077</v>
      </c>
    </row>
    <row r="10" spans="1:2" x14ac:dyDescent="0.2">
      <c r="A10" s="99" t="s">
        <v>2076</v>
      </c>
      <c r="B10" s="18" t="s">
        <v>503</v>
      </c>
    </row>
    <row r="12" spans="1:2" x14ac:dyDescent="0.2">
      <c r="A12">
        <v>3</v>
      </c>
      <c r="B12" s="12" t="s">
        <v>141</v>
      </c>
    </row>
    <row r="13" spans="1:2" x14ac:dyDescent="0.2">
      <c r="B13" s="12" t="s">
        <v>227</v>
      </c>
    </row>
    <row r="14" spans="1:2" x14ac:dyDescent="0.2">
      <c r="B14" s="18" t="s">
        <v>2074</v>
      </c>
    </row>
    <row r="16" spans="1:2" x14ac:dyDescent="0.2">
      <c r="A16">
        <v>4</v>
      </c>
      <c r="B16" t="s">
        <v>49</v>
      </c>
    </row>
    <row r="17" spans="1:2" x14ac:dyDescent="0.2">
      <c r="B17" t="s">
        <v>50</v>
      </c>
    </row>
    <row r="18" spans="1:2" x14ac:dyDescent="0.2">
      <c r="B18" s="18" t="s">
        <v>496</v>
      </c>
    </row>
    <row r="19" spans="1:2" x14ac:dyDescent="0.2">
      <c r="B19" s="18" t="s">
        <v>2386</v>
      </c>
    </row>
    <row r="20" spans="1:2" x14ac:dyDescent="0.2">
      <c r="B20" s="18" t="s">
        <v>2388</v>
      </c>
    </row>
    <row r="21" spans="1:2" x14ac:dyDescent="0.2">
      <c r="B21" s="18" t="s">
        <v>2387</v>
      </c>
    </row>
    <row r="22" spans="1:2" x14ac:dyDescent="0.2">
      <c r="B22" s="18" t="s">
        <v>2389</v>
      </c>
    </row>
    <row r="24" spans="1:2" x14ac:dyDescent="0.2">
      <c r="A24">
        <v>5</v>
      </c>
      <c r="B24" s="12" t="s">
        <v>229</v>
      </c>
    </row>
    <row r="25" spans="1:2" x14ac:dyDescent="0.2">
      <c r="B25" s="12" t="s">
        <v>228</v>
      </c>
    </row>
    <row r="28" spans="1:2" x14ac:dyDescent="0.2">
      <c r="B28" s="18" t="s">
        <v>2122</v>
      </c>
    </row>
    <row r="29" spans="1:2" x14ac:dyDescent="0.2">
      <c r="B29" t="s">
        <v>2123</v>
      </c>
    </row>
    <row r="30" spans="1:2" x14ac:dyDescent="0.2">
      <c r="A30" s="99" t="s">
        <v>45</v>
      </c>
      <c r="B30" s="18" t="s">
        <v>2124</v>
      </c>
    </row>
    <row r="31" spans="1:2" x14ac:dyDescent="0.2">
      <c r="A31" s="99" t="s">
        <v>45</v>
      </c>
      <c r="B31" s="18" t="s">
        <v>2125</v>
      </c>
    </row>
    <row r="32" spans="1:2" x14ac:dyDescent="0.2">
      <c r="A32" s="99" t="s">
        <v>45</v>
      </c>
      <c r="B32" s="18" t="s">
        <v>2126</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368"/>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423</v>
      </c>
      <c r="D2" s="1" t="s">
        <v>424</v>
      </c>
      <c r="E2" t="s">
        <v>425</v>
      </c>
      <c r="F2" t="s">
        <v>426</v>
      </c>
      <c r="G2" t="s">
        <v>427</v>
      </c>
      <c r="H2" t="s">
        <v>428</v>
      </c>
      <c r="I2" t="s">
        <v>429</v>
      </c>
      <c r="J2" t="s">
        <v>430</v>
      </c>
      <c r="K2" t="s">
        <v>431</v>
      </c>
      <c r="L2" t="s">
        <v>432</v>
      </c>
      <c r="M2" t="s">
        <v>433</v>
      </c>
      <c r="N2" t="s">
        <v>434</v>
      </c>
      <c r="O2" t="s">
        <v>435</v>
      </c>
      <c r="P2" t="s">
        <v>436</v>
      </c>
      <c r="Q2" t="s">
        <v>437</v>
      </c>
      <c r="R2" t="s">
        <v>438</v>
      </c>
      <c r="S2" t="s">
        <v>439</v>
      </c>
      <c r="T2" t="s">
        <v>440</v>
      </c>
      <c r="U2" t="s">
        <v>441</v>
      </c>
      <c r="V2" t="s">
        <v>442</v>
      </c>
      <c r="W2" t="s">
        <v>443</v>
      </c>
      <c r="X2" t="s">
        <v>444</v>
      </c>
      <c r="Y2" t="s">
        <v>445</v>
      </c>
      <c r="Z2" t="s">
        <v>446</v>
      </c>
      <c r="AA2" t="s">
        <v>447</v>
      </c>
      <c r="AB2" t="s">
        <v>448</v>
      </c>
      <c r="AC2" t="s">
        <v>449</v>
      </c>
      <c r="AD2" t="s">
        <v>450</v>
      </c>
      <c r="AE2" t="s">
        <v>451</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452</v>
      </c>
      <c r="CC2" t="s">
        <v>453</v>
      </c>
      <c r="CD2" t="s">
        <v>322</v>
      </c>
      <c r="CE2" t="s">
        <v>323</v>
      </c>
      <c r="CF2" t="s">
        <v>324</v>
      </c>
      <c r="CG2" t="s">
        <v>325</v>
      </c>
      <c r="CH2" t="s">
        <v>326</v>
      </c>
      <c r="CI2" t="s">
        <v>327</v>
      </c>
      <c r="CJ2" t="s">
        <v>2424</v>
      </c>
      <c r="CK2" t="s">
        <v>328</v>
      </c>
      <c r="CL2" t="s">
        <v>329</v>
      </c>
      <c r="CM2" t="s">
        <v>2425</v>
      </c>
      <c r="CN2" t="s">
        <v>330</v>
      </c>
      <c r="CO2" t="s">
        <v>2426</v>
      </c>
      <c r="CP2" t="s">
        <v>331</v>
      </c>
      <c r="CQ2" t="s">
        <v>332</v>
      </c>
    </row>
    <row r="3" spans="1:95" x14ac:dyDescent="0.2">
      <c r="A3" t="s">
        <v>333</v>
      </c>
      <c r="B3">
        <v>1</v>
      </c>
      <c r="C3" s="1"/>
      <c r="AE3" s="1"/>
      <c r="AF3" t="s">
        <v>2427</v>
      </c>
      <c r="AG3" t="s">
        <v>2428</v>
      </c>
      <c r="AH3" t="s">
        <v>334</v>
      </c>
      <c r="AI3" s="20" t="s">
        <v>2429</v>
      </c>
      <c r="AJ3" t="s">
        <v>335</v>
      </c>
      <c r="AK3" t="s">
        <v>336</v>
      </c>
      <c r="AL3" t="s">
        <v>2430</v>
      </c>
      <c r="AM3" t="s">
        <v>454</v>
      </c>
      <c r="CI3" t="s">
        <v>337</v>
      </c>
      <c r="CJ3" t="s">
        <v>2431</v>
      </c>
      <c r="CK3">
        <v>45811</v>
      </c>
      <c r="CL3" t="s">
        <v>2430</v>
      </c>
      <c r="CM3" t="s">
        <v>2432</v>
      </c>
      <c r="CN3">
        <v>45811</v>
      </c>
      <c r="CP3" t="s">
        <v>338</v>
      </c>
      <c r="CQ3" t="s">
        <v>2433</v>
      </c>
    </row>
    <row r="4" spans="1:95" x14ac:dyDescent="0.2">
      <c r="A4" t="s">
        <v>333</v>
      </c>
      <c r="B4">
        <v>2</v>
      </c>
      <c r="C4" s="1"/>
      <c r="AE4" s="1"/>
      <c r="BR4" t="s">
        <v>2434</v>
      </c>
      <c r="BS4" t="s">
        <v>2435</v>
      </c>
      <c r="BT4" t="s">
        <v>335</v>
      </c>
      <c r="BU4" t="s">
        <v>2436</v>
      </c>
      <c r="BV4" t="s">
        <v>2437</v>
      </c>
      <c r="CI4" t="s">
        <v>337</v>
      </c>
      <c r="CJ4" t="s">
        <v>2431</v>
      </c>
      <c r="CK4">
        <v>45811</v>
      </c>
      <c r="CL4" t="s">
        <v>2430</v>
      </c>
      <c r="CM4" t="s">
        <v>2432</v>
      </c>
      <c r="CN4">
        <v>45811</v>
      </c>
      <c r="CP4" t="s">
        <v>338</v>
      </c>
      <c r="CQ4" t="s">
        <v>2433</v>
      </c>
    </row>
    <row r="5" spans="1:95" x14ac:dyDescent="0.2">
      <c r="A5" t="s">
        <v>333</v>
      </c>
      <c r="B5">
        <v>3</v>
      </c>
      <c r="C5" s="1"/>
      <c r="AE5" s="1"/>
      <c r="AN5" t="s">
        <v>2438</v>
      </c>
      <c r="AO5" t="s">
        <v>2439</v>
      </c>
      <c r="AP5" t="s">
        <v>335</v>
      </c>
      <c r="AQ5" t="s">
        <v>2440</v>
      </c>
      <c r="CI5" t="s">
        <v>337</v>
      </c>
      <c r="CJ5" t="s">
        <v>2431</v>
      </c>
      <c r="CK5">
        <v>45811</v>
      </c>
      <c r="CL5" t="s">
        <v>2430</v>
      </c>
      <c r="CM5" t="s">
        <v>2432</v>
      </c>
      <c r="CN5">
        <v>45811</v>
      </c>
      <c r="CP5" t="s">
        <v>338</v>
      </c>
      <c r="CQ5" t="s">
        <v>2433</v>
      </c>
    </row>
    <row r="6" spans="1:95" ht="25.5" x14ac:dyDescent="0.2">
      <c r="A6" t="s">
        <v>333</v>
      </c>
      <c r="B6">
        <v>4</v>
      </c>
      <c r="C6" s="1"/>
      <c r="AE6" s="1"/>
      <c r="AR6" t="s">
        <v>2441</v>
      </c>
      <c r="AS6">
        <v>5</v>
      </c>
      <c r="AT6">
        <v>5</v>
      </c>
      <c r="AU6" t="s">
        <v>2442</v>
      </c>
      <c r="AV6" s="19" t="s">
        <v>2443</v>
      </c>
      <c r="AW6" t="s">
        <v>2444</v>
      </c>
      <c r="AX6" t="s">
        <v>339</v>
      </c>
      <c r="AY6">
        <v>45811</v>
      </c>
      <c r="BA6" t="s">
        <v>499</v>
      </c>
      <c r="BB6" t="s">
        <v>2445</v>
      </c>
      <c r="BD6">
        <v>14308287</v>
      </c>
      <c r="BE6">
        <v>14308287</v>
      </c>
      <c r="BF6">
        <v>103126</v>
      </c>
      <c r="BG6">
        <v>103126</v>
      </c>
      <c r="BH6">
        <v>45811.651331018518</v>
      </c>
      <c r="BI6" t="s">
        <v>2446</v>
      </c>
      <c r="BJ6" t="s">
        <v>340</v>
      </c>
      <c r="BK6" t="s">
        <v>341</v>
      </c>
      <c r="BL6" t="s">
        <v>2447</v>
      </c>
      <c r="BM6" t="s">
        <v>456</v>
      </c>
      <c r="BN6">
        <v>45810</v>
      </c>
      <c r="BO6">
        <v>45811</v>
      </c>
      <c r="BP6" t="s">
        <v>2448</v>
      </c>
      <c r="BQ6" t="s">
        <v>455</v>
      </c>
      <c r="CI6" t="s">
        <v>337</v>
      </c>
      <c r="CJ6" t="s">
        <v>2431</v>
      </c>
      <c r="CK6">
        <v>45811</v>
      </c>
      <c r="CL6" t="s">
        <v>2430</v>
      </c>
      <c r="CM6" t="s">
        <v>2432</v>
      </c>
      <c r="CN6">
        <v>45811</v>
      </c>
      <c r="CP6" t="s">
        <v>338</v>
      </c>
      <c r="CQ6" t="s">
        <v>2433</v>
      </c>
    </row>
    <row r="7" spans="1:95" ht="25.5" x14ac:dyDescent="0.2">
      <c r="A7" t="s">
        <v>333</v>
      </c>
      <c r="B7">
        <v>4</v>
      </c>
      <c r="C7" s="1"/>
      <c r="K7" s="2"/>
      <c r="AE7" s="1"/>
      <c r="AR7" t="s">
        <v>2441</v>
      </c>
      <c r="AS7">
        <v>4</v>
      </c>
      <c r="AT7">
        <v>4</v>
      </c>
      <c r="AU7" t="s">
        <v>2442</v>
      </c>
      <c r="AV7" s="19" t="s">
        <v>2449</v>
      </c>
      <c r="AW7" t="s">
        <v>2450</v>
      </c>
      <c r="AX7" t="s">
        <v>339</v>
      </c>
      <c r="AY7" s="19">
        <v>45811</v>
      </c>
      <c r="BA7" t="s">
        <v>499</v>
      </c>
      <c r="BB7" t="s">
        <v>2445</v>
      </c>
      <c r="BD7">
        <v>14308287</v>
      </c>
      <c r="BF7">
        <v>103126</v>
      </c>
      <c r="BH7">
        <v>45811.651331018518</v>
      </c>
      <c r="BI7" t="s">
        <v>2446</v>
      </c>
      <c r="BJ7" t="s">
        <v>340</v>
      </c>
      <c r="BK7" t="s">
        <v>341</v>
      </c>
      <c r="BL7" t="s">
        <v>2447</v>
      </c>
      <c r="BM7" t="s">
        <v>456</v>
      </c>
      <c r="BN7">
        <v>45810</v>
      </c>
      <c r="BO7">
        <v>45811</v>
      </c>
      <c r="BP7" t="s">
        <v>2448</v>
      </c>
      <c r="BQ7" t="s">
        <v>455</v>
      </c>
      <c r="CB7" s="19"/>
      <c r="CI7" t="s">
        <v>337</v>
      </c>
      <c r="CJ7" t="s">
        <v>2431</v>
      </c>
      <c r="CK7">
        <v>45811</v>
      </c>
      <c r="CL7" t="s">
        <v>2430</v>
      </c>
      <c r="CM7" t="s">
        <v>2432</v>
      </c>
      <c r="CN7">
        <v>45811</v>
      </c>
      <c r="CP7" t="s">
        <v>338</v>
      </c>
      <c r="CQ7" t="s">
        <v>2433</v>
      </c>
    </row>
    <row r="8" spans="1:95" ht="38.25" x14ac:dyDescent="0.2">
      <c r="A8" t="s">
        <v>333</v>
      </c>
      <c r="B8">
        <v>4</v>
      </c>
      <c r="C8" s="1"/>
      <c r="AE8" s="1"/>
      <c r="AR8" t="s">
        <v>2441</v>
      </c>
      <c r="AS8">
        <v>6</v>
      </c>
      <c r="AT8">
        <v>6</v>
      </c>
      <c r="AU8" t="s">
        <v>2442</v>
      </c>
      <c r="AV8" s="19" t="s">
        <v>2451</v>
      </c>
      <c r="AW8" t="s">
        <v>2452</v>
      </c>
      <c r="AX8" t="s">
        <v>339</v>
      </c>
      <c r="AY8" s="19">
        <v>45811</v>
      </c>
      <c r="BA8" t="s">
        <v>499</v>
      </c>
      <c r="BB8" t="s">
        <v>2445</v>
      </c>
      <c r="BD8">
        <v>14308287</v>
      </c>
      <c r="BF8">
        <v>103126</v>
      </c>
      <c r="BH8">
        <v>45811.651331018518</v>
      </c>
      <c r="BI8" t="s">
        <v>2446</v>
      </c>
      <c r="BJ8" t="s">
        <v>340</v>
      </c>
      <c r="BK8" t="s">
        <v>341</v>
      </c>
      <c r="BL8" t="s">
        <v>2447</v>
      </c>
      <c r="BM8" t="s">
        <v>456</v>
      </c>
      <c r="BN8">
        <v>45810</v>
      </c>
      <c r="BO8">
        <v>45811</v>
      </c>
      <c r="BP8" t="s">
        <v>2448</v>
      </c>
      <c r="BQ8" t="s">
        <v>455</v>
      </c>
      <c r="CB8" s="19"/>
      <c r="CI8" t="s">
        <v>337</v>
      </c>
      <c r="CJ8" t="s">
        <v>2431</v>
      </c>
      <c r="CK8">
        <v>45811</v>
      </c>
      <c r="CL8" t="s">
        <v>2430</v>
      </c>
      <c r="CM8" t="s">
        <v>2432</v>
      </c>
      <c r="CN8">
        <v>45811</v>
      </c>
      <c r="CP8" t="s">
        <v>338</v>
      </c>
      <c r="CQ8" t="s">
        <v>2433</v>
      </c>
    </row>
    <row r="9" spans="1:95" ht="25.5" x14ac:dyDescent="0.2">
      <c r="A9" t="s">
        <v>333</v>
      </c>
      <c r="B9">
        <v>5</v>
      </c>
      <c r="C9" s="1"/>
      <c r="AE9" s="1"/>
      <c r="AY9" s="19"/>
      <c r="BW9" t="s">
        <v>2453</v>
      </c>
      <c r="BX9" s="20" t="s">
        <v>2454</v>
      </c>
      <c r="BY9" t="s">
        <v>335</v>
      </c>
      <c r="BZ9" t="s">
        <v>2449</v>
      </c>
      <c r="CA9">
        <v>45810</v>
      </c>
      <c r="CB9" s="19" t="s">
        <v>2445</v>
      </c>
      <c r="CC9" t="s">
        <v>2455</v>
      </c>
      <c r="CE9" t="s">
        <v>2456</v>
      </c>
      <c r="CF9" t="s">
        <v>2457</v>
      </c>
      <c r="CG9">
        <v>45810</v>
      </c>
      <c r="CH9" t="s">
        <v>457</v>
      </c>
      <c r="CI9" t="s">
        <v>337</v>
      </c>
      <c r="CJ9" t="s">
        <v>2431</v>
      </c>
      <c r="CK9">
        <v>45811</v>
      </c>
      <c r="CL9" t="s">
        <v>2430</v>
      </c>
      <c r="CM9" t="s">
        <v>2432</v>
      </c>
      <c r="CN9">
        <v>45811</v>
      </c>
      <c r="CP9" t="s">
        <v>338</v>
      </c>
      <c r="CQ9" t="s">
        <v>2433</v>
      </c>
    </row>
    <row r="10" spans="1:95" ht="25.5" x14ac:dyDescent="0.2">
      <c r="A10" t="s">
        <v>333</v>
      </c>
      <c r="B10">
        <v>5</v>
      </c>
      <c r="C10" s="1"/>
      <c r="AE10" s="1"/>
      <c r="AY10" s="19"/>
      <c r="BW10" t="s">
        <v>2453</v>
      </c>
      <c r="BX10" s="20" t="s">
        <v>2454</v>
      </c>
      <c r="BY10" t="s">
        <v>335</v>
      </c>
      <c r="BZ10" t="s">
        <v>2449</v>
      </c>
      <c r="CA10">
        <v>45810</v>
      </c>
      <c r="CB10" s="19" t="s">
        <v>2445</v>
      </c>
      <c r="CC10" t="s">
        <v>2458</v>
      </c>
      <c r="CE10" t="s">
        <v>2456</v>
      </c>
      <c r="CF10" t="s">
        <v>2457</v>
      </c>
      <c r="CG10">
        <v>45810</v>
      </c>
      <c r="CH10" t="s">
        <v>457</v>
      </c>
      <c r="CI10" t="s">
        <v>337</v>
      </c>
      <c r="CJ10" t="s">
        <v>2431</v>
      </c>
      <c r="CK10">
        <v>45811</v>
      </c>
      <c r="CL10" t="s">
        <v>2430</v>
      </c>
      <c r="CM10" t="s">
        <v>2432</v>
      </c>
      <c r="CN10">
        <v>45811</v>
      </c>
      <c r="CP10" t="s">
        <v>338</v>
      </c>
      <c r="CQ10" t="s">
        <v>2433</v>
      </c>
    </row>
    <row r="11" spans="1:95" ht="25.5" x14ac:dyDescent="0.2">
      <c r="A11" t="s">
        <v>333</v>
      </c>
      <c r="B11">
        <v>5</v>
      </c>
      <c r="C11" s="1"/>
      <c r="AE11" s="1"/>
      <c r="AY11" s="19"/>
      <c r="BW11" t="s">
        <v>2453</v>
      </c>
      <c r="BX11" s="20" t="s">
        <v>2454</v>
      </c>
      <c r="BY11" t="s">
        <v>335</v>
      </c>
      <c r="BZ11" t="s">
        <v>2449</v>
      </c>
      <c r="CA11">
        <v>45810</v>
      </c>
      <c r="CB11" s="19" t="s">
        <v>2445</v>
      </c>
      <c r="CC11" t="s">
        <v>2459</v>
      </c>
      <c r="CE11" t="s">
        <v>2456</v>
      </c>
      <c r="CF11" t="s">
        <v>2457</v>
      </c>
      <c r="CG11">
        <v>45810</v>
      </c>
      <c r="CH11" t="s">
        <v>457</v>
      </c>
      <c r="CI11" t="s">
        <v>337</v>
      </c>
      <c r="CJ11" t="s">
        <v>2431</v>
      </c>
      <c r="CK11">
        <v>45811</v>
      </c>
      <c r="CL11" t="s">
        <v>2430</v>
      </c>
      <c r="CM11" t="s">
        <v>2432</v>
      </c>
      <c r="CN11">
        <v>45811</v>
      </c>
      <c r="CP11" t="s">
        <v>338</v>
      </c>
      <c r="CQ11" t="s">
        <v>2433</v>
      </c>
    </row>
    <row r="12" spans="1:95" ht="25.5" x14ac:dyDescent="0.2">
      <c r="A12" t="s">
        <v>333</v>
      </c>
      <c r="B12">
        <v>5</v>
      </c>
      <c r="C12" s="1"/>
      <c r="AE12" s="1"/>
      <c r="AY12" s="19"/>
      <c r="BW12" t="s">
        <v>2453</v>
      </c>
      <c r="BX12" s="20" t="s">
        <v>2454</v>
      </c>
      <c r="BY12" t="s">
        <v>335</v>
      </c>
      <c r="BZ12" t="s">
        <v>2449</v>
      </c>
      <c r="CA12">
        <v>45810</v>
      </c>
      <c r="CB12" s="19" t="s">
        <v>2445</v>
      </c>
      <c r="CC12" t="s">
        <v>2460</v>
      </c>
      <c r="CE12" t="s">
        <v>2456</v>
      </c>
      <c r="CF12" t="s">
        <v>2457</v>
      </c>
      <c r="CG12">
        <v>45810</v>
      </c>
      <c r="CH12" t="s">
        <v>457</v>
      </c>
      <c r="CI12" t="s">
        <v>337</v>
      </c>
      <c r="CJ12" t="s">
        <v>2431</v>
      </c>
      <c r="CK12">
        <v>45811</v>
      </c>
      <c r="CL12" t="s">
        <v>2430</v>
      </c>
      <c r="CM12" t="s">
        <v>2432</v>
      </c>
      <c r="CN12">
        <v>45811</v>
      </c>
      <c r="CP12" t="s">
        <v>338</v>
      </c>
      <c r="CQ12" t="s">
        <v>2433</v>
      </c>
    </row>
    <row r="13" spans="1:95" ht="25.5" x14ac:dyDescent="0.2">
      <c r="A13" t="s">
        <v>333</v>
      </c>
      <c r="B13">
        <v>5</v>
      </c>
      <c r="C13" s="1"/>
      <c r="AE13" s="1"/>
      <c r="AY13" s="19"/>
      <c r="BW13" t="s">
        <v>2453</v>
      </c>
      <c r="BX13" s="20" t="s">
        <v>2454</v>
      </c>
      <c r="BY13" t="s">
        <v>335</v>
      </c>
      <c r="BZ13" t="s">
        <v>2449</v>
      </c>
      <c r="CA13">
        <v>45810</v>
      </c>
      <c r="CB13" s="19" t="s">
        <v>2445</v>
      </c>
      <c r="CC13" t="s">
        <v>2461</v>
      </c>
      <c r="CE13" t="s">
        <v>2456</v>
      </c>
      <c r="CF13" t="s">
        <v>2457</v>
      </c>
      <c r="CG13">
        <v>45810</v>
      </c>
      <c r="CH13" t="s">
        <v>457</v>
      </c>
      <c r="CI13" t="s">
        <v>337</v>
      </c>
      <c r="CJ13" t="s">
        <v>2431</v>
      </c>
      <c r="CK13">
        <v>45811</v>
      </c>
      <c r="CL13" t="s">
        <v>2430</v>
      </c>
      <c r="CM13" t="s">
        <v>2432</v>
      </c>
      <c r="CN13">
        <v>45811</v>
      </c>
      <c r="CP13" t="s">
        <v>338</v>
      </c>
      <c r="CQ13" t="s">
        <v>2433</v>
      </c>
    </row>
    <row r="14" spans="1:95" ht="25.5" x14ac:dyDescent="0.2">
      <c r="A14" t="s">
        <v>333</v>
      </c>
      <c r="B14">
        <v>5</v>
      </c>
      <c r="C14" s="1"/>
      <c r="AE14" s="1"/>
      <c r="AY14" s="19"/>
      <c r="BW14" t="s">
        <v>2453</v>
      </c>
      <c r="BX14" s="20" t="s">
        <v>2454</v>
      </c>
      <c r="BY14" t="s">
        <v>335</v>
      </c>
      <c r="BZ14" t="s">
        <v>2449</v>
      </c>
      <c r="CA14">
        <v>45810</v>
      </c>
      <c r="CB14" s="19" t="s">
        <v>2445</v>
      </c>
      <c r="CC14" t="s">
        <v>2462</v>
      </c>
      <c r="CE14" t="s">
        <v>2456</v>
      </c>
      <c r="CF14" t="s">
        <v>2457</v>
      </c>
      <c r="CG14">
        <v>45810</v>
      </c>
      <c r="CH14" t="s">
        <v>457</v>
      </c>
      <c r="CI14" t="s">
        <v>337</v>
      </c>
      <c r="CJ14" t="s">
        <v>2431</v>
      </c>
      <c r="CK14">
        <v>45811</v>
      </c>
      <c r="CL14" t="s">
        <v>2430</v>
      </c>
      <c r="CM14" t="s">
        <v>2432</v>
      </c>
      <c r="CN14">
        <v>45811</v>
      </c>
      <c r="CP14" t="s">
        <v>338</v>
      </c>
      <c r="CQ14" t="s">
        <v>2433</v>
      </c>
    </row>
    <row r="15" spans="1:95" ht="25.5" x14ac:dyDescent="0.2">
      <c r="A15" s="3" t="s">
        <v>333</v>
      </c>
      <c r="B15">
        <v>5</v>
      </c>
      <c r="C15" s="1"/>
      <c r="AE15" s="1"/>
      <c r="AY15" s="19"/>
      <c r="BW15" t="s">
        <v>2453</v>
      </c>
      <c r="BX15" s="20" t="s">
        <v>2454</v>
      </c>
      <c r="BY15" t="s">
        <v>335</v>
      </c>
      <c r="BZ15" t="s">
        <v>2449</v>
      </c>
      <c r="CA15">
        <v>45810</v>
      </c>
      <c r="CB15" s="19" t="s">
        <v>2445</v>
      </c>
      <c r="CC15" t="s">
        <v>2463</v>
      </c>
      <c r="CE15" t="s">
        <v>2456</v>
      </c>
      <c r="CF15" t="s">
        <v>2457</v>
      </c>
      <c r="CG15">
        <v>45810</v>
      </c>
      <c r="CH15" t="s">
        <v>457</v>
      </c>
      <c r="CI15" t="s">
        <v>337</v>
      </c>
      <c r="CJ15" t="s">
        <v>2431</v>
      </c>
      <c r="CK15">
        <v>45811</v>
      </c>
      <c r="CL15" t="s">
        <v>2430</v>
      </c>
      <c r="CM15" t="s">
        <v>2432</v>
      </c>
      <c r="CN15">
        <v>45811</v>
      </c>
      <c r="CP15" t="s">
        <v>338</v>
      </c>
      <c r="CQ15" t="s">
        <v>2433</v>
      </c>
    </row>
    <row r="16" spans="1:95" ht="25.5" x14ac:dyDescent="0.2">
      <c r="A16" t="s">
        <v>333</v>
      </c>
      <c r="B16">
        <v>5</v>
      </c>
      <c r="C16" s="1"/>
      <c r="AE16" s="1"/>
      <c r="AY16" s="19"/>
      <c r="BB16" s="20"/>
      <c r="BP16" s="20"/>
      <c r="BW16" t="s">
        <v>2453</v>
      </c>
      <c r="BX16" s="20" t="s">
        <v>2454</v>
      </c>
      <c r="BY16" t="s">
        <v>335</v>
      </c>
      <c r="BZ16" t="s">
        <v>2449</v>
      </c>
      <c r="CA16">
        <v>45810</v>
      </c>
      <c r="CB16" s="19" t="s">
        <v>2445</v>
      </c>
      <c r="CC16" t="s">
        <v>2464</v>
      </c>
      <c r="CE16" t="s">
        <v>2456</v>
      </c>
      <c r="CF16" t="s">
        <v>2457</v>
      </c>
      <c r="CG16">
        <v>45810</v>
      </c>
      <c r="CH16" t="s">
        <v>457</v>
      </c>
      <c r="CI16" t="s">
        <v>337</v>
      </c>
      <c r="CJ16" t="s">
        <v>2431</v>
      </c>
      <c r="CK16">
        <v>45811</v>
      </c>
      <c r="CL16" t="s">
        <v>2430</v>
      </c>
      <c r="CM16" t="s">
        <v>2432</v>
      </c>
      <c r="CN16">
        <v>45811</v>
      </c>
      <c r="CP16" t="s">
        <v>338</v>
      </c>
      <c r="CQ16" t="s">
        <v>2433</v>
      </c>
    </row>
    <row r="17" spans="1:95" ht="25.5" x14ac:dyDescent="0.2">
      <c r="A17" t="s">
        <v>333</v>
      </c>
      <c r="B17">
        <v>5</v>
      </c>
      <c r="C17" s="1"/>
      <c r="AE17" s="1"/>
      <c r="AY17" s="19"/>
      <c r="BW17" t="s">
        <v>2453</v>
      </c>
      <c r="BX17" s="20" t="s">
        <v>2454</v>
      </c>
      <c r="BY17" t="s">
        <v>335</v>
      </c>
      <c r="BZ17" t="s">
        <v>2449</v>
      </c>
      <c r="CA17">
        <v>45810</v>
      </c>
      <c r="CB17" s="19" t="s">
        <v>2445</v>
      </c>
      <c r="CC17" t="s">
        <v>2465</v>
      </c>
      <c r="CE17" t="s">
        <v>2456</v>
      </c>
      <c r="CF17" t="s">
        <v>2457</v>
      </c>
      <c r="CG17">
        <v>45810</v>
      </c>
      <c r="CH17" t="s">
        <v>457</v>
      </c>
      <c r="CI17" t="s">
        <v>337</v>
      </c>
      <c r="CJ17" t="s">
        <v>2431</v>
      </c>
      <c r="CK17">
        <v>45811</v>
      </c>
      <c r="CL17" t="s">
        <v>2430</v>
      </c>
      <c r="CM17" t="s">
        <v>2432</v>
      </c>
      <c r="CN17">
        <v>45811</v>
      </c>
      <c r="CP17" t="s">
        <v>338</v>
      </c>
      <c r="CQ17" t="s">
        <v>2433</v>
      </c>
    </row>
    <row r="18" spans="1:95" ht="25.5" x14ac:dyDescent="0.2">
      <c r="A18" t="s">
        <v>333</v>
      </c>
      <c r="B18">
        <v>5</v>
      </c>
      <c r="C18" s="1"/>
      <c r="AE18" s="1"/>
      <c r="AY18" s="19"/>
      <c r="BW18" t="s">
        <v>2453</v>
      </c>
      <c r="BX18" s="20" t="s">
        <v>2454</v>
      </c>
      <c r="BY18" t="s">
        <v>335</v>
      </c>
      <c r="BZ18" t="s">
        <v>2449</v>
      </c>
      <c r="CA18">
        <v>45810</v>
      </c>
      <c r="CB18" s="19" t="s">
        <v>2445</v>
      </c>
      <c r="CC18" t="s">
        <v>2466</v>
      </c>
      <c r="CE18" t="s">
        <v>2456</v>
      </c>
      <c r="CF18" t="s">
        <v>2457</v>
      </c>
      <c r="CG18">
        <v>45810</v>
      </c>
      <c r="CH18" t="s">
        <v>457</v>
      </c>
      <c r="CI18" t="s">
        <v>337</v>
      </c>
      <c r="CJ18" t="s">
        <v>2431</v>
      </c>
      <c r="CK18">
        <v>45811</v>
      </c>
      <c r="CL18" t="s">
        <v>2430</v>
      </c>
      <c r="CM18" t="s">
        <v>2432</v>
      </c>
      <c r="CN18">
        <v>45811</v>
      </c>
      <c r="CP18" t="s">
        <v>338</v>
      </c>
      <c r="CQ18" t="s">
        <v>2433</v>
      </c>
    </row>
    <row r="19" spans="1:95" ht="25.5" x14ac:dyDescent="0.2">
      <c r="A19" t="s">
        <v>333</v>
      </c>
      <c r="B19">
        <v>5</v>
      </c>
      <c r="C19" s="1"/>
      <c r="AE19" s="1"/>
      <c r="AY19" s="19"/>
      <c r="BW19" t="s">
        <v>2453</v>
      </c>
      <c r="BX19" s="20" t="s">
        <v>2454</v>
      </c>
      <c r="BY19" t="s">
        <v>335</v>
      </c>
      <c r="BZ19" t="s">
        <v>2449</v>
      </c>
      <c r="CA19">
        <v>45810</v>
      </c>
      <c r="CB19" s="19" t="s">
        <v>2445</v>
      </c>
      <c r="CC19" t="s">
        <v>2467</v>
      </c>
      <c r="CE19" t="s">
        <v>2456</v>
      </c>
      <c r="CF19" t="s">
        <v>2457</v>
      </c>
      <c r="CG19">
        <v>45810</v>
      </c>
      <c r="CH19" t="s">
        <v>457</v>
      </c>
      <c r="CI19" t="s">
        <v>337</v>
      </c>
      <c r="CJ19" t="s">
        <v>2431</v>
      </c>
      <c r="CK19">
        <v>45811</v>
      </c>
      <c r="CL19" t="s">
        <v>2430</v>
      </c>
      <c r="CM19" t="s">
        <v>2432</v>
      </c>
      <c r="CN19">
        <v>45811</v>
      </c>
      <c r="CP19" t="s">
        <v>338</v>
      </c>
      <c r="CQ19" t="s">
        <v>2433</v>
      </c>
    </row>
    <row r="20" spans="1:95" ht="25.5" x14ac:dyDescent="0.2">
      <c r="A20" t="s">
        <v>333</v>
      </c>
      <c r="B20">
        <v>5</v>
      </c>
      <c r="C20" s="1"/>
      <c r="AE20" s="1"/>
      <c r="AY20" s="19"/>
      <c r="BW20" t="s">
        <v>2453</v>
      </c>
      <c r="BX20" s="20" t="s">
        <v>2454</v>
      </c>
      <c r="BY20" t="s">
        <v>335</v>
      </c>
      <c r="BZ20" t="s">
        <v>2449</v>
      </c>
      <c r="CA20">
        <v>45810</v>
      </c>
      <c r="CB20" s="19" t="s">
        <v>2445</v>
      </c>
      <c r="CC20" t="s">
        <v>2468</v>
      </c>
      <c r="CE20" t="s">
        <v>2456</v>
      </c>
      <c r="CF20" t="s">
        <v>2457</v>
      </c>
      <c r="CG20">
        <v>45810</v>
      </c>
      <c r="CH20" t="s">
        <v>457</v>
      </c>
      <c r="CI20" t="s">
        <v>337</v>
      </c>
      <c r="CJ20" t="s">
        <v>2431</v>
      </c>
      <c r="CK20">
        <v>45811</v>
      </c>
      <c r="CL20" t="s">
        <v>2430</v>
      </c>
      <c r="CM20" t="s">
        <v>2432</v>
      </c>
      <c r="CN20">
        <v>45811</v>
      </c>
      <c r="CP20" t="s">
        <v>338</v>
      </c>
      <c r="CQ20" t="s">
        <v>2433</v>
      </c>
    </row>
    <row r="21" spans="1:95" ht="25.5" x14ac:dyDescent="0.2">
      <c r="A21" t="s">
        <v>333</v>
      </c>
      <c r="B21">
        <v>5</v>
      </c>
      <c r="C21" s="1"/>
      <c r="AE21" s="1"/>
      <c r="AY21" s="19"/>
      <c r="BW21" t="s">
        <v>2453</v>
      </c>
      <c r="BX21" s="20" t="s">
        <v>2454</v>
      </c>
      <c r="BY21" t="s">
        <v>335</v>
      </c>
      <c r="BZ21" t="s">
        <v>2449</v>
      </c>
      <c r="CA21">
        <v>45810</v>
      </c>
      <c r="CB21" s="19" t="s">
        <v>2445</v>
      </c>
      <c r="CC21" t="s">
        <v>2469</v>
      </c>
      <c r="CE21" t="s">
        <v>2456</v>
      </c>
      <c r="CF21" t="s">
        <v>2457</v>
      </c>
      <c r="CG21">
        <v>45810</v>
      </c>
      <c r="CH21" t="s">
        <v>457</v>
      </c>
      <c r="CI21" t="s">
        <v>337</v>
      </c>
      <c r="CJ21" t="s">
        <v>2431</v>
      </c>
      <c r="CK21">
        <v>45811</v>
      </c>
      <c r="CL21" t="s">
        <v>2430</v>
      </c>
      <c r="CM21" t="s">
        <v>2432</v>
      </c>
      <c r="CN21">
        <v>45811</v>
      </c>
      <c r="CP21" t="s">
        <v>338</v>
      </c>
      <c r="CQ21" t="s">
        <v>2433</v>
      </c>
    </row>
    <row r="22" spans="1:95" ht="25.5" x14ac:dyDescent="0.2">
      <c r="A22" t="s">
        <v>333</v>
      </c>
      <c r="B22">
        <v>5</v>
      </c>
      <c r="C22" s="1"/>
      <c r="AE22" s="1"/>
      <c r="AY22" s="19"/>
      <c r="BW22" t="s">
        <v>2453</v>
      </c>
      <c r="BX22" s="20" t="s">
        <v>2454</v>
      </c>
      <c r="BY22" t="s">
        <v>335</v>
      </c>
      <c r="BZ22" t="s">
        <v>2449</v>
      </c>
      <c r="CA22">
        <v>45810</v>
      </c>
      <c r="CB22" s="19" t="s">
        <v>2445</v>
      </c>
      <c r="CC22" t="s">
        <v>2470</v>
      </c>
      <c r="CE22" t="s">
        <v>2456</v>
      </c>
      <c r="CF22" t="s">
        <v>2457</v>
      </c>
      <c r="CG22">
        <v>45810</v>
      </c>
      <c r="CH22" t="s">
        <v>457</v>
      </c>
      <c r="CI22" t="s">
        <v>337</v>
      </c>
      <c r="CJ22" t="s">
        <v>2431</v>
      </c>
      <c r="CK22">
        <v>45811</v>
      </c>
      <c r="CL22" t="s">
        <v>2430</v>
      </c>
      <c r="CM22" t="s">
        <v>2432</v>
      </c>
      <c r="CN22">
        <v>45811</v>
      </c>
      <c r="CP22" t="s">
        <v>338</v>
      </c>
      <c r="CQ22" t="s">
        <v>2433</v>
      </c>
    </row>
    <row r="23" spans="1:95" ht="25.5" x14ac:dyDescent="0.2">
      <c r="A23" t="s">
        <v>333</v>
      </c>
      <c r="B23">
        <v>5</v>
      </c>
      <c r="C23" s="1"/>
      <c r="AE23" s="1"/>
      <c r="AY23" s="19"/>
      <c r="BW23" t="s">
        <v>2453</v>
      </c>
      <c r="BX23" s="20" t="s">
        <v>2454</v>
      </c>
      <c r="BY23" t="s">
        <v>335</v>
      </c>
      <c r="BZ23" t="s">
        <v>2449</v>
      </c>
      <c r="CA23">
        <v>45810</v>
      </c>
      <c r="CB23" s="19" t="s">
        <v>2445</v>
      </c>
      <c r="CC23" t="s">
        <v>2471</v>
      </c>
      <c r="CE23" t="s">
        <v>2456</v>
      </c>
      <c r="CF23" t="s">
        <v>2457</v>
      </c>
      <c r="CG23">
        <v>45810</v>
      </c>
      <c r="CH23" t="s">
        <v>457</v>
      </c>
      <c r="CI23" t="s">
        <v>337</v>
      </c>
      <c r="CJ23" t="s">
        <v>2431</v>
      </c>
      <c r="CK23">
        <v>45811</v>
      </c>
      <c r="CL23" t="s">
        <v>2430</v>
      </c>
      <c r="CM23" t="s">
        <v>2432</v>
      </c>
      <c r="CN23">
        <v>45811</v>
      </c>
      <c r="CP23" t="s">
        <v>338</v>
      </c>
      <c r="CQ23" t="s">
        <v>2433</v>
      </c>
    </row>
    <row r="24" spans="1:95" ht="25.5" x14ac:dyDescent="0.2">
      <c r="A24" t="s">
        <v>333</v>
      </c>
      <c r="B24">
        <v>5</v>
      </c>
      <c r="C24" s="1"/>
      <c r="AE24" s="1"/>
      <c r="AY24" s="19"/>
      <c r="BW24" t="s">
        <v>2453</v>
      </c>
      <c r="BX24" s="20" t="s">
        <v>2454</v>
      </c>
      <c r="BY24" t="s">
        <v>335</v>
      </c>
      <c r="BZ24" t="s">
        <v>2449</v>
      </c>
      <c r="CA24">
        <v>45810</v>
      </c>
      <c r="CB24" s="19" t="s">
        <v>2445</v>
      </c>
      <c r="CC24" t="s">
        <v>2472</v>
      </c>
      <c r="CE24" t="s">
        <v>2456</v>
      </c>
      <c r="CF24" t="s">
        <v>2457</v>
      </c>
      <c r="CG24">
        <v>45810</v>
      </c>
      <c r="CH24" t="s">
        <v>457</v>
      </c>
      <c r="CI24" t="s">
        <v>337</v>
      </c>
      <c r="CJ24" t="s">
        <v>2431</v>
      </c>
      <c r="CK24">
        <v>45811</v>
      </c>
      <c r="CL24" t="s">
        <v>2430</v>
      </c>
      <c r="CM24" t="s">
        <v>2432</v>
      </c>
      <c r="CN24">
        <v>45811</v>
      </c>
      <c r="CP24" t="s">
        <v>338</v>
      </c>
      <c r="CQ24" t="s">
        <v>2433</v>
      </c>
    </row>
    <row r="25" spans="1:95" ht="25.5" x14ac:dyDescent="0.2">
      <c r="A25" t="s">
        <v>333</v>
      </c>
      <c r="B25">
        <v>5</v>
      </c>
      <c r="C25" s="1"/>
      <c r="AE25" s="1"/>
      <c r="AY25" s="19"/>
      <c r="BW25" t="s">
        <v>2453</v>
      </c>
      <c r="BX25" s="20" t="s">
        <v>2454</v>
      </c>
      <c r="BY25" t="s">
        <v>335</v>
      </c>
      <c r="BZ25" t="s">
        <v>2449</v>
      </c>
      <c r="CA25">
        <v>45810</v>
      </c>
      <c r="CB25" s="19" t="s">
        <v>2445</v>
      </c>
      <c r="CC25" t="s">
        <v>2473</v>
      </c>
      <c r="CE25" t="s">
        <v>2456</v>
      </c>
      <c r="CF25" t="s">
        <v>2457</v>
      </c>
      <c r="CG25">
        <v>45810</v>
      </c>
      <c r="CH25" t="s">
        <v>457</v>
      </c>
      <c r="CI25" t="s">
        <v>337</v>
      </c>
      <c r="CJ25" t="s">
        <v>2431</v>
      </c>
      <c r="CK25">
        <v>45811</v>
      </c>
      <c r="CL25" t="s">
        <v>2430</v>
      </c>
      <c r="CM25" t="s">
        <v>2432</v>
      </c>
      <c r="CN25">
        <v>45811</v>
      </c>
      <c r="CP25" t="s">
        <v>338</v>
      </c>
      <c r="CQ25" t="s">
        <v>2433</v>
      </c>
    </row>
    <row r="26" spans="1:95" ht="25.5" x14ac:dyDescent="0.2">
      <c r="A26" t="s">
        <v>333</v>
      </c>
      <c r="B26">
        <v>5</v>
      </c>
      <c r="C26" s="1"/>
      <c r="AE26" s="1"/>
      <c r="AY26" s="19"/>
      <c r="BW26" t="s">
        <v>2453</v>
      </c>
      <c r="BX26" s="20" t="s">
        <v>2454</v>
      </c>
      <c r="BY26" t="s">
        <v>335</v>
      </c>
      <c r="BZ26" t="s">
        <v>2449</v>
      </c>
      <c r="CA26">
        <v>45810</v>
      </c>
      <c r="CB26" s="19" t="s">
        <v>2445</v>
      </c>
      <c r="CC26" t="s">
        <v>2474</v>
      </c>
      <c r="CE26" t="s">
        <v>2456</v>
      </c>
      <c r="CF26" t="s">
        <v>2457</v>
      </c>
      <c r="CG26">
        <v>45810</v>
      </c>
      <c r="CH26" t="s">
        <v>457</v>
      </c>
      <c r="CI26" t="s">
        <v>337</v>
      </c>
      <c r="CJ26" t="s">
        <v>2431</v>
      </c>
      <c r="CK26">
        <v>45811</v>
      </c>
      <c r="CL26" t="s">
        <v>2430</v>
      </c>
      <c r="CM26" t="s">
        <v>2432</v>
      </c>
      <c r="CN26">
        <v>45811</v>
      </c>
      <c r="CP26" t="s">
        <v>338</v>
      </c>
      <c r="CQ26" t="s">
        <v>2433</v>
      </c>
    </row>
    <row r="27" spans="1:95" ht="25.5" x14ac:dyDescent="0.2">
      <c r="A27" t="s">
        <v>333</v>
      </c>
      <c r="B27">
        <v>5</v>
      </c>
      <c r="C27" s="1"/>
      <c r="AE27" s="1"/>
      <c r="AY27" s="19"/>
      <c r="BW27" t="s">
        <v>2453</v>
      </c>
      <c r="BX27" s="20" t="s">
        <v>2454</v>
      </c>
      <c r="BY27" t="s">
        <v>335</v>
      </c>
      <c r="BZ27" t="s">
        <v>2449</v>
      </c>
      <c r="CA27">
        <v>45810</v>
      </c>
      <c r="CB27" s="19" t="s">
        <v>2445</v>
      </c>
      <c r="CC27" t="s">
        <v>2475</v>
      </c>
      <c r="CE27" t="s">
        <v>2456</v>
      </c>
      <c r="CF27" t="s">
        <v>2457</v>
      </c>
      <c r="CG27">
        <v>45810</v>
      </c>
      <c r="CH27" t="s">
        <v>457</v>
      </c>
      <c r="CI27" t="s">
        <v>337</v>
      </c>
      <c r="CJ27" t="s">
        <v>2431</v>
      </c>
      <c r="CK27">
        <v>45811</v>
      </c>
      <c r="CL27" t="s">
        <v>2430</v>
      </c>
      <c r="CM27" t="s">
        <v>2432</v>
      </c>
      <c r="CN27">
        <v>45811</v>
      </c>
      <c r="CP27" t="s">
        <v>338</v>
      </c>
      <c r="CQ27" t="s">
        <v>2433</v>
      </c>
    </row>
    <row r="28" spans="1:95" ht="25.5" x14ac:dyDescent="0.2">
      <c r="A28" t="s">
        <v>333</v>
      </c>
      <c r="B28">
        <v>5</v>
      </c>
      <c r="C28" s="1"/>
      <c r="AE28" s="1"/>
      <c r="AY28" s="19"/>
      <c r="BW28" t="s">
        <v>2453</v>
      </c>
      <c r="BX28" s="20" t="s">
        <v>2454</v>
      </c>
      <c r="BY28" t="s">
        <v>335</v>
      </c>
      <c r="BZ28" t="s">
        <v>2449</v>
      </c>
      <c r="CA28">
        <v>45810</v>
      </c>
      <c r="CB28" s="19" t="s">
        <v>2445</v>
      </c>
      <c r="CC28" t="s">
        <v>2476</v>
      </c>
      <c r="CE28" t="s">
        <v>2456</v>
      </c>
      <c r="CF28" t="s">
        <v>2457</v>
      </c>
      <c r="CG28">
        <v>45810</v>
      </c>
      <c r="CH28" t="s">
        <v>457</v>
      </c>
      <c r="CI28" t="s">
        <v>337</v>
      </c>
      <c r="CJ28" t="s">
        <v>2431</v>
      </c>
      <c r="CK28">
        <v>45811</v>
      </c>
      <c r="CL28" t="s">
        <v>2430</v>
      </c>
      <c r="CM28" t="s">
        <v>2432</v>
      </c>
      <c r="CN28">
        <v>45811</v>
      </c>
      <c r="CP28" t="s">
        <v>338</v>
      </c>
      <c r="CQ28" t="s">
        <v>2433</v>
      </c>
    </row>
    <row r="29" spans="1:95" ht="25.5" x14ac:dyDescent="0.2">
      <c r="A29" t="s">
        <v>333</v>
      </c>
      <c r="B29">
        <v>5</v>
      </c>
      <c r="C29" s="1"/>
      <c r="AE29" s="1"/>
      <c r="AY29" s="19"/>
      <c r="BW29" t="s">
        <v>2453</v>
      </c>
      <c r="BX29" s="20" t="s">
        <v>2454</v>
      </c>
      <c r="BY29" t="s">
        <v>335</v>
      </c>
      <c r="BZ29" t="s">
        <v>2449</v>
      </c>
      <c r="CA29">
        <v>45810</v>
      </c>
      <c r="CB29" s="19" t="s">
        <v>2445</v>
      </c>
      <c r="CC29" t="s">
        <v>2477</v>
      </c>
      <c r="CE29" t="s">
        <v>2456</v>
      </c>
      <c r="CF29" t="s">
        <v>2457</v>
      </c>
      <c r="CG29">
        <v>45810</v>
      </c>
      <c r="CH29" t="s">
        <v>457</v>
      </c>
      <c r="CI29" t="s">
        <v>337</v>
      </c>
      <c r="CJ29" t="s">
        <v>2431</v>
      </c>
      <c r="CK29">
        <v>45811</v>
      </c>
      <c r="CL29" t="s">
        <v>2430</v>
      </c>
      <c r="CM29" t="s">
        <v>2432</v>
      </c>
      <c r="CN29">
        <v>45811</v>
      </c>
      <c r="CP29" t="s">
        <v>338</v>
      </c>
      <c r="CQ29" t="s">
        <v>2433</v>
      </c>
    </row>
    <row r="30" spans="1:95" ht="25.5" x14ac:dyDescent="0.2">
      <c r="A30" t="s">
        <v>333</v>
      </c>
      <c r="B30">
        <v>5</v>
      </c>
      <c r="C30" s="1"/>
      <c r="AE30" s="1"/>
      <c r="AY30" s="19"/>
      <c r="BW30" t="s">
        <v>2453</v>
      </c>
      <c r="BX30" s="20" t="s">
        <v>2454</v>
      </c>
      <c r="BY30" t="s">
        <v>335</v>
      </c>
      <c r="BZ30" t="s">
        <v>2449</v>
      </c>
      <c r="CA30">
        <v>45810</v>
      </c>
      <c r="CB30" s="19" t="s">
        <v>2445</v>
      </c>
      <c r="CC30" t="s">
        <v>2478</v>
      </c>
      <c r="CE30" t="s">
        <v>2456</v>
      </c>
      <c r="CF30" t="s">
        <v>2457</v>
      </c>
      <c r="CG30">
        <v>45810</v>
      </c>
      <c r="CH30" t="s">
        <v>457</v>
      </c>
      <c r="CI30" t="s">
        <v>337</v>
      </c>
      <c r="CJ30" t="s">
        <v>2431</v>
      </c>
      <c r="CK30">
        <v>45811</v>
      </c>
      <c r="CL30" t="s">
        <v>2430</v>
      </c>
      <c r="CM30" t="s">
        <v>2432</v>
      </c>
      <c r="CN30">
        <v>45811</v>
      </c>
      <c r="CP30" t="s">
        <v>338</v>
      </c>
      <c r="CQ30" t="s">
        <v>2433</v>
      </c>
    </row>
    <row r="31" spans="1:95" ht="25.5" x14ac:dyDescent="0.2">
      <c r="A31" t="s">
        <v>333</v>
      </c>
      <c r="B31">
        <v>5</v>
      </c>
      <c r="C31" s="1"/>
      <c r="AE31" s="1"/>
      <c r="AY31" s="19"/>
      <c r="BW31" t="s">
        <v>2453</v>
      </c>
      <c r="BX31" s="20" t="s">
        <v>2454</v>
      </c>
      <c r="BY31" t="s">
        <v>335</v>
      </c>
      <c r="BZ31" t="s">
        <v>2449</v>
      </c>
      <c r="CA31">
        <v>45810</v>
      </c>
      <c r="CB31" s="19" t="s">
        <v>2445</v>
      </c>
      <c r="CC31" t="s">
        <v>2479</v>
      </c>
      <c r="CE31" t="s">
        <v>2456</v>
      </c>
      <c r="CF31" t="s">
        <v>2457</v>
      </c>
      <c r="CG31">
        <v>45810</v>
      </c>
      <c r="CH31" t="s">
        <v>457</v>
      </c>
      <c r="CI31" t="s">
        <v>337</v>
      </c>
      <c r="CJ31" t="s">
        <v>2431</v>
      </c>
      <c r="CK31">
        <v>45811</v>
      </c>
      <c r="CL31" t="s">
        <v>2430</v>
      </c>
      <c r="CM31" t="s">
        <v>2432</v>
      </c>
      <c r="CN31">
        <v>45811</v>
      </c>
      <c r="CP31" t="s">
        <v>338</v>
      </c>
      <c r="CQ31" t="s">
        <v>2433</v>
      </c>
    </row>
    <row r="32" spans="1:95" ht="25.5" x14ac:dyDescent="0.2">
      <c r="A32" t="s">
        <v>333</v>
      </c>
      <c r="B32">
        <v>5</v>
      </c>
      <c r="C32" s="1"/>
      <c r="AE32" s="1"/>
      <c r="AY32" s="19"/>
      <c r="BW32" t="s">
        <v>2453</v>
      </c>
      <c r="BX32" s="20" t="s">
        <v>2454</v>
      </c>
      <c r="BY32" t="s">
        <v>335</v>
      </c>
      <c r="BZ32" t="s">
        <v>2449</v>
      </c>
      <c r="CA32">
        <v>45810</v>
      </c>
      <c r="CB32" s="19" t="s">
        <v>2445</v>
      </c>
      <c r="CC32" t="s">
        <v>2480</v>
      </c>
      <c r="CE32" t="s">
        <v>2456</v>
      </c>
      <c r="CF32" t="s">
        <v>2457</v>
      </c>
      <c r="CG32">
        <v>45810</v>
      </c>
      <c r="CH32" t="s">
        <v>457</v>
      </c>
      <c r="CI32" t="s">
        <v>337</v>
      </c>
      <c r="CJ32" t="s">
        <v>2431</v>
      </c>
      <c r="CK32">
        <v>45811</v>
      </c>
      <c r="CL32" t="s">
        <v>2430</v>
      </c>
      <c r="CM32" t="s">
        <v>2432</v>
      </c>
      <c r="CN32">
        <v>45811</v>
      </c>
      <c r="CP32" t="s">
        <v>338</v>
      </c>
      <c r="CQ32" t="s">
        <v>2433</v>
      </c>
    </row>
    <row r="33" spans="1:95" ht="25.5" x14ac:dyDescent="0.2">
      <c r="A33" t="s">
        <v>333</v>
      </c>
      <c r="B33">
        <v>5</v>
      </c>
      <c r="C33" s="1"/>
      <c r="AE33" s="1"/>
      <c r="AY33" s="19"/>
      <c r="BW33" t="s">
        <v>2453</v>
      </c>
      <c r="BX33" s="20" t="s">
        <v>2454</v>
      </c>
      <c r="BY33" t="s">
        <v>335</v>
      </c>
      <c r="BZ33" t="s">
        <v>2449</v>
      </c>
      <c r="CA33">
        <v>45810</v>
      </c>
      <c r="CB33" s="19" t="s">
        <v>2445</v>
      </c>
      <c r="CC33" t="s">
        <v>2481</v>
      </c>
      <c r="CE33" t="s">
        <v>2456</v>
      </c>
      <c r="CF33" t="s">
        <v>2457</v>
      </c>
      <c r="CG33">
        <v>45810</v>
      </c>
      <c r="CH33" t="s">
        <v>457</v>
      </c>
      <c r="CI33" t="s">
        <v>337</v>
      </c>
      <c r="CJ33" t="s">
        <v>2431</v>
      </c>
      <c r="CK33">
        <v>45811</v>
      </c>
      <c r="CL33" t="s">
        <v>2430</v>
      </c>
      <c r="CM33" t="s">
        <v>2432</v>
      </c>
      <c r="CN33">
        <v>45811</v>
      </c>
      <c r="CP33" t="s">
        <v>338</v>
      </c>
      <c r="CQ33" t="s">
        <v>2433</v>
      </c>
    </row>
    <row r="34" spans="1:95" ht="25.5" x14ac:dyDescent="0.2">
      <c r="A34" t="s">
        <v>333</v>
      </c>
      <c r="B34">
        <v>5</v>
      </c>
      <c r="C34" s="1"/>
      <c r="AE34" s="1"/>
      <c r="AY34" s="19"/>
      <c r="BW34" t="s">
        <v>2453</v>
      </c>
      <c r="BX34" s="20" t="s">
        <v>2454</v>
      </c>
      <c r="BY34" t="s">
        <v>335</v>
      </c>
      <c r="BZ34" t="s">
        <v>2449</v>
      </c>
      <c r="CA34">
        <v>45810</v>
      </c>
      <c r="CB34" s="19" t="s">
        <v>2445</v>
      </c>
      <c r="CC34" t="s">
        <v>2482</v>
      </c>
      <c r="CE34" t="s">
        <v>2456</v>
      </c>
      <c r="CF34" t="s">
        <v>2457</v>
      </c>
      <c r="CG34">
        <v>45810</v>
      </c>
      <c r="CH34" t="s">
        <v>457</v>
      </c>
      <c r="CI34" t="s">
        <v>337</v>
      </c>
      <c r="CJ34" t="s">
        <v>2431</v>
      </c>
      <c r="CK34">
        <v>45811</v>
      </c>
      <c r="CL34" t="s">
        <v>2430</v>
      </c>
      <c r="CM34" t="s">
        <v>2432</v>
      </c>
      <c r="CN34">
        <v>45811</v>
      </c>
      <c r="CP34" t="s">
        <v>338</v>
      </c>
      <c r="CQ34" t="s">
        <v>2433</v>
      </c>
    </row>
    <row r="35" spans="1:95" ht="25.5" x14ac:dyDescent="0.2">
      <c r="A35" t="s">
        <v>333</v>
      </c>
      <c r="B35">
        <v>5</v>
      </c>
      <c r="C35" s="1"/>
      <c r="AE35" s="1"/>
      <c r="AY35" s="19"/>
      <c r="BW35" t="s">
        <v>2453</v>
      </c>
      <c r="BX35" s="20" t="s">
        <v>2454</v>
      </c>
      <c r="BY35" t="s">
        <v>335</v>
      </c>
      <c r="BZ35" t="s">
        <v>2449</v>
      </c>
      <c r="CA35">
        <v>45810</v>
      </c>
      <c r="CB35" s="19" t="s">
        <v>2445</v>
      </c>
      <c r="CC35" t="s">
        <v>2483</v>
      </c>
      <c r="CE35" t="s">
        <v>2456</v>
      </c>
      <c r="CF35" t="s">
        <v>2457</v>
      </c>
      <c r="CG35">
        <v>45810</v>
      </c>
      <c r="CH35" t="s">
        <v>457</v>
      </c>
      <c r="CI35" t="s">
        <v>337</v>
      </c>
      <c r="CJ35" t="s">
        <v>2431</v>
      </c>
      <c r="CK35">
        <v>45811</v>
      </c>
      <c r="CL35" t="s">
        <v>2430</v>
      </c>
      <c r="CM35" t="s">
        <v>2432</v>
      </c>
      <c r="CN35">
        <v>45811</v>
      </c>
      <c r="CP35" t="s">
        <v>338</v>
      </c>
      <c r="CQ35" t="s">
        <v>2433</v>
      </c>
    </row>
    <row r="36" spans="1:95" ht="25.5" x14ac:dyDescent="0.2">
      <c r="A36" t="s">
        <v>333</v>
      </c>
      <c r="B36">
        <v>5</v>
      </c>
      <c r="C36" s="1"/>
      <c r="AE36" s="1"/>
      <c r="AY36" s="19"/>
      <c r="BW36" t="s">
        <v>2453</v>
      </c>
      <c r="BX36" s="20" t="s">
        <v>2454</v>
      </c>
      <c r="BY36" t="s">
        <v>335</v>
      </c>
      <c r="BZ36" t="s">
        <v>2449</v>
      </c>
      <c r="CA36">
        <v>45810</v>
      </c>
      <c r="CB36" s="19" t="s">
        <v>2445</v>
      </c>
      <c r="CC36" t="s">
        <v>2484</v>
      </c>
      <c r="CE36" t="s">
        <v>2456</v>
      </c>
      <c r="CF36" t="s">
        <v>2457</v>
      </c>
      <c r="CG36">
        <v>45810</v>
      </c>
      <c r="CH36" t="s">
        <v>457</v>
      </c>
      <c r="CI36" t="s">
        <v>337</v>
      </c>
      <c r="CJ36" t="s">
        <v>2431</v>
      </c>
      <c r="CK36">
        <v>45811</v>
      </c>
      <c r="CL36" t="s">
        <v>2430</v>
      </c>
      <c r="CM36" t="s">
        <v>2432</v>
      </c>
      <c r="CN36">
        <v>45811</v>
      </c>
      <c r="CP36" t="s">
        <v>338</v>
      </c>
      <c r="CQ36" t="s">
        <v>2433</v>
      </c>
    </row>
    <row r="37" spans="1:95" ht="25.5" x14ac:dyDescent="0.2">
      <c r="A37" t="s">
        <v>333</v>
      </c>
      <c r="B37">
        <v>5</v>
      </c>
      <c r="C37" s="1"/>
      <c r="AE37" s="1"/>
      <c r="AY37" s="19"/>
      <c r="BW37" t="s">
        <v>2453</v>
      </c>
      <c r="BX37" s="20" t="s">
        <v>2454</v>
      </c>
      <c r="BY37" t="s">
        <v>335</v>
      </c>
      <c r="BZ37" t="s">
        <v>2449</v>
      </c>
      <c r="CA37">
        <v>45810</v>
      </c>
      <c r="CB37" s="19" t="s">
        <v>2445</v>
      </c>
      <c r="CC37" t="s">
        <v>2485</v>
      </c>
      <c r="CE37" t="s">
        <v>2456</v>
      </c>
      <c r="CF37" t="s">
        <v>2457</v>
      </c>
      <c r="CG37">
        <v>45810</v>
      </c>
      <c r="CH37" t="s">
        <v>457</v>
      </c>
      <c r="CI37" t="s">
        <v>337</v>
      </c>
      <c r="CJ37" t="s">
        <v>2431</v>
      </c>
      <c r="CK37">
        <v>45811</v>
      </c>
      <c r="CL37" t="s">
        <v>2430</v>
      </c>
      <c r="CM37" t="s">
        <v>2432</v>
      </c>
      <c r="CN37">
        <v>45811</v>
      </c>
      <c r="CP37" t="s">
        <v>338</v>
      </c>
      <c r="CQ37" t="s">
        <v>2433</v>
      </c>
    </row>
    <row r="38" spans="1:95" ht="25.5" x14ac:dyDescent="0.2">
      <c r="A38" t="s">
        <v>333</v>
      </c>
      <c r="B38">
        <v>5</v>
      </c>
      <c r="C38" s="1"/>
      <c r="AE38" s="1"/>
      <c r="AY38" s="19"/>
      <c r="BW38" t="s">
        <v>2453</v>
      </c>
      <c r="BX38" s="20" t="s">
        <v>2454</v>
      </c>
      <c r="BY38" t="s">
        <v>335</v>
      </c>
      <c r="BZ38" t="s">
        <v>2449</v>
      </c>
      <c r="CA38">
        <v>45810</v>
      </c>
      <c r="CB38" s="19" t="s">
        <v>2445</v>
      </c>
      <c r="CC38" t="s">
        <v>2486</v>
      </c>
      <c r="CE38" t="s">
        <v>2456</v>
      </c>
      <c r="CF38" t="s">
        <v>2457</v>
      </c>
      <c r="CG38">
        <v>45810</v>
      </c>
      <c r="CH38" t="s">
        <v>457</v>
      </c>
      <c r="CI38" t="s">
        <v>337</v>
      </c>
      <c r="CJ38" t="s">
        <v>2431</v>
      </c>
      <c r="CK38">
        <v>45811</v>
      </c>
      <c r="CL38" t="s">
        <v>2430</v>
      </c>
      <c r="CM38" t="s">
        <v>2432</v>
      </c>
      <c r="CN38">
        <v>45811</v>
      </c>
      <c r="CP38" t="s">
        <v>338</v>
      </c>
      <c r="CQ38" t="s">
        <v>2433</v>
      </c>
    </row>
    <row r="39" spans="1:95" ht="25.5" x14ac:dyDescent="0.2">
      <c r="A39" t="s">
        <v>333</v>
      </c>
      <c r="B39">
        <v>5</v>
      </c>
      <c r="C39" s="1"/>
      <c r="AE39" s="1"/>
      <c r="AY39" s="19"/>
      <c r="BW39" t="s">
        <v>2453</v>
      </c>
      <c r="BX39" s="20" t="s">
        <v>2454</v>
      </c>
      <c r="BY39" t="s">
        <v>335</v>
      </c>
      <c r="BZ39" t="s">
        <v>2449</v>
      </c>
      <c r="CA39">
        <v>45810</v>
      </c>
      <c r="CB39" s="19" t="s">
        <v>2445</v>
      </c>
      <c r="CC39" t="s">
        <v>2487</v>
      </c>
      <c r="CE39" t="s">
        <v>2456</v>
      </c>
      <c r="CF39" t="s">
        <v>2457</v>
      </c>
      <c r="CG39">
        <v>45810</v>
      </c>
      <c r="CH39" t="s">
        <v>457</v>
      </c>
      <c r="CI39" t="s">
        <v>337</v>
      </c>
      <c r="CJ39" t="s">
        <v>2431</v>
      </c>
      <c r="CK39">
        <v>45811</v>
      </c>
      <c r="CL39" t="s">
        <v>2430</v>
      </c>
      <c r="CM39" t="s">
        <v>2432</v>
      </c>
      <c r="CN39">
        <v>45811</v>
      </c>
      <c r="CP39" t="s">
        <v>338</v>
      </c>
      <c r="CQ39" t="s">
        <v>2433</v>
      </c>
    </row>
    <row r="40" spans="1:95" ht="25.5" x14ac:dyDescent="0.2">
      <c r="A40" t="s">
        <v>333</v>
      </c>
      <c r="B40">
        <v>5</v>
      </c>
      <c r="C40" s="1"/>
      <c r="AE40" s="1"/>
      <c r="AY40" s="19"/>
      <c r="BW40" t="s">
        <v>2453</v>
      </c>
      <c r="BX40" s="20" t="s">
        <v>2454</v>
      </c>
      <c r="BY40" t="s">
        <v>335</v>
      </c>
      <c r="BZ40" t="s">
        <v>2449</v>
      </c>
      <c r="CA40">
        <v>45810</v>
      </c>
      <c r="CB40" s="19" t="s">
        <v>2445</v>
      </c>
      <c r="CC40" t="s">
        <v>2488</v>
      </c>
      <c r="CE40" t="s">
        <v>2456</v>
      </c>
      <c r="CF40" t="s">
        <v>2457</v>
      </c>
      <c r="CG40">
        <v>45810</v>
      </c>
      <c r="CH40" t="s">
        <v>457</v>
      </c>
      <c r="CI40" t="s">
        <v>337</v>
      </c>
      <c r="CJ40" t="s">
        <v>2431</v>
      </c>
      <c r="CK40">
        <v>45811</v>
      </c>
      <c r="CL40" t="s">
        <v>2430</v>
      </c>
      <c r="CM40" t="s">
        <v>2432</v>
      </c>
      <c r="CN40">
        <v>45811</v>
      </c>
      <c r="CP40" t="s">
        <v>338</v>
      </c>
      <c r="CQ40" t="s">
        <v>2433</v>
      </c>
    </row>
    <row r="41" spans="1:95" ht="25.5" x14ac:dyDescent="0.2">
      <c r="A41" t="s">
        <v>333</v>
      </c>
      <c r="B41">
        <v>5</v>
      </c>
      <c r="C41" s="1"/>
      <c r="AE41" s="1"/>
      <c r="AY41" s="19"/>
      <c r="BW41" t="s">
        <v>2453</v>
      </c>
      <c r="BX41" s="20" t="s">
        <v>2454</v>
      </c>
      <c r="BY41" t="s">
        <v>335</v>
      </c>
      <c r="BZ41" t="s">
        <v>2449</v>
      </c>
      <c r="CA41">
        <v>45810</v>
      </c>
      <c r="CB41" s="19" t="s">
        <v>2445</v>
      </c>
      <c r="CC41" t="s">
        <v>2489</v>
      </c>
      <c r="CE41" t="s">
        <v>2456</v>
      </c>
      <c r="CF41" t="s">
        <v>2457</v>
      </c>
      <c r="CG41">
        <v>45810</v>
      </c>
      <c r="CH41" t="s">
        <v>457</v>
      </c>
      <c r="CI41" t="s">
        <v>337</v>
      </c>
      <c r="CJ41" t="s">
        <v>2431</v>
      </c>
      <c r="CK41">
        <v>45811</v>
      </c>
      <c r="CL41" t="s">
        <v>2430</v>
      </c>
      <c r="CM41" t="s">
        <v>2432</v>
      </c>
      <c r="CN41">
        <v>45811</v>
      </c>
      <c r="CP41" t="s">
        <v>338</v>
      </c>
      <c r="CQ41" t="s">
        <v>2433</v>
      </c>
    </row>
    <row r="42" spans="1:95" ht="25.5" x14ac:dyDescent="0.2">
      <c r="A42" t="s">
        <v>333</v>
      </c>
      <c r="B42">
        <v>5</v>
      </c>
      <c r="C42" s="1"/>
      <c r="AE42" s="1"/>
      <c r="AY42" s="19"/>
      <c r="BW42" t="s">
        <v>2453</v>
      </c>
      <c r="BX42" s="20" t="s">
        <v>2454</v>
      </c>
      <c r="BY42" t="s">
        <v>335</v>
      </c>
      <c r="BZ42" t="s">
        <v>2449</v>
      </c>
      <c r="CA42">
        <v>45810</v>
      </c>
      <c r="CB42" s="19" t="s">
        <v>2445</v>
      </c>
      <c r="CC42" t="s">
        <v>2490</v>
      </c>
      <c r="CE42" t="s">
        <v>2456</v>
      </c>
      <c r="CF42" t="s">
        <v>2457</v>
      </c>
      <c r="CG42">
        <v>45810</v>
      </c>
      <c r="CH42" t="s">
        <v>457</v>
      </c>
      <c r="CI42" t="s">
        <v>337</v>
      </c>
      <c r="CJ42" t="s">
        <v>2431</v>
      </c>
      <c r="CK42">
        <v>45811</v>
      </c>
      <c r="CL42" t="s">
        <v>2430</v>
      </c>
      <c r="CM42" t="s">
        <v>2432</v>
      </c>
      <c r="CN42">
        <v>45811</v>
      </c>
      <c r="CP42" t="s">
        <v>338</v>
      </c>
      <c r="CQ42" t="s">
        <v>2433</v>
      </c>
    </row>
    <row r="43" spans="1:95" ht="25.5" x14ac:dyDescent="0.2">
      <c r="A43" t="s">
        <v>333</v>
      </c>
      <c r="B43">
        <v>5</v>
      </c>
      <c r="C43" s="1"/>
      <c r="AE43" s="1"/>
      <c r="AY43" s="19"/>
      <c r="BW43" t="s">
        <v>2453</v>
      </c>
      <c r="BX43" s="20" t="s">
        <v>2454</v>
      </c>
      <c r="BY43" t="s">
        <v>335</v>
      </c>
      <c r="BZ43" t="s">
        <v>2449</v>
      </c>
      <c r="CA43">
        <v>45810</v>
      </c>
      <c r="CB43" s="19" t="s">
        <v>2445</v>
      </c>
      <c r="CC43" t="s">
        <v>2491</v>
      </c>
      <c r="CE43" t="s">
        <v>2456</v>
      </c>
      <c r="CF43" t="s">
        <v>2457</v>
      </c>
      <c r="CG43">
        <v>45810</v>
      </c>
      <c r="CH43" t="s">
        <v>457</v>
      </c>
      <c r="CI43" t="s">
        <v>337</v>
      </c>
      <c r="CJ43" t="s">
        <v>2431</v>
      </c>
      <c r="CK43">
        <v>45811</v>
      </c>
      <c r="CL43" t="s">
        <v>2430</v>
      </c>
      <c r="CM43" t="s">
        <v>2432</v>
      </c>
      <c r="CN43">
        <v>45811</v>
      </c>
      <c r="CP43" t="s">
        <v>338</v>
      </c>
      <c r="CQ43" t="s">
        <v>2433</v>
      </c>
    </row>
    <row r="44" spans="1:95" ht="25.5" x14ac:dyDescent="0.2">
      <c r="A44" t="s">
        <v>333</v>
      </c>
      <c r="B44">
        <v>5</v>
      </c>
      <c r="C44" s="1"/>
      <c r="AE44" s="1"/>
      <c r="AY44" s="19"/>
      <c r="BW44" t="s">
        <v>2453</v>
      </c>
      <c r="BX44" s="20" t="s">
        <v>2454</v>
      </c>
      <c r="BY44" t="s">
        <v>335</v>
      </c>
      <c r="BZ44" t="s">
        <v>2449</v>
      </c>
      <c r="CA44">
        <v>45810</v>
      </c>
      <c r="CB44" s="19" t="s">
        <v>2445</v>
      </c>
      <c r="CC44" t="s">
        <v>2492</v>
      </c>
      <c r="CE44" t="s">
        <v>2456</v>
      </c>
      <c r="CF44" t="s">
        <v>2457</v>
      </c>
      <c r="CG44">
        <v>45810</v>
      </c>
      <c r="CH44" t="s">
        <v>457</v>
      </c>
      <c r="CI44" t="s">
        <v>337</v>
      </c>
      <c r="CJ44" t="s">
        <v>2431</v>
      </c>
      <c r="CK44">
        <v>45811</v>
      </c>
      <c r="CL44" t="s">
        <v>2430</v>
      </c>
      <c r="CM44" t="s">
        <v>2432</v>
      </c>
      <c r="CN44">
        <v>45811</v>
      </c>
      <c r="CP44" t="s">
        <v>338</v>
      </c>
      <c r="CQ44" t="s">
        <v>2433</v>
      </c>
    </row>
    <row r="45" spans="1:95" ht="25.5" x14ac:dyDescent="0.2">
      <c r="A45" t="s">
        <v>333</v>
      </c>
      <c r="B45">
        <v>5</v>
      </c>
      <c r="C45" s="1"/>
      <c r="AE45" s="1"/>
      <c r="AY45" s="19"/>
      <c r="BW45" t="s">
        <v>2453</v>
      </c>
      <c r="BX45" s="20" t="s">
        <v>2454</v>
      </c>
      <c r="BY45" t="s">
        <v>335</v>
      </c>
      <c r="BZ45" t="s">
        <v>2449</v>
      </c>
      <c r="CA45">
        <v>45810</v>
      </c>
      <c r="CB45" s="19" t="s">
        <v>2445</v>
      </c>
      <c r="CC45" t="s">
        <v>2493</v>
      </c>
      <c r="CE45" t="s">
        <v>2456</v>
      </c>
      <c r="CF45" t="s">
        <v>2457</v>
      </c>
      <c r="CG45">
        <v>45810</v>
      </c>
      <c r="CH45" t="s">
        <v>457</v>
      </c>
      <c r="CI45" t="s">
        <v>337</v>
      </c>
      <c r="CJ45" t="s">
        <v>2431</v>
      </c>
      <c r="CK45">
        <v>45811</v>
      </c>
      <c r="CL45" t="s">
        <v>2430</v>
      </c>
      <c r="CM45" t="s">
        <v>2432</v>
      </c>
      <c r="CN45">
        <v>45811</v>
      </c>
      <c r="CP45" t="s">
        <v>338</v>
      </c>
      <c r="CQ45" t="s">
        <v>2433</v>
      </c>
    </row>
    <row r="46" spans="1:95" ht="25.5" x14ac:dyDescent="0.2">
      <c r="A46" t="s">
        <v>333</v>
      </c>
      <c r="B46">
        <v>5</v>
      </c>
      <c r="C46" s="1"/>
      <c r="AE46" s="1"/>
      <c r="AY46" s="19"/>
      <c r="BW46" t="s">
        <v>2453</v>
      </c>
      <c r="BX46" s="20" t="s">
        <v>2454</v>
      </c>
      <c r="BY46" t="s">
        <v>335</v>
      </c>
      <c r="BZ46" t="s">
        <v>2449</v>
      </c>
      <c r="CA46">
        <v>45810</v>
      </c>
      <c r="CB46" s="19" t="s">
        <v>2445</v>
      </c>
      <c r="CC46" t="s">
        <v>2494</v>
      </c>
      <c r="CE46" t="s">
        <v>2456</v>
      </c>
      <c r="CF46" t="s">
        <v>2457</v>
      </c>
      <c r="CG46">
        <v>45810</v>
      </c>
      <c r="CH46" t="s">
        <v>457</v>
      </c>
      <c r="CI46" t="s">
        <v>337</v>
      </c>
      <c r="CJ46" t="s">
        <v>2431</v>
      </c>
      <c r="CK46">
        <v>45811</v>
      </c>
      <c r="CL46" t="s">
        <v>2430</v>
      </c>
      <c r="CM46" t="s">
        <v>2432</v>
      </c>
      <c r="CN46">
        <v>45811</v>
      </c>
      <c r="CP46" t="s">
        <v>338</v>
      </c>
      <c r="CQ46" t="s">
        <v>2433</v>
      </c>
    </row>
    <row r="47" spans="1:95" ht="25.5" x14ac:dyDescent="0.2">
      <c r="A47" t="s">
        <v>333</v>
      </c>
      <c r="B47">
        <v>5</v>
      </c>
      <c r="C47" s="1"/>
      <c r="AE47" s="1"/>
      <c r="AY47" s="19"/>
      <c r="BW47" t="s">
        <v>2453</v>
      </c>
      <c r="BX47" s="20" t="s">
        <v>2454</v>
      </c>
      <c r="BY47" t="s">
        <v>335</v>
      </c>
      <c r="BZ47" t="s">
        <v>2449</v>
      </c>
      <c r="CA47">
        <v>45810</v>
      </c>
      <c r="CB47" s="19" t="s">
        <v>2445</v>
      </c>
      <c r="CC47" t="s">
        <v>2495</v>
      </c>
      <c r="CE47" t="s">
        <v>2456</v>
      </c>
      <c r="CF47" t="s">
        <v>2457</v>
      </c>
      <c r="CG47">
        <v>45810</v>
      </c>
      <c r="CH47" t="s">
        <v>457</v>
      </c>
      <c r="CI47" t="s">
        <v>337</v>
      </c>
      <c r="CJ47" t="s">
        <v>2431</v>
      </c>
      <c r="CK47">
        <v>45811</v>
      </c>
      <c r="CL47" t="s">
        <v>2430</v>
      </c>
      <c r="CM47" t="s">
        <v>2432</v>
      </c>
      <c r="CN47">
        <v>45811</v>
      </c>
      <c r="CP47" t="s">
        <v>338</v>
      </c>
      <c r="CQ47" t="s">
        <v>2433</v>
      </c>
    </row>
    <row r="48" spans="1:95" ht="25.5" x14ac:dyDescent="0.2">
      <c r="A48" t="s">
        <v>333</v>
      </c>
      <c r="B48">
        <v>5</v>
      </c>
      <c r="C48" s="1"/>
      <c r="AE48" s="1"/>
      <c r="AY48" s="19"/>
      <c r="BW48" t="s">
        <v>2453</v>
      </c>
      <c r="BX48" s="20" t="s">
        <v>2454</v>
      </c>
      <c r="BY48" t="s">
        <v>335</v>
      </c>
      <c r="BZ48" t="s">
        <v>2449</v>
      </c>
      <c r="CA48">
        <v>45810</v>
      </c>
      <c r="CB48" s="19" t="s">
        <v>2445</v>
      </c>
      <c r="CC48" t="s">
        <v>2496</v>
      </c>
      <c r="CE48" t="s">
        <v>2456</v>
      </c>
      <c r="CF48" t="s">
        <v>2457</v>
      </c>
      <c r="CG48">
        <v>45810</v>
      </c>
      <c r="CH48" t="s">
        <v>457</v>
      </c>
      <c r="CI48" t="s">
        <v>337</v>
      </c>
      <c r="CJ48" t="s">
        <v>2431</v>
      </c>
      <c r="CK48">
        <v>45811</v>
      </c>
      <c r="CL48" t="s">
        <v>2430</v>
      </c>
      <c r="CM48" t="s">
        <v>2432</v>
      </c>
      <c r="CN48">
        <v>45811</v>
      </c>
      <c r="CP48" t="s">
        <v>338</v>
      </c>
      <c r="CQ48" t="s">
        <v>2433</v>
      </c>
    </row>
    <row r="49" spans="1:95" ht="25.5" x14ac:dyDescent="0.2">
      <c r="A49" t="s">
        <v>333</v>
      </c>
      <c r="B49">
        <v>5</v>
      </c>
      <c r="C49" s="1"/>
      <c r="AE49" s="1"/>
      <c r="AY49" s="19"/>
      <c r="BW49" t="s">
        <v>2453</v>
      </c>
      <c r="BX49" s="20" t="s">
        <v>2454</v>
      </c>
      <c r="BY49" t="s">
        <v>335</v>
      </c>
      <c r="BZ49" t="s">
        <v>2449</v>
      </c>
      <c r="CA49">
        <v>45810</v>
      </c>
      <c r="CB49" s="19" t="s">
        <v>2445</v>
      </c>
      <c r="CC49" t="s">
        <v>2497</v>
      </c>
      <c r="CE49" t="s">
        <v>2456</v>
      </c>
      <c r="CF49" t="s">
        <v>2457</v>
      </c>
      <c r="CG49">
        <v>45810</v>
      </c>
      <c r="CH49" t="s">
        <v>457</v>
      </c>
      <c r="CI49" t="s">
        <v>337</v>
      </c>
      <c r="CJ49" t="s">
        <v>2431</v>
      </c>
      <c r="CK49">
        <v>45811</v>
      </c>
      <c r="CL49" t="s">
        <v>2430</v>
      </c>
      <c r="CM49" t="s">
        <v>2432</v>
      </c>
      <c r="CN49">
        <v>45811</v>
      </c>
      <c r="CP49" t="s">
        <v>338</v>
      </c>
      <c r="CQ49" t="s">
        <v>2433</v>
      </c>
    </row>
    <row r="50" spans="1:95" ht="25.5" x14ac:dyDescent="0.2">
      <c r="A50" t="s">
        <v>333</v>
      </c>
      <c r="B50">
        <v>5</v>
      </c>
      <c r="C50" s="1"/>
      <c r="AE50" s="1"/>
      <c r="AY50" s="19"/>
      <c r="BW50" t="s">
        <v>2453</v>
      </c>
      <c r="BX50" s="20" t="s">
        <v>2454</v>
      </c>
      <c r="BY50" t="s">
        <v>335</v>
      </c>
      <c r="BZ50" t="s">
        <v>2449</v>
      </c>
      <c r="CA50">
        <v>45810</v>
      </c>
      <c r="CB50" s="19" t="s">
        <v>2445</v>
      </c>
      <c r="CC50" t="s">
        <v>2498</v>
      </c>
      <c r="CE50" t="s">
        <v>2456</v>
      </c>
      <c r="CF50" t="s">
        <v>2457</v>
      </c>
      <c r="CG50">
        <v>45810</v>
      </c>
      <c r="CH50" t="s">
        <v>457</v>
      </c>
      <c r="CI50" t="s">
        <v>337</v>
      </c>
      <c r="CJ50" t="s">
        <v>2431</v>
      </c>
      <c r="CK50">
        <v>45811</v>
      </c>
      <c r="CL50" t="s">
        <v>2430</v>
      </c>
      <c r="CM50" t="s">
        <v>2432</v>
      </c>
      <c r="CN50">
        <v>45811</v>
      </c>
      <c r="CP50" t="s">
        <v>338</v>
      </c>
      <c r="CQ50" t="s">
        <v>2433</v>
      </c>
    </row>
    <row r="51" spans="1:95" ht="25.5" x14ac:dyDescent="0.2">
      <c r="A51" t="s">
        <v>333</v>
      </c>
      <c r="B51">
        <v>5</v>
      </c>
      <c r="C51" s="1"/>
      <c r="AE51" s="1"/>
      <c r="AY51" s="19"/>
      <c r="BW51" t="s">
        <v>2453</v>
      </c>
      <c r="BX51" s="20" t="s">
        <v>2454</v>
      </c>
      <c r="BY51" t="s">
        <v>335</v>
      </c>
      <c r="BZ51" t="s">
        <v>2449</v>
      </c>
      <c r="CA51">
        <v>45810</v>
      </c>
      <c r="CB51" s="19" t="s">
        <v>2445</v>
      </c>
      <c r="CC51" t="s">
        <v>2499</v>
      </c>
      <c r="CE51" t="s">
        <v>2456</v>
      </c>
      <c r="CF51" t="s">
        <v>2457</v>
      </c>
      <c r="CG51">
        <v>45810</v>
      </c>
      <c r="CH51" t="s">
        <v>457</v>
      </c>
      <c r="CI51" t="s">
        <v>337</v>
      </c>
      <c r="CJ51" t="s">
        <v>2431</v>
      </c>
      <c r="CK51">
        <v>45811</v>
      </c>
      <c r="CL51" t="s">
        <v>2430</v>
      </c>
      <c r="CM51" t="s">
        <v>2432</v>
      </c>
      <c r="CN51">
        <v>45811</v>
      </c>
      <c r="CP51" t="s">
        <v>338</v>
      </c>
      <c r="CQ51" t="s">
        <v>2433</v>
      </c>
    </row>
    <row r="52" spans="1:95" ht="25.5" x14ac:dyDescent="0.2">
      <c r="A52" t="s">
        <v>333</v>
      </c>
      <c r="B52">
        <v>5</v>
      </c>
      <c r="C52" s="1"/>
      <c r="AE52" s="1"/>
      <c r="AY52" s="19"/>
      <c r="BW52" t="s">
        <v>2453</v>
      </c>
      <c r="BX52" s="20" t="s">
        <v>2454</v>
      </c>
      <c r="BY52" t="s">
        <v>335</v>
      </c>
      <c r="BZ52" t="s">
        <v>2449</v>
      </c>
      <c r="CA52">
        <v>45810</v>
      </c>
      <c r="CB52" s="19" t="s">
        <v>2445</v>
      </c>
      <c r="CC52" t="s">
        <v>2500</v>
      </c>
      <c r="CE52" t="s">
        <v>2456</v>
      </c>
      <c r="CF52" t="s">
        <v>2457</v>
      </c>
      <c r="CG52">
        <v>45810</v>
      </c>
      <c r="CH52" t="s">
        <v>457</v>
      </c>
      <c r="CI52" t="s">
        <v>337</v>
      </c>
      <c r="CJ52" t="s">
        <v>2431</v>
      </c>
      <c r="CK52">
        <v>45811</v>
      </c>
      <c r="CL52" t="s">
        <v>2430</v>
      </c>
      <c r="CM52" t="s">
        <v>2432</v>
      </c>
      <c r="CN52">
        <v>45811</v>
      </c>
      <c r="CP52" t="s">
        <v>338</v>
      </c>
      <c r="CQ52" t="s">
        <v>2433</v>
      </c>
    </row>
    <row r="53" spans="1:95" ht="25.5" x14ac:dyDescent="0.2">
      <c r="A53" t="s">
        <v>333</v>
      </c>
      <c r="B53">
        <v>5</v>
      </c>
      <c r="C53" s="1"/>
      <c r="AE53" s="1"/>
      <c r="AY53" s="19"/>
      <c r="BW53" t="s">
        <v>2453</v>
      </c>
      <c r="BX53" s="20" t="s">
        <v>2454</v>
      </c>
      <c r="BY53" t="s">
        <v>335</v>
      </c>
      <c r="BZ53" t="s">
        <v>2449</v>
      </c>
      <c r="CA53">
        <v>45810</v>
      </c>
      <c r="CB53" s="19" t="s">
        <v>2445</v>
      </c>
      <c r="CC53" t="s">
        <v>2501</v>
      </c>
      <c r="CE53" t="s">
        <v>2456</v>
      </c>
      <c r="CF53" t="s">
        <v>2457</v>
      </c>
      <c r="CG53">
        <v>45810</v>
      </c>
      <c r="CH53" t="s">
        <v>457</v>
      </c>
      <c r="CI53" t="s">
        <v>337</v>
      </c>
      <c r="CJ53" t="s">
        <v>2431</v>
      </c>
      <c r="CK53">
        <v>45811</v>
      </c>
      <c r="CL53" t="s">
        <v>2430</v>
      </c>
      <c r="CM53" t="s">
        <v>2432</v>
      </c>
      <c r="CN53">
        <v>45811</v>
      </c>
      <c r="CP53" t="s">
        <v>338</v>
      </c>
      <c r="CQ53" t="s">
        <v>2433</v>
      </c>
    </row>
    <row r="54" spans="1:95" ht="25.5" x14ac:dyDescent="0.2">
      <c r="A54" t="s">
        <v>333</v>
      </c>
      <c r="B54">
        <v>5</v>
      </c>
      <c r="C54" s="1"/>
      <c r="AE54" s="1"/>
      <c r="AY54" s="19"/>
      <c r="BW54" t="s">
        <v>2453</v>
      </c>
      <c r="BX54" s="20" t="s">
        <v>2454</v>
      </c>
      <c r="BY54" t="s">
        <v>335</v>
      </c>
      <c r="BZ54" t="s">
        <v>2449</v>
      </c>
      <c r="CA54">
        <v>45810</v>
      </c>
      <c r="CB54" s="19" t="s">
        <v>2445</v>
      </c>
      <c r="CC54" t="s">
        <v>2502</v>
      </c>
      <c r="CE54" t="s">
        <v>2456</v>
      </c>
      <c r="CF54" t="s">
        <v>2457</v>
      </c>
      <c r="CG54">
        <v>45810</v>
      </c>
      <c r="CH54" t="s">
        <v>457</v>
      </c>
      <c r="CI54" t="s">
        <v>337</v>
      </c>
      <c r="CJ54" t="s">
        <v>2431</v>
      </c>
      <c r="CK54">
        <v>45811</v>
      </c>
      <c r="CL54" t="s">
        <v>2430</v>
      </c>
      <c r="CM54" t="s">
        <v>2432</v>
      </c>
      <c r="CN54">
        <v>45811</v>
      </c>
      <c r="CP54" t="s">
        <v>338</v>
      </c>
      <c r="CQ54" t="s">
        <v>2433</v>
      </c>
    </row>
    <row r="55" spans="1:95" ht="25.5" x14ac:dyDescent="0.2">
      <c r="A55" t="s">
        <v>333</v>
      </c>
      <c r="B55">
        <v>5</v>
      </c>
      <c r="C55" s="1"/>
      <c r="AE55" s="1"/>
      <c r="AY55" s="19"/>
      <c r="BW55" t="s">
        <v>2453</v>
      </c>
      <c r="BX55" s="20" t="s">
        <v>2454</v>
      </c>
      <c r="BY55" t="s">
        <v>335</v>
      </c>
      <c r="BZ55" t="s">
        <v>2449</v>
      </c>
      <c r="CA55">
        <v>45810</v>
      </c>
      <c r="CB55" s="19" t="s">
        <v>2445</v>
      </c>
      <c r="CC55" t="s">
        <v>2503</v>
      </c>
      <c r="CE55" t="s">
        <v>2456</v>
      </c>
      <c r="CF55" t="s">
        <v>2457</v>
      </c>
      <c r="CG55">
        <v>45810</v>
      </c>
      <c r="CH55" t="s">
        <v>457</v>
      </c>
      <c r="CI55" t="s">
        <v>337</v>
      </c>
      <c r="CJ55" t="s">
        <v>2431</v>
      </c>
      <c r="CK55">
        <v>45811</v>
      </c>
      <c r="CL55" t="s">
        <v>2430</v>
      </c>
      <c r="CM55" t="s">
        <v>2432</v>
      </c>
      <c r="CN55">
        <v>45811</v>
      </c>
      <c r="CP55" t="s">
        <v>338</v>
      </c>
      <c r="CQ55" t="s">
        <v>2433</v>
      </c>
    </row>
    <row r="56" spans="1:95" ht="25.5" x14ac:dyDescent="0.2">
      <c r="A56" t="s">
        <v>333</v>
      </c>
      <c r="B56">
        <v>5</v>
      </c>
      <c r="C56" s="1"/>
      <c r="AE56" s="1"/>
      <c r="AY56" s="19"/>
      <c r="BW56" t="s">
        <v>2453</v>
      </c>
      <c r="BX56" s="20" t="s">
        <v>2454</v>
      </c>
      <c r="BY56" t="s">
        <v>335</v>
      </c>
      <c r="BZ56" t="s">
        <v>2449</v>
      </c>
      <c r="CA56">
        <v>45810</v>
      </c>
      <c r="CB56" s="19" t="s">
        <v>2445</v>
      </c>
      <c r="CC56" t="s">
        <v>2504</v>
      </c>
      <c r="CE56" t="s">
        <v>2456</v>
      </c>
      <c r="CF56" t="s">
        <v>2457</v>
      </c>
      <c r="CG56">
        <v>45810</v>
      </c>
      <c r="CH56" t="s">
        <v>457</v>
      </c>
      <c r="CI56" t="s">
        <v>337</v>
      </c>
      <c r="CJ56" t="s">
        <v>2431</v>
      </c>
      <c r="CK56">
        <v>45811</v>
      </c>
      <c r="CL56" t="s">
        <v>2430</v>
      </c>
      <c r="CM56" t="s">
        <v>2432</v>
      </c>
      <c r="CN56">
        <v>45811</v>
      </c>
      <c r="CP56" t="s">
        <v>338</v>
      </c>
      <c r="CQ56" t="s">
        <v>2433</v>
      </c>
    </row>
    <row r="57" spans="1:95" ht="25.5" x14ac:dyDescent="0.2">
      <c r="A57" t="s">
        <v>333</v>
      </c>
      <c r="B57">
        <v>5</v>
      </c>
      <c r="C57" s="1"/>
      <c r="AE57" s="1"/>
      <c r="AY57" s="19"/>
      <c r="BW57" t="s">
        <v>2453</v>
      </c>
      <c r="BX57" s="20" t="s">
        <v>2454</v>
      </c>
      <c r="BY57" t="s">
        <v>335</v>
      </c>
      <c r="BZ57" t="s">
        <v>2449</v>
      </c>
      <c r="CA57">
        <v>45810</v>
      </c>
      <c r="CB57" s="19" t="s">
        <v>2445</v>
      </c>
      <c r="CC57" t="s">
        <v>2505</v>
      </c>
      <c r="CE57" t="s">
        <v>2456</v>
      </c>
      <c r="CF57" t="s">
        <v>2457</v>
      </c>
      <c r="CG57">
        <v>45810</v>
      </c>
      <c r="CH57" t="s">
        <v>457</v>
      </c>
      <c r="CI57" t="s">
        <v>337</v>
      </c>
      <c r="CJ57" t="s">
        <v>2431</v>
      </c>
      <c r="CK57">
        <v>45811</v>
      </c>
      <c r="CL57" t="s">
        <v>2430</v>
      </c>
      <c r="CM57" t="s">
        <v>2432</v>
      </c>
      <c r="CN57">
        <v>45811</v>
      </c>
      <c r="CP57" t="s">
        <v>338</v>
      </c>
      <c r="CQ57" t="s">
        <v>2433</v>
      </c>
    </row>
    <row r="58" spans="1:95" ht="25.5" x14ac:dyDescent="0.2">
      <c r="A58" t="s">
        <v>333</v>
      </c>
      <c r="B58">
        <v>5</v>
      </c>
      <c r="C58" s="1"/>
      <c r="AE58" s="1"/>
      <c r="AY58" s="19"/>
      <c r="BW58" t="s">
        <v>2453</v>
      </c>
      <c r="BX58" s="20" t="s">
        <v>2454</v>
      </c>
      <c r="BY58" t="s">
        <v>335</v>
      </c>
      <c r="BZ58" t="s">
        <v>2449</v>
      </c>
      <c r="CA58">
        <v>45810</v>
      </c>
      <c r="CB58" s="19" t="s">
        <v>2445</v>
      </c>
      <c r="CC58" t="s">
        <v>2506</v>
      </c>
      <c r="CE58" t="s">
        <v>2456</v>
      </c>
      <c r="CF58" t="s">
        <v>2457</v>
      </c>
      <c r="CG58">
        <v>45810</v>
      </c>
      <c r="CH58" t="s">
        <v>457</v>
      </c>
      <c r="CI58" t="s">
        <v>337</v>
      </c>
      <c r="CJ58" t="s">
        <v>2431</v>
      </c>
      <c r="CK58">
        <v>45811</v>
      </c>
      <c r="CL58" t="s">
        <v>2430</v>
      </c>
      <c r="CM58" t="s">
        <v>2432</v>
      </c>
      <c r="CN58">
        <v>45811</v>
      </c>
      <c r="CP58" t="s">
        <v>338</v>
      </c>
      <c r="CQ58" t="s">
        <v>2433</v>
      </c>
    </row>
    <row r="59" spans="1:95" x14ac:dyDescent="0.2">
      <c r="A59" t="s">
        <v>333</v>
      </c>
      <c r="B59">
        <v>5</v>
      </c>
      <c r="C59" s="1"/>
      <c r="AE59" s="1"/>
      <c r="BW59" t="s">
        <v>2453</v>
      </c>
      <c r="BX59" s="20" t="s">
        <v>2454</v>
      </c>
      <c r="BY59" t="s">
        <v>335</v>
      </c>
      <c r="BZ59" t="s">
        <v>2449</v>
      </c>
      <c r="CA59">
        <v>45810</v>
      </c>
      <c r="CB59" t="s">
        <v>2445</v>
      </c>
      <c r="CC59" t="s">
        <v>2507</v>
      </c>
      <c r="CE59" t="s">
        <v>2456</v>
      </c>
      <c r="CF59" t="s">
        <v>2457</v>
      </c>
      <c r="CG59">
        <v>45810</v>
      </c>
      <c r="CH59" t="s">
        <v>457</v>
      </c>
      <c r="CI59" t="s">
        <v>337</v>
      </c>
      <c r="CJ59" t="s">
        <v>2431</v>
      </c>
      <c r="CK59">
        <v>45811</v>
      </c>
      <c r="CL59" t="s">
        <v>2430</v>
      </c>
      <c r="CM59" t="s">
        <v>2432</v>
      </c>
      <c r="CN59">
        <v>45811</v>
      </c>
      <c r="CP59" t="s">
        <v>338</v>
      </c>
      <c r="CQ59" t="s">
        <v>2433</v>
      </c>
    </row>
    <row r="60" spans="1:95" x14ac:dyDescent="0.2">
      <c r="A60" t="s">
        <v>333</v>
      </c>
      <c r="B60">
        <v>5</v>
      </c>
      <c r="C60" s="1"/>
      <c r="AE60" s="1"/>
      <c r="BW60" t="s">
        <v>2453</v>
      </c>
      <c r="BX60" s="20" t="s">
        <v>2454</v>
      </c>
      <c r="BY60" t="s">
        <v>335</v>
      </c>
      <c r="BZ60" t="s">
        <v>2449</v>
      </c>
      <c r="CA60">
        <v>45810</v>
      </c>
      <c r="CB60" t="s">
        <v>2445</v>
      </c>
      <c r="CC60" t="s">
        <v>2508</v>
      </c>
      <c r="CE60" t="s">
        <v>2456</v>
      </c>
      <c r="CF60" t="s">
        <v>2457</v>
      </c>
      <c r="CG60">
        <v>45810</v>
      </c>
      <c r="CH60" t="s">
        <v>457</v>
      </c>
      <c r="CI60" t="s">
        <v>337</v>
      </c>
      <c r="CJ60" t="s">
        <v>2431</v>
      </c>
      <c r="CK60">
        <v>45811</v>
      </c>
      <c r="CL60" t="s">
        <v>2430</v>
      </c>
      <c r="CM60" t="s">
        <v>2432</v>
      </c>
      <c r="CN60">
        <v>45811</v>
      </c>
      <c r="CP60" t="s">
        <v>338</v>
      </c>
      <c r="CQ60" t="s">
        <v>2433</v>
      </c>
    </row>
    <row r="61" spans="1:95" x14ac:dyDescent="0.2">
      <c r="A61" t="s">
        <v>333</v>
      </c>
      <c r="B61">
        <v>5</v>
      </c>
      <c r="C61" s="1"/>
      <c r="AE61" s="1"/>
      <c r="BW61" t="s">
        <v>2453</v>
      </c>
      <c r="BX61" s="20" t="s">
        <v>2454</v>
      </c>
      <c r="BY61" t="s">
        <v>335</v>
      </c>
      <c r="BZ61" t="s">
        <v>2449</v>
      </c>
      <c r="CA61">
        <v>45810</v>
      </c>
      <c r="CB61" t="s">
        <v>2445</v>
      </c>
      <c r="CC61" t="s">
        <v>2509</v>
      </c>
      <c r="CE61" t="s">
        <v>2456</v>
      </c>
      <c r="CF61" t="s">
        <v>2457</v>
      </c>
      <c r="CG61">
        <v>45810</v>
      </c>
      <c r="CH61" t="s">
        <v>457</v>
      </c>
      <c r="CI61" t="s">
        <v>337</v>
      </c>
      <c r="CJ61" t="s">
        <v>2431</v>
      </c>
      <c r="CK61">
        <v>45811</v>
      </c>
      <c r="CL61" t="s">
        <v>2430</v>
      </c>
      <c r="CM61" t="s">
        <v>2432</v>
      </c>
      <c r="CN61">
        <v>45811</v>
      </c>
      <c r="CP61" t="s">
        <v>338</v>
      </c>
      <c r="CQ61" t="s">
        <v>2433</v>
      </c>
    </row>
    <row r="62" spans="1:95" x14ac:dyDescent="0.2">
      <c r="A62" t="s">
        <v>333</v>
      </c>
      <c r="B62">
        <v>5</v>
      </c>
      <c r="C62" s="1"/>
      <c r="AE62" s="1"/>
      <c r="BW62" t="s">
        <v>2453</v>
      </c>
      <c r="BX62" s="20" t="s">
        <v>2454</v>
      </c>
      <c r="BY62" t="s">
        <v>335</v>
      </c>
      <c r="BZ62" t="s">
        <v>2449</v>
      </c>
      <c r="CA62">
        <v>45810</v>
      </c>
      <c r="CB62" t="s">
        <v>2445</v>
      </c>
      <c r="CC62" t="s">
        <v>2510</v>
      </c>
      <c r="CE62" t="s">
        <v>2456</v>
      </c>
      <c r="CF62" t="s">
        <v>2457</v>
      </c>
      <c r="CG62">
        <v>45810</v>
      </c>
      <c r="CH62" t="s">
        <v>457</v>
      </c>
      <c r="CI62" t="s">
        <v>337</v>
      </c>
      <c r="CJ62" t="s">
        <v>2431</v>
      </c>
      <c r="CK62">
        <v>45811</v>
      </c>
      <c r="CL62" t="s">
        <v>2430</v>
      </c>
      <c r="CM62" t="s">
        <v>2432</v>
      </c>
      <c r="CN62">
        <v>45811</v>
      </c>
      <c r="CP62" t="s">
        <v>338</v>
      </c>
      <c r="CQ62" t="s">
        <v>2433</v>
      </c>
    </row>
    <row r="63" spans="1:95" x14ac:dyDescent="0.2">
      <c r="A63" t="s">
        <v>333</v>
      </c>
      <c r="B63">
        <v>5</v>
      </c>
      <c r="C63" s="1"/>
      <c r="AE63" s="1"/>
      <c r="BW63" t="s">
        <v>2453</v>
      </c>
      <c r="BX63" s="20" t="s">
        <v>2454</v>
      </c>
      <c r="BY63" t="s">
        <v>335</v>
      </c>
      <c r="BZ63" t="s">
        <v>2449</v>
      </c>
      <c r="CA63">
        <v>45810</v>
      </c>
      <c r="CB63" t="s">
        <v>2445</v>
      </c>
      <c r="CC63" t="s">
        <v>2511</v>
      </c>
      <c r="CE63" t="s">
        <v>2456</v>
      </c>
      <c r="CF63" t="s">
        <v>2457</v>
      </c>
      <c r="CG63">
        <v>45810</v>
      </c>
      <c r="CH63" t="s">
        <v>457</v>
      </c>
      <c r="CI63" t="s">
        <v>337</v>
      </c>
      <c r="CJ63" t="s">
        <v>2431</v>
      </c>
      <c r="CK63">
        <v>45811</v>
      </c>
      <c r="CL63" t="s">
        <v>2430</v>
      </c>
      <c r="CM63" t="s">
        <v>2432</v>
      </c>
      <c r="CN63">
        <v>45811</v>
      </c>
      <c r="CP63" t="s">
        <v>338</v>
      </c>
      <c r="CQ63" t="s">
        <v>2433</v>
      </c>
    </row>
    <row r="64" spans="1:95" x14ac:dyDescent="0.2">
      <c r="A64" t="s">
        <v>333</v>
      </c>
      <c r="B64">
        <v>5</v>
      </c>
      <c r="C64" s="1"/>
      <c r="AE64" s="1"/>
      <c r="BW64" t="s">
        <v>2453</v>
      </c>
      <c r="BX64" s="20" t="s">
        <v>2454</v>
      </c>
      <c r="BY64" t="s">
        <v>335</v>
      </c>
      <c r="BZ64" t="s">
        <v>2449</v>
      </c>
      <c r="CA64">
        <v>45810</v>
      </c>
      <c r="CB64" t="s">
        <v>2445</v>
      </c>
      <c r="CC64" t="s">
        <v>2512</v>
      </c>
      <c r="CE64" t="s">
        <v>2456</v>
      </c>
      <c r="CF64" t="s">
        <v>2457</v>
      </c>
      <c r="CG64">
        <v>45810</v>
      </c>
      <c r="CH64" t="s">
        <v>457</v>
      </c>
      <c r="CI64" t="s">
        <v>337</v>
      </c>
      <c r="CJ64" t="s">
        <v>2431</v>
      </c>
      <c r="CK64">
        <v>45811</v>
      </c>
      <c r="CL64" t="s">
        <v>2430</v>
      </c>
      <c r="CM64" t="s">
        <v>2432</v>
      </c>
      <c r="CN64">
        <v>45811</v>
      </c>
      <c r="CP64" t="s">
        <v>338</v>
      </c>
      <c r="CQ64" t="s">
        <v>2433</v>
      </c>
    </row>
    <row r="65" spans="1:95" x14ac:dyDescent="0.2">
      <c r="A65" t="s">
        <v>333</v>
      </c>
      <c r="B65">
        <v>5</v>
      </c>
      <c r="C65" s="1"/>
      <c r="AE65" s="1"/>
      <c r="BW65" t="s">
        <v>2453</v>
      </c>
      <c r="BX65" s="20" t="s">
        <v>2454</v>
      </c>
      <c r="BY65" t="s">
        <v>335</v>
      </c>
      <c r="BZ65" t="s">
        <v>2449</v>
      </c>
      <c r="CA65">
        <v>45810</v>
      </c>
      <c r="CB65" t="s">
        <v>2445</v>
      </c>
      <c r="CC65" t="s">
        <v>2513</v>
      </c>
      <c r="CE65" t="s">
        <v>2456</v>
      </c>
      <c r="CF65" t="s">
        <v>2457</v>
      </c>
      <c r="CG65">
        <v>45810</v>
      </c>
      <c r="CH65" t="s">
        <v>457</v>
      </c>
      <c r="CI65" t="s">
        <v>337</v>
      </c>
      <c r="CJ65" t="s">
        <v>2431</v>
      </c>
      <c r="CK65">
        <v>45811</v>
      </c>
      <c r="CL65" t="s">
        <v>2430</v>
      </c>
      <c r="CM65" t="s">
        <v>2432</v>
      </c>
      <c r="CN65">
        <v>45811</v>
      </c>
      <c r="CP65" t="s">
        <v>338</v>
      </c>
      <c r="CQ65" t="s">
        <v>2433</v>
      </c>
    </row>
    <row r="66" spans="1:95" x14ac:dyDescent="0.2">
      <c r="A66" t="s">
        <v>333</v>
      </c>
      <c r="B66">
        <v>5</v>
      </c>
      <c r="C66" s="1"/>
      <c r="AE66" s="1"/>
      <c r="BW66" t="s">
        <v>2453</v>
      </c>
      <c r="BX66" s="20" t="s">
        <v>2454</v>
      </c>
      <c r="BY66" t="s">
        <v>335</v>
      </c>
      <c r="BZ66" t="s">
        <v>2449</v>
      </c>
      <c r="CA66">
        <v>45810</v>
      </c>
      <c r="CB66" t="s">
        <v>2445</v>
      </c>
      <c r="CC66" t="s">
        <v>2514</v>
      </c>
      <c r="CE66" t="s">
        <v>2456</v>
      </c>
      <c r="CF66" t="s">
        <v>2457</v>
      </c>
      <c r="CG66">
        <v>45810</v>
      </c>
      <c r="CH66" t="s">
        <v>457</v>
      </c>
      <c r="CI66" t="s">
        <v>337</v>
      </c>
      <c r="CJ66" t="s">
        <v>2431</v>
      </c>
      <c r="CK66">
        <v>45811</v>
      </c>
      <c r="CL66" t="s">
        <v>2430</v>
      </c>
      <c r="CM66" t="s">
        <v>2432</v>
      </c>
      <c r="CN66">
        <v>45811</v>
      </c>
      <c r="CP66" t="s">
        <v>338</v>
      </c>
      <c r="CQ66" t="s">
        <v>2433</v>
      </c>
    </row>
    <row r="67" spans="1:95" x14ac:dyDescent="0.2">
      <c r="A67" t="s">
        <v>333</v>
      </c>
      <c r="B67">
        <v>5</v>
      </c>
      <c r="C67" s="1"/>
      <c r="AE67" s="1"/>
      <c r="BW67" t="s">
        <v>2453</v>
      </c>
      <c r="BX67" s="20" t="s">
        <v>2454</v>
      </c>
      <c r="BY67" t="s">
        <v>335</v>
      </c>
      <c r="BZ67" t="s">
        <v>2449</v>
      </c>
      <c r="CA67">
        <v>45810</v>
      </c>
      <c r="CB67" t="s">
        <v>2445</v>
      </c>
      <c r="CC67" t="s">
        <v>2515</v>
      </c>
      <c r="CE67" t="s">
        <v>2456</v>
      </c>
      <c r="CF67" t="s">
        <v>2457</v>
      </c>
      <c r="CG67">
        <v>45810</v>
      </c>
      <c r="CH67" t="s">
        <v>457</v>
      </c>
      <c r="CI67" t="s">
        <v>337</v>
      </c>
      <c r="CJ67" t="s">
        <v>2431</v>
      </c>
      <c r="CK67">
        <v>45811</v>
      </c>
      <c r="CL67" t="s">
        <v>2430</v>
      </c>
      <c r="CM67" t="s">
        <v>2432</v>
      </c>
      <c r="CN67">
        <v>45811</v>
      </c>
      <c r="CP67" t="s">
        <v>338</v>
      </c>
      <c r="CQ67" t="s">
        <v>2433</v>
      </c>
    </row>
    <row r="68" spans="1:95" x14ac:dyDescent="0.2">
      <c r="A68" t="s">
        <v>333</v>
      </c>
      <c r="B68">
        <v>5</v>
      </c>
      <c r="C68" s="1"/>
      <c r="AE68" s="1"/>
      <c r="BW68" t="s">
        <v>2453</v>
      </c>
      <c r="BX68" s="20" t="s">
        <v>2454</v>
      </c>
      <c r="BY68" t="s">
        <v>335</v>
      </c>
      <c r="BZ68" t="s">
        <v>2449</v>
      </c>
      <c r="CA68">
        <v>45810</v>
      </c>
      <c r="CB68" t="s">
        <v>2445</v>
      </c>
      <c r="CC68" t="s">
        <v>2516</v>
      </c>
      <c r="CE68" t="s">
        <v>2456</v>
      </c>
      <c r="CF68" t="s">
        <v>2457</v>
      </c>
      <c r="CG68">
        <v>45810</v>
      </c>
      <c r="CH68" t="s">
        <v>457</v>
      </c>
      <c r="CI68" t="s">
        <v>337</v>
      </c>
      <c r="CJ68" t="s">
        <v>2431</v>
      </c>
      <c r="CK68">
        <v>45811</v>
      </c>
      <c r="CL68" t="s">
        <v>2430</v>
      </c>
      <c r="CM68" t="s">
        <v>2432</v>
      </c>
      <c r="CN68">
        <v>45811</v>
      </c>
      <c r="CP68" t="s">
        <v>338</v>
      </c>
      <c r="CQ68" t="s">
        <v>2433</v>
      </c>
    </row>
    <row r="69" spans="1:95" x14ac:dyDescent="0.2">
      <c r="A69" t="s">
        <v>333</v>
      </c>
      <c r="B69">
        <v>6</v>
      </c>
      <c r="C69" s="1"/>
      <c r="AE69" s="1"/>
      <c r="BW69" t="s">
        <v>2517</v>
      </c>
      <c r="BX69" t="s">
        <v>2518</v>
      </c>
      <c r="BY69" t="s">
        <v>335</v>
      </c>
      <c r="BZ69" t="s">
        <v>2443</v>
      </c>
      <c r="CA69">
        <v>45810</v>
      </c>
      <c r="CB69" t="s">
        <v>2445</v>
      </c>
      <c r="CC69" t="s">
        <v>2519</v>
      </c>
      <c r="CE69" t="s">
        <v>2456</v>
      </c>
      <c r="CF69" t="s">
        <v>2520</v>
      </c>
      <c r="CG69">
        <v>45810</v>
      </c>
      <c r="CH69" t="s">
        <v>457</v>
      </c>
      <c r="CI69" t="s">
        <v>337</v>
      </c>
      <c r="CJ69" t="s">
        <v>2431</v>
      </c>
      <c r="CK69">
        <v>45811</v>
      </c>
      <c r="CL69" t="s">
        <v>2430</v>
      </c>
      <c r="CM69" t="s">
        <v>2432</v>
      </c>
      <c r="CN69">
        <v>45811</v>
      </c>
      <c r="CP69" t="s">
        <v>338</v>
      </c>
      <c r="CQ69" t="s">
        <v>2433</v>
      </c>
    </row>
    <row r="70" spans="1:95" x14ac:dyDescent="0.2">
      <c r="A70" t="s">
        <v>333</v>
      </c>
      <c r="B70">
        <v>6</v>
      </c>
      <c r="C70" s="1"/>
      <c r="AE70" s="1"/>
      <c r="BW70" t="s">
        <v>2517</v>
      </c>
      <c r="BX70" t="s">
        <v>2518</v>
      </c>
      <c r="BY70" t="s">
        <v>335</v>
      </c>
      <c r="BZ70" t="s">
        <v>2443</v>
      </c>
      <c r="CA70">
        <v>45810</v>
      </c>
      <c r="CB70" t="s">
        <v>2445</v>
      </c>
      <c r="CC70" t="s">
        <v>2521</v>
      </c>
      <c r="CE70" t="s">
        <v>2456</v>
      </c>
      <c r="CF70" t="s">
        <v>2520</v>
      </c>
      <c r="CG70">
        <v>45810</v>
      </c>
      <c r="CH70" t="s">
        <v>457</v>
      </c>
      <c r="CI70" t="s">
        <v>337</v>
      </c>
      <c r="CJ70" t="s">
        <v>2431</v>
      </c>
      <c r="CK70">
        <v>45811</v>
      </c>
      <c r="CL70" t="s">
        <v>2430</v>
      </c>
      <c r="CM70" t="s">
        <v>2432</v>
      </c>
      <c r="CN70">
        <v>45811</v>
      </c>
      <c r="CP70" t="s">
        <v>338</v>
      </c>
      <c r="CQ70" t="s">
        <v>2433</v>
      </c>
    </row>
    <row r="71" spans="1:95" x14ac:dyDescent="0.2">
      <c r="A71" t="s">
        <v>333</v>
      </c>
      <c r="B71">
        <v>6</v>
      </c>
      <c r="C71" s="1"/>
      <c r="AE71" s="1"/>
      <c r="BW71" t="s">
        <v>2517</v>
      </c>
      <c r="BX71" t="s">
        <v>2518</v>
      </c>
      <c r="BY71" t="s">
        <v>335</v>
      </c>
      <c r="BZ71" t="s">
        <v>2443</v>
      </c>
      <c r="CA71">
        <v>45810</v>
      </c>
      <c r="CB71" t="s">
        <v>2445</v>
      </c>
      <c r="CC71" t="s">
        <v>2522</v>
      </c>
      <c r="CE71" t="s">
        <v>2456</v>
      </c>
      <c r="CF71" t="s">
        <v>2520</v>
      </c>
      <c r="CG71">
        <v>45810</v>
      </c>
      <c r="CH71" t="s">
        <v>457</v>
      </c>
      <c r="CI71" t="s">
        <v>337</v>
      </c>
      <c r="CJ71" t="s">
        <v>2431</v>
      </c>
      <c r="CK71">
        <v>45811</v>
      </c>
      <c r="CL71" t="s">
        <v>2430</v>
      </c>
      <c r="CM71" t="s">
        <v>2432</v>
      </c>
      <c r="CN71">
        <v>45811</v>
      </c>
      <c r="CP71" t="s">
        <v>338</v>
      </c>
      <c r="CQ71" t="s">
        <v>2433</v>
      </c>
    </row>
    <row r="72" spans="1:95" x14ac:dyDescent="0.2">
      <c r="A72" t="s">
        <v>333</v>
      </c>
      <c r="B72">
        <v>6</v>
      </c>
      <c r="C72" s="1"/>
      <c r="AE72" s="1"/>
      <c r="BW72" t="s">
        <v>2517</v>
      </c>
      <c r="BX72" t="s">
        <v>2518</v>
      </c>
      <c r="BY72" t="s">
        <v>335</v>
      </c>
      <c r="BZ72" t="s">
        <v>2443</v>
      </c>
      <c r="CA72">
        <v>45810</v>
      </c>
      <c r="CB72" t="s">
        <v>2445</v>
      </c>
      <c r="CC72" t="s">
        <v>2523</v>
      </c>
      <c r="CE72" t="s">
        <v>2456</v>
      </c>
      <c r="CF72" t="s">
        <v>2520</v>
      </c>
      <c r="CG72">
        <v>45810</v>
      </c>
      <c r="CH72" t="s">
        <v>457</v>
      </c>
      <c r="CI72" t="s">
        <v>337</v>
      </c>
      <c r="CJ72" t="s">
        <v>2431</v>
      </c>
      <c r="CK72">
        <v>45811</v>
      </c>
      <c r="CL72" t="s">
        <v>2430</v>
      </c>
      <c r="CM72" t="s">
        <v>2432</v>
      </c>
      <c r="CN72">
        <v>45811</v>
      </c>
      <c r="CP72" t="s">
        <v>338</v>
      </c>
      <c r="CQ72" t="s">
        <v>2433</v>
      </c>
    </row>
    <row r="73" spans="1:95" x14ac:dyDescent="0.2">
      <c r="A73" t="s">
        <v>333</v>
      </c>
      <c r="B73">
        <v>6</v>
      </c>
      <c r="C73" s="1"/>
      <c r="AE73" s="1"/>
      <c r="BW73" t="s">
        <v>2517</v>
      </c>
      <c r="BX73" t="s">
        <v>2518</v>
      </c>
      <c r="BY73" t="s">
        <v>335</v>
      </c>
      <c r="BZ73" t="s">
        <v>2443</v>
      </c>
      <c r="CA73">
        <v>45810</v>
      </c>
      <c r="CB73" t="s">
        <v>2445</v>
      </c>
      <c r="CC73" t="s">
        <v>2524</v>
      </c>
      <c r="CE73" t="s">
        <v>2456</v>
      </c>
      <c r="CF73" t="s">
        <v>2520</v>
      </c>
      <c r="CG73">
        <v>45810</v>
      </c>
      <c r="CH73" t="s">
        <v>457</v>
      </c>
      <c r="CI73" t="s">
        <v>337</v>
      </c>
      <c r="CJ73" t="s">
        <v>2431</v>
      </c>
      <c r="CK73">
        <v>45811</v>
      </c>
      <c r="CL73" t="s">
        <v>2430</v>
      </c>
      <c r="CM73" t="s">
        <v>2432</v>
      </c>
      <c r="CN73">
        <v>45811</v>
      </c>
      <c r="CP73" t="s">
        <v>338</v>
      </c>
      <c r="CQ73" t="s">
        <v>2433</v>
      </c>
    </row>
    <row r="74" spans="1:95" x14ac:dyDescent="0.2">
      <c r="A74" t="s">
        <v>333</v>
      </c>
      <c r="B74">
        <v>6</v>
      </c>
      <c r="C74" s="1"/>
      <c r="AE74" s="1"/>
      <c r="BW74" t="s">
        <v>2517</v>
      </c>
      <c r="BX74" t="s">
        <v>2518</v>
      </c>
      <c r="BY74" t="s">
        <v>335</v>
      </c>
      <c r="BZ74" t="s">
        <v>2443</v>
      </c>
      <c r="CA74">
        <v>45810</v>
      </c>
      <c r="CB74" t="s">
        <v>2445</v>
      </c>
      <c r="CC74" t="s">
        <v>2525</v>
      </c>
      <c r="CE74" t="s">
        <v>2456</v>
      </c>
      <c r="CF74" t="s">
        <v>2520</v>
      </c>
      <c r="CG74">
        <v>45810</v>
      </c>
      <c r="CH74" t="s">
        <v>457</v>
      </c>
      <c r="CI74" t="s">
        <v>337</v>
      </c>
      <c r="CJ74" t="s">
        <v>2431</v>
      </c>
      <c r="CK74">
        <v>45811</v>
      </c>
      <c r="CL74" t="s">
        <v>2430</v>
      </c>
      <c r="CM74" t="s">
        <v>2432</v>
      </c>
      <c r="CN74">
        <v>45811</v>
      </c>
      <c r="CP74" t="s">
        <v>338</v>
      </c>
      <c r="CQ74" t="s">
        <v>2433</v>
      </c>
    </row>
    <row r="75" spans="1:95" x14ac:dyDescent="0.2">
      <c r="A75" t="s">
        <v>333</v>
      </c>
      <c r="B75">
        <v>6</v>
      </c>
      <c r="C75" s="1"/>
      <c r="AE75" s="1"/>
      <c r="BW75" t="s">
        <v>2517</v>
      </c>
      <c r="BX75" t="s">
        <v>2518</v>
      </c>
      <c r="BY75" t="s">
        <v>335</v>
      </c>
      <c r="BZ75" t="s">
        <v>2443</v>
      </c>
      <c r="CA75">
        <v>45810</v>
      </c>
      <c r="CB75" t="s">
        <v>2445</v>
      </c>
      <c r="CC75" t="s">
        <v>2526</v>
      </c>
      <c r="CE75" t="s">
        <v>2456</v>
      </c>
      <c r="CF75" t="s">
        <v>2520</v>
      </c>
      <c r="CG75">
        <v>45810</v>
      </c>
      <c r="CH75" t="s">
        <v>457</v>
      </c>
      <c r="CI75" t="s">
        <v>337</v>
      </c>
      <c r="CJ75" t="s">
        <v>2431</v>
      </c>
      <c r="CK75">
        <v>45811</v>
      </c>
      <c r="CL75" t="s">
        <v>2430</v>
      </c>
      <c r="CM75" t="s">
        <v>2432</v>
      </c>
      <c r="CN75">
        <v>45811</v>
      </c>
      <c r="CP75" t="s">
        <v>338</v>
      </c>
      <c r="CQ75" t="s">
        <v>2433</v>
      </c>
    </row>
    <row r="76" spans="1:95" x14ac:dyDescent="0.2">
      <c r="A76" t="s">
        <v>333</v>
      </c>
      <c r="B76">
        <v>6</v>
      </c>
      <c r="C76" s="1"/>
      <c r="AE76" s="1"/>
      <c r="BW76" t="s">
        <v>2517</v>
      </c>
      <c r="BX76" t="s">
        <v>2518</v>
      </c>
      <c r="BY76" t="s">
        <v>335</v>
      </c>
      <c r="BZ76" t="s">
        <v>2443</v>
      </c>
      <c r="CA76">
        <v>45810</v>
      </c>
      <c r="CB76" t="s">
        <v>2445</v>
      </c>
      <c r="CC76" t="s">
        <v>2527</v>
      </c>
      <c r="CE76" t="s">
        <v>2456</v>
      </c>
      <c r="CF76" t="s">
        <v>2520</v>
      </c>
      <c r="CG76">
        <v>45810</v>
      </c>
      <c r="CH76" t="s">
        <v>457</v>
      </c>
      <c r="CI76" t="s">
        <v>337</v>
      </c>
      <c r="CJ76" t="s">
        <v>2431</v>
      </c>
      <c r="CK76">
        <v>45811</v>
      </c>
      <c r="CL76" t="s">
        <v>2430</v>
      </c>
      <c r="CM76" t="s">
        <v>2432</v>
      </c>
      <c r="CN76">
        <v>45811</v>
      </c>
      <c r="CP76" t="s">
        <v>338</v>
      </c>
      <c r="CQ76" t="s">
        <v>2433</v>
      </c>
    </row>
    <row r="77" spans="1:95" x14ac:dyDescent="0.2">
      <c r="A77" t="s">
        <v>333</v>
      </c>
      <c r="B77">
        <v>6</v>
      </c>
      <c r="C77" s="1"/>
      <c r="AE77" s="1"/>
      <c r="BW77" t="s">
        <v>2517</v>
      </c>
      <c r="BX77" t="s">
        <v>2518</v>
      </c>
      <c r="BY77" t="s">
        <v>335</v>
      </c>
      <c r="BZ77" t="s">
        <v>2443</v>
      </c>
      <c r="CA77">
        <v>45810</v>
      </c>
      <c r="CB77" t="s">
        <v>2445</v>
      </c>
      <c r="CC77" t="s">
        <v>2528</v>
      </c>
      <c r="CE77" t="s">
        <v>2456</v>
      </c>
      <c r="CF77" t="s">
        <v>2520</v>
      </c>
      <c r="CG77">
        <v>45810</v>
      </c>
      <c r="CH77" t="s">
        <v>457</v>
      </c>
      <c r="CI77" t="s">
        <v>337</v>
      </c>
      <c r="CJ77" t="s">
        <v>2431</v>
      </c>
      <c r="CK77">
        <v>45811</v>
      </c>
      <c r="CL77" t="s">
        <v>2430</v>
      </c>
      <c r="CM77" t="s">
        <v>2432</v>
      </c>
      <c r="CN77">
        <v>45811</v>
      </c>
      <c r="CP77" t="s">
        <v>338</v>
      </c>
      <c r="CQ77" t="s">
        <v>2433</v>
      </c>
    </row>
    <row r="78" spans="1:95" x14ac:dyDescent="0.2">
      <c r="A78" t="s">
        <v>333</v>
      </c>
      <c r="B78">
        <v>6</v>
      </c>
      <c r="C78" s="1"/>
      <c r="AE78" s="1"/>
      <c r="BW78" t="s">
        <v>2517</v>
      </c>
      <c r="BX78" t="s">
        <v>2518</v>
      </c>
      <c r="BY78" t="s">
        <v>335</v>
      </c>
      <c r="BZ78" t="s">
        <v>2443</v>
      </c>
      <c r="CA78">
        <v>45810</v>
      </c>
      <c r="CB78" t="s">
        <v>2445</v>
      </c>
      <c r="CC78" t="s">
        <v>2529</v>
      </c>
      <c r="CE78" t="s">
        <v>2456</v>
      </c>
      <c r="CF78" t="s">
        <v>2520</v>
      </c>
      <c r="CG78">
        <v>45810</v>
      </c>
      <c r="CH78" t="s">
        <v>457</v>
      </c>
      <c r="CI78" t="s">
        <v>337</v>
      </c>
      <c r="CJ78" t="s">
        <v>2431</v>
      </c>
      <c r="CK78">
        <v>45811</v>
      </c>
      <c r="CL78" t="s">
        <v>2430</v>
      </c>
      <c r="CM78" t="s">
        <v>2432</v>
      </c>
      <c r="CN78">
        <v>45811</v>
      </c>
      <c r="CP78" t="s">
        <v>338</v>
      </c>
      <c r="CQ78" t="s">
        <v>2433</v>
      </c>
    </row>
    <row r="79" spans="1:95" x14ac:dyDescent="0.2">
      <c r="A79" t="s">
        <v>333</v>
      </c>
      <c r="B79">
        <v>6</v>
      </c>
      <c r="C79" s="1"/>
      <c r="AE79" s="1"/>
      <c r="BW79" t="s">
        <v>2517</v>
      </c>
      <c r="BX79" t="s">
        <v>2518</v>
      </c>
      <c r="BY79" t="s">
        <v>335</v>
      </c>
      <c r="BZ79" t="s">
        <v>2443</v>
      </c>
      <c r="CA79">
        <v>45810</v>
      </c>
      <c r="CB79" t="s">
        <v>2445</v>
      </c>
      <c r="CC79" t="s">
        <v>2530</v>
      </c>
      <c r="CE79" t="s">
        <v>2456</v>
      </c>
      <c r="CF79" t="s">
        <v>2520</v>
      </c>
      <c r="CG79">
        <v>45810</v>
      </c>
      <c r="CH79" t="s">
        <v>457</v>
      </c>
      <c r="CI79" t="s">
        <v>337</v>
      </c>
      <c r="CJ79" t="s">
        <v>2431</v>
      </c>
      <c r="CK79">
        <v>45811</v>
      </c>
      <c r="CL79" t="s">
        <v>2430</v>
      </c>
      <c r="CM79" t="s">
        <v>2432</v>
      </c>
      <c r="CN79">
        <v>45811</v>
      </c>
      <c r="CP79" t="s">
        <v>338</v>
      </c>
      <c r="CQ79" t="s">
        <v>2433</v>
      </c>
    </row>
    <row r="80" spans="1:95" x14ac:dyDescent="0.2">
      <c r="A80" t="s">
        <v>333</v>
      </c>
      <c r="B80">
        <v>6</v>
      </c>
      <c r="C80" s="1"/>
      <c r="AE80" s="1"/>
      <c r="BW80" t="s">
        <v>2517</v>
      </c>
      <c r="BX80" t="s">
        <v>2518</v>
      </c>
      <c r="BY80" t="s">
        <v>335</v>
      </c>
      <c r="BZ80" t="s">
        <v>2443</v>
      </c>
      <c r="CA80">
        <v>45810</v>
      </c>
      <c r="CB80" t="s">
        <v>2445</v>
      </c>
      <c r="CC80" t="s">
        <v>2531</v>
      </c>
      <c r="CE80" t="s">
        <v>2456</v>
      </c>
      <c r="CF80" t="s">
        <v>2520</v>
      </c>
      <c r="CG80">
        <v>45810</v>
      </c>
      <c r="CH80" t="s">
        <v>457</v>
      </c>
      <c r="CI80" t="s">
        <v>337</v>
      </c>
      <c r="CJ80" t="s">
        <v>2431</v>
      </c>
      <c r="CK80">
        <v>45811</v>
      </c>
      <c r="CL80" t="s">
        <v>2430</v>
      </c>
      <c r="CM80" t="s">
        <v>2432</v>
      </c>
      <c r="CN80">
        <v>45811</v>
      </c>
      <c r="CP80" t="s">
        <v>338</v>
      </c>
      <c r="CQ80" t="s">
        <v>2433</v>
      </c>
    </row>
    <row r="81" spans="1:95" x14ac:dyDescent="0.2">
      <c r="A81" t="s">
        <v>333</v>
      </c>
      <c r="B81">
        <v>6</v>
      </c>
      <c r="C81" s="1"/>
      <c r="AE81" s="1"/>
      <c r="BW81" t="s">
        <v>2517</v>
      </c>
      <c r="BX81" t="s">
        <v>2518</v>
      </c>
      <c r="BY81" t="s">
        <v>335</v>
      </c>
      <c r="BZ81" t="s">
        <v>2443</v>
      </c>
      <c r="CA81">
        <v>45810</v>
      </c>
      <c r="CB81" t="s">
        <v>2445</v>
      </c>
      <c r="CC81" t="s">
        <v>2532</v>
      </c>
      <c r="CE81" t="s">
        <v>2456</v>
      </c>
      <c r="CF81" t="s">
        <v>2520</v>
      </c>
      <c r="CG81">
        <v>45810</v>
      </c>
      <c r="CH81" t="s">
        <v>457</v>
      </c>
      <c r="CI81" t="s">
        <v>337</v>
      </c>
      <c r="CJ81" t="s">
        <v>2431</v>
      </c>
      <c r="CK81">
        <v>45811</v>
      </c>
      <c r="CL81" t="s">
        <v>2430</v>
      </c>
      <c r="CM81" t="s">
        <v>2432</v>
      </c>
      <c r="CN81">
        <v>45811</v>
      </c>
      <c r="CP81" t="s">
        <v>338</v>
      </c>
      <c r="CQ81" t="s">
        <v>2433</v>
      </c>
    </row>
    <row r="82" spans="1:95" x14ac:dyDescent="0.2">
      <c r="A82" t="s">
        <v>333</v>
      </c>
      <c r="B82">
        <v>6</v>
      </c>
      <c r="C82" s="1"/>
      <c r="AE82" s="1"/>
      <c r="BW82" t="s">
        <v>2517</v>
      </c>
      <c r="BX82" t="s">
        <v>2518</v>
      </c>
      <c r="BY82" t="s">
        <v>335</v>
      </c>
      <c r="BZ82" t="s">
        <v>2443</v>
      </c>
      <c r="CA82">
        <v>45810</v>
      </c>
      <c r="CB82" t="s">
        <v>2445</v>
      </c>
      <c r="CC82" t="s">
        <v>2533</v>
      </c>
      <c r="CE82" t="s">
        <v>2456</v>
      </c>
      <c r="CF82" t="s">
        <v>2520</v>
      </c>
      <c r="CG82">
        <v>45810</v>
      </c>
      <c r="CH82" t="s">
        <v>457</v>
      </c>
      <c r="CI82" t="s">
        <v>337</v>
      </c>
      <c r="CJ82" t="s">
        <v>2431</v>
      </c>
      <c r="CK82">
        <v>45811</v>
      </c>
      <c r="CL82" t="s">
        <v>2430</v>
      </c>
      <c r="CM82" t="s">
        <v>2432</v>
      </c>
      <c r="CN82">
        <v>45811</v>
      </c>
      <c r="CP82" t="s">
        <v>338</v>
      </c>
      <c r="CQ82" t="s">
        <v>2433</v>
      </c>
    </row>
    <row r="83" spans="1:95" x14ac:dyDescent="0.2">
      <c r="A83" t="s">
        <v>333</v>
      </c>
      <c r="B83">
        <v>6</v>
      </c>
      <c r="C83" s="1"/>
      <c r="AE83" s="1"/>
      <c r="BW83" t="s">
        <v>2517</v>
      </c>
      <c r="BX83" t="s">
        <v>2518</v>
      </c>
      <c r="BY83" t="s">
        <v>335</v>
      </c>
      <c r="BZ83" t="s">
        <v>2443</v>
      </c>
      <c r="CA83">
        <v>45810</v>
      </c>
      <c r="CB83" t="s">
        <v>2445</v>
      </c>
      <c r="CC83" t="s">
        <v>2534</v>
      </c>
      <c r="CE83" t="s">
        <v>2456</v>
      </c>
      <c r="CF83" t="s">
        <v>2520</v>
      </c>
      <c r="CG83">
        <v>45810</v>
      </c>
      <c r="CH83" t="s">
        <v>457</v>
      </c>
      <c r="CI83" t="s">
        <v>337</v>
      </c>
      <c r="CJ83" t="s">
        <v>2431</v>
      </c>
      <c r="CK83">
        <v>45811</v>
      </c>
      <c r="CL83" t="s">
        <v>2430</v>
      </c>
      <c r="CM83" t="s">
        <v>2432</v>
      </c>
      <c r="CN83">
        <v>45811</v>
      </c>
      <c r="CP83" t="s">
        <v>338</v>
      </c>
      <c r="CQ83" t="s">
        <v>2433</v>
      </c>
    </row>
    <row r="84" spans="1:95" x14ac:dyDescent="0.2">
      <c r="A84" t="s">
        <v>333</v>
      </c>
      <c r="B84">
        <v>6</v>
      </c>
      <c r="C84" s="1"/>
      <c r="AE84" s="1"/>
      <c r="BW84" t="s">
        <v>2517</v>
      </c>
      <c r="BX84" t="s">
        <v>2518</v>
      </c>
      <c r="BY84" t="s">
        <v>335</v>
      </c>
      <c r="BZ84" t="s">
        <v>2443</v>
      </c>
      <c r="CA84">
        <v>45810</v>
      </c>
      <c r="CB84" t="s">
        <v>2445</v>
      </c>
      <c r="CC84" t="s">
        <v>2535</v>
      </c>
      <c r="CE84" t="s">
        <v>2456</v>
      </c>
      <c r="CF84" t="s">
        <v>2520</v>
      </c>
      <c r="CG84">
        <v>45810</v>
      </c>
      <c r="CH84" t="s">
        <v>457</v>
      </c>
      <c r="CI84" t="s">
        <v>337</v>
      </c>
      <c r="CJ84" t="s">
        <v>2431</v>
      </c>
      <c r="CK84">
        <v>45811</v>
      </c>
      <c r="CL84" t="s">
        <v>2430</v>
      </c>
      <c r="CM84" t="s">
        <v>2432</v>
      </c>
      <c r="CN84">
        <v>45811</v>
      </c>
      <c r="CP84" t="s">
        <v>338</v>
      </c>
      <c r="CQ84" t="s">
        <v>2433</v>
      </c>
    </row>
    <row r="85" spans="1:95" x14ac:dyDescent="0.2">
      <c r="A85" t="s">
        <v>333</v>
      </c>
      <c r="B85">
        <v>6</v>
      </c>
      <c r="C85" s="1"/>
      <c r="AE85" s="1"/>
      <c r="BW85" t="s">
        <v>2517</v>
      </c>
      <c r="BX85" t="s">
        <v>2518</v>
      </c>
      <c r="BY85" t="s">
        <v>335</v>
      </c>
      <c r="BZ85" t="s">
        <v>2443</v>
      </c>
      <c r="CA85">
        <v>45810</v>
      </c>
      <c r="CB85" t="s">
        <v>2445</v>
      </c>
      <c r="CC85" t="s">
        <v>2536</v>
      </c>
      <c r="CE85" t="s">
        <v>2456</v>
      </c>
      <c r="CF85" t="s">
        <v>2520</v>
      </c>
      <c r="CG85">
        <v>45810</v>
      </c>
      <c r="CH85" t="s">
        <v>457</v>
      </c>
      <c r="CI85" t="s">
        <v>337</v>
      </c>
      <c r="CJ85" t="s">
        <v>2431</v>
      </c>
      <c r="CK85">
        <v>45811</v>
      </c>
      <c r="CL85" t="s">
        <v>2430</v>
      </c>
      <c r="CM85" t="s">
        <v>2432</v>
      </c>
      <c r="CN85">
        <v>45811</v>
      </c>
      <c r="CP85" t="s">
        <v>338</v>
      </c>
      <c r="CQ85" t="s">
        <v>2433</v>
      </c>
    </row>
    <row r="86" spans="1:95" x14ac:dyDescent="0.2">
      <c r="A86" t="s">
        <v>333</v>
      </c>
      <c r="B86">
        <v>6</v>
      </c>
      <c r="C86" s="1"/>
      <c r="AE86" s="1"/>
      <c r="BW86" t="s">
        <v>2517</v>
      </c>
      <c r="BX86" t="s">
        <v>2518</v>
      </c>
      <c r="BY86" t="s">
        <v>335</v>
      </c>
      <c r="BZ86" t="s">
        <v>2443</v>
      </c>
      <c r="CA86">
        <v>45810</v>
      </c>
      <c r="CB86" t="s">
        <v>2445</v>
      </c>
      <c r="CC86" t="s">
        <v>2537</v>
      </c>
      <c r="CE86" t="s">
        <v>2456</v>
      </c>
      <c r="CF86" t="s">
        <v>2520</v>
      </c>
      <c r="CG86">
        <v>45810</v>
      </c>
      <c r="CH86" t="s">
        <v>457</v>
      </c>
      <c r="CI86" t="s">
        <v>337</v>
      </c>
      <c r="CJ86" t="s">
        <v>2431</v>
      </c>
      <c r="CK86">
        <v>45811</v>
      </c>
      <c r="CL86" t="s">
        <v>2430</v>
      </c>
      <c r="CM86" t="s">
        <v>2432</v>
      </c>
      <c r="CN86">
        <v>45811</v>
      </c>
      <c r="CP86" t="s">
        <v>338</v>
      </c>
      <c r="CQ86" t="s">
        <v>2433</v>
      </c>
    </row>
    <row r="87" spans="1:95" x14ac:dyDescent="0.2">
      <c r="A87" t="s">
        <v>333</v>
      </c>
      <c r="B87">
        <v>6</v>
      </c>
      <c r="C87" s="1"/>
      <c r="AE87" s="1"/>
      <c r="BW87" t="s">
        <v>2517</v>
      </c>
      <c r="BX87" t="s">
        <v>2518</v>
      </c>
      <c r="BY87" t="s">
        <v>335</v>
      </c>
      <c r="BZ87" t="s">
        <v>2443</v>
      </c>
      <c r="CA87">
        <v>45810</v>
      </c>
      <c r="CB87" t="s">
        <v>2445</v>
      </c>
      <c r="CC87" t="s">
        <v>2538</v>
      </c>
      <c r="CE87" t="s">
        <v>2456</v>
      </c>
      <c r="CF87" t="s">
        <v>2520</v>
      </c>
      <c r="CG87">
        <v>45810</v>
      </c>
      <c r="CH87" t="s">
        <v>457</v>
      </c>
      <c r="CI87" t="s">
        <v>337</v>
      </c>
      <c r="CJ87" t="s">
        <v>2431</v>
      </c>
      <c r="CK87">
        <v>45811</v>
      </c>
      <c r="CL87" t="s">
        <v>2430</v>
      </c>
      <c r="CM87" t="s">
        <v>2432</v>
      </c>
      <c r="CN87">
        <v>45811</v>
      </c>
      <c r="CP87" t="s">
        <v>338</v>
      </c>
      <c r="CQ87" t="s">
        <v>2433</v>
      </c>
    </row>
    <row r="88" spans="1:95" x14ac:dyDescent="0.2">
      <c r="A88" t="s">
        <v>333</v>
      </c>
      <c r="B88">
        <v>6</v>
      </c>
      <c r="C88" s="1"/>
      <c r="AE88" s="1"/>
      <c r="BW88" t="s">
        <v>2517</v>
      </c>
      <c r="BX88" t="s">
        <v>2518</v>
      </c>
      <c r="BY88" t="s">
        <v>335</v>
      </c>
      <c r="BZ88" t="s">
        <v>2443</v>
      </c>
      <c r="CA88">
        <v>45810</v>
      </c>
      <c r="CB88" t="s">
        <v>2445</v>
      </c>
      <c r="CC88" t="s">
        <v>2539</v>
      </c>
      <c r="CE88" t="s">
        <v>2456</v>
      </c>
      <c r="CF88" t="s">
        <v>2520</v>
      </c>
      <c r="CG88">
        <v>45810</v>
      </c>
      <c r="CH88" t="s">
        <v>457</v>
      </c>
      <c r="CI88" t="s">
        <v>337</v>
      </c>
      <c r="CJ88" t="s">
        <v>2431</v>
      </c>
      <c r="CK88">
        <v>45811</v>
      </c>
      <c r="CL88" t="s">
        <v>2430</v>
      </c>
      <c r="CM88" t="s">
        <v>2432</v>
      </c>
      <c r="CN88">
        <v>45811</v>
      </c>
      <c r="CP88" t="s">
        <v>338</v>
      </c>
      <c r="CQ88" t="s">
        <v>2433</v>
      </c>
    </row>
    <row r="89" spans="1:95" x14ac:dyDescent="0.2">
      <c r="A89" t="s">
        <v>333</v>
      </c>
      <c r="B89">
        <v>6</v>
      </c>
      <c r="C89" s="1"/>
      <c r="AE89" s="1"/>
      <c r="BW89" t="s">
        <v>2517</v>
      </c>
      <c r="BX89" t="s">
        <v>2518</v>
      </c>
      <c r="BY89" t="s">
        <v>335</v>
      </c>
      <c r="BZ89" t="s">
        <v>2443</v>
      </c>
      <c r="CA89">
        <v>45810</v>
      </c>
      <c r="CB89" t="s">
        <v>2445</v>
      </c>
      <c r="CC89" t="s">
        <v>2540</v>
      </c>
      <c r="CE89" t="s">
        <v>2456</v>
      </c>
      <c r="CF89" t="s">
        <v>2520</v>
      </c>
      <c r="CG89">
        <v>45810</v>
      </c>
      <c r="CH89" t="s">
        <v>457</v>
      </c>
      <c r="CI89" t="s">
        <v>337</v>
      </c>
      <c r="CJ89" t="s">
        <v>2431</v>
      </c>
      <c r="CK89">
        <v>45811</v>
      </c>
      <c r="CL89" t="s">
        <v>2430</v>
      </c>
      <c r="CM89" t="s">
        <v>2432</v>
      </c>
      <c r="CN89">
        <v>45811</v>
      </c>
      <c r="CP89" t="s">
        <v>338</v>
      </c>
      <c r="CQ89" t="s">
        <v>2433</v>
      </c>
    </row>
    <row r="90" spans="1:95" x14ac:dyDescent="0.2">
      <c r="A90" t="s">
        <v>333</v>
      </c>
      <c r="B90">
        <v>6</v>
      </c>
      <c r="C90" s="1"/>
      <c r="AE90" s="1"/>
      <c r="BW90" t="s">
        <v>2517</v>
      </c>
      <c r="BX90" t="s">
        <v>2518</v>
      </c>
      <c r="BY90" t="s">
        <v>335</v>
      </c>
      <c r="BZ90" t="s">
        <v>2443</v>
      </c>
      <c r="CA90">
        <v>45810</v>
      </c>
      <c r="CB90" t="s">
        <v>2445</v>
      </c>
      <c r="CC90" t="s">
        <v>2541</v>
      </c>
      <c r="CE90" t="s">
        <v>2456</v>
      </c>
      <c r="CF90" t="s">
        <v>2520</v>
      </c>
      <c r="CG90">
        <v>45810</v>
      </c>
      <c r="CH90" t="s">
        <v>457</v>
      </c>
      <c r="CI90" t="s">
        <v>337</v>
      </c>
      <c r="CJ90" t="s">
        <v>2431</v>
      </c>
      <c r="CK90">
        <v>45811</v>
      </c>
      <c r="CL90" t="s">
        <v>2430</v>
      </c>
      <c r="CM90" t="s">
        <v>2432</v>
      </c>
      <c r="CN90">
        <v>45811</v>
      </c>
      <c r="CP90" t="s">
        <v>338</v>
      </c>
      <c r="CQ90" t="s">
        <v>2433</v>
      </c>
    </row>
    <row r="91" spans="1:95" x14ac:dyDescent="0.2">
      <c r="A91" t="s">
        <v>333</v>
      </c>
      <c r="B91">
        <v>6</v>
      </c>
      <c r="C91" s="1"/>
      <c r="AE91" s="1"/>
      <c r="BW91" t="s">
        <v>2517</v>
      </c>
      <c r="BX91" t="s">
        <v>2518</v>
      </c>
      <c r="BY91" t="s">
        <v>335</v>
      </c>
      <c r="BZ91" t="s">
        <v>2443</v>
      </c>
      <c r="CA91">
        <v>45810</v>
      </c>
      <c r="CB91" t="s">
        <v>2445</v>
      </c>
      <c r="CC91" t="s">
        <v>2542</v>
      </c>
      <c r="CE91" t="s">
        <v>2456</v>
      </c>
      <c r="CF91" t="s">
        <v>2520</v>
      </c>
      <c r="CG91">
        <v>45810</v>
      </c>
      <c r="CH91" t="s">
        <v>457</v>
      </c>
      <c r="CI91" t="s">
        <v>337</v>
      </c>
      <c r="CJ91" t="s">
        <v>2431</v>
      </c>
      <c r="CK91">
        <v>45811</v>
      </c>
      <c r="CL91" t="s">
        <v>2430</v>
      </c>
      <c r="CM91" t="s">
        <v>2432</v>
      </c>
      <c r="CN91">
        <v>45811</v>
      </c>
      <c r="CP91" t="s">
        <v>338</v>
      </c>
      <c r="CQ91" t="s">
        <v>2433</v>
      </c>
    </row>
    <row r="92" spans="1:95" x14ac:dyDescent="0.2">
      <c r="A92" t="s">
        <v>333</v>
      </c>
      <c r="B92">
        <v>6</v>
      </c>
      <c r="C92" s="1"/>
      <c r="AE92" s="1"/>
      <c r="BW92" t="s">
        <v>2517</v>
      </c>
      <c r="BX92" t="s">
        <v>2518</v>
      </c>
      <c r="BY92" t="s">
        <v>335</v>
      </c>
      <c r="BZ92" t="s">
        <v>2443</v>
      </c>
      <c r="CA92">
        <v>45810</v>
      </c>
      <c r="CB92" t="s">
        <v>2445</v>
      </c>
      <c r="CC92" t="s">
        <v>2543</v>
      </c>
      <c r="CE92" t="s">
        <v>2456</v>
      </c>
      <c r="CF92" t="s">
        <v>2520</v>
      </c>
      <c r="CG92">
        <v>45810</v>
      </c>
      <c r="CH92" t="s">
        <v>457</v>
      </c>
      <c r="CI92" t="s">
        <v>337</v>
      </c>
      <c r="CJ92" t="s">
        <v>2431</v>
      </c>
      <c r="CK92">
        <v>45811</v>
      </c>
      <c r="CL92" t="s">
        <v>2430</v>
      </c>
      <c r="CM92" t="s">
        <v>2432</v>
      </c>
      <c r="CN92">
        <v>45811</v>
      </c>
      <c r="CP92" t="s">
        <v>338</v>
      </c>
      <c r="CQ92" t="s">
        <v>2433</v>
      </c>
    </row>
    <row r="93" spans="1:95" x14ac:dyDescent="0.2">
      <c r="A93" t="s">
        <v>333</v>
      </c>
      <c r="B93">
        <v>6</v>
      </c>
      <c r="C93" s="1"/>
      <c r="AE93" s="1"/>
      <c r="BW93" t="s">
        <v>2517</v>
      </c>
      <c r="BX93" t="s">
        <v>2518</v>
      </c>
      <c r="BY93" t="s">
        <v>335</v>
      </c>
      <c r="BZ93" t="s">
        <v>2443</v>
      </c>
      <c r="CA93">
        <v>45810</v>
      </c>
      <c r="CB93" t="s">
        <v>2445</v>
      </c>
      <c r="CC93" t="s">
        <v>2544</v>
      </c>
      <c r="CE93" t="s">
        <v>2456</v>
      </c>
      <c r="CF93" t="s">
        <v>2520</v>
      </c>
      <c r="CG93">
        <v>45810</v>
      </c>
      <c r="CH93" t="s">
        <v>457</v>
      </c>
      <c r="CI93" t="s">
        <v>337</v>
      </c>
      <c r="CJ93" t="s">
        <v>2431</v>
      </c>
      <c r="CK93">
        <v>45811</v>
      </c>
      <c r="CL93" t="s">
        <v>2430</v>
      </c>
      <c r="CM93" t="s">
        <v>2432</v>
      </c>
      <c r="CN93">
        <v>45811</v>
      </c>
      <c r="CP93" t="s">
        <v>338</v>
      </c>
      <c r="CQ93" t="s">
        <v>2433</v>
      </c>
    </row>
    <row r="94" spans="1:95" x14ac:dyDescent="0.2">
      <c r="A94" t="s">
        <v>333</v>
      </c>
      <c r="B94">
        <v>6</v>
      </c>
      <c r="C94" s="1"/>
      <c r="AE94" s="1"/>
      <c r="BW94" t="s">
        <v>2517</v>
      </c>
      <c r="BX94" t="s">
        <v>2518</v>
      </c>
      <c r="BY94" t="s">
        <v>335</v>
      </c>
      <c r="BZ94" t="s">
        <v>2443</v>
      </c>
      <c r="CA94">
        <v>45810</v>
      </c>
      <c r="CB94" t="s">
        <v>2445</v>
      </c>
      <c r="CC94" t="s">
        <v>2545</v>
      </c>
      <c r="CE94" t="s">
        <v>2456</v>
      </c>
      <c r="CF94" t="s">
        <v>2520</v>
      </c>
      <c r="CG94">
        <v>45810</v>
      </c>
      <c r="CH94" t="s">
        <v>457</v>
      </c>
      <c r="CI94" t="s">
        <v>337</v>
      </c>
      <c r="CJ94" t="s">
        <v>2431</v>
      </c>
      <c r="CK94">
        <v>45811</v>
      </c>
      <c r="CL94" t="s">
        <v>2430</v>
      </c>
      <c r="CM94" t="s">
        <v>2432</v>
      </c>
      <c r="CN94">
        <v>45811</v>
      </c>
      <c r="CP94" t="s">
        <v>338</v>
      </c>
      <c r="CQ94" t="s">
        <v>2433</v>
      </c>
    </row>
    <row r="95" spans="1:95" x14ac:dyDescent="0.2">
      <c r="A95" t="s">
        <v>333</v>
      </c>
      <c r="B95">
        <v>6</v>
      </c>
      <c r="C95" s="1"/>
      <c r="AE95" s="1"/>
      <c r="BW95" t="s">
        <v>2517</v>
      </c>
      <c r="BX95" t="s">
        <v>2518</v>
      </c>
      <c r="BY95" t="s">
        <v>335</v>
      </c>
      <c r="BZ95" t="s">
        <v>2443</v>
      </c>
      <c r="CA95">
        <v>45810</v>
      </c>
      <c r="CB95" t="s">
        <v>2445</v>
      </c>
      <c r="CC95" t="s">
        <v>2546</v>
      </c>
      <c r="CE95" t="s">
        <v>2456</v>
      </c>
      <c r="CF95" t="s">
        <v>2520</v>
      </c>
      <c r="CG95">
        <v>45810</v>
      </c>
      <c r="CH95" t="s">
        <v>457</v>
      </c>
      <c r="CI95" t="s">
        <v>337</v>
      </c>
      <c r="CJ95" t="s">
        <v>2431</v>
      </c>
      <c r="CK95">
        <v>45811</v>
      </c>
      <c r="CL95" t="s">
        <v>2430</v>
      </c>
      <c r="CM95" t="s">
        <v>2432</v>
      </c>
      <c r="CN95">
        <v>45811</v>
      </c>
      <c r="CP95" t="s">
        <v>338</v>
      </c>
      <c r="CQ95" t="s">
        <v>2433</v>
      </c>
    </row>
    <row r="96" spans="1:95" x14ac:dyDescent="0.2">
      <c r="A96" t="s">
        <v>333</v>
      </c>
      <c r="B96">
        <v>6</v>
      </c>
      <c r="C96" s="1"/>
      <c r="AE96" s="1"/>
      <c r="BW96" t="s">
        <v>2517</v>
      </c>
      <c r="BX96" t="s">
        <v>2518</v>
      </c>
      <c r="BY96" t="s">
        <v>335</v>
      </c>
      <c r="BZ96" t="s">
        <v>2443</v>
      </c>
      <c r="CA96">
        <v>45810</v>
      </c>
      <c r="CB96" t="s">
        <v>2445</v>
      </c>
      <c r="CC96" t="s">
        <v>2547</v>
      </c>
      <c r="CE96" t="s">
        <v>2456</v>
      </c>
      <c r="CF96" t="s">
        <v>2520</v>
      </c>
      <c r="CG96">
        <v>45810</v>
      </c>
      <c r="CH96" t="s">
        <v>457</v>
      </c>
      <c r="CI96" t="s">
        <v>337</v>
      </c>
      <c r="CJ96" t="s">
        <v>2431</v>
      </c>
      <c r="CK96">
        <v>45811</v>
      </c>
      <c r="CL96" t="s">
        <v>2430</v>
      </c>
      <c r="CM96" t="s">
        <v>2432</v>
      </c>
      <c r="CN96">
        <v>45811</v>
      </c>
      <c r="CP96" t="s">
        <v>338</v>
      </c>
      <c r="CQ96" t="s">
        <v>2433</v>
      </c>
    </row>
    <row r="97" spans="1:95" x14ac:dyDescent="0.2">
      <c r="A97" t="s">
        <v>333</v>
      </c>
      <c r="B97">
        <v>6</v>
      </c>
      <c r="C97" s="1"/>
      <c r="AE97" s="1"/>
      <c r="BW97" t="s">
        <v>2517</v>
      </c>
      <c r="BX97" t="s">
        <v>2518</v>
      </c>
      <c r="BY97" t="s">
        <v>335</v>
      </c>
      <c r="BZ97" t="s">
        <v>2443</v>
      </c>
      <c r="CA97">
        <v>45810</v>
      </c>
      <c r="CB97" t="s">
        <v>2445</v>
      </c>
      <c r="CC97" t="s">
        <v>2548</v>
      </c>
      <c r="CE97" t="s">
        <v>2456</v>
      </c>
      <c r="CF97" t="s">
        <v>2520</v>
      </c>
      <c r="CG97">
        <v>45810</v>
      </c>
      <c r="CH97" t="s">
        <v>457</v>
      </c>
      <c r="CI97" t="s">
        <v>337</v>
      </c>
      <c r="CJ97" t="s">
        <v>2431</v>
      </c>
      <c r="CK97">
        <v>45811</v>
      </c>
      <c r="CL97" t="s">
        <v>2430</v>
      </c>
      <c r="CM97" t="s">
        <v>2432</v>
      </c>
      <c r="CN97">
        <v>45811</v>
      </c>
      <c r="CP97" t="s">
        <v>338</v>
      </c>
      <c r="CQ97" t="s">
        <v>2433</v>
      </c>
    </row>
    <row r="98" spans="1:95" x14ac:dyDescent="0.2">
      <c r="A98" t="s">
        <v>333</v>
      </c>
      <c r="B98">
        <v>6</v>
      </c>
      <c r="C98" s="1"/>
      <c r="AE98" s="1"/>
      <c r="BW98" t="s">
        <v>2517</v>
      </c>
      <c r="BX98" t="s">
        <v>2518</v>
      </c>
      <c r="BY98" t="s">
        <v>335</v>
      </c>
      <c r="BZ98" t="s">
        <v>2443</v>
      </c>
      <c r="CA98">
        <v>45810</v>
      </c>
      <c r="CB98" t="s">
        <v>2445</v>
      </c>
      <c r="CC98" t="s">
        <v>2549</v>
      </c>
      <c r="CE98" t="s">
        <v>2456</v>
      </c>
      <c r="CF98" t="s">
        <v>2520</v>
      </c>
      <c r="CG98">
        <v>45810</v>
      </c>
      <c r="CH98" t="s">
        <v>457</v>
      </c>
      <c r="CI98" t="s">
        <v>337</v>
      </c>
      <c r="CJ98" t="s">
        <v>2431</v>
      </c>
      <c r="CK98">
        <v>45811</v>
      </c>
      <c r="CL98" t="s">
        <v>2430</v>
      </c>
      <c r="CM98" t="s">
        <v>2432</v>
      </c>
      <c r="CN98">
        <v>45811</v>
      </c>
      <c r="CP98" t="s">
        <v>338</v>
      </c>
      <c r="CQ98" t="s">
        <v>2433</v>
      </c>
    </row>
    <row r="99" spans="1:95" x14ac:dyDescent="0.2">
      <c r="A99" t="s">
        <v>333</v>
      </c>
      <c r="B99">
        <v>6</v>
      </c>
      <c r="C99" s="1"/>
      <c r="AE99" s="1"/>
      <c r="BW99" t="s">
        <v>2517</v>
      </c>
      <c r="BX99" t="s">
        <v>2518</v>
      </c>
      <c r="BY99" t="s">
        <v>335</v>
      </c>
      <c r="BZ99" t="s">
        <v>2443</v>
      </c>
      <c r="CA99">
        <v>45810</v>
      </c>
      <c r="CB99" t="s">
        <v>2445</v>
      </c>
      <c r="CC99" t="s">
        <v>2550</v>
      </c>
      <c r="CE99" t="s">
        <v>2456</v>
      </c>
      <c r="CF99" t="s">
        <v>2520</v>
      </c>
      <c r="CG99">
        <v>45810</v>
      </c>
      <c r="CH99" t="s">
        <v>457</v>
      </c>
      <c r="CI99" t="s">
        <v>337</v>
      </c>
      <c r="CJ99" t="s">
        <v>2431</v>
      </c>
      <c r="CK99">
        <v>45811</v>
      </c>
      <c r="CL99" t="s">
        <v>2430</v>
      </c>
      <c r="CM99" t="s">
        <v>2432</v>
      </c>
      <c r="CN99">
        <v>45811</v>
      </c>
      <c r="CP99" t="s">
        <v>338</v>
      </c>
      <c r="CQ99" t="s">
        <v>2433</v>
      </c>
    </row>
    <row r="100" spans="1:95" x14ac:dyDescent="0.2">
      <c r="A100" t="s">
        <v>333</v>
      </c>
      <c r="B100">
        <v>6</v>
      </c>
      <c r="C100" s="1"/>
      <c r="AE100" s="1"/>
      <c r="BW100" t="s">
        <v>2517</v>
      </c>
      <c r="BX100" t="s">
        <v>2518</v>
      </c>
      <c r="BY100" t="s">
        <v>335</v>
      </c>
      <c r="BZ100" t="s">
        <v>2443</v>
      </c>
      <c r="CA100">
        <v>45810</v>
      </c>
      <c r="CB100" t="s">
        <v>2445</v>
      </c>
      <c r="CC100" t="s">
        <v>2551</v>
      </c>
      <c r="CE100" t="s">
        <v>2456</v>
      </c>
      <c r="CF100" t="s">
        <v>2520</v>
      </c>
      <c r="CG100">
        <v>45810</v>
      </c>
      <c r="CH100" t="s">
        <v>457</v>
      </c>
      <c r="CI100" t="s">
        <v>337</v>
      </c>
      <c r="CJ100" t="s">
        <v>2431</v>
      </c>
      <c r="CK100">
        <v>45811</v>
      </c>
      <c r="CL100" t="s">
        <v>2430</v>
      </c>
      <c r="CM100" t="s">
        <v>2432</v>
      </c>
      <c r="CN100">
        <v>45811</v>
      </c>
      <c r="CP100" t="s">
        <v>338</v>
      </c>
      <c r="CQ100" t="s">
        <v>2433</v>
      </c>
    </row>
    <row r="101" spans="1:95" x14ac:dyDescent="0.2">
      <c r="A101" t="s">
        <v>333</v>
      </c>
      <c r="B101">
        <v>6</v>
      </c>
      <c r="C101" s="1"/>
      <c r="AE101" s="1"/>
      <c r="BW101" t="s">
        <v>2517</v>
      </c>
      <c r="BX101" t="s">
        <v>2518</v>
      </c>
      <c r="BY101" t="s">
        <v>335</v>
      </c>
      <c r="BZ101" t="s">
        <v>2443</v>
      </c>
      <c r="CA101">
        <v>45810</v>
      </c>
      <c r="CB101" t="s">
        <v>2445</v>
      </c>
      <c r="CC101" t="s">
        <v>2552</v>
      </c>
      <c r="CE101" t="s">
        <v>2456</v>
      </c>
      <c r="CF101" t="s">
        <v>2520</v>
      </c>
      <c r="CG101">
        <v>45810</v>
      </c>
      <c r="CH101" t="s">
        <v>457</v>
      </c>
      <c r="CI101" t="s">
        <v>337</v>
      </c>
      <c r="CJ101" t="s">
        <v>2431</v>
      </c>
      <c r="CK101">
        <v>45811</v>
      </c>
      <c r="CL101" t="s">
        <v>2430</v>
      </c>
      <c r="CM101" t="s">
        <v>2432</v>
      </c>
      <c r="CN101">
        <v>45811</v>
      </c>
      <c r="CP101" t="s">
        <v>338</v>
      </c>
      <c r="CQ101" t="s">
        <v>2433</v>
      </c>
    </row>
    <row r="102" spans="1:95" x14ac:dyDescent="0.2">
      <c r="A102" t="s">
        <v>333</v>
      </c>
      <c r="B102">
        <v>6</v>
      </c>
      <c r="C102" s="1"/>
      <c r="AE102" s="1"/>
      <c r="BW102" t="s">
        <v>2517</v>
      </c>
      <c r="BX102" t="s">
        <v>2518</v>
      </c>
      <c r="BY102" t="s">
        <v>335</v>
      </c>
      <c r="BZ102" t="s">
        <v>2443</v>
      </c>
      <c r="CA102">
        <v>45810</v>
      </c>
      <c r="CB102" t="s">
        <v>2445</v>
      </c>
      <c r="CC102" t="s">
        <v>2553</v>
      </c>
      <c r="CE102" t="s">
        <v>2456</v>
      </c>
      <c r="CF102" t="s">
        <v>2520</v>
      </c>
      <c r="CG102">
        <v>45810</v>
      </c>
      <c r="CH102" t="s">
        <v>457</v>
      </c>
      <c r="CI102" t="s">
        <v>337</v>
      </c>
      <c r="CJ102" t="s">
        <v>2431</v>
      </c>
      <c r="CK102">
        <v>45811</v>
      </c>
      <c r="CL102" t="s">
        <v>2430</v>
      </c>
      <c r="CM102" t="s">
        <v>2432</v>
      </c>
      <c r="CN102">
        <v>45811</v>
      </c>
      <c r="CP102" t="s">
        <v>338</v>
      </c>
      <c r="CQ102" t="s">
        <v>2433</v>
      </c>
    </row>
    <row r="103" spans="1:95" x14ac:dyDescent="0.2">
      <c r="A103" t="s">
        <v>333</v>
      </c>
      <c r="B103">
        <v>6</v>
      </c>
      <c r="C103" s="1"/>
      <c r="AE103" s="1"/>
      <c r="BW103" t="s">
        <v>2517</v>
      </c>
      <c r="BX103" t="s">
        <v>2518</v>
      </c>
      <c r="BY103" t="s">
        <v>335</v>
      </c>
      <c r="BZ103" t="s">
        <v>2443</v>
      </c>
      <c r="CA103">
        <v>45810</v>
      </c>
      <c r="CB103" t="s">
        <v>2445</v>
      </c>
      <c r="CC103" t="s">
        <v>2554</v>
      </c>
      <c r="CE103" t="s">
        <v>2456</v>
      </c>
      <c r="CF103" t="s">
        <v>2520</v>
      </c>
      <c r="CG103">
        <v>45810</v>
      </c>
      <c r="CH103" t="s">
        <v>457</v>
      </c>
      <c r="CI103" t="s">
        <v>337</v>
      </c>
      <c r="CJ103" t="s">
        <v>2431</v>
      </c>
      <c r="CK103">
        <v>45811</v>
      </c>
      <c r="CL103" t="s">
        <v>2430</v>
      </c>
      <c r="CM103" t="s">
        <v>2432</v>
      </c>
      <c r="CN103">
        <v>45811</v>
      </c>
      <c r="CP103" t="s">
        <v>338</v>
      </c>
      <c r="CQ103" t="s">
        <v>2433</v>
      </c>
    </row>
    <row r="104" spans="1:95" x14ac:dyDescent="0.2">
      <c r="A104" t="s">
        <v>333</v>
      </c>
      <c r="B104">
        <v>6</v>
      </c>
      <c r="C104" s="1"/>
      <c r="AE104" s="1"/>
      <c r="BW104" t="s">
        <v>2517</v>
      </c>
      <c r="BX104" t="s">
        <v>2518</v>
      </c>
      <c r="BY104" t="s">
        <v>335</v>
      </c>
      <c r="BZ104" t="s">
        <v>2443</v>
      </c>
      <c r="CA104">
        <v>45810</v>
      </c>
      <c r="CB104" t="s">
        <v>2445</v>
      </c>
      <c r="CC104" t="s">
        <v>2555</v>
      </c>
      <c r="CE104" t="s">
        <v>2456</v>
      </c>
      <c r="CF104" t="s">
        <v>2520</v>
      </c>
      <c r="CG104">
        <v>45810</v>
      </c>
      <c r="CH104" t="s">
        <v>457</v>
      </c>
      <c r="CI104" t="s">
        <v>337</v>
      </c>
      <c r="CJ104" t="s">
        <v>2431</v>
      </c>
      <c r="CK104">
        <v>45811</v>
      </c>
      <c r="CL104" t="s">
        <v>2430</v>
      </c>
      <c r="CM104" t="s">
        <v>2432</v>
      </c>
      <c r="CN104">
        <v>45811</v>
      </c>
      <c r="CP104" t="s">
        <v>338</v>
      </c>
      <c r="CQ104" t="s">
        <v>2433</v>
      </c>
    </row>
    <row r="105" spans="1:95" x14ac:dyDescent="0.2">
      <c r="A105" t="s">
        <v>333</v>
      </c>
      <c r="B105">
        <v>6</v>
      </c>
      <c r="C105" s="1"/>
      <c r="AE105" s="1"/>
      <c r="BW105" t="s">
        <v>2517</v>
      </c>
      <c r="BX105" t="s">
        <v>2518</v>
      </c>
      <c r="BY105" t="s">
        <v>335</v>
      </c>
      <c r="BZ105" t="s">
        <v>2443</v>
      </c>
      <c r="CA105">
        <v>45810</v>
      </c>
      <c r="CB105" t="s">
        <v>2445</v>
      </c>
      <c r="CC105" t="s">
        <v>2556</v>
      </c>
      <c r="CE105" t="s">
        <v>2456</v>
      </c>
      <c r="CF105" t="s">
        <v>2520</v>
      </c>
      <c r="CG105">
        <v>45810</v>
      </c>
      <c r="CH105" t="s">
        <v>457</v>
      </c>
      <c r="CI105" t="s">
        <v>337</v>
      </c>
      <c r="CJ105" t="s">
        <v>2431</v>
      </c>
      <c r="CK105">
        <v>45811</v>
      </c>
      <c r="CL105" t="s">
        <v>2430</v>
      </c>
      <c r="CM105" t="s">
        <v>2432</v>
      </c>
      <c r="CN105">
        <v>45811</v>
      </c>
      <c r="CP105" t="s">
        <v>338</v>
      </c>
      <c r="CQ105" t="s">
        <v>2433</v>
      </c>
    </row>
    <row r="106" spans="1:95" x14ac:dyDescent="0.2">
      <c r="A106" t="s">
        <v>333</v>
      </c>
      <c r="B106">
        <v>6</v>
      </c>
      <c r="C106" s="1"/>
      <c r="AE106" s="1"/>
      <c r="BW106" t="s">
        <v>2517</v>
      </c>
      <c r="BX106" t="s">
        <v>2518</v>
      </c>
      <c r="BY106" t="s">
        <v>335</v>
      </c>
      <c r="BZ106" t="s">
        <v>2443</v>
      </c>
      <c r="CA106">
        <v>45810</v>
      </c>
      <c r="CB106" t="s">
        <v>2445</v>
      </c>
      <c r="CC106" t="s">
        <v>2557</v>
      </c>
      <c r="CE106" t="s">
        <v>2456</v>
      </c>
      <c r="CF106" t="s">
        <v>2520</v>
      </c>
      <c r="CG106">
        <v>45810</v>
      </c>
      <c r="CH106" t="s">
        <v>457</v>
      </c>
      <c r="CI106" t="s">
        <v>337</v>
      </c>
      <c r="CJ106" t="s">
        <v>2431</v>
      </c>
      <c r="CK106">
        <v>45811</v>
      </c>
      <c r="CL106" t="s">
        <v>2430</v>
      </c>
      <c r="CM106" t="s">
        <v>2432</v>
      </c>
      <c r="CN106">
        <v>45811</v>
      </c>
      <c r="CP106" t="s">
        <v>338</v>
      </c>
      <c r="CQ106" t="s">
        <v>2433</v>
      </c>
    </row>
    <row r="107" spans="1:95" x14ac:dyDescent="0.2">
      <c r="A107" t="s">
        <v>333</v>
      </c>
      <c r="B107">
        <v>6</v>
      </c>
      <c r="C107" s="1"/>
      <c r="AE107" s="1"/>
      <c r="BW107" t="s">
        <v>2517</v>
      </c>
      <c r="BX107" t="s">
        <v>2518</v>
      </c>
      <c r="BY107" t="s">
        <v>335</v>
      </c>
      <c r="BZ107" t="s">
        <v>2443</v>
      </c>
      <c r="CA107">
        <v>45810</v>
      </c>
      <c r="CB107" t="s">
        <v>2445</v>
      </c>
      <c r="CC107" t="s">
        <v>2558</v>
      </c>
      <c r="CE107" t="s">
        <v>2456</v>
      </c>
      <c r="CF107" t="s">
        <v>2520</v>
      </c>
      <c r="CG107">
        <v>45810</v>
      </c>
      <c r="CH107" t="s">
        <v>457</v>
      </c>
      <c r="CI107" t="s">
        <v>337</v>
      </c>
      <c r="CJ107" t="s">
        <v>2431</v>
      </c>
      <c r="CK107">
        <v>45811</v>
      </c>
      <c r="CL107" t="s">
        <v>2430</v>
      </c>
      <c r="CM107" t="s">
        <v>2432</v>
      </c>
      <c r="CN107">
        <v>45811</v>
      </c>
      <c r="CP107" t="s">
        <v>338</v>
      </c>
      <c r="CQ107" t="s">
        <v>2433</v>
      </c>
    </row>
    <row r="108" spans="1:95" x14ac:dyDescent="0.2">
      <c r="A108" t="s">
        <v>333</v>
      </c>
      <c r="B108">
        <v>6</v>
      </c>
      <c r="C108" s="1"/>
      <c r="AE108" s="1"/>
      <c r="BW108" t="s">
        <v>2517</v>
      </c>
      <c r="BX108" t="s">
        <v>2518</v>
      </c>
      <c r="BY108" t="s">
        <v>335</v>
      </c>
      <c r="BZ108" t="s">
        <v>2443</v>
      </c>
      <c r="CA108">
        <v>45810</v>
      </c>
      <c r="CB108" t="s">
        <v>2445</v>
      </c>
      <c r="CC108" t="s">
        <v>2559</v>
      </c>
      <c r="CE108" t="s">
        <v>2456</v>
      </c>
      <c r="CF108" t="s">
        <v>2520</v>
      </c>
      <c r="CG108">
        <v>45810</v>
      </c>
      <c r="CH108" t="s">
        <v>457</v>
      </c>
      <c r="CI108" t="s">
        <v>337</v>
      </c>
      <c r="CJ108" t="s">
        <v>2431</v>
      </c>
      <c r="CK108">
        <v>45811</v>
      </c>
      <c r="CL108" t="s">
        <v>2430</v>
      </c>
      <c r="CM108" t="s">
        <v>2432</v>
      </c>
      <c r="CN108">
        <v>45811</v>
      </c>
      <c r="CP108" t="s">
        <v>338</v>
      </c>
      <c r="CQ108" t="s">
        <v>2433</v>
      </c>
    </row>
    <row r="109" spans="1:95" x14ac:dyDescent="0.2">
      <c r="A109" t="s">
        <v>333</v>
      </c>
      <c r="B109">
        <v>6</v>
      </c>
      <c r="C109" s="1"/>
      <c r="AE109" s="1"/>
      <c r="BW109" t="s">
        <v>2517</v>
      </c>
      <c r="BX109" t="s">
        <v>2518</v>
      </c>
      <c r="BY109" t="s">
        <v>335</v>
      </c>
      <c r="BZ109" t="s">
        <v>2443</v>
      </c>
      <c r="CA109">
        <v>45810</v>
      </c>
      <c r="CB109" t="s">
        <v>2445</v>
      </c>
      <c r="CC109" t="s">
        <v>2560</v>
      </c>
      <c r="CE109" t="s">
        <v>2456</v>
      </c>
      <c r="CF109" t="s">
        <v>2520</v>
      </c>
      <c r="CG109">
        <v>45810</v>
      </c>
      <c r="CH109" t="s">
        <v>457</v>
      </c>
      <c r="CI109" t="s">
        <v>337</v>
      </c>
      <c r="CJ109" t="s">
        <v>2431</v>
      </c>
      <c r="CK109">
        <v>45811</v>
      </c>
      <c r="CL109" t="s">
        <v>2430</v>
      </c>
      <c r="CM109" t="s">
        <v>2432</v>
      </c>
      <c r="CN109">
        <v>45811</v>
      </c>
      <c r="CP109" t="s">
        <v>338</v>
      </c>
      <c r="CQ109" t="s">
        <v>2433</v>
      </c>
    </row>
    <row r="110" spans="1:95" x14ac:dyDescent="0.2">
      <c r="A110" t="s">
        <v>333</v>
      </c>
      <c r="B110">
        <v>6</v>
      </c>
      <c r="C110" s="1"/>
      <c r="AE110" s="1"/>
      <c r="BW110" t="s">
        <v>2517</v>
      </c>
      <c r="BX110" t="s">
        <v>2518</v>
      </c>
      <c r="BY110" t="s">
        <v>335</v>
      </c>
      <c r="BZ110" t="s">
        <v>2443</v>
      </c>
      <c r="CA110">
        <v>45810</v>
      </c>
      <c r="CB110" t="s">
        <v>2445</v>
      </c>
      <c r="CC110" t="s">
        <v>2561</v>
      </c>
      <c r="CE110" t="s">
        <v>2456</v>
      </c>
      <c r="CF110" t="s">
        <v>2520</v>
      </c>
      <c r="CG110">
        <v>45810</v>
      </c>
      <c r="CH110" t="s">
        <v>457</v>
      </c>
      <c r="CI110" t="s">
        <v>337</v>
      </c>
      <c r="CJ110" t="s">
        <v>2431</v>
      </c>
      <c r="CK110">
        <v>45811</v>
      </c>
      <c r="CL110" t="s">
        <v>2430</v>
      </c>
      <c r="CM110" t="s">
        <v>2432</v>
      </c>
      <c r="CN110">
        <v>45811</v>
      </c>
      <c r="CP110" t="s">
        <v>338</v>
      </c>
      <c r="CQ110" t="s">
        <v>2433</v>
      </c>
    </row>
    <row r="111" spans="1:95" x14ac:dyDescent="0.2">
      <c r="A111" t="s">
        <v>333</v>
      </c>
      <c r="B111">
        <v>6</v>
      </c>
      <c r="C111" s="1"/>
      <c r="AE111" s="1"/>
      <c r="BW111" t="s">
        <v>2517</v>
      </c>
      <c r="BX111" t="s">
        <v>2518</v>
      </c>
      <c r="BY111" t="s">
        <v>335</v>
      </c>
      <c r="BZ111" t="s">
        <v>2443</v>
      </c>
      <c r="CA111">
        <v>45810</v>
      </c>
      <c r="CB111" t="s">
        <v>2445</v>
      </c>
      <c r="CC111" t="s">
        <v>2562</v>
      </c>
      <c r="CE111" t="s">
        <v>2456</v>
      </c>
      <c r="CF111" t="s">
        <v>2520</v>
      </c>
      <c r="CG111">
        <v>45810</v>
      </c>
      <c r="CH111" t="s">
        <v>457</v>
      </c>
      <c r="CI111" t="s">
        <v>337</v>
      </c>
      <c r="CJ111" t="s">
        <v>2431</v>
      </c>
      <c r="CK111">
        <v>45811</v>
      </c>
      <c r="CL111" t="s">
        <v>2430</v>
      </c>
      <c r="CM111" t="s">
        <v>2432</v>
      </c>
      <c r="CN111">
        <v>45811</v>
      </c>
      <c r="CP111" t="s">
        <v>338</v>
      </c>
      <c r="CQ111" t="s">
        <v>2433</v>
      </c>
    </row>
    <row r="112" spans="1:95" x14ac:dyDescent="0.2">
      <c r="A112" t="s">
        <v>333</v>
      </c>
      <c r="B112">
        <v>6</v>
      </c>
      <c r="C112" s="1"/>
      <c r="AE112" s="1"/>
      <c r="BW112" t="s">
        <v>2517</v>
      </c>
      <c r="BX112" t="s">
        <v>2518</v>
      </c>
      <c r="BY112" t="s">
        <v>335</v>
      </c>
      <c r="BZ112" t="s">
        <v>2443</v>
      </c>
      <c r="CA112">
        <v>45810</v>
      </c>
      <c r="CB112" t="s">
        <v>2445</v>
      </c>
      <c r="CC112" t="s">
        <v>2563</v>
      </c>
      <c r="CE112" t="s">
        <v>2456</v>
      </c>
      <c r="CF112" t="s">
        <v>2520</v>
      </c>
      <c r="CG112">
        <v>45810</v>
      </c>
      <c r="CH112" t="s">
        <v>457</v>
      </c>
      <c r="CI112" t="s">
        <v>337</v>
      </c>
      <c r="CJ112" t="s">
        <v>2431</v>
      </c>
      <c r="CK112">
        <v>45811</v>
      </c>
      <c r="CL112" t="s">
        <v>2430</v>
      </c>
      <c r="CM112" t="s">
        <v>2432</v>
      </c>
      <c r="CN112">
        <v>45811</v>
      </c>
      <c r="CP112" t="s">
        <v>338</v>
      </c>
      <c r="CQ112" t="s">
        <v>2433</v>
      </c>
    </row>
    <row r="113" spans="1:95" x14ac:dyDescent="0.2">
      <c r="A113" t="s">
        <v>333</v>
      </c>
      <c r="B113">
        <v>6</v>
      </c>
      <c r="C113" s="1"/>
      <c r="AE113" s="1"/>
      <c r="BW113" t="s">
        <v>2517</v>
      </c>
      <c r="BX113" t="s">
        <v>2518</v>
      </c>
      <c r="BY113" t="s">
        <v>335</v>
      </c>
      <c r="BZ113" t="s">
        <v>2443</v>
      </c>
      <c r="CA113">
        <v>45810</v>
      </c>
      <c r="CB113" t="s">
        <v>2445</v>
      </c>
      <c r="CC113" t="s">
        <v>2564</v>
      </c>
      <c r="CE113" t="s">
        <v>2456</v>
      </c>
      <c r="CF113" t="s">
        <v>2520</v>
      </c>
      <c r="CG113">
        <v>45810</v>
      </c>
      <c r="CH113" t="s">
        <v>457</v>
      </c>
      <c r="CI113" t="s">
        <v>337</v>
      </c>
      <c r="CJ113" t="s">
        <v>2431</v>
      </c>
      <c r="CK113">
        <v>45811</v>
      </c>
      <c r="CL113" t="s">
        <v>2430</v>
      </c>
      <c r="CM113" t="s">
        <v>2432</v>
      </c>
      <c r="CN113">
        <v>45811</v>
      </c>
      <c r="CP113" t="s">
        <v>338</v>
      </c>
      <c r="CQ113" t="s">
        <v>2433</v>
      </c>
    </row>
    <row r="114" spans="1:95" x14ac:dyDescent="0.2">
      <c r="A114" t="s">
        <v>333</v>
      </c>
      <c r="B114">
        <v>6</v>
      </c>
      <c r="C114" s="1"/>
      <c r="AE114" s="1"/>
      <c r="BW114" t="s">
        <v>2517</v>
      </c>
      <c r="BX114" t="s">
        <v>2518</v>
      </c>
      <c r="BY114" t="s">
        <v>335</v>
      </c>
      <c r="BZ114" t="s">
        <v>2443</v>
      </c>
      <c r="CA114">
        <v>45810</v>
      </c>
      <c r="CB114" t="s">
        <v>2445</v>
      </c>
      <c r="CC114" t="s">
        <v>2565</v>
      </c>
      <c r="CE114" t="s">
        <v>2456</v>
      </c>
      <c r="CF114" t="s">
        <v>2520</v>
      </c>
      <c r="CG114">
        <v>45810</v>
      </c>
      <c r="CH114" t="s">
        <v>457</v>
      </c>
      <c r="CI114" t="s">
        <v>337</v>
      </c>
      <c r="CJ114" t="s">
        <v>2431</v>
      </c>
      <c r="CK114">
        <v>45811</v>
      </c>
      <c r="CL114" t="s">
        <v>2430</v>
      </c>
      <c r="CM114" t="s">
        <v>2432</v>
      </c>
      <c r="CN114">
        <v>45811</v>
      </c>
      <c r="CP114" t="s">
        <v>338</v>
      </c>
      <c r="CQ114" t="s">
        <v>2433</v>
      </c>
    </row>
    <row r="115" spans="1:95" x14ac:dyDescent="0.2">
      <c r="A115" t="s">
        <v>333</v>
      </c>
      <c r="B115">
        <v>6</v>
      </c>
      <c r="C115" s="1"/>
      <c r="AE115" s="1"/>
      <c r="BW115" t="s">
        <v>2517</v>
      </c>
      <c r="BX115" t="s">
        <v>2518</v>
      </c>
      <c r="BY115" t="s">
        <v>335</v>
      </c>
      <c r="BZ115" t="s">
        <v>2443</v>
      </c>
      <c r="CA115">
        <v>45810</v>
      </c>
      <c r="CB115" t="s">
        <v>2445</v>
      </c>
      <c r="CC115" t="s">
        <v>2566</v>
      </c>
      <c r="CE115" t="s">
        <v>2456</v>
      </c>
      <c r="CF115" t="s">
        <v>2520</v>
      </c>
      <c r="CG115">
        <v>45810</v>
      </c>
      <c r="CH115" t="s">
        <v>457</v>
      </c>
      <c r="CI115" t="s">
        <v>337</v>
      </c>
      <c r="CJ115" t="s">
        <v>2431</v>
      </c>
      <c r="CK115">
        <v>45811</v>
      </c>
      <c r="CL115" t="s">
        <v>2430</v>
      </c>
      <c r="CM115" t="s">
        <v>2432</v>
      </c>
      <c r="CN115">
        <v>45811</v>
      </c>
      <c r="CP115" t="s">
        <v>338</v>
      </c>
      <c r="CQ115" t="s">
        <v>2433</v>
      </c>
    </row>
    <row r="116" spans="1:95" x14ac:dyDescent="0.2">
      <c r="A116" t="s">
        <v>333</v>
      </c>
      <c r="B116">
        <v>6</v>
      </c>
      <c r="C116" s="1"/>
      <c r="AE116" s="1"/>
      <c r="BW116" t="s">
        <v>2517</v>
      </c>
      <c r="BX116" t="s">
        <v>2518</v>
      </c>
      <c r="BY116" t="s">
        <v>335</v>
      </c>
      <c r="BZ116" t="s">
        <v>2443</v>
      </c>
      <c r="CA116">
        <v>45810</v>
      </c>
      <c r="CB116" t="s">
        <v>2445</v>
      </c>
      <c r="CC116" t="s">
        <v>2567</v>
      </c>
      <c r="CE116" t="s">
        <v>2456</v>
      </c>
      <c r="CF116" t="s">
        <v>2520</v>
      </c>
      <c r="CG116">
        <v>45810</v>
      </c>
      <c r="CH116" t="s">
        <v>457</v>
      </c>
      <c r="CI116" t="s">
        <v>337</v>
      </c>
      <c r="CJ116" t="s">
        <v>2431</v>
      </c>
      <c r="CK116">
        <v>45811</v>
      </c>
      <c r="CL116" t="s">
        <v>2430</v>
      </c>
      <c r="CM116" t="s">
        <v>2432</v>
      </c>
      <c r="CN116">
        <v>45811</v>
      </c>
      <c r="CP116" t="s">
        <v>338</v>
      </c>
      <c r="CQ116" t="s">
        <v>2433</v>
      </c>
    </row>
    <row r="117" spans="1:95" x14ac:dyDescent="0.2">
      <c r="A117" t="s">
        <v>333</v>
      </c>
      <c r="B117">
        <v>6</v>
      </c>
      <c r="C117" s="1"/>
      <c r="AE117" s="1"/>
      <c r="BW117" t="s">
        <v>2517</v>
      </c>
      <c r="BX117" t="s">
        <v>2518</v>
      </c>
      <c r="BY117" t="s">
        <v>335</v>
      </c>
      <c r="BZ117" t="s">
        <v>2443</v>
      </c>
      <c r="CA117">
        <v>45810</v>
      </c>
      <c r="CB117" t="s">
        <v>2445</v>
      </c>
      <c r="CC117" t="s">
        <v>2568</v>
      </c>
      <c r="CE117" t="s">
        <v>2456</v>
      </c>
      <c r="CF117" t="s">
        <v>2520</v>
      </c>
      <c r="CG117">
        <v>45810</v>
      </c>
      <c r="CH117" t="s">
        <v>457</v>
      </c>
      <c r="CI117" t="s">
        <v>337</v>
      </c>
      <c r="CJ117" t="s">
        <v>2431</v>
      </c>
      <c r="CK117">
        <v>45811</v>
      </c>
      <c r="CL117" t="s">
        <v>2430</v>
      </c>
      <c r="CM117" t="s">
        <v>2432</v>
      </c>
      <c r="CN117">
        <v>45811</v>
      </c>
      <c r="CP117" t="s">
        <v>338</v>
      </c>
      <c r="CQ117" t="s">
        <v>2433</v>
      </c>
    </row>
    <row r="118" spans="1:95" x14ac:dyDescent="0.2">
      <c r="A118" t="s">
        <v>333</v>
      </c>
      <c r="B118">
        <v>6</v>
      </c>
      <c r="C118" s="1"/>
      <c r="AE118" s="1"/>
      <c r="BW118" t="s">
        <v>2517</v>
      </c>
      <c r="BX118" t="s">
        <v>2518</v>
      </c>
      <c r="BY118" t="s">
        <v>335</v>
      </c>
      <c r="BZ118" t="s">
        <v>2443</v>
      </c>
      <c r="CA118">
        <v>45810</v>
      </c>
      <c r="CB118" t="s">
        <v>2445</v>
      </c>
      <c r="CC118" t="s">
        <v>2569</v>
      </c>
      <c r="CE118" t="s">
        <v>2456</v>
      </c>
      <c r="CF118" t="s">
        <v>2520</v>
      </c>
      <c r="CG118">
        <v>45810</v>
      </c>
      <c r="CH118" t="s">
        <v>457</v>
      </c>
      <c r="CI118" t="s">
        <v>337</v>
      </c>
      <c r="CJ118" t="s">
        <v>2431</v>
      </c>
      <c r="CK118">
        <v>45811</v>
      </c>
      <c r="CL118" t="s">
        <v>2430</v>
      </c>
      <c r="CM118" t="s">
        <v>2432</v>
      </c>
      <c r="CN118">
        <v>45811</v>
      </c>
      <c r="CP118" t="s">
        <v>338</v>
      </c>
      <c r="CQ118" t="s">
        <v>2433</v>
      </c>
    </row>
    <row r="119" spans="1:95" x14ac:dyDescent="0.2">
      <c r="A119" t="s">
        <v>333</v>
      </c>
      <c r="B119">
        <v>6</v>
      </c>
      <c r="C119" s="1"/>
      <c r="AE119" s="1"/>
      <c r="BW119" t="s">
        <v>2517</v>
      </c>
      <c r="BX119" t="s">
        <v>2518</v>
      </c>
      <c r="BY119" t="s">
        <v>335</v>
      </c>
      <c r="BZ119" t="s">
        <v>2443</v>
      </c>
      <c r="CA119">
        <v>45810</v>
      </c>
      <c r="CB119" t="s">
        <v>2445</v>
      </c>
      <c r="CC119" t="s">
        <v>2570</v>
      </c>
      <c r="CE119" t="s">
        <v>2456</v>
      </c>
      <c r="CF119" t="s">
        <v>2520</v>
      </c>
      <c r="CG119">
        <v>45810</v>
      </c>
      <c r="CH119" t="s">
        <v>457</v>
      </c>
      <c r="CI119" t="s">
        <v>337</v>
      </c>
      <c r="CJ119" t="s">
        <v>2431</v>
      </c>
      <c r="CK119">
        <v>45811</v>
      </c>
      <c r="CL119" t="s">
        <v>2430</v>
      </c>
      <c r="CM119" t="s">
        <v>2432</v>
      </c>
      <c r="CN119">
        <v>45811</v>
      </c>
      <c r="CP119" t="s">
        <v>338</v>
      </c>
      <c r="CQ119" t="s">
        <v>2433</v>
      </c>
    </row>
    <row r="120" spans="1:95" x14ac:dyDescent="0.2">
      <c r="A120" t="s">
        <v>333</v>
      </c>
      <c r="B120">
        <v>6</v>
      </c>
      <c r="C120" s="1"/>
      <c r="AE120" s="1"/>
      <c r="BW120" t="s">
        <v>2517</v>
      </c>
      <c r="BX120" t="s">
        <v>2518</v>
      </c>
      <c r="BY120" t="s">
        <v>335</v>
      </c>
      <c r="BZ120" t="s">
        <v>2443</v>
      </c>
      <c r="CA120">
        <v>45810</v>
      </c>
      <c r="CB120" t="s">
        <v>2445</v>
      </c>
      <c r="CC120" t="s">
        <v>2571</v>
      </c>
      <c r="CE120" t="s">
        <v>2456</v>
      </c>
      <c r="CF120" t="s">
        <v>2520</v>
      </c>
      <c r="CG120">
        <v>45810</v>
      </c>
      <c r="CH120" t="s">
        <v>457</v>
      </c>
      <c r="CI120" t="s">
        <v>337</v>
      </c>
      <c r="CJ120" t="s">
        <v>2431</v>
      </c>
      <c r="CK120">
        <v>45811</v>
      </c>
      <c r="CL120" t="s">
        <v>2430</v>
      </c>
      <c r="CM120" t="s">
        <v>2432</v>
      </c>
      <c r="CN120">
        <v>45811</v>
      </c>
      <c r="CP120" t="s">
        <v>338</v>
      </c>
      <c r="CQ120" t="s">
        <v>2433</v>
      </c>
    </row>
    <row r="121" spans="1:95" x14ac:dyDescent="0.2">
      <c r="A121" t="s">
        <v>333</v>
      </c>
      <c r="B121">
        <v>6</v>
      </c>
      <c r="C121" s="1"/>
      <c r="AE121" s="1"/>
      <c r="BW121" t="s">
        <v>2517</v>
      </c>
      <c r="BX121" t="s">
        <v>2518</v>
      </c>
      <c r="BY121" t="s">
        <v>335</v>
      </c>
      <c r="BZ121" t="s">
        <v>2443</v>
      </c>
      <c r="CA121">
        <v>45810</v>
      </c>
      <c r="CB121" t="s">
        <v>2445</v>
      </c>
      <c r="CC121" t="s">
        <v>2572</v>
      </c>
      <c r="CE121" t="s">
        <v>2456</v>
      </c>
      <c r="CF121" t="s">
        <v>2520</v>
      </c>
      <c r="CG121">
        <v>45810</v>
      </c>
      <c r="CH121" t="s">
        <v>457</v>
      </c>
      <c r="CI121" t="s">
        <v>337</v>
      </c>
      <c r="CJ121" t="s">
        <v>2431</v>
      </c>
      <c r="CK121">
        <v>45811</v>
      </c>
      <c r="CL121" t="s">
        <v>2430</v>
      </c>
      <c r="CM121" t="s">
        <v>2432</v>
      </c>
      <c r="CN121">
        <v>45811</v>
      </c>
      <c r="CP121" t="s">
        <v>338</v>
      </c>
      <c r="CQ121" t="s">
        <v>2433</v>
      </c>
    </row>
    <row r="122" spans="1:95" x14ac:dyDescent="0.2">
      <c r="A122" t="s">
        <v>333</v>
      </c>
      <c r="B122">
        <v>6</v>
      </c>
      <c r="C122" s="1"/>
      <c r="AE122" s="1"/>
      <c r="BW122" t="s">
        <v>2517</v>
      </c>
      <c r="BX122" t="s">
        <v>2518</v>
      </c>
      <c r="BY122" t="s">
        <v>335</v>
      </c>
      <c r="BZ122" t="s">
        <v>2443</v>
      </c>
      <c r="CA122">
        <v>45810</v>
      </c>
      <c r="CB122" t="s">
        <v>2445</v>
      </c>
      <c r="CC122" t="s">
        <v>2573</v>
      </c>
      <c r="CE122" t="s">
        <v>2456</v>
      </c>
      <c r="CF122" t="s">
        <v>2520</v>
      </c>
      <c r="CG122">
        <v>45810</v>
      </c>
      <c r="CH122" t="s">
        <v>457</v>
      </c>
      <c r="CI122" t="s">
        <v>337</v>
      </c>
      <c r="CJ122" t="s">
        <v>2431</v>
      </c>
      <c r="CK122">
        <v>45811</v>
      </c>
      <c r="CL122" t="s">
        <v>2430</v>
      </c>
      <c r="CM122" t="s">
        <v>2432</v>
      </c>
      <c r="CN122">
        <v>45811</v>
      </c>
      <c r="CP122" t="s">
        <v>338</v>
      </c>
      <c r="CQ122" t="s">
        <v>2433</v>
      </c>
    </row>
    <row r="123" spans="1:95" x14ac:dyDescent="0.2">
      <c r="A123" t="s">
        <v>333</v>
      </c>
      <c r="B123">
        <v>6</v>
      </c>
      <c r="C123" s="1"/>
      <c r="AE123" s="1"/>
      <c r="BW123" t="s">
        <v>2517</v>
      </c>
      <c r="BX123" t="s">
        <v>2518</v>
      </c>
      <c r="BY123" t="s">
        <v>335</v>
      </c>
      <c r="BZ123" t="s">
        <v>2443</v>
      </c>
      <c r="CA123">
        <v>45810</v>
      </c>
      <c r="CB123" t="s">
        <v>2445</v>
      </c>
      <c r="CC123" t="s">
        <v>2574</v>
      </c>
      <c r="CE123" t="s">
        <v>2456</v>
      </c>
      <c r="CF123" t="s">
        <v>2520</v>
      </c>
      <c r="CG123">
        <v>45810</v>
      </c>
      <c r="CH123" t="s">
        <v>457</v>
      </c>
      <c r="CI123" t="s">
        <v>337</v>
      </c>
      <c r="CJ123" t="s">
        <v>2431</v>
      </c>
      <c r="CK123">
        <v>45811</v>
      </c>
      <c r="CL123" t="s">
        <v>2430</v>
      </c>
      <c r="CM123" t="s">
        <v>2432</v>
      </c>
      <c r="CN123">
        <v>45811</v>
      </c>
      <c r="CP123" t="s">
        <v>338</v>
      </c>
      <c r="CQ123" t="s">
        <v>2433</v>
      </c>
    </row>
    <row r="124" spans="1:95" x14ac:dyDescent="0.2">
      <c r="A124" t="s">
        <v>333</v>
      </c>
      <c r="B124">
        <v>6</v>
      </c>
      <c r="C124" s="1"/>
      <c r="AE124" s="1"/>
      <c r="BW124" t="s">
        <v>2517</v>
      </c>
      <c r="BX124" t="s">
        <v>2518</v>
      </c>
      <c r="BY124" t="s">
        <v>335</v>
      </c>
      <c r="BZ124" t="s">
        <v>2443</v>
      </c>
      <c r="CA124">
        <v>45810</v>
      </c>
      <c r="CB124" t="s">
        <v>2445</v>
      </c>
      <c r="CC124" t="s">
        <v>2575</v>
      </c>
      <c r="CE124" t="s">
        <v>2456</v>
      </c>
      <c r="CF124" t="s">
        <v>2520</v>
      </c>
      <c r="CG124">
        <v>45810</v>
      </c>
      <c r="CH124" t="s">
        <v>457</v>
      </c>
      <c r="CI124" t="s">
        <v>337</v>
      </c>
      <c r="CJ124" t="s">
        <v>2431</v>
      </c>
      <c r="CK124">
        <v>45811</v>
      </c>
      <c r="CL124" t="s">
        <v>2430</v>
      </c>
      <c r="CM124" t="s">
        <v>2432</v>
      </c>
      <c r="CN124">
        <v>45811</v>
      </c>
      <c r="CP124" t="s">
        <v>338</v>
      </c>
      <c r="CQ124" t="s">
        <v>2433</v>
      </c>
    </row>
    <row r="125" spans="1:95" x14ac:dyDescent="0.2">
      <c r="A125" t="s">
        <v>333</v>
      </c>
      <c r="B125">
        <v>6</v>
      </c>
      <c r="C125" s="1"/>
      <c r="AE125" s="1"/>
      <c r="BW125" t="s">
        <v>2517</v>
      </c>
      <c r="BX125" t="s">
        <v>2518</v>
      </c>
      <c r="BY125" t="s">
        <v>335</v>
      </c>
      <c r="BZ125" t="s">
        <v>2443</v>
      </c>
      <c r="CA125">
        <v>45810</v>
      </c>
      <c r="CB125" t="s">
        <v>2445</v>
      </c>
      <c r="CC125" t="s">
        <v>2576</v>
      </c>
      <c r="CE125" t="s">
        <v>2456</v>
      </c>
      <c r="CF125" t="s">
        <v>2520</v>
      </c>
      <c r="CG125">
        <v>45810</v>
      </c>
      <c r="CH125" t="s">
        <v>457</v>
      </c>
      <c r="CI125" t="s">
        <v>337</v>
      </c>
      <c r="CJ125" t="s">
        <v>2431</v>
      </c>
      <c r="CK125">
        <v>45811</v>
      </c>
      <c r="CL125" t="s">
        <v>2430</v>
      </c>
      <c r="CM125" t="s">
        <v>2432</v>
      </c>
      <c r="CN125">
        <v>45811</v>
      </c>
      <c r="CP125" t="s">
        <v>338</v>
      </c>
      <c r="CQ125" t="s">
        <v>2433</v>
      </c>
    </row>
    <row r="126" spans="1:95" x14ac:dyDescent="0.2">
      <c r="A126" t="s">
        <v>333</v>
      </c>
      <c r="B126">
        <v>6</v>
      </c>
      <c r="C126" s="1"/>
      <c r="AE126" s="1"/>
      <c r="BW126" t="s">
        <v>2517</v>
      </c>
      <c r="BX126" t="s">
        <v>2518</v>
      </c>
      <c r="BY126" t="s">
        <v>335</v>
      </c>
      <c r="BZ126" t="s">
        <v>2443</v>
      </c>
      <c r="CA126">
        <v>45810</v>
      </c>
      <c r="CB126" t="s">
        <v>2445</v>
      </c>
      <c r="CC126" t="s">
        <v>2577</v>
      </c>
      <c r="CE126" t="s">
        <v>2456</v>
      </c>
      <c r="CF126" t="s">
        <v>2520</v>
      </c>
      <c r="CG126">
        <v>45810</v>
      </c>
      <c r="CH126" t="s">
        <v>457</v>
      </c>
      <c r="CI126" t="s">
        <v>337</v>
      </c>
      <c r="CJ126" t="s">
        <v>2431</v>
      </c>
      <c r="CK126">
        <v>45811</v>
      </c>
      <c r="CL126" t="s">
        <v>2430</v>
      </c>
      <c r="CM126" t="s">
        <v>2432</v>
      </c>
      <c r="CN126">
        <v>45811</v>
      </c>
      <c r="CP126" t="s">
        <v>338</v>
      </c>
      <c r="CQ126" t="s">
        <v>2433</v>
      </c>
    </row>
    <row r="127" spans="1:95" x14ac:dyDescent="0.2">
      <c r="A127" t="s">
        <v>333</v>
      </c>
      <c r="B127">
        <v>6</v>
      </c>
      <c r="C127" s="1"/>
      <c r="AE127" s="1"/>
      <c r="BW127" t="s">
        <v>2517</v>
      </c>
      <c r="BX127" t="s">
        <v>2518</v>
      </c>
      <c r="BY127" t="s">
        <v>335</v>
      </c>
      <c r="BZ127" t="s">
        <v>2443</v>
      </c>
      <c r="CA127">
        <v>45810</v>
      </c>
      <c r="CB127" t="s">
        <v>2445</v>
      </c>
      <c r="CC127" t="s">
        <v>2578</v>
      </c>
      <c r="CE127" t="s">
        <v>2456</v>
      </c>
      <c r="CF127" t="s">
        <v>2520</v>
      </c>
      <c r="CG127">
        <v>45810</v>
      </c>
      <c r="CH127" t="s">
        <v>457</v>
      </c>
      <c r="CI127" t="s">
        <v>337</v>
      </c>
      <c r="CJ127" t="s">
        <v>2431</v>
      </c>
      <c r="CK127">
        <v>45811</v>
      </c>
      <c r="CL127" t="s">
        <v>2430</v>
      </c>
      <c r="CM127" t="s">
        <v>2432</v>
      </c>
      <c r="CN127">
        <v>45811</v>
      </c>
      <c r="CP127" t="s">
        <v>338</v>
      </c>
      <c r="CQ127" t="s">
        <v>2433</v>
      </c>
    </row>
    <row r="128" spans="1:95" x14ac:dyDescent="0.2">
      <c r="A128" t="s">
        <v>333</v>
      </c>
      <c r="B128">
        <v>6</v>
      </c>
      <c r="C128" s="1"/>
      <c r="AE128" s="1"/>
      <c r="BW128" t="s">
        <v>2517</v>
      </c>
      <c r="BX128" t="s">
        <v>2518</v>
      </c>
      <c r="BY128" t="s">
        <v>335</v>
      </c>
      <c r="BZ128" t="s">
        <v>2443</v>
      </c>
      <c r="CA128">
        <v>45810</v>
      </c>
      <c r="CB128" t="s">
        <v>2445</v>
      </c>
      <c r="CC128" t="s">
        <v>2579</v>
      </c>
      <c r="CE128" t="s">
        <v>2456</v>
      </c>
      <c r="CF128" t="s">
        <v>2520</v>
      </c>
      <c r="CG128">
        <v>45810</v>
      </c>
      <c r="CH128" t="s">
        <v>457</v>
      </c>
      <c r="CI128" t="s">
        <v>337</v>
      </c>
      <c r="CJ128" t="s">
        <v>2431</v>
      </c>
      <c r="CK128">
        <v>45811</v>
      </c>
      <c r="CL128" t="s">
        <v>2430</v>
      </c>
      <c r="CM128" t="s">
        <v>2432</v>
      </c>
      <c r="CN128">
        <v>45811</v>
      </c>
      <c r="CP128" t="s">
        <v>338</v>
      </c>
      <c r="CQ128" t="s">
        <v>2433</v>
      </c>
    </row>
    <row r="129" spans="1:95" x14ac:dyDescent="0.2">
      <c r="A129" t="s">
        <v>333</v>
      </c>
      <c r="B129">
        <v>7</v>
      </c>
      <c r="C129" s="1"/>
      <c r="AE129" s="1"/>
      <c r="BW129" t="s">
        <v>2580</v>
      </c>
      <c r="BX129" t="s">
        <v>2581</v>
      </c>
      <c r="BY129" t="s">
        <v>335</v>
      </c>
      <c r="BZ129" t="s">
        <v>2451</v>
      </c>
      <c r="CA129">
        <v>45810</v>
      </c>
      <c r="CB129" t="s">
        <v>2445</v>
      </c>
      <c r="CC129" t="s">
        <v>2582</v>
      </c>
      <c r="CE129" t="s">
        <v>2456</v>
      </c>
      <c r="CF129" t="s">
        <v>2583</v>
      </c>
      <c r="CG129">
        <v>45810</v>
      </c>
      <c r="CH129" t="s">
        <v>457</v>
      </c>
      <c r="CI129" t="s">
        <v>337</v>
      </c>
      <c r="CJ129" t="s">
        <v>2431</v>
      </c>
      <c r="CK129">
        <v>45811</v>
      </c>
      <c r="CL129" t="s">
        <v>2430</v>
      </c>
      <c r="CM129" t="s">
        <v>2432</v>
      </c>
      <c r="CN129">
        <v>45811</v>
      </c>
      <c r="CP129" t="s">
        <v>338</v>
      </c>
      <c r="CQ129" t="s">
        <v>2433</v>
      </c>
    </row>
    <row r="130" spans="1:95" x14ac:dyDescent="0.2">
      <c r="A130" t="s">
        <v>333</v>
      </c>
      <c r="B130">
        <v>7</v>
      </c>
      <c r="C130" s="1"/>
      <c r="AE130" s="1"/>
      <c r="BW130" t="s">
        <v>2580</v>
      </c>
      <c r="BX130" t="s">
        <v>2581</v>
      </c>
      <c r="BY130" t="s">
        <v>335</v>
      </c>
      <c r="BZ130" t="s">
        <v>2451</v>
      </c>
      <c r="CA130">
        <v>45810</v>
      </c>
      <c r="CB130" t="s">
        <v>2445</v>
      </c>
      <c r="CC130" t="s">
        <v>2584</v>
      </c>
      <c r="CE130" t="s">
        <v>2456</v>
      </c>
      <c r="CF130" t="s">
        <v>2583</v>
      </c>
      <c r="CG130">
        <v>45810</v>
      </c>
      <c r="CH130" t="s">
        <v>457</v>
      </c>
      <c r="CI130" t="s">
        <v>337</v>
      </c>
      <c r="CJ130" t="s">
        <v>2431</v>
      </c>
      <c r="CK130">
        <v>45811</v>
      </c>
      <c r="CL130" t="s">
        <v>2430</v>
      </c>
      <c r="CM130" t="s">
        <v>2432</v>
      </c>
      <c r="CN130">
        <v>45811</v>
      </c>
      <c r="CP130" t="s">
        <v>338</v>
      </c>
      <c r="CQ130" t="s">
        <v>2433</v>
      </c>
    </row>
    <row r="131" spans="1:95" x14ac:dyDescent="0.2">
      <c r="A131" t="s">
        <v>333</v>
      </c>
      <c r="B131">
        <v>7</v>
      </c>
      <c r="C131" s="1"/>
      <c r="AE131" s="1"/>
      <c r="BW131" t="s">
        <v>2580</v>
      </c>
      <c r="BX131" t="s">
        <v>2581</v>
      </c>
      <c r="BY131" t="s">
        <v>335</v>
      </c>
      <c r="BZ131" t="s">
        <v>2451</v>
      </c>
      <c r="CA131">
        <v>45810</v>
      </c>
      <c r="CB131" t="s">
        <v>2445</v>
      </c>
      <c r="CC131" t="s">
        <v>2585</v>
      </c>
      <c r="CE131" t="s">
        <v>2456</v>
      </c>
      <c r="CF131" t="s">
        <v>2583</v>
      </c>
      <c r="CG131">
        <v>45810</v>
      </c>
      <c r="CH131" t="s">
        <v>457</v>
      </c>
      <c r="CI131" t="s">
        <v>337</v>
      </c>
      <c r="CJ131" t="s">
        <v>2431</v>
      </c>
      <c r="CK131">
        <v>45811</v>
      </c>
      <c r="CL131" t="s">
        <v>2430</v>
      </c>
      <c r="CM131" t="s">
        <v>2432</v>
      </c>
      <c r="CN131">
        <v>45811</v>
      </c>
      <c r="CP131" t="s">
        <v>338</v>
      </c>
      <c r="CQ131" t="s">
        <v>2433</v>
      </c>
    </row>
    <row r="132" spans="1:95" x14ac:dyDescent="0.2">
      <c r="A132" t="s">
        <v>333</v>
      </c>
      <c r="B132">
        <v>7</v>
      </c>
      <c r="C132" s="1"/>
      <c r="AE132" s="1"/>
      <c r="BW132" t="s">
        <v>2580</v>
      </c>
      <c r="BX132" t="s">
        <v>2581</v>
      </c>
      <c r="BY132" t="s">
        <v>335</v>
      </c>
      <c r="BZ132" t="s">
        <v>2451</v>
      </c>
      <c r="CA132">
        <v>45810</v>
      </c>
      <c r="CB132" t="s">
        <v>2445</v>
      </c>
      <c r="CC132" t="s">
        <v>2586</v>
      </c>
      <c r="CE132" t="s">
        <v>2456</v>
      </c>
      <c r="CF132" t="s">
        <v>2583</v>
      </c>
      <c r="CG132">
        <v>45810</v>
      </c>
      <c r="CH132" t="s">
        <v>457</v>
      </c>
      <c r="CI132" t="s">
        <v>337</v>
      </c>
      <c r="CJ132" t="s">
        <v>2431</v>
      </c>
      <c r="CK132">
        <v>45811</v>
      </c>
      <c r="CL132" t="s">
        <v>2430</v>
      </c>
      <c r="CM132" t="s">
        <v>2432</v>
      </c>
      <c r="CN132">
        <v>45811</v>
      </c>
      <c r="CP132" t="s">
        <v>338</v>
      </c>
      <c r="CQ132" t="s">
        <v>2433</v>
      </c>
    </row>
    <row r="133" spans="1:95" x14ac:dyDescent="0.2">
      <c r="A133" t="s">
        <v>333</v>
      </c>
      <c r="B133">
        <v>7</v>
      </c>
      <c r="C133" s="1"/>
      <c r="AE133" s="1"/>
      <c r="BW133" t="s">
        <v>2580</v>
      </c>
      <c r="BX133" t="s">
        <v>2581</v>
      </c>
      <c r="BY133" t="s">
        <v>335</v>
      </c>
      <c r="BZ133" t="s">
        <v>2451</v>
      </c>
      <c r="CA133">
        <v>45810</v>
      </c>
      <c r="CB133" t="s">
        <v>2445</v>
      </c>
      <c r="CC133" t="s">
        <v>2587</v>
      </c>
      <c r="CE133" t="s">
        <v>2456</v>
      </c>
      <c r="CF133" t="s">
        <v>2583</v>
      </c>
      <c r="CG133">
        <v>45810</v>
      </c>
      <c r="CH133" t="s">
        <v>457</v>
      </c>
      <c r="CI133" t="s">
        <v>337</v>
      </c>
      <c r="CJ133" t="s">
        <v>2431</v>
      </c>
      <c r="CK133">
        <v>45811</v>
      </c>
      <c r="CL133" t="s">
        <v>2430</v>
      </c>
      <c r="CM133" t="s">
        <v>2432</v>
      </c>
      <c r="CN133">
        <v>45811</v>
      </c>
      <c r="CP133" t="s">
        <v>338</v>
      </c>
      <c r="CQ133" t="s">
        <v>2433</v>
      </c>
    </row>
    <row r="134" spans="1:95" x14ac:dyDescent="0.2">
      <c r="A134" t="s">
        <v>333</v>
      </c>
      <c r="B134">
        <v>7</v>
      </c>
      <c r="C134" s="1"/>
      <c r="AE134" s="1"/>
      <c r="BW134" t="s">
        <v>2580</v>
      </c>
      <c r="BX134" t="s">
        <v>2581</v>
      </c>
      <c r="BY134" t="s">
        <v>335</v>
      </c>
      <c r="BZ134" t="s">
        <v>2451</v>
      </c>
      <c r="CA134">
        <v>45810</v>
      </c>
      <c r="CB134" t="s">
        <v>2445</v>
      </c>
      <c r="CC134" t="s">
        <v>2588</v>
      </c>
      <c r="CE134" t="s">
        <v>2456</v>
      </c>
      <c r="CF134" t="s">
        <v>2583</v>
      </c>
      <c r="CG134">
        <v>45810</v>
      </c>
      <c r="CH134" t="s">
        <v>457</v>
      </c>
      <c r="CI134" t="s">
        <v>337</v>
      </c>
      <c r="CJ134" t="s">
        <v>2431</v>
      </c>
      <c r="CK134">
        <v>45811</v>
      </c>
      <c r="CL134" t="s">
        <v>2430</v>
      </c>
      <c r="CM134" t="s">
        <v>2432</v>
      </c>
      <c r="CN134">
        <v>45811</v>
      </c>
      <c r="CP134" t="s">
        <v>338</v>
      </c>
      <c r="CQ134" t="s">
        <v>2433</v>
      </c>
    </row>
    <row r="135" spans="1:95" x14ac:dyDescent="0.2">
      <c r="A135" t="s">
        <v>333</v>
      </c>
      <c r="B135">
        <v>7</v>
      </c>
      <c r="C135" s="1"/>
      <c r="AE135" s="1"/>
      <c r="BW135" t="s">
        <v>2580</v>
      </c>
      <c r="BX135" t="s">
        <v>2581</v>
      </c>
      <c r="BY135" t="s">
        <v>335</v>
      </c>
      <c r="BZ135" t="s">
        <v>2451</v>
      </c>
      <c r="CA135">
        <v>45810</v>
      </c>
      <c r="CB135" t="s">
        <v>2445</v>
      </c>
      <c r="CC135" t="s">
        <v>2589</v>
      </c>
      <c r="CE135" t="s">
        <v>2456</v>
      </c>
      <c r="CF135" t="s">
        <v>2583</v>
      </c>
      <c r="CG135">
        <v>45810</v>
      </c>
      <c r="CH135" t="s">
        <v>457</v>
      </c>
      <c r="CI135" t="s">
        <v>337</v>
      </c>
      <c r="CJ135" t="s">
        <v>2431</v>
      </c>
      <c r="CK135">
        <v>45811</v>
      </c>
      <c r="CL135" t="s">
        <v>2430</v>
      </c>
      <c r="CM135" t="s">
        <v>2432</v>
      </c>
      <c r="CN135">
        <v>45811</v>
      </c>
      <c r="CP135" t="s">
        <v>338</v>
      </c>
      <c r="CQ135" t="s">
        <v>2433</v>
      </c>
    </row>
    <row r="136" spans="1:95" x14ac:dyDescent="0.2">
      <c r="A136" t="s">
        <v>333</v>
      </c>
      <c r="B136">
        <v>7</v>
      </c>
      <c r="C136" s="1"/>
      <c r="AE136" s="1"/>
      <c r="BW136" t="s">
        <v>2580</v>
      </c>
      <c r="BX136" t="s">
        <v>2581</v>
      </c>
      <c r="BY136" t="s">
        <v>335</v>
      </c>
      <c r="BZ136" t="s">
        <v>2451</v>
      </c>
      <c r="CA136">
        <v>45810</v>
      </c>
      <c r="CB136" t="s">
        <v>2445</v>
      </c>
      <c r="CC136" t="s">
        <v>2590</v>
      </c>
      <c r="CE136" t="s">
        <v>2456</v>
      </c>
      <c r="CF136" t="s">
        <v>2583</v>
      </c>
      <c r="CG136">
        <v>45810</v>
      </c>
      <c r="CH136" t="s">
        <v>457</v>
      </c>
      <c r="CI136" t="s">
        <v>337</v>
      </c>
      <c r="CJ136" t="s">
        <v>2431</v>
      </c>
      <c r="CK136">
        <v>45811</v>
      </c>
      <c r="CL136" t="s">
        <v>2430</v>
      </c>
      <c r="CM136" t="s">
        <v>2432</v>
      </c>
      <c r="CN136">
        <v>45811</v>
      </c>
      <c r="CP136" t="s">
        <v>338</v>
      </c>
      <c r="CQ136" t="s">
        <v>2433</v>
      </c>
    </row>
    <row r="137" spans="1:95" x14ac:dyDescent="0.2">
      <c r="A137" t="s">
        <v>333</v>
      </c>
      <c r="B137">
        <v>7</v>
      </c>
      <c r="C137" s="1"/>
      <c r="AE137" s="1"/>
      <c r="BW137" t="s">
        <v>2580</v>
      </c>
      <c r="BX137" t="s">
        <v>2581</v>
      </c>
      <c r="BY137" t="s">
        <v>335</v>
      </c>
      <c r="BZ137" t="s">
        <v>2451</v>
      </c>
      <c r="CA137">
        <v>45810</v>
      </c>
      <c r="CB137" t="s">
        <v>2445</v>
      </c>
      <c r="CC137" t="s">
        <v>2591</v>
      </c>
      <c r="CE137" t="s">
        <v>2456</v>
      </c>
      <c r="CF137" t="s">
        <v>2583</v>
      </c>
      <c r="CG137">
        <v>45810</v>
      </c>
      <c r="CH137" t="s">
        <v>457</v>
      </c>
      <c r="CI137" t="s">
        <v>337</v>
      </c>
      <c r="CJ137" t="s">
        <v>2431</v>
      </c>
      <c r="CK137">
        <v>45811</v>
      </c>
      <c r="CL137" t="s">
        <v>2430</v>
      </c>
      <c r="CM137" t="s">
        <v>2432</v>
      </c>
      <c r="CN137">
        <v>45811</v>
      </c>
      <c r="CP137" t="s">
        <v>338</v>
      </c>
      <c r="CQ137" t="s">
        <v>2433</v>
      </c>
    </row>
    <row r="138" spans="1:95" x14ac:dyDescent="0.2">
      <c r="A138" t="s">
        <v>333</v>
      </c>
      <c r="B138">
        <v>7</v>
      </c>
      <c r="C138" s="1"/>
      <c r="AE138" s="1"/>
      <c r="BW138" t="s">
        <v>2580</v>
      </c>
      <c r="BX138" t="s">
        <v>2581</v>
      </c>
      <c r="BY138" t="s">
        <v>335</v>
      </c>
      <c r="BZ138" t="s">
        <v>2451</v>
      </c>
      <c r="CA138">
        <v>45810</v>
      </c>
      <c r="CB138" t="s">
        <v>2445</v>
      </c>
      <c r="CC138" t="s">
        <v>2592</v>
      </c>
      <c r="CE138" t="s">
        <v>2456</v>
      </c>
      <c r="CF138" t="s">
        <v>2583</v>
      </c>
      <c r="CG138">
        <v>45810</v>
      </c>
      <c r="CH138" t="s">
        <v>457</v>
      </c>
      <c r="CI138" t="s">
        <v>337</v>
      </c>
      <c r="CJ138" t="s">
        <v>2431</v>
      </c>
      <c r="CK138">
        <v>45811</v>
      </c>
      <c r="CL138" t="s">
        <v>2430</v>
      </c>
      <c r="CM138" t="s">
        <v>2432</v>
      </c>
      <c r="CN138">
        <v>45811</v>
      </c>
      <c r="CP138" t="s">
        <v>338</v>
      </c>
      <c r="CQ138" t="s">
        <v>2433</v>
      </c>
    </row>
    <row r="139" spans="1:95" x14ac:dyDescent="0.2">
      <c r="A139" t="s">
        <v>333</v>
      </c>
      <c r="B139">
        <v>7</v>
      </c>
      <c r="C139" s="1"/>
      <c r="AE139" s="1"/>
      <c r="BW139" t="s">
        <v>2580</v>
      </c>
      <c r="BX139" t="s">
        <v>2581</v>
      </c>
      <c r="BY139" t="s">
        <v>335</v>
      </c>
      <c r="BZ139" t="s">
        <v>2451</v>
      </c>
      <c r="CA139">
        <v>45810</v>
      </c>
      <c r="CB139" t="s">
        <v>2445</v>
      </c>
      <c r="CC139" t="s">
        <v>2593</v>
      </c>
      <c r="CE139" t="s">
        <v>2456</v>
      </c>
      <c r="CF139" t="s">
        <v>2583</v>
      </c>
      <c r="CG139">
        <v>45810</v>
      </c>
      <c r="CH139" t="s">
        <v>457</v>
      </c>
      <c r="CI139" t="s">
        <v>337</v>
      </c>
      <c r="CJ139" t="s">
        <v>2431</v>
      </c>
      <c r="CK139">
        <v>45811</v>
      </c>
      <c r="CL139" t="s">
        <v>2430</v>
      </c>
      <c r="CM139" t="s">
        <v>2432</v>
      </c>
      <c r="CN139">
        <v>45811</v>
      </c>
      <c r="CP139" t="s">
        <v>338</v>
      </c>
      <c r="CQ139" t="s">
        <v>2433</v>
      </c>
    </row>
    <row r="140" spans="1:95" x14ac:dyDescent="0.2">
      <c r="A140" t="s">
        <v>333</v>
      </c>
      <c r="B140">
        <v>7</v>
      </c>
      <c r="C140" s="1"/>
      <c r="AE140" s="1"/>
      <c r="BW140" t="s">
        <v>2580</v>
      </c>
      <c r="BX140" t="s">
        <v>2581</v>
      </c>
      <c r="BY140" t="s">
        <v>335</v>
      </c>
      <c r="BZ140" t="s">
        <v>2451</v>
      </c>
      <c r="CA140">
        <v>45810</v>
      </c>
      <c r="CB140" t="s">
        <v>2445</v>
      </c>
      <c r="CC140" t="s">
        <v>2594</v>
      </c>
      <c r="CE140" t="s">
        <v>2456</v>
      </c>
      <c r="CF140" t="s">
        <v>2583</v>
      </c>
      <c r="CG140">
        <v>45810</v>
      </c>
      <c r="CH140" t="s">
        <v>457</v>
      </c>
      <c r="CI140" t="s">
        <v>337</v>
      </c>
      <c r="CJ140" t="s">
        <v>2431</v>
      </c>
      <c r="CK140">
        <v>45811</v>
      </c>
      <c r="CL140" t="s">
        <v>2430</v>
      </c>
      <c r="CM140" t="s">
        <v>2432</v>
      </c>
      <c r="CN140">
        <v>45811</v>
      </c>
      <c r="CP140" t="s">
        <v>338</v>
      </c>
      <c r="CQ140" t="s">
        <v>2433</v>
      </c>
    </row>
    <row r="141" spans="1:95" x14ac:dyDescent="0.2">
      <c r="A141" t="s">
        <v>333</v>
      </c>
      <c r="B141">
        <v>7</v>
      </c>
      <c r="C141" s="1"/>
      <c r="AE141" s="1"/>
      <c r="BW141" t="s">
        <v>2580</v>
      </c>
      <c r="BX141" t="s">
        <v>2581</v>
      </c>
      <c r="BY141" t="s">
        <v>335</v>
      </c>
      <c r="BZ141" t="s">
        <v>2451</v>
      </c>
      <c r="CA141">
        <v>45810</v>
      </c>
      <c r="CB141" t="s">
        <v>2445</v>
      </c>
      <c r="CC141" t="s">
        <v>2595</v>
      </c>
      <c r="CE141" t="s">
        <v>2456</v>
      </c>
      <c r="CF141" t="s">
        <v>2583</v>
      </c>
      <c r="CG141">
        <v>45810</v>
      </c>
      <c r="CH141" t="s">
        <v>457</v>
      </c>
      <c r="CI141" t="s">
        <v>337</v>
      </c>
      <c r="CJ141" t="s">
        <v>2431</v>
      </c>
      <c r="CK141">
        <v>45811</v>
      </c>
      <c r="CL141" t="s">
        <v>2430</v>
      </c>
      <c r="CM141" t="s">
        <v>2432</v>
      </c>
      <c r="CN141">
        <v>45811</v>
      </c>
      <c r="CP141" t="s">
        <v>338</v>
      </c>
      <c r="CQ141" t="s">
        <v>2433</v>
      </c>
    </row>
    <row r="142" spans="1:95" x14ac:dyDescent="0.2">
      <c r="A142" t="s">
        <v>333</v>
      </c>
      <c r="B142">
        <v>7</v>
      </c>
      <c r="C142" s="1"/>
      <c r="AE142" s="1"/>
      <c r="BW142" t="s">
        <v>2580</v>
      </c>
      <c r="BX142" t="s">
        <v>2581</v>
      </c>
      <c r="BY142" t="s">
        <v>335</v>
      </c>
      <c r="BZ142" t="s">
        <v>2451</v>
      </c>
      <c r="CA142">
        <v>45810</v>
      </c>
      <c r="CB142" t="s">
        <v>2445</v>
      </c>
      <c r="CC142" t="s">
        <v>2596</v>
      </c>
      <c r="CE142" t="s">
        <v>2456</v>
      </c>
      <c r="CF142" t="s">
        <v>2583</v>
      </c>
      <c r="CG142">
        <v>45810</v>
      </c>
      <c r="CH142" t="s">
        <v>457</v>
      </c>
      <c r="CI142" t="s">
        <v>337</v>
      </c>
      <c r="CJ142" t="s">
        <v>2431</v>
      </c>
      <c r="CK142">
        <v>45811</v>
      </c>
      <c r="CL142" t="s">
        <v>2430</v>
      </c>
      <c r="CM142" t="s">
        <v>2432</v>
      </c>
      <c r="CN142">
        <v>45811</v>
      </c>
      <c r="CP142" t="s">
        <v>338</v>
      </c>
      <c r="CQ142" t="s">
        <v>2433</v>
      </c>
    </row>
    <row r="143" spans="1:95" x14ac:dyDescent="0.2">
      <c r="A143" t="s">
        <v>333</v>
      </c>
      <c r="B143">
        <v>7</v>
      </c>
      <c r="C143" s="1"/>
      <c r="AE143" s="1"/>
      <c r="BW143" t="s">
        <v>2580</v>
      </c>
      <c r="BX143" t="s">
        <v>2581</v>
      </c>
      <c r="BY143" t="s">
        <v>335</v>
      </c>
      <c r="BZ143" t="s">
        <v>2451</v>
      </c>
      <c r="CA143">
        <v>45810</v>
      </c>
      <c r="CB143" t="s">
        <v>2445</v>
      </c>
      <c r="CC143" t="s">
        <v>2597</v>
      </c>
      <c r="CE143" t="s">
        <v>2456</v>
      </c>
      <c r="CF143" t="s">
        <v>2583</v>
      </c>
      <c r="CG143">
        <v>45810</v>
      </c>
      <c r="CH143" t="s">
        <v>457</v>
      </c>
      <c r="CI143" t="s">
        <v>337</v>
      </c>
      <c r="CJ143" t="s">
        <v>2431</v>
      </c>
      <c r="CK143">
        <v>45811</v>
      </c>
      <c r="CL143" t="s">
        <v>2430</v>
      </c>
      <c r="CM143" t="s">
        <v>2432</v>
      </c>
      <c r="CN143">
        <v>45811</v>
      </c>
      <c r="CP143" t="s">
        <v>338</v>
      </c>
      <c r="CQ143" t="s">
        <v>2433</v>
      </c>
    </row>
    <row r="144" spans="1:95" x14ac:dyDescent="0.2">
      <c r="A144" t="s">
        <v>333</v>
      </c>
      <c r="B144">
        <v>7</v>
      </c>
      <c r="C144" s="1"/>
      <c r="AE144" s="1"/>
      <c r="BW144" t="s">
        <v>2580</v>
      </c>
      <c r="BX144" t="s">
        <v>2581</v>
      </c>
      <c r="BY144" t="s">
        <v>335</v>
      </c>
      <c r="BZ144" t="s">
        <v>2451</v>
      </c>
      <c r="CA144">
        <v>45810</v>
      </c>
      <c r="CB144" t="s">
        <v>2445</v>
      </c>
      <c r="CC144" t="s">
        <v>2598</v>
      </c>
      <c r="CE144" t="s">
        <v>2456</v>
      </c>
      <c r="CF144" t="s">
        <v>2583</v>
      </c>
      <c r="CG144">
        <v>45810</v>
      </c>
      <c r="CH144" t="s">
        <v>457</v>
      </c>
      <c r="CI144" t="s">
        <v>337</v>
      </c>
      <c r="CJ144" t="s">
        <v>2431</v>
      </c>
      <c r="CK144">
        <v>45811</v>
      </c>
      <c r="CL144" t="s">
        <v>2430</v>
      </c>
      <c r="CM144" t="s">
        <v>2432</v>
      </c>
      <c r="CN144">
        <v>45811</v>
      </c>
      <c r="CP144" t="s">
        <v>338</v>
      </c>
      <c r="CQ144" t="s">
        <v>2433</v>
      </c>
    </row>
    <row r="145" spans="1:95" x14ac:dyDescent="0.2">
      <c r="A145" t="s">
        <v>333</v>
      </c>
      <c r="B145">
        <v>7</v>
      </c>
      <c r="C145" s="1"/>
      <c r="AE145" s="1"/>
      <c r="BW145" t="s">
        <v>2580</v>
      </c>
      <c r="BX145" t="s">
        <v>2581</v>
      </c>
      <c r="BY145" t="s">
        <v>335</v>
      </c>
      <c r="BZ145" t="s">
        <v>2451</v>
      </c>
      <c r="CA145">
        <v>45810</v>
      </c>
      <c r="CB145" t="s">
        <v>2445</v>
      </c>
      <c r="CC145" t="s">
        <v>2599</v>
      </c>
      <c r="CE145" t="s">
        <v>2456</v>
      </c>
      <c r="CF145" t="s">
        <v>2583</v>
      </c>
      <c r="CG145">
        <v>45810</v>
      </c>
      <c r="CH145" t="s">
        <v>457</v>
      </c>
      <c r="CI145" t="s">
        <v>337</v>
      </c>
      <c r="CJ145" t="s">
        <v>2431</v>
      </c>
      <c r="CK145">
        <v>45811</v>
      </c>
      <c r="CL145" t="s">
        <v>2430</v>
      </c>
      <c r="CM145" t="s">
        <v>2432</v>
      </c>
      <c r="CN145">
        <v>45811</v>
      </c>
      <c r="CP145" t="s">
        <v>338</v>
      </c>
      <c r="CQ145" t="s">
        <v>2433</v>
      </c>
    </row>
    <row r="146" spans="1:95" x14ac:dyDescent="0.2">
      <c r="A146" t="s">
        <v>333</v>
      </c>
      <c r="B146">
        <v>7</v>
      </c>
      <c r="C146" s="1"/>
      <c r="AE146" s="1"/>
      <c r="BW146" t="s">
        <v>2580</v>
      </c>
      <c r="BX146" t="s">
        <v>2581</v>
      </c>
      <c r="BY146" t="s">
        <v>335</v>
      </c>
      <c r="BZ146" t="s">
        <v>2451</v>
      </c>
      <c r="CA146">
        <v>45810</v>
      </c>
      <c r="CB146" t="s">
        <v>2445</v>
      </c>
      <c r="CC146" t="s">
        <v>2600</v>
      </c>
      <c r="CE146" t="s">
        <v>2456</v>
      </c>
      <c r="CF146" t="s">
        <v>2583</v>
      </c>
      <c r="CG146">
        <v>45810</v>
      </c>
      <c r="CH146" t="s">
        <v>457</v>
      </c>
      <c r="CI146" t="s">
        <v>337</v>
      </c>
      <c r="CJ146" t="s">
        <v>2431</v>
      </c>
      <c r="CK146">
        <v>45811</v>
      </c>
      <c r="CL146" t="s">
        <v>2430</v>
      </c>
      <c r="CM146" t="s">
        <v>2432</v>
      </c>
      <c r="CN146">
        <v>45811</v>
      </c>
      <c r="CP146" t="s">
        <v>338</v>
      </c>
      <c r="CQ146" t="s">
        <v>2433</v>
      </c>
    </row>
    <row r="147" spans="1:95" x14ac:dyDescent="0.2">
      <c r="A147" t="s">
        <v>333</v>
      </c>
      <c r="B147">
        <v>7</v>
      </c>
      <c r="C147" s="1"/>
      <c r="AE147" s="1"/>
      <c r="BW147" t="s">
        <v>2580</v>
      </c>
      <c r="BX147" t="s">
        <v>2581</v>
      </c>
      <c r="BY147" t="s">
        <v>335</v>
      </c>
      <c r="BZ147" t="s">
        <v>2451</v>
      </c>
      <c r="CA147">
        <v>45810</v>
      </c>
      <c r="CB147" t="s">
        <v>2445</v>
      </c>
      <c r="CC147" t="s">
        <v>2601</v>
      </c>
      <c r="CE147" t="s">
        <v>2456</v>
      </c>
      <c r="CF147" t="s">
        <v>2583</v>
      </c>
      <c r="CG147">
        <v>45810</v>
      </c>
      <c r="CH147" t="s">
        <v>457</v>
      </c>
      <c r="CI147" t="s">
        <v>337</v>
      </c>
      <c r="CJ147" t="s">
        <v>2431</v>
      </c>
      <c r="CK147">
        <v>45811</v>
      </c>
      <c r="CL147" t="s">
        <v>2430</v>
      </c>
      <c r="CM147" t="s">
        <v>2432</v>
      </c>
      <c r="CN147">
        <v>45811</v>
      </c>
      <c r="CP147" t="s">
        <v>338</v>
      </c>
      <c r="CQ147" t="s">
        <v>2433</v>
      </c>
    </row>
    <row r="148" spans="1:95" x14ac:dyDescent="0.2">
      <c r="A148" t="s">
        <v>333</v>
      </c>
      <c r="B148">
        <v>7</v>
      </c>
      <c r="C148" s="1"/>
      <c r="AE148" s="1"/>
      <c r="BW148" t="s">
        <v>2580</v>
      </c>
      <c r="BX148" t="s">
        <v>2581</v>
      </c>
      <c r="BY148" t="s">
        <v>335</v>
      </c>
      <c r="BZ148" t="s">
        <v>2451</v>
      </c>
      <c r="CA148">
        <v>45810</v>
      </c>
      <c r="CB148" t="s">
        <v>2445</v>
      </c>
      <c r="CC148" t="s">
        <v>2602</v>
      </c>
      <c r="CE148" t="s">
        <v>2456</v>
      </c>
      <c r="CF148" t="s">
        <v>2583</v>
      </c>
      <c r="CG148">
        <v>45810</v>
      </c>
      <c r="CH148" t="s">
        <v>457</v>
      </c>
      <c r="CI148" t="s">
        <v>337</v>
      </c>
      <c r="CJ148" t="s">
        <v>2431</v>
      </c>
      <c r="CK148">
        <v>45811</v>
      </c>
      <c r="CL148" t="s">
        <v>2430</v>
      </c>
      <c r="CM148" t="s">
        <v>2432</v>
      </c>
      <c r="CN148">
        <v>45811</v>
      </c>
      <c r="CP148" t="s">
        <v>338</v>
      </c>
      <c r="CQ148" t="s">
        <v>2433</v>
      </c>
    </row>
    <row r="149" spans="1:95" x14ac:dyDescent="0.2">
      <c r="A149" t="s">
        <v>333</v>
      </c>
      <c r="B149">
        <v>7</v>
      </c>
      <c r="C149" s="1"/>
      <c r="AE149" s="1"/>
      <c r="BW149" t="s">
        <v>2580</v>
      </c>
      <c r="BX149" t="s">
        <v>2581</v>
      </c>
      <c r="BY149" t="s">
        <v>335</v>
      </c>
      <c r="BZ149" t="s">
        <v>2451</v>
      </c>
      <c r="CA149">
        <v>45810</v>
      </c>
      <c r="CB149" t="s">
        <v>2445</v>
      </c>
      <c r="CC149" t="s">
        <v>2603</v>
      </c>
      <c r="CE149" t="s">
        <v>2456</v>
      </c>
      <c r="CF149" t="s">
        <v>2583</v>
      </c>
      <c r="CG149">
        <v>45810</v>
      </c>
      <c r="CH149" t="s">
        <v>457</v>
      </c>
      <c r="CI149" t="s">
        <v>337</v>
      </c>
      <c r="CJ149" t="s">
        <v>2431</v>
      </c>
      <c r="CK149">
        <v>45811</v>
      </c>
      <c r="CL149" t="s">
        <v>2430</v>
      </c>
      <c r="CM149" t="s">
        <v>2432</v>
      </c>
      <c r="CN149">
        <v>45811</v>
      </c>
      <c r="CP149" t="s">
        <v>338</v>
      </c>
      <c r="CQ149" t="s">
        <v>2433</v>
      </c>
    </row>
    <row r="150" spans="1:95" x14ac:dyDescent="0.2">
      <c r="A150" t="s">
        <v>333</v>
      </c>
      <c r="B150">
        <v>7</v>
      </c>
      <c r="C150" s="1"/>
      <c r="AE150" s="1"/>
      <c r="BW150" t="s">
        <v>2580</v>
      </c>
      <c r="BX150" t="s">
        <v>2581</v>
      </c>
      <c r="BY150" t="s">
        <v>335</v>
      </c>
      <c r="BZ150" t="s">
        <v>2451</v>
      </c>
      <c r="CA150">
        <v>45810</v>
      </c>
      <c r="CB150" t="s">
        <v>2445</v>
      </c>
      <c r="CC150" t="s">
        <v>2604</v>
      </c>
      <c r="CE150" t="s">
        <v>2456</v>
      </c>
      <c r="CF150" t="s">
        <v>2583</v>
      </c>
      <c r="CG150">
        <v>45810</v>
      </c>
      <c r="CH150" t="s">
        <v>457</v>
      </c>
      <c r="CI150" t="s">
        <v>337</v>
      </c>
      <c r="CJ150" t="s">
        <v>2431</v>
      </c>
      <c r="CK150">
        <v>45811</v>
      </c>
      <c r="CL150" t="s">
        <v>2430</v>
      </c>
      <c r="CM150" t="s">
        <v>2432</v>
      </c>
      <c r="CN150">
        <v>45811</v>
      </c>
      <c r="CP150" t="s">
        <v>338</v>
      </c>
      <c r="CQ150" t="s">
        <v>2433</v>
      </c>
    </row>
    <row r="151" spans="1:95" x14ac:dyDescent="0.2">
      <c r="A151" t="s">
        <v>333</v>
      </c>
      <c r="B151">
        <v>7</v>
      </c>
      <c r="C151" s="1"/>
      <c r="AE151" s="1"/>
      <c r="BW151" t="s">
        <v>2580</v>
      </c>
      <c r="BX151" t="s">
        <v>2581</v>
      </c>
      <c r="BY151" t="s">
        <v>335</v>
      </c>
      <c r="BZ151" t="s">
        <v>2451</v>
      </c>
      <c r="CA151">
        <v>45810</v>
      </c>
      <c r="CB151" t="s">
        <v>2445</v>
      </c>
      <c r="CC151" t="s">
        <v>2605</v>
      </c>
      <c r="CE151" t="s">
        <v>2456</v>
      </c>
      <c r="CF151" t="s">
        <v>2583</v>
      </c>
      <c r="CG151">
        <v>45810</v>
      </c>
      <c r="CH151" t="s">
        <v>457</v>
      </c>
      <c r="CI151" t="s">
        <v>337</v>
      </c>
      <c r="CJ151" t="s">
        <v>2431</v>
      </c>
      <c r="CK151">
        <v>45811</v>
      </c>
      <c r="CL151" t="s">
        <v>2430</v>
      </c>
      <c r="CM151" t="s">
        <v>2432</v>
      </c>
      <c r="CN151">
        <v>45811</v>
      </c>
      <c r="CP151" t="s">
        <v>338</v>
      </c>
      <c r="CQ151" t="s">
        <v>2433</v>
      </c>
    </row>
    <row r="152" spans="1:95" x14ac:dyDescent="0.2">
      <c r="A152" t="s">
        <v>333</v>
      </c>
      <c r="B152">
        <v>7</v>
      </c>
      <c r="C152" s="1"/>
      <c r="AE152" s="1"/>
      <c r="BW152" t="s">
        <v>2580</v>
      </c>
      <c r="BX152" t="s">
        <v>2581</v>
      </c>
      <c r="BY152" t="s">
        <v>335</v>
      </c>
      <c r="BZ152" t="s">
        <v>2451</v>
      </c>
      <c r="CA152">
        <v>45810</v>
      </c>
      <c r="CB152" t="s">
        <v>2445</v>
      </c>
      <c r="CC152" t="s">
        <v>2606</v>
      </c>
      <c r="CE152" t="s">
        <v>2456</v>
      </c>
      <c r="CF152" t="s">
        <v>2583</v>
      </c>
      <c r="CG152">
        <v>45810</v>
      </c>
      <c r="CH152" t="s">
        <v>457</v>
      </c>
      <c r="CI152" t="s">
        <v>337</v>
      </c>
      <c r="CJ152" t="s">
        <v>2431</v>
      </c>
      <c r="CK152">
        <v>45811</v>
      </c>
      <c r="CL152" t="s">
        <v>2430</v>
      </c>
      <c r="CM152" t="s">
        <v>2432</v>
      </c>
      <c r="CN152">
        <v>45811</v>
      </c>
      <c r="CP152" t="s">
        <v>338</v>
      </c>
      <c r="CQ152" t="s">
        <v>2433</v>
      </c>
    </row>
    <row r="153" spans="1:95" x14ac:dyDescent="0.2">
      <c r="A153" t="s">
        <v>333</v>
      </c>
      <c r="B153">
        <v>7</v>
      </c>
      <c r="C153" s="1"/>
      <c r="AE153" s="1"/>
      <c r="BW153" t="s">
        <v>2580</v>
      </c>
      <c r="BX153" t="s">
        <v>2581</v>
      </c>
      <c r="BY153" t="s">
        <v>335</v>
      </c>
      <c r="BZ153" t="s">
        <v>2451</v>
      </c>
      <c r="CA153">
        <v>45810</v>
      </c>
      <c r="CB153" t="s">
        <v>2445</v>
      </c>
      <c r="CC153" t="s">
        <v>2607</v>
      </c>
      <c r="CE153" t="s">
        <v>2456</v>
      </c>
      <c r="CF153" t="s">
        <v>2583</v>
      </c>
      <c r="CG153">
        <v>45810</v>
      </c>
      <c r="CH153" t="s">
        <v>457</v>
      </c>
      <c r="CI153" t="s">
        <v>337</v>
      </c>
      <c r="CJ153" t="s">
        <v>2431</v>
      </c>
      <c r="CK153">
        <v>45811</v>
      </c>
      <c r="CL153" t="s">
        <v>2430</v>
      </c>
      <c r="CM153" t="s">
        <v>2432</v>
      </c>
      <c r="CN153">
        <v>45811</v>
      </c>
      <c r="CP153" t="s">
        <v>338</v>
      </c>
      <c r="CQ153" t="s">
        <v>2433</v>
      </c>
    </row>
    <row r="154" spans="1:95" x14ac:dyDescent="0.2">
      <c r="A154" t="s">
        <v>333</v>
      </c>
      <c r="B154">
        <v>7</v>
      </c>
      <c r="C154" s="1"/>
      <c r="AE154" s="1"/>
      <c r="BW154" t="s">
        <v>2580</v>
      </c>
      <c r="BX154" t="s">
        <v>2581</v>
      </c>
      <c r="BY154" t="s">
        <v>335</v>
      </c>
      <c r="BZ154" t="s">
        <v>2451</v>
      </c>
      <c r="CA154">
        <v>45810</v>
      </c>
      <c r="CB154" t="s">
        <v>2445</v>
      </c>
      <c r="CC154" t="s">
        <v>2608</v>
      </c>
      <c r="CE154" t="s">
        <v>2456</v>
      </c>
      <c r="CF154" t="s">
        <v>2583</v>
      </c>
      <c r="CG154">
        <v>45810</v>
      </c>
      <c r="CH154" t="s">
        <v>457</v>
      </c>
      <c r="CI154" t="s">
        <v>337</v>
      </c>
      <c r="CJ154" t="s">
        <v>2431</v>
      </c>
      <c r="CK154">
        <v>45811</v>
      </c>
      <c r="CL154" t="s">
        <v>2430</v>
      </c>
      <c r="CM154" t="s">
        <v>2432</v>
      </c>
      <c r="CN154">
        <v>45811</v>
      </c>
      <c r="CP154" t="s">
        <v>338</v>
      </c>
      <c r="CQ154" t="s">
        <v>2433</v>
      </c>
    </row>
    <row r="155" spans="1:95" x14ac:dyDescent="0.2">
      <c r="A155" t="s">
        <v>333</v>
      </c>
      <c r="B155">
        <v>7</v>
      </c>
      <c r="C155" s="1"/>
      <c r="AE155" s="1"/>
      <c r="BW155" t="s">
        <v>2580</v>
      </c>
      <c r="BX155" t="s">
        <v>2581</v>
      </c>
      <c r="BY155" t="s">
        <v>335</v>
      </c>
      <c r="BZ155" t="s">
        <v>2451</v>
      </c>
      <c r="CA155">
        <v>45810</v>
      </c>
      <c r="CB155" t="s">
        <v>2445</v>
      </c>
      <c r="CC155" t="s">
        <v>2609</v>
      </c>
      <c r="CE155" t="s">
        <v>2456</v>
      </c>
      <c r="CF155" t="s">
        <v>2583</v>
      </c>
      <c r="CG155">
        <v>45810</v>
      </c>
      <c r="CH155" t="s">
        <v>457</v>
      </c>
      <c r="CI155" t="s">
        <v>337</v>
      </c>
      <c r="CJ155" t="s">
        <v>2431</v>
      </c>
      <c r="CK155">
        <v>45811</v>
      </c>
      <c r="CL155" t="s">
        <v>2430</v>
      </c>
      <c r="CM155" t="s">
        <v>2432</v>
      </c>
      <c r="CN155">
        <v>45811</v>
      </c>
      <c r="CP155" t="s">
        <v>338</v>
      </c>
      <c r="CQ155" t="s">
        <v>2433</v>
      </c>
    </row>
    <row r="156" spans="1:95" x14ac:dyDescent="0.2">
      <c r="A156" t="s">
        <v>333</v>
      </c>
      <c r="B156">
        <v>7</v>
      </c>
      <c r="C156" s="1"/>
      <c r="AE156" s="1"/>
      <c r="BW156" t="s">
        <v>2580</v>
      </c>
      <c r="BX156" t="s">
        <v>2581</v>
      </c>
      <c r="BY156" t="s">
        <v>335</v>
      </c>
      <c r="BZ156" t="s">
        <v>2451</v>
      </c>
      <c r="CA156">
        <v>45810</v>
      </c>
      <c r="CB156" t="s">
        <v>2445</v>
      </c>
      <c r="CC156" t="s">
        <v>2610</v>
      </c>
      <c r="CE156" t="s">
        <v>2456</v>
      </c>
      <c r="CF156" t="s">
        <v>2583</v>
      </c>
      <c r="CG156">
        <v>45810</v>
      </c>
      <c r="CH156" t="s">
        <v>457</v>
      </c>
      <c r="CI156" t="s">
        <v>337</v>
      </c>
      <c r="CJ156" t="s">
        <v>2431</v>
      </c>
      <c r="CK156">
        <v>45811</v>
      </c>
      <c r="CL156" t="s">
        <v>2430</v>
      </c>
      <c r="CM156" t="s">
        <v>2432</v>
      </c>
      <c r="CN156">
        <v>45811</v>
      </c>
      <c r="CP156" t="s">
        <v>338</v>
      </c>
      <c r="CQ156" t="s">
        <v>2433</v>
      </c>
    </row>
    <row r="157" spans="1:95" x14ac:dyDescent="0.2">
      <c r="A157" t="s">
        <v>333</v>
      </c>
      <c r="B157">
        <v>7</v>
      </c>
      <c r="C157" s="1"/>
      <c r="AE157" s="1"/>
      <c r="BW157" t="s">
        <v>2580</v>
      </c>
      <c r="BX157" t="s">
        <v>2581</v>
      </c>
      <c r="BY157" t="s">
        <v>335</v>
      </c>
      <c r="BZ157" t="s">
        <v>2451</v>
      </c>
      <c r="CA157">
        <v>45810</v>
      </c>
      <c r="CB157" t="s">
        <v>2445</v>
      </c>
      <c r="CC157" t="s">
        <v>2611</v>
      </c>
      <c r="CE157" t="s">
        <v>2456</v>
      </c>
      <c r="CF157" t="s">
        <v>2583</v>
      </c>
      <c r="CG157">
        <v>45810</v>
      </c>
      <c r="CH157" t="s">
        <v>457</v>
      </c>
      <c r="CI157" t="s">
        <v>337</v>
      </c>
      <c r="CJ157" t="s">
        <v>2431</v>
      </c>
      <c r="CK157">
        <v>45811</v>
      </c>
      <c r="CL157" t="s">
        <v>2430</v>
      </c>
      <c r="CM157" t="s">
        <v>2432</v>
      </c>
      <c r="CN157">
        <v>45811</v>
      </c>
      <c r="CP157" t="s">
        <v>338</v>
      </c>
      <c r="CQ157" t="s">
        <v>2433</v>
      </c>
    </row>
    <row r="158" spans="1:95" x14ac:dyDescent="0.2">
      <c r="A158" t="s">
        <v>333</v>
      </c>
      <c r="B158">
        <v>7</v>
      </c>
      <c r="C158" s="1"/>
      <c r="AE158" s="1"/>
      <c r="BW158" t="s">
        <v>2580</v>
      </c>
      <c r="BX158" t="s">
        <v>2581</v>
      </c>
      <c r="BY158" t="s">
        <v>335</v>
      </c>
      <c r="BZ158" t="s">
        <v>2451</v>
      </c>
      <c r="CA158">
        <v>45810</v>
      </c>
      <c r="CB158" t="s">
        <v>2445</v>
      </c>
      <c r="CC158" t="s">
        <v>2612</v>
      </c>
      <c r="CE158" t="s">
        <v>2456</v>
      </c>
      <c r="CF158" t="s">
        <v>2583</v>
      </c>
      <c r="CG158">
        <v>45810</v>
      </c>
      <c r="CH158" t="s">
        <v>457</v>
      </c>
      <c r="CI158" t="s">
        <v>337</v>
      </c>
      <c r="CJ158" t="s">
        <v>2431</v>
      </c>
      <c r="CK158">
        <v>45811</v>
      </c>
      <c r="CL158" t="s">
        <v>2430</v>
      </c>
      <c r="CM158" t="s">
        <v>2432</v>
      </c>
      <c r="CN158">
        <v>45811</v>
      </c>
      <c r="CP158" t="s">
        <v>338</v>
      </c>
      <c r="CQ158" t="s">
        <v>2433</v>
      </c>
    </row>
    <row r="159" spans="1:95" x14ac:dyDescent="0.2">
      <c r="A159" t="s">
        <v>333</v>
      </c>
      <c r="B159">
        <v>7</v>
      </c>
      <c r="C159" s="1"/>
      <c r="AE159" s="1"/>
      <c r="BW159" t="s">
        <v>2580</v>
      </c>
      <c r="BX159" t="s">
        <v>2581</v>
      </c>
      <c r="BY159" t="s">
        <v>335</v>
      </c>
      <c r="BZ159" t="s">
        <v>2451</v>
      </c>
      <c r="CA159">
        <v>45810</v>
      </c>
      <c r="CB159" t="s">
        <v>2445</v>
      </c>
      <c r="CC159" t="s">
        <v>2613</v>
      </c>
      <c r="CE159" t="s">
        <v>2456</v>
      </c>
      <c r="CF159" t="s">
        <v>2583</v>
      </c>
      <c r="CG159">
        <v>45810</v>
      </c>
      <c r="CH159" t="s">
        <v>457</v>
      </c>
      <c r="CI159" t="s">
        <v>337</v>
      </c>
      <c r="CJ159" t="s">
        <v>2431</v>
      </c>
      <c r="CK159">
        <v>45811</v>
      </c>
      <c r="CL159" t="s">
        <v>2430</v>
      </c>
      <c r="CM159" t="s">
        <v>2432</v>
      </c>
      <c r="CN159">
        <v>45811</v>
      </c>
      <c r="CP159" t="s">
        <v>338</v>
      </c>
      <c r="CQ159" t="s">
        <v>2433</v>
      </c>
    </row>
    <row r="160" spans="1:95" x14ac:dyDescent="0.2">
      <c r="A160" t="s">
        <v>333</v>
      </c>
      <c r="B160">
        <v>7</v>
      </c>
      <c r="C160" s="1"/>
      <c r="AE160" s="1"/>
      <c r="BW160" t="s">
        <v>2580</v>
      </c>
      <c r="BX160" t="s">
        <v>2581</v>
      </c>
      <c r="BY160" t="s">
        <v>335</v>
      </c>
      <c r="BZ160" t="s">
        <v>2451</v>
      </c>
      <c r="CA160">
        <v>45810</v>
      </c>
      <c r="CB160" t="s">
        <v>2445</v>
      </c>
      <c r="CC160" t="s">
        <v>2614</v>
      </c>
      <c r="CE160" t="s">
        <v>2456</v>
      </c>
      <c r="CF160" t="s">
        <v>2583</v>
      </c>
      <c r="CG160">
        <v>45810</v>
      </c>
      <c r="CH160" t="s">
        <v>457</v>
      </c>
      <c r="CI160" t="s">
        <v>337</v>
      </c>
      <c r="CJ160" t="s">
        <v>2431</v>
      </c>
      <c r="CK160">
        <v>45811</v>
      </c>
      <c r="CL160" t="s">
        <v>2430</v>
      </c>
      <c r="CM160" t="s">
        <v>2432</v>
      </c>
      <c r="CN160">
        <v>45811</v>
      </c>
      <c r="CP160" t="s">
        <v>338</v>
      </c>
      <c r="CQ160" t="s">
        <v>2433</v>
      </c>
    </row>
    <row r="161" spans="1:95" x14ac:dyDescent="0.2">
      <c r="A161" t="s">
        <v>333</v>
      </c>
      <c r="B161">
        <v>7</v>
      </c>
      <c r="C161" s="1"/>
      <c r="AE161" s="1"/>
      <c r="BW161" t="s">
        <v>2580</v>
      </c>
      <c r="BX161" t="s">
        <v>2581</v>
      </c>
      <c r="BY161" t="s">
        <v>335</v>
      </c>
      <c r="BZ161" t="s">
        <v>2451</v>
      </c>
      <c r="CA161">
        <v>45810</v>
      </c>
      <c r="CB161" t="s">
        <v>2445</v>
      </c>
      <c r="CC161" t="s">
        <v>2615</v>
      </c>
      <c r="CE161" t="s">
        <v>2456</v>
      </c>
      <c r="CF161" t="s">
        <v>2583</v>
      </c>
      <c r="CG161">
        <v>45810</v>
      </c>
      <c r="CH161" t="s">
        <v>457</v>
      </c>
      <c r="CI161" t="s">
        <v>337</v>
      </c>
      <c r="CJ161" t="s">
        <v>2431</v>
      </c>
      <c r="CK161">
        <v>45811</v>
      </c>
      <c r="CL161" t="s">
        <v>2430</v>
      </c>
      <c r="CM161" t="s">
        <v>2432</v>
      </c>
      <c r="CN161">
        <v>45811</v>
      </c>
      <c r="CP161" t="s">
        <v>338</v>
      </c>
      <c r="CQ161" t="s">
        <v>2433</v>
      </c>
    </row>
    <row r="162" spans="1:95" x14ac:dyDescent="0.2">
      <c r="A162" t="s">
        <v>333</v>
      </c>
      <c r="B162">
        <v>7</v>
      </c>
      <c r="C162" s="1"/>
      <c r="AE162" s="1"/>
      <c r="BW162" t="s">
        <v>2580</v>
      </c>
      <c r="BX162" t="s">
        <v>2581</v>
      </c>
      <c r="BY162" t="s">
        <v>335</v>
      </c>
      <c r="BZ162" t="s">
        <v>2451</v>
      </c>
      <c r="CA162">
        <v>45810</v>
      </c>
      <c r="CB162" t="s">
        <v>2445</v>
      </c>
      <c r="CC162" t="s">
        <v>2616</v>
      </c>
      <c r="CE162" t="s">
        <v>2456</v>
      </c>
      <c r="CF162" t="s">
        <v>2583</v>
      </c>
      <c r="CG162">
        <v>45810</v>
      </c>
      <c r="CH162" t="s">
        <v>457</v>
      </c>
      <c r="CI162" t="s">
        <v>337</v>
      </c>
      <c r="CJ162" t="s">
        <v>2431</v>
      </c>
      <c r="CK162">
        <v>45811</v>
      </c>
      <c r="CL162" t="s">
        <v>2430</v>
      </c>
      <c r="CM162" t="s">
        <v>2432</v>
      </c>
      <c r="CN162">
        <v>45811</v>
      </c>
      <c r="CP162" t="s">
        <v>338</v>
      </c>
      <c r="CQ162" t="s">
        <v>2433</v>
      </c>
    </row>
    <row r="163" spans="1:95" x14ac:dyDescent="0.2">
      <c r="A163" t="s">
        <v>333</v>
      </c>
      <c r="B163">
        <v>7</v>
      </c>
      <c r="C163" s="1"/>
      <c r="AE163" s="1"/>
      <c r="BW163" t="s">
        <v>2580</v>
      </c>
      <c r="BX163" t="s">
        <v>2581</v>
      </c>
      <c r="BY163" t="s">
        <v>335</v>
      </c>
      <c r="BZ163" t="s">
        <v>2451</v>
      </c>
      <c r="CA163">
        <v>45810</v>
      </c>
      <c r="CB163" t="s">
        <v>2445</v>
      </c>
      <c r="CC163" t="s">
        <v>2617</v>
      </c>
      <c r="CE163" t="s">
        <v>2456</v>
      </c>
      <c r="CF163" t="s">
        <v>2583</v>
      </c>
      <c r="CG163">
        <v>45810</v>
      </c>
      <c r="CH163" t="s">
        <v>457</v>
      </c>
      <c r="CI163" t="s">
        <v>337</v>
      </c>
      <c r="CJ163" t="s">
        <v>2431</v>
      </c>
      <c r="CK163">
        <v>45811</v>
      </c>
      <c r="CL163" t="s">
        <v>2430</v>
      </c>
      <c r="CM163" t="s">
        <v>2432</v>
      </c>
      <c r="CN163">
        <v>45811</v>
      </c>
      <c r="CP163" t="s">
        <v>338</v>
      </c>
      <c r="CQ163" t="s">
        <v>2433</v>
      </c>
    </row>
    <row r="164" spans="1:95" x14ac:dyDescent="0.2">
      <c r="A164" t="s">
        <v>333</v>
      </c>
      <c r="B164">
        <v>7</v>
      </c>
      <c r="C164" s="1"/>
      <c r="AE164" s="1"/>
      <c r="BW164" t="s">
        <v>2580</v>
      </c>
      <c r="BX164" t="s">
        <v>2581</v>
      </c>
      <c r="BY164" t="s">
        <v>335</v>
      </c>
      <c r="BZ164" t="s">
        <v>2451</v>
      </c>
      <c r="CA164">
        <v>45810</v>
      </c>
      <c r="CB164" t="s">
        <v>2445</v>
      </c>
      <c r="CC164" t="s">
        <v>2618</v>
      </c>
      <c r="CE164" t="s">
        <v>2456</v>
      </c>
      <c r="CF164" t="s">
        <v>2583</v>
      </c>
      <c r="CG164">
        <v>45810</v>
      </c>
      <c r="CH164" t="s">
        <v>457</v>
      </c>
      <c r="CI164" t="s">
        <v>337</v>
      </c>
      <c r="CJ164" t="s">
        <v>2431</v>
      </c>
      <c r="CK164">
        <v>45811</v>
      </c>
      <c r="CL164" t="s">
        <v>2430</v>
      </c>
      <c r="CM164" t="s">
        <v>2432</v>
      </c>
      <c r="CN164">
        <v>45811</v>
      </c>
      <c r="CP164" t="s">
        <v>338</v>
      </c>
      <c r="CQ164" t="s">
        <v>2433</v>
      </c>
    </row>
    <row r="165" spans="1:95" x14ac:dyDescent="0.2">
      <c r="A165" t="s">
        <v>333</v>
      </c>
      <c r="B165">
        <v>7</v>
      </c>
      <c r="C165" s="1"/>
      <c r="AE165" s="1"/>
      <c r="BW165" t="s">
        <v>2580</v>
      </c>
      <c r="BX165" t="s">
        <v>2581</v>
      </c>
      <c r="BY165" t="s">
        <v>335</v>
      </c>
      <c r="BZ165" t="s">
        <v>2451</v>
      </c>
      <c r="CA165">
        <v>45810</v>
      </c>
      <c r="CB165" t="s">
        <v>2445</v>
      </c>
      <c r="CC165" t="s">
        <v>2619</v>
      </c>
      <c r="CE165" t="s">
        <v>2456</v>
      </c>
      <c r="CF165" t="s">
        <v>2583</v>
      </c>
      <c r="CG165">
        <v>45810</v>
      </c>
      <c r="CH165" t="s">
        <v>457</v>
      </c>
      <c r="CI165" t="s">
        <v>337</v>
      </c>
      <c r="CJ165" t="s">
        <v>2431</v>
      </c>
      <c r="CK165">
        <v>45811</v>
      </c>
      <c r="CL165" t="s">
        <v>2430</v>
      </c>
      <c r="CM165" t="s">
        <v>2432</v>
      </c>
      <c r="CN165">
        <v>45811</v>
      </c>
      <c r="CP165" t="s">
        <v>338</v>
      </c>
      <c r="CQ165" t="s">
        <v>2433</v>
      </c>
    </row>
    <row r="166" spans="1:95" x14ac:dyDescent="0.2">
      <c r="A166" t="s">
        <v>333</v>
      </c>
      <c r="B166">
        <v>7</v>
      </c>
      <c r="C166" s="1"/>
      <c r="AE166" s="1"/>
      <c r="BW166" t="s">
        <v>2580</v>
      </c>
      <c r="BX166" t="s">
        <v>2581</v>
      </c>
      <c r="BY166" t="s">
        <v>335</v>
      </c>
      <c r="BZ166" t="s">
        <v>2451</v>
      </c>
      <c r="CA166">
        <v>45810</v>
      </c>
      <c r="CB166" t="s">
        <v>2445</v>
      </c>
      <c r="CC166" t="s">
        <v>2620</v>
      </c>
      <c r="CE166" t="s">
        <v>2456</v>
      </c>
      <c r="CF166" t="s">
        <v>2583</v>
      </c>
      <c r="CG166">
        <v>45810</v>
      </c>
      <c r="CH166" t="s">
        <v>457</v>
      </c>
      <c r="CI166" t="s">
        <v>337</v>
      </c>
      <c r="CJ166" t="s">
        <v>2431</v>
      </c>
      <c r="CK166">
        <v>45811</v>
      </c>
      <c r="CL166" t="s">
        <v>2430</v>
      </c>
      <c r="CM166" t="s">
        <v>2432</v>
      </c>
      <c r="CN166">
        <v>45811</v>
      </c>
      <c r="CP166" t="s">
        <v>338</v>
      </c>
      <c r="CQ166" t="s">
        <v>2433</v>
      </c>
    </row>
    <row r="167" spans="1:95" x14ac:dyDescent="0.2">
      <c r="A167" t="s">
        <v>333</v>
      </c>
      <c r="B167">
        <v>7</v>
      </c>
      <c r="C167" s="1"/>
      <c r="AE167" s="1"/>
      <c r="BW167" t="s">
        <v>2580</v>
      </c>
      <c r="BX167" t="s">
        <v>2581</v>
      </c>
      <c r="BY167" t="s">
        <v>335</v>
      </c>
      <c r="BZ167" t="s">
        <v>2451</v>
      </c>
      <c r="CA167">
        <v>45810</v>
      </c>
      <c r="CB167" t="s">
        <v>2445</v>
      </c>
      <c r="CC167" t="s">
        <v>2621</v>
      </c>
      <c r="CE167" t="s">
        <v>2456</v>
      </c>
      <c r="CF167" t="s">
        <v>2583</v>
      </c>
      <c r="CG167">
        <v>45810</v>
      </c>
      <c r="CH167" t="s">
        <v>457</v>
      </c>
      <c r="CI167" t="s">
        <v>337</v>
      </c>
      <c r="CJ167" t="s">
        <v>2431</v>
      </c>
      <c r="CK167">
        <v>45811</v>
      </c>
      <c r="CL167" t="s">
        <v>2430</v>
      </c>
      <c r="CM167" t="s">
        <v>2432</v>
      </c>
      <c r="CN167">
        <v>45811</v>
      </c>
      <c r="CP167" t="s">
        <v>338</v>
      </c>
      <c r="CQ167" t="s">
        <v>2433</v>
      </c>
    </row>
    <row r="168" spans="1:95" x14ac:dyDescent="0.2">
      <c r="A168" t="s">
        <v>333</v>
      </c>
      <c r="B168">
        <v>7</v>
      </c>
      <c r="C168" s="1"/>
      <c r="AE168" s="1"/>
      <c r="BW168" t="s">
        <v>2580</v>
      </c>
      <c r="BX168" t="s">
        <v>2581</v>
      </c>
      <c r="BY168" t="s">
        <v>335</v>
      </c>
      <c r="BZ168" t="s">
        <v>2451</v>
      </c>
      <c r="CA168">
        <v>45810</v>
      </c>
      <c r="CB168" t="s">
        <v>2445</v>
      </c>
      <c r="CC168" t="s">
        <v>2622</v>
      </c>
      <c r="CE168" t="s">
        <v>2456</v>
      </c>
      <c r="CF168" t="s">
        <v>2583</v>
      </c>
      <c r="CG168">
        <v>45810</v>
      </c>
      <c r="CH168" t="s">
        <v>457</v>
      </c>
      <c r="CI168" t="s">
        <v>337</v>
      </c>
      <c r="CJ168" t="s">
        <v>2431</v>
      </c>
      <c r="CK168">
        <v>45811</v>
      </c>
      <c r="CL168" t="s">
        <v>2430</v>
      </c>
      <c r="CM168" t="s">
        <v>2432</v>
      </c>
      <c r="CN168">
        <v>45811</v>
      </c>
      <c r="CP168" t="s">
        <v>338</v>
      </c>
      <c r="CQ168" t="s">
        <v>2433</v>
      </c>
    </row>
    <row r="169" spans="1:95" x14ac:dyDescent="0.2">
      <c r="A169" t="s">
        <v>333</v>
      </c>
      <c r="B169">
        <v>7</v>
      </c>
      <c r="C169" s="1"/>
      <c r="AE169" s="1"/>
      <c r="BW169" t="s">
        <v>2580</v>
      </c>
      <c r="BX169" t="s">
        <v>2581</v>
      </c>
      <c r="BY169" t="s">
        <v>335</v>
      </c>
      <c r="BZ169" t="s">
        <v>2451</v>
      </c>
      <c r="CA169">
        <v>45810</v>
      </c>
      <c r="CB169" t="s">
        <v>2445</v>
      </c>
      <c r="CC169" t="s">
        <v>2623</v>
      </c>
      <c r="CE169" t="s">
        <v>2456</v>
      </c>
      <c r="CF169" t="s">
        <v>2583</v>
      </c>
      <c r="CG169">
        <v>45810</v>
      </c>
      <c r="CH169" t="s">
        <v>457</v>
      </c>
      <c r="CI169" t="s">
        <v>337</v>
      </c>
      <c r="CJ169" t="s">
        <v>2431</v>
      </c>
      <c r="CK169">
        <v>45811</v>
      </c>
      <c r="CL169" t="s">
        <v>2430</v>
      </c>
      <c r="CM169" t="s">
        <v>2432</v>
      </c>
      <c r="CN169">
        <v>45811</v>
      </c>
      <c r="CP169" t="s">
        <v>338</v>
      </c>
      <c r="CQ169" t="s">
        <v>2433</v>
      </c>
    </row>
    <row r="170" spans="1:95" x14ac:dyDescent="0.2">
      <c r="A170" t="s">
        <v>333</v>
      </c>
      <c r="B170">
        <v>7</v>
      </c>
      <c r="C170" s="1"/>
      <c r="AE170" s="1"/>
      <c r="BW170" t="s">
        <v>2580</v>
      </c>
      <c r="BX170" t="s">
        <v>2581</v>
      </c>
      <c r="BY170" t="s">
        <v>335</v>
      </c>
      <c r="BZ170" t="s">
        <v>2451</v>
      </c>
      <c r="CA170">
        <v>45810</v>
      </c>
      <c r="CB170" t="s">
        <v>2445</v>
      </c>
      <c r="CC170" t="s">
        <v>2624</v>
      </c>
      <c r="CE170" t="s">
        <v>2456</v>
      </c>
      <c r="CF170" t="s">
        <v>2583</v>
      </c>
      <c r="CG170">
        <v>45810</v>
      </c>
      <c r="CH170" t="s">
        <v>457</v>
      </c>
      <c r="CI170" t="s">
        <v>337</v>
      </c>
      <c r="CJ170" t="s">
        <v>2431</v>
      </c>
      <c r="CK170">
        <v>45811</v>
      </c>
      <c r="CL170" t="s">
        <v>2430</v>
      </c>
      <c r="CM170" t="s">
        <v>2432</v>
      </c>
      <c r="CN170">
        <v>45811</v>
      </c>
      <c r="CP170" t="s">
        <v>338</v>
      </c>
      <c r="CQ170" t="s">
        <v>2433</v>
      </c>
    </row>
    <row r="171" spans="1:95" x14ac:dyDescent="0.2">
      <c r="A171" t="s">
        <v>333</v>
      </c>
      <c r="B171">
        <v>7</v>
      </c>
      <c r="C171" s="1"/>
      <c r="AE171" s="1"/>
      <c r="BW171" t="s">
        <v>2580</v>
      </c>
      <c r="BX171" t="s">
        <v>2581</v>
      </c>
      <c r="BY171" t="s">
        <v>335</v>
      </c>
      <c r="BZ171" t="s">
        <v>2451</v>
      </c>
      <c r="CA171">
        <v>45810</v>
      </c>
      <c r="CB171" t="s">
        <v>2445</v>
      </c>
      <c r="CC171" t="s">
        <v>2625</v>
      </c>
      <c r="CE171" t="s">
        <v>2456</v>
      </c>
      <c r="CF171" t="s">
        <v>2583</v>
      </c>
      <c r="CG171">
        <v>45810</v>
      </c>
      <c r="CH171" t="s">
        <v>457</v>
      </c>
      <c r="CI171" t="s">
        <v>337</v>
      </c>
      <c r="CJ171" t="s">
        <v>2431</v>
      </c>
      <c r="CK171">
        <v>45811</v>
      </c>
      <c r="CL171" t="s">
        <v>2430</v>
      </c>
      <c r="CM171" t="s">
        <v>2432</v>
      </c>
      <c r="CN171">
        <v>45811</v>
      </c>
      <c r="CP171" t="s">
        <v>338</v>
      </c>
      <c r="CQ171" t="s">
        <v>2433</v>
      </c>
    </row>
    <row r="172" spans="1:95" x14ac:dyDescent="0.2">
      <c r="A172" t="s">
        <v>333</v>
      </c>
      <c r="B172">
        <v>7</v>
      </c>
      <c r="C172" s="1"/>
      <c r="AE172" s="1"/>
      <c r="BW172" t="s">
        <v>2580</v>
      </c>
      <c r="BX172" t="s">
        <v>2581</v>
      </c>
      <c r="BY172" t="s">
        <v>335</v>
      </c>
      <c r="BZ172" t="s">
        <v>2451</v>
      </c>
      <c r="CA172">
        <v>45810</v>
      </c>
      <c r="CB172" t="s">
        <v>2445</v>
      </c>
      <c r="CC172" t="s">
        <v>2626</v>
      </c>
      <c r="CE172" t="s">
        <v>2456</v>
      </c>
      <c r="CF172" t="s">
        <v>2583</v>
      </c>
      <c r="CG172">
        <v>45810</v>
      </c>
      <c r="CH172" t="s">
        <v>457</v>
      </c>
      <c r="CI172" t="s">
        <v>337</v>
      </c>
      <c r="CJ172" t="s">
        <v>2431</v>
      </c>
      <c r="CK172">
        <v>45811</v>
      </c>
      <c r="CL172" t="s">
        <v>2430</v>
      </c>
      <c r="CM172" t="s">
        <v>2432</v>
      </c>
      <c r="CN172">
        <v>45811</v>
      </c>
      <c r="CP172" t="s">
        <v>338</v>
      </c>
      <c r="CQ172" t="s">
        <v>2433</v>
      </c>
    </row>
    <row r="173" spans="1:95" x14ac:dyDescent="0.2">
      <c r="A173" t="s">
        <v>333</v>
      </c>
      <c r="B173">
        <v>7</v>
      </c>
      <c r="C173" s="1"/>
      <c r="AE173" s="1"/>
      <c r="BW173" t="s">
        <v>2580</v>
      </c>
      <c r="BX173" t="s">
        <v>2581</v>
      </c>
      <c r="BY173" t="s">
        <v>335</v>
      </c>
      <c r="BZ173" t="s">
        <v>2451</v>
      </c>
      <c r="CA173">
        <v>45810</v>
      </c>
      <c r="CB173" t="s">
        <v>2445</v>
      </c>
      <c r="CC173" t="s">
        <v>2627</v>
      </c>
      <c r="CE173" t="s">
        <v>2456</v>
      </c>
      <c r="CF173" t="s">
        <v>2583</v>
      </c>
      <c r="CG173">
        <v>45810</v>
      </c>
      <c r="CH173" t="s">
        <v>457</v>
      </c>
      <c r="CI173" t="s">
        <v>337</v>
      </c>
      <c r="CJ173" t="s">
        <v>2431</v>
      </c>
      <c r="CK173">
        <v>45811</v>
      </c>
      <c r="CL173" t="s">
        <v>2430</v>
      </c>
      <c r="CM173" t="s">
        <v>2432</v>
      </c>
      <c r="CN173">
        <v>45811</v>
      </c>
      <c r="CP173" t="s">
        <v>338</v>
      </c>
      <c r="CQ173" t="s">
        <v>2433</v>
      </c>
    </row>
    <row r="174" spans="1:95" x14ac:dyDescent="0.2">
      <c r="A174" t="s">
        <v>333</v>
      </c>
      <c r="B174">
        <v>7</v>
      </c>
      <c r="C174" s="1"/>
      <c r="AE174" s="1"/>
      <c r="BW174" t="s">
        <v>2580</v>
      </c>
      <c r="BX174" t="s">
        <v>2581</v>
      </c>
      <c r="BY174" t="s">
        <v>335</v>
      </c>
      <c r="BZ174" t="s">
        <v>2451</v>
      </c>
      <c r="CA174">
        <v>45810</v>
      </c>
      <c r="CB174" t="s">
        <v>2445</v>
      </c>
      <c r="CC174" t="s">
        <v>2628</v>
      </c>
      <c r="CE174" t="s">
        <v>2456</v>
      </c>
      <c r="CF174" t="s">
        <v>2583</v>
      </c>
      <c r="CG174">
        <v>45810</v>
      </c>
      <c r="CH174" t="s">
        <v>457</v>
      </c>
      <c r="CI174" t="s">
        <v>337</v>
      </c>
      <c r="CJ174" t="s">
        <v>2431</v>
      </c>
      <c r="CK174">
        <v>45811</v>
      </c>
      <c r="CL174" t="s">
        <v>2430</v>
      </c>
      <c r="CM174" t="s">
        <v>2432</v>
      </c>
      <c r="CN174">
        <v>45811</v>
      </c>
      <c r="CP174" t="s">
        <v>338</v>
      </c>
      <c r="CQ174" t="s">
        <v>2433</v>
      </c>
    </row>
    <row r="175" spans="1:95" x14ac:dyDescent="0.2">
      <c r="A175" t="s">
        <v>333</v>
      </c>
      <c r="B175">
        <v>7</v>
      </c>
      <c r="C175" s="1"/>
      <c r="AE175" s="1"/>
      <c r="BW175" t="s">
        <v>2580</v>
      </c>
      <c r="BX175" t="s">
        <v>2581</v>
      </c>
      <c r="BY175" t="s">
        <v>335</v>
      </c>
      <c r="BZ175" t="s">
        <v>2451</v>
      </c>
      <c r="CA175">
        <v>45810</v>
      </c>
      <c r="CB175" t="s">
        <v>2445</v>
      </c>
      <c r="CC175" t="s">
        <v>2629</v>
      </c>
      <c r="CE175" t="s">
        <v>2456</v>
      </c>
      <c r="CF175" t="s">
        <v>2583</v>
      </c>
      <c r="CG175">
        <v>45810</v>
      </c>
      <c r="CH175" t="s">
        <v>457</v>
      </c>
      <c r="CI175" t="s">
        <v>337</v>
      </c>
      <c r="CJ175" t="s">
        <v>2431</v>
      </c>
      <c r="CK175">
        <v>45811</v>
      </c>
      <c r="CL175" t="s">
        <v>2430</v>
      </c>
      <c r="CM175" t="s">
        <v>2432</v>
      </c>
      <c r="CN175">
        <v>45811</v>
      </c>
      <c r="CP175" t="s">
        <v>338</v>
      </c>
      <c r="CQ175" t="s">
        <v>2433</v>
      </c>
    </row>
    <row r="176" spans="1:95" x14ac:dyDescent="0.2">
      <c r="A176" t="s">
        <v>333</v>
      </c>
      <c r="B176">
        <v>7</v>
      </c>
      <c r="C176" s="1"/>
      <c r="AE176" s="1"/>
      <c r="BW176" t="s">
        <v>2580</v>
      </c>
      <c r="BX176" t="s">
        <v>2581</v>
      </c>
      <c r="BY176" t="s">
        <v>335</v>
      </c>
      <c r="BZ176" t="s">
        <v>2451</v>
      </c>
      <c r="CA176">
        <v>45810</v>
      </c>
      <c r="CB176" t="s">
        <v>2445</v>
      </c>
      <c r="CC176" t="s">
        <v>2630</v>
      </c>
      <c r="CE176" t="s">
        <v>2456</v>
      </c>
      <c r="CF176" t="s">
        <v>2583</v>
      </c>
      <c r="CG176">
        <v>45810</v>
      </c>
      <c r="CH176" t="s">
        <v>457</v>
      </c>
      <c r="CI176" t="s">
        <v>337</v>
      </c>
      <c r="CJ176" t="s">
        <v>2431</v>
      </c>
      <c r="CK176">
        <v>45811</v>
      </c>
      <c r="CL176" t="s">
        <v>2430</v>
      </c>
      <c r="CM176" t="s">
        <v>2432</v>
      </c>
      <c r="CN176">
        <v>45811</v>
      </c>
      <c r="CP176" t="s">
        <v>338</v>
      </c>
      <c r="CQ176" t="s">
        <v>2433</v>
      </c>
    </row>
    <row r="177" spans="1:95" x14ac:dyDescent="0.2">
      <c r="A177" t="s">
        <v>333</v>
      </c>
      <c r="B177">
        <v>7</v>
      </c>
      <c r="C177" s="1"/>
      <c r="AE177" s="1"/>
      <c r="BW177" t="s">
        <v>2580</v>
      </c>
      <c r="BX177" t="s">
        <v>2581</v>
      </c>
      <c r="BY177" t="s">
        <v>335</v>
      </c>
      <c r="BZ177" t="s">
        <v>2451</v>
      </c>
      <c r="CA177">
        <v>45810</v>
      </c>
      <c r="CB177" t="s">
        <v>2445</v>
      </c>
      <c r="CC177" t="s">
        <v>2631</v>
      </c>
      <c r="CE177" t="s">
        <v>2456</v>
      </c>
      <c r="CF177" t="s">
        <v>2583</v>
      </c>
      <c r="CG177">
        <v>45810</v>
      </c>
      <c r="CH177" t="s">
        <v>457</v>
      </c>
      <c r="CI177" t="s">
        <v>337</v>
      </c>
      <c r="CJ177" t="s">
        <v>2431</v>
      </c>
      <c r="CK177">
        <v>45811</v>
      </c>
      <c r="CL177" t="s">
        <v>2430</v>
      </c>
      <c r="CM177" t="s">
        <v>2432</v>
      </c>
      <c r="CN177">
        <v>45811</v>
      </c>
      <c r="CP177" t="s">
        <v>338</v>
      </c>
      <c r="CQ177" t="s">
        <v>2433</v>
      </c>
    </row>
    <row r="178" spans="1:95" x14ac:dyDescent="0.2">
      <c r="A178" t="s">
        <v>333</v>
      </c>
      <c r="B178">
        <v>7</v>
      </c>
      <c r="C178" s="1"/>
      <c r="AE178" s="1"/>
      <c r="BW178" t="s">
        <v>2580</v>
      </c>
      <c r="BX178" t="s">
        <v>2581</v>
      </c>
      <c r="BY178" t="s">
        <v>335</v>
      </c>
      <c r="BZ178" t="s">
        <v>2451</v>
      </c>
      <c r="CA178">
        <v>45810</v>
      </c>
      <c r="CB178" t="s">
        <v>2445</v>
      </c>
      <c r="CC178" t="s">
        <v>2632</v>
      </c>
      <c r="CE178" t="s">
        <v>2456</v>
      </c>
      <c r="CF178" t="s">
        <v>2583</v>
      </c>
      <c r="CG178">
        <v>45810</v>
      </c>
      <c r="CH178" t="s">
        <v>457</v>
      </c>
      <c r="CI178" t="s">
        <v>337</v>
      </c>
      <c r="CJ178" t="s">
        <v>2431</v>
      </c>
      <c r="CK178">
        <v>45811</v>
      </c>
      <c r="CL178" t="s">
        <v>2430</v>
      </c>
      <c r="CM178" t="s">
        <v>2432</v>
      </c>
      <c r="CN178">
        <v>45811</v>
      </c>
      <c r="CP178" t="s">
        <v>338</v>
      </c>
      <c r="CQ178" t="s">
        <v>2433</v>
      </c>
    </row>
    <row r="179" spans="1:95" x14ac:dyDescent="0.2">
      <c r="A179" t="s">
        <v>333</v>
      </c>
      <c r="B179">
        <v>7</v>
      </c>
      <c r="C179" s="1"/>
      <c r="AE179" s="1"/>
      <c r="BW179" t="s">
        <v>2580</v>
      </c>
      <c r="BX179" t="s">
        <v>2581</v>
      </c>
      <c r="BY179" t="s">
        <v>335</v>
      </c>
      <c r="BZ179" t="s">
        <v>2451</v>
      </c>
      <c r="CA179">
        <v>45810</v>
      </c>
      <c r="CB179" t="s">
        <v>2445</v>
      </c>
      <c r="CC179" t="s">
        <v>2633</v>
      </c>
      <c r="CE179" t="s">
        <v>2456</v>
      </c>
      <c r="CF179" t="s">
        <v>2583</v>
      </c>
      <c r="CG179">
        <v>45810</v>
      </c>
      <c r="CH179" t="s">
        <v>457</v>
      </c>
      <c r="CI179" t="s">
        <v>337</v>
      </c>
      <c r="CJ179" t="s">
        <v>2431</v>
      </c>
      <c r="CK179">
        <v>45811</v>
      </c>
      <c r="CL179" t="s">
        <v>2430</v>
      </c>
      <c r="CM179" t="s">
        <v>2432</v>
      </c>
      <c r="CN179">
        <v>45811</v>
      </c>
      <c r="CP179" t="s">
        <v>338</v>
      </c>
      <c r="CQ179" t="s">
        <v>2433</v>
      </c>
    </row>
    <row r="180" spans="1:95" x14ac:dyDescent="0.2">
      <c r="A180" t="s">
        <v>333</v>
      </c>
      <c r="B180">
        <v>7</v>
      </c>
      <c r="C180" s="1"/>
      <c r="AE180" s="1"/>
      <c r="BW180" t="s">
        <v>2580</v>
      </c>
      <c r="BX180" t="s">
        <v>2581</v>
      </c>
      <c r="BY180" t="s">
        <v>335</v>
      </c>
      <c r="BZ180" t="s">
        <v>2451</v>
      </c>
      <c r="CA180">
        <v>45810</v>
      </c>
      <c r="CB180" t="s">
        <v>2445</v>
      </c>
      <c r="CC180" t="s">
        <v>2634</v>
      </c>
      <c r="CE180" t="s">
        <v>2456</v>
      </c>
      <c r="CF180" t="s">
        <v>2583</v>
      </c>
      <c r="CG180">
        <v>45810</v>
      </c>
      <c r="CH180" t="s">
        <v>457</v>
      </c>
      <c r="CI180" t="s">
        <v>337</v>
      </c>
      <c r="CJ180" t="s">
        <v>2431</v>
      </c>
      <c r="CK180">
        <v>45811</v>
      </c>
      <c r="CL180" t="s">
        <v>2430</v>
      </c>
      <c r="CM180" t="s">
        <v>2432</v>
      </c>
      <c r="CN180">
        <v>45811</v>
      </c>
      <c r="CP180" t="s">
        <v>338</v>
      </c>
      <c r="CQ180" t="s">
        <v>2433</v>
      </c>
    </row>
    <row r="181" spans="1:95" x14ac:dyDescent="0.2">
      <c r="A181" t="s">
        <v>333</v>
      </c>
      <c r="B181">
        <v>7</v>
      </c>
      <c r="C181" s="1"/>
      <c r="AE181" s="1"/>
      <c r="BW181" t="s">
        <v>2580</v>
      </c>
      <c r="BX181" t="s">
        <v>2581</v>
      </c>
      <c r="BY181" t="s">
        <v>335</v>
      </c>
      <c r="BZ181" t="s">
        <v>2451</v>
      </c>
      <c r="CA181">
        <v>45810</v>
      </c>
      <c r="CB181" t="s">
        <v>2445</v>
      </c>
      <c r="CC181" t="s">
        <v>2635</v>
      </c>
      <c r="CE181" t="s">
        <v>2456</v>
      </c>
      <c r="CF181" t="s">
        <v>2583</v>
      </c>
      <c r="CG181">
        <v>45810</v>
      </c>
      <c r="CH181" t="s">
        <v>457</v>
      </c>
      <c r="CI181" t="s">
        <v>337</v>
      </c>
      <c r="CJ181" t="s">
        <v>2431</v>
      </c>
      <c r="CK181">
        <v>45811</v>
      </c>
      <c r="CL181" t="s">
        <v>2430</v>
      </c>
      <c r="CM181" t="s">
        <v>2432</v>
      </c>
      <c r="CN181">
        <v>45811</v>
      </c>
      <c r="CP181" t="s">
        <v>338</v>
      </c>
      <c r="CQ181" t="s">
        <v>2433</v>
      </c>
    </row>
    <row r="182" spans="1:95" x14ac:dyDescent="0.2">
      <c r="A182" t="s">
        <v>333</v>
      </c>
      <c r="B182">
        <v>7</v>
      </c>
      <c r="C182" s="1"/>
      <c r="AE182" s="1"/>
      <c r="BW182" t="s">
        <v>2580</v>
      </c>
      <c r="BX182" t="s">
        <v>2581</v>
      </c>
      <c r="BY182" t="s">
        <v>335</v>
      </c>
      <c r="BZ182" t="s">
        <v>2451</v>
      </c>
      <c r="CA182">
        <v>45810</v>
      </c>
      <c r="CB182" t="s">
        <v>2445</v>
      </c>
      <c r="CC182" t="s">
        <v>2636</v>
      </c>
      <c r="CE182" t="s">
        <v>2456</v>
      </c>
      <c r="CF182" t="s">
        <v>2583</v>
      </c>
      <c r="CG182">
        <v>45810</v>
      </c>
      <c r="CH182" t="s">
        <v>457</v>
      </c>
      <c r="CI182" t="s">
        <v>337</v>
      </c>
      <c r="CJ182" t="s">
        <v>2431</v>
      </c>
      <c r="CK182">
        <v>45811</v>
      </c>
      <c r="CL182" t="s">
        <v>2430</v>
      </c>
      <c r="CM182" t="s">
        <v>2432</v>
      </c>
      <c r="CN182">
        <v>45811</v>
      </c>
      <c r="CP182" t="s">
        <v>338</v>
      </c>
      <c r="CQ182" t="s">
        <v>2433</v>
      </c>
    </row>
    <row r="183" spans="1:95" x14ac:dyDescent="0.2">
      <c r="A183" t="s">
        <v>333</v>
      </c>
      <c r="B183">
        <v>7</v>
      </c>
      <c r="C183" s="1"/>
      <c r="AE183" s="1"/>
      <c r="BW183" t="s">
        <v>2580</v>
      </c>
      <c r="BX183" t="s">
        <v>2581</v>
      </c>
      <c r="BY183" t="s">
        <v>335</v>
      </c>
      <c r="BZ183" t="s">
        <v>2451</v>
      </c>
      <c r="CA183">
        <v>45810</v>
      </c>
      <c r="CB183" t="s">
        <v>2445</v>
      </c>
      <c r="CC183" t="s">
        <v>2637</v>
      </c>
      <c r="CE183" t="s">
        <v>2456</v>
      </c>
      <c r="CF183" t="s">
        <v>2583</v>
      </c>
      <c r="CG183">
        <v>45810</v>
      </c>
      <c r="CH183" t="s">
        <v>457</v>
      </c>
      <c r="CI183" t="s">
        <v>337</v>
      </c>
      <c r="CJ183" t="s">
        <v>2431</v>
      </c>
      <c r="CK183">
        <v>45811</v>
      </c>
      <c r="CL183" t="s">
        <v>2430</v>
      </c>
      <c r="CM183" t="s">
        <v>2432</v>
      </c>
      <c r="CN183">
        <v>45811</v>
      </c>
      <c r="CP183" t="s">
        <v>338</v>
      </c>
      <c r="CQ183" t="s">
        <v>2433</v>
      </c>
    </row>
    <row r="184" spans="1:95" x14ac:dyDescent="0.2">
      <c r="A184" t="s">
        <v>333</v>
      </c>
      <c r="B184">
        <v>7</v>
      </c>
      <c r="C184" s="1"/>
      <c r="AE184" s="1"/>
      <c r="BW184" t="s">
        <v>2580</v>
      </c>
      <c r="BX184" t="s">
        <v>2581</v>
      </c>
      <c r="BY184" t="s">
        <v>335</v>
      </c>
      <c r="BZ184" t="s">
        <v>2451</v>
      </c>
      <c r="CA184">
        <v>45810</v>
      </c>
      <c r="CB184" t="s">
        <v>2445</v>
      </c>
      <c r="CC184" t="s">
        <v>2638</v>
      </c>
      <c r="CE184" t="s">
        <v>2456</v>
      </c>
      <c r="CF184" t="s">
        <v>2583</v>
      </c>
      <c r="CG184">
        <v>45810</v>
      </c>
      <c r="CH184" t="s">
        <v>457</v>
      </c>
      <c r="CI184" t="s">
        <v>337</v>
      </c>
      <c r="CJ184" t="s">
        <v>2431</v>
      </c>
      <c r="CK184">
        <v>45811</v>
      </c>
      <c r="CL184" t="s">
        <v>2430</v>
      </c>
      <c r="CM184" t="s">
        <v>2432</v>
      </c>
      <c r="CN184">
        <v>45811</v>
      </c>
      <c r="CP184" t="s">
        <v>338</v>
      </c>
      <c r="CQ184" t="s">
        <v>2433</v>
      </c>
    </row>
    <row r="185" spans="1:95" x14ac:dyDescent="0.2">
      <c r="A185" t="s">
        <v>333</v>
      </c>
      <c r="B185">
        <v>7</v>
      </c>
      <c r="C185" s="1"/>
      <c r="AE185" s="1"/>
      <c r="BW185" t="s">
        <v>2580</v>
      </c>
      <c r="BX185" t="s">
        <v>2581</v>
      </c>
      <c r="BY185" t="s">
        <v>335</v>
      </c>
      <c r="BZ185" t="s">
        <v>2451</v>
      </c>
      <c r="CA185">
        <v>45810</v>
      </c>
      <c r="CB185" t="s">
        <v>2445</v>
      </c>
      <c r="CC185" t="s">
        <v>2639</v>
      </c>
      <c r="CE185" t="s">
        <v>2456</v>
      </c>
      <c r="CF185" t="s">
        <v>2583</v>
      </c>
      <c r="CG185">
        <v>45810</v>
      </c>
      <c r="CH185" t="s">
        <v>457</v>
      </c>
      <c r="CI185" t="s">
        <v>337</v>
      </c>
      <c r="CJ185" t="s">
        <v>2431</v>
      </c>
      <c r="CK185">
        <v>45811</v>
      </c>
      <c r="CL185" t="s">
        <v>2430</v>
      </c>
      <c r="CM185" t="s">
        <v>2432</v>
      </c>
      <c r="CN185">
        <v>45811</v>
      </c>
      <c r="CP185" t="s">
        <v>338</v>
      </c>
      <c r="CQ185" t="s">
        <v>2433</v>
      </c>
    </row>
    <row r="186" spans="1:95" x14ac:dyDescent="0.2">
      <c r="A186" t="s">
        <v>333</v>
      </c>
      <c r="B186">
        <v>7</v>
      </c>
      <c r="C186" s="1"/>
      <c r="AE186" s="1"/>
      <c r="BW186" t="s">
        <v>2580</v>
      </c>
      <c r="BX186" t="s">
        <v>2581</v>
      </c>
      <c r="BY186" t="s">
        <v>335</v>
      </c>
      <c r="BZ186" t="s">
        <v>2451</v>
      </c>
      <c r="CA186">
        <v>45810</v>
      </c>
      <c r="CB186" t="s">
        <v>2445</v>
      </c>
      <c r="CC186" t="s">
        <v>2640</v>
      </c>
      <c r="CE186" t="s">
        <v>2456</v>
      </c>
      <c r="CF186" t="s">
        <v>2583</v>
      </c>
      <c r="CG186">
        <v>45810</v>
      </c>
      <c r="CH186" t="s">
        <v>457</v>
      </c>
      <c r="CI186" t="s">
        <v>337</v>
      </c>
      <c r="CJ186" t="s">
        <v>2431</v>
      </c>
      <c r="CK186">
        <v>45811</v>
      </c>
      <c r="CL186" t="s">
        <v>2430</v>
      </c>
      <c r="CM186" t="s">
        <v>2432</v>
      </c>
      <c r="CN186">
        <v>45811</v>
      </c>
      <c r="CP186" t="s">
        <v>338</v>
      </c>
      <c r="CQ186" t="s">
        <v>2433</v>
      </c>
    </row>
    <row r="187" spans="1:95" x14ac:dyDescent="0.2">
      <c r="A187" t="s">
        <v>333</v>
      </c>
      <c r="B187">
        <v>7</v>
      </c>
      <c r="C187" s="1"/>
      <c r="AE187" s="1"/>
      <c r="BW187" t="s">
        <v>2580</v>
      </c>
      <c r="BX187" t="s">
        <v>2581</v>
      </c>
      <c r="BY187" t="s">
        <v>335</v>
      </c>
      <c r="BZ187" t="s">
        <v>2451</v>
      </c>
      <c r="CA187">
        <v>45810</v>
      </c>
      <c r="CB187" t="s">
        <v>2445</v>
      </c>
      <c r="CC187" t="s">
        <v>2641</v>
      </c>
      <c r="CE187" t="s">
        <v>2456</v>
      </c>
      <c r="CF187" t="s">
        <v>2583</v>
      </c>
      <c r="CG187">
        <v>45810</v>
      </c>
      <c r="CH187" t="s">
        <v>457</v>
      </c>
      <c r="CI187" t="s">
        <v>337</v>
      </c>
      <c r="CJ187" t="s">
        <v>2431</v>
      </c>
      <c r="CK187">
        <v>45811</v>
      </c>
      <c r="CL187" t="s">
        <v>2430</v>
      </c>
      <c r="CM187" t="s">
        <v>2432</v>
      </c>
      <c r="CN187">
        <v>45811</v>
      </c>
      <c r="CP187" t="s">
        <v>338</v>
      </c>
      <c r="CQ187" t="s">
        <v>2433</v>
      </c>
    </row>
    <row r="188" spans="1:95" x14ac:dyDescent="0.2">
      <c r="A188" t="s">
        <v>333</v>
      </c>
      <c r="B188">
        <v>7</v>
      </c>
      <c r="C188" s="1"/>
      <c r="AE188" s="1"/>
      <c r="BW188" t="s">
        <v>2580</v>
      </c>
      <c r="BX188" t="s">
        <v>2581</v>
      </c>
      <c r="BY188" t="s">
        <v>335</v>
      </c>
      <c r="BZ188" t="s">
        <v>2451</v>
      </c>
      <c r="CA188">
        <v>45810</v>
      </c>
      <c r="CB188" t="s">
        <v>2445</v>
      </c>
      <c r="CC188" t="s">
        <v>2642</v>
      </c>
      <c r="CE188" t="s">
        <v>2456</v>
      </c>
      <c r="CF188" t="s">
        <v>2583</v>
      </c>
      <c r="CG188">
        <v>45810</v>
      </c>
      <c r="CH188" t="s">
        <v>457</v>
      </c>
      <c r="CI188" t="s">
        <v>337</v>
      </c>
      <c r="CJ188" t="s">
        <v>2431</v>
      </c>
      <c r="CK188">
        <v>45811</v>
      </c>
      <c r="CL188" t="s">
        <v>2430</v>
      </c>
      <c r="CM188" t="s">
        <v>2432</v>
      </c>
      <c r="CN188">
        <v>45811</v>
      </c>
      <c r="CP188" t="s">
        <v>338</v>
      </c>
      <c r="CQ188" t="s">
        <v>2433</v>
      </c>
    </row>
    <row r="189" spans="1:95" x14ac:dyDescent="0.2">
      <c r="A189" t="s">
        <v>333</v>
      </c>
      <c r="B189">
        <v>8</v>
      </c>
      <c r="C189" s="1" t="s">
        <v>2643</v>
      </c>
      <c r="D189" t="s">
        <v>2644</v>
      </c>
      <c r="E189" t="s">
        <v>335</v>
      </c>
      <c r="F189" t="s">
        <v>2645</v>
      </c>
      <c r="G189" t="s">
        <v>340</v>
      </c>
      <c r="H189" t="s">
        <v>2646</v>
      </c>
      <c r="I189" t="s">
        <v>340</v>
      </c>
      <c r="J189" t="s">
        <v>344</v>
      </c>
      <c r="K189" t="s">
        <v>340</v>
      </c>
      <c r="L189">
        <v>45811</v>
      </c>
      <c r="M189" t="s">
        <v>455</v>
      </c>
      <c r="N189">
        <v>1</v>
      </c>
      <c r="O189">
        <v>1</v>
      </c>
      <c r="P189" t="s">
        <v>2444</v>
      </c>
      <c r="T189" t="s">
        <v>458</v>
      </c>
      <c r="U189" t="s">
        <v>2647</v>
      </c>
      <c r="V189" t="s">
        <v>237</v>
      </c>
      <c r="W189">
        <v>20</v>
      </c>
      <c r="X189">
        <v>20</v>
      </c>
      <c r="Y189" t="s">
        <v>2648</v>
      </c>
      <c r="Z189" t="s">
        <v>346</v>
      </c>
      <c r="AA189" t="s">
        <v>340</v>
      </c>
      <c r="AB189" t="s">
        <v>347</v>
      </c>
      <c r="AC189" t="s">
        <v>340</v>
      </c>
      <c r="AD189" t="s">
        <v>2649</v>
      </c>
      <c r="AE189" s="1">
        <v>45811.321666666663</v>
      </c>
      <c r="CI189" t="s">
        <v>337</v>
      </c>
      <c r="CJ189" t="s">
        <v>2431</v>
      </c>
      <c r="CK189">
        <v>45811</v>
      </c>
      <c r="CL189" t="s">
        <v>2430</v>
      </c>
      <c r="CM189" t="s">
        <v>2432</v>
      </c>
      <c r="CN189">
        <v>45811</v>
      </c>
      <c r="CP189" t="s">
        <v>338</v>
      </c>
      <c r="CQ189" t="s">
        <v>2433</v>
      </c>
    </row>
    <row r="190" spans="1:95" x14ac:dyDescent="0.2">
      <c r="A190" t="s">
        <v>333</v>
      </c>
      <c r="B190">
        <v>9</v>
      </c>
      <c r="C190" s="1" t="s">
        <v>2650</v>
      </c>
      <c r="D190" t="s">
        <v>2651</v>
      </c>
      <c r="E190" t="s">
        <v>335</v>
      </c>
      <c r="F190" t="s">
        <v>342</v>
      </c>
      <c r="G190" t="s">
        <v>340</v>
      </c>
      <c r="H190" t="s">
        <v>2652</v>
      </c>
      <c r="I190" t="s">
        <v>340</v>
      </c>
      <c r="J190" t="s">
        <v>344</v>
      </c>
      <c r="K190" t="s">
        <v>340</v>
      </c>
      <c r="L190">
        <v>45811</v>
      </c>
      <c r="M190" t="s">
        <v>455</v>
      </c>
      <c r="N190">
        <v>1</v>
      </c>
      <c r="O190">
        <v>1</v>
      </c>
      <c r="P190" t="s">
        <v>2444</v>
      </c>
      <c r="T190" t="s">
        <v>458</v>
      </c>
      <c r="U190" t="s">
        <v>2653</v>
      </c>
      <c r="V190" t="s">
        <v>237</v>
      </c>
      <c r="W190">
        <v>1</v>
      </c>
      <c r="X190">
        <v>1</v>
      </c>
      <c r="Y190" t="s">
        <v>349</v>
      </c>
      <c r="Z190" t="s">
        <v>346</v>
      </c>
      <c r="AA190" t="s">
        <v>340</v>
      </c>
      <c r="AB190" t="s">
        <v>347</v>
      </c>
      <c r="AC190" t="s">
        <v>340</v>
      </c>
      <c r="AD190" t="s">
        <v>2654</v>
      </c>
      <c r="AE190" s="1">
        <v>45811.309363425928</v>
      </c>
      <c r="CI190" t="s">
        <v>337</v>
      </c>
      <c r="CJ190" t="s">
        <v>2431</v>
      </c>
      <c r="CK190">
        <v>45811</v>
      </c>
      <c r="CL190" t="s">
        <v>2430</v>
      </c>
      <c r="CM190" t="s">
        <v>2432</v>
      </c>
      <c r="CN190">
        <v>45811</v>
      </c>
      <c r="CP190" t="s">
        <v>338</v>
      </c>
      <c r="CQ190" t="s">
        <v>2433</v>
      </c>
    </row>
    <row r="191" spans="1:95" x14ac:dyDescent="0.2">
      <c r="A191" t="s">
        <v>333</v>
      </c>
      <c r="B191">
        <v>10</v>
      </c>
      <c r="C191" s="1" t="s">
        <v>2655</v>
      </c>
      <c r="D191" t="s">
        <v>2656</v>
      </c>
      <c r="E191" t="s">
        <v>335</v>
      </c>
      <c r="F191" t="s">
        <v>342</v>
      </c>
      <c r="G191" t="s">
        <v>340</v>
      </c>
      <c r="H191" t="s">
        <v>2657</v>
      </c>
      <c r="I191" t="s">
        <v>340</v>
      </c>
      <c r="J191" t="s">
        <v>344</v>
      </c>
      <c r="K191" t="s">
        <v>340</v>
      </c>
      <c r="L191">
        <v>45811</v>
      </c>
      <c r="M191" t="s">
        <v>455</v>
      </c>
      <c r="N191">
        <v>1</v>
      </c>
      <c r="O191">
        <v>1</v>
      </c>
      <c r="P191" t="s">
        <v>2444</v>
      </c>
      <c r="T191" t="s">
        <v>458</v>
      </c>
      <c r="U191" t="s">
        <v>2653</v>
      </c>
      <c r="V191" t="s">
        <v>237</v>
      </c>
      <c r="W191">
        <v>1</v>
      </c>
      <c r="X191">
        <v>1</v>
      </c>
      <c r="Y191" t="s">
        <v>349</v>
      </c>
      <c r="Z191" t="s">
        <v>346</v>
      </c>
      <c r="AA191" t="s">
        <v>340</v>
      </c>
      <c r="AB191" t="s">
        <v>347</v>
      </c>
      <c r="AC191" t="s">
        <v>340</v>
      </c>
      <c r="AD191" t="s">
        <v>2658</v>
      </c>
      <c r="AE191" s="1">
        <v>45811.309363425928</v>
      </c>
      <c r="CI191" t="s">
        <v>337</v>
      </c>
      <c r="CJ191" t="s">
        <v>2431</v>
      </c>
      <c r="CK191">
        <v>45811</v>
      </c>
      <c r="CL191" t="s">
        <v>2430</v>
      </c>
      <c r="CM191" t="s">
        <v>2432</v>
      </c>
      <c r="CN191">
        <v>45811</v>
      </c>
      <c r="CP191" t="s">
        <v>338</v>
      </c>
      <c r="CQ191" t="s">
        <v>2433</v>
      </c>
    </row>
    <row r="192" spans="1:95" x14ac:dyDescent="0.2">
      <c r="A192" t="s">
        <v>333</v>
      </c>
      <c r="B192">
        <v>11</v>
      </c>
      <c r="C192" s="1" t="s">
        <v>2659</v>
      </c>
      <c r="D192" t="s">
        <v>2660</v>
      </c>
      <c r="E192" t="s">
        <v>335</v>
      </c>
      <c r="F192" t="s">
        <v>342</v>
      </c>
      <c r="G192" t="s">
        <v>340</v>
      </c>
      <c r="H192" t="s">
        <v>2661</v>
      </c>
      <c r="I192" t="s">
        <v>340</v>
      </c>
      <c r="J192" t="s">
        <v>344</v>
      </c>
      <c r="K192" t="s">
        <v>340</v>
      </c>
      <c r="L192">
        <v>45811</v>
      </c>
      <c r="M192" t="s">
        <v>455</v>
      </c>
      <c r="N192">
        <v>1</v>
      </c>
      <c r="O192">
        <v>1</v>
      </c>
      <c r="P192" t="s">
        <v>2444</v>
      </c>
      <c r="T192" t="s">
        <v>458</v>
      </c>
      <c r="U192" t="s">
        <v>2653</v>
      </c>
      <c r="V192" t="s">
        <v>237</v>
      </c>
      <c r="W192">
        <v>1</v>
      </c>
      <c r="X192">
        <v>1</v>
      </c>
      <c r="Y192" t="s">
        <v>349</v>
      </c>
      <c r="Z192" t="s">
        <v>346</v>
      </c>
      <c r="AA192" t="s">
        <v>340</v>
      </c>
      <c r="AB192" t="s">
        <v>347</v>
      </c>
      <c r="AC192" t="s">
        <v>340</v>
      </c>
      <c r="AD192" t="s">
        <v>2662</v>
      </c>
      <c r="AE192" s="1">
        <v>45811.309363425928</v>
      </c>
      <c r="CI192" t="s">
        <v>337</v>
      </c>
      <c r="CJ192" t="s">
        <v>2431</v>
      </c>
      <c r="CK192">
        <v>45811</v>
      </c>
      <c r="CL192" t="s">
        <v>2430</v>
      </c>
      <c r="CM192" t="s">
        <v>2432</v>
      </c>
      <c r="CN192">
        <v>45811</v>
      </c>
      <c r="CP192" t="s">
        <v>338</v>
      </c>
      <c r="CQ192" t="s">
        <v>2433</v>
      </c>
    </row>
    <row r="193" spans="1:95" x14ac:dyDescent="0.2">
      <c r="A193" t="s">
        <v>333</v>
      </c>
      <c r="B193">
        <v>12</v>
      </c>
      <c r="C193" s="1" t="s">
        <v>2663</v>
      </c>
      <c r="D193" t="s">
        <v>2664</v>
      </c>
      <c r="E193" t="s">
        <v>335</v>
      </c>
      <c r="F193" t="s">
        <v>342</v>
      </c>
      <c r="G193" t="s">
        <v>340</v>
      </c>
      <c r="H193" t="s">
        <v>2665</v>
      </c>
      <c r="I193" t="s">
        <v>340</v>
      </c>
      <c r="J193" t="s">
        <v>344</v>
      </c>
      <c r="K193" t="s">
        <v>340</v>
      </c>
      <c r="L193">
        <v>45811</v>
      </c>
      <c r="M193" t="s">
        <v>455</v>
      </c>
      <c r="N193">
        <v>1</v>
      </c>
      <c r="O193">
        <v>1</v>
      </c>
      <c r="P193" t="s">
        <v>2444</v>
      </c>
      <c r="T193" t="s">
        <v>458</v>
      </c>
      <c r="U193" t="s">
        <v>2653</v>
      </c>
      <c r="V193" t="s">
        <v>237</v>
      </c>
      <c r="W193">
        <v>1</v>
      </c>
      <c r="X193">
        <v>1</v>
      </c>
      <c r="Y193" t="s">
        <v>349</v>
      </c>
      <c r="Z193" t="s">
        <v>346</v>
      </c>
      <c r="AA193" t="s">
        <v>340</v>
      </c>
      <c r="AB193" t="s">
        <v>347</v>
      </c>
      <c r="AC193" t="s">
        <v>340</v>
      </c>
      <c r="AD193" t="s">
        <v>2666</v>
      </c>
      <c r="AE193" s="1">
        <v>45811.309363425928</v>
      </c>
      <c r="CI193" t="s">
        <v>337</v>
      </c>
      <c r="CJ193" t="s">
        <v>2431</v>
      </c>
      <c r="CK193">
        <v>45811</v>
      </c>
      <c r="CL193" t="s">
        <v>2430</v>
      </c>
      <c r="CM193" t="s">
        <v>2432</v>
      </c>
      <c r="CN193">
        <v>45811</v>
      </c>
      <c r="CP193" t="s">
        <v>338</v>
      </c>
      <c r="CQ193" t="s">
        <v>2433</v>
      </c>
    </row>
    <row r="194" spans="1:95" x14ac:dyDescent="0.2">
      <c r="A194" t="s">
        <v>333</v>
      </c>
      <c r="B194">
        <v>13</v>
      </c>
      <c r="C194" s="1" t="s">
        <v>2667</v>
      </c>
      <c r="D194" t="s">
        <v>2668</v>
      </c>
      <c r="E194" t="s">
        <v>335</v>
      </c>
      <c r="F194" t="s">
        <v>342</v>
      </c>
      <c r="G194" t="s">
        <v>340</v>
      </c>
      <c r="H194" t="s">
        <v>2669</v>
      </c>
      <c r="I194" t="s">
        <v>340</v>
      </c>
      <c r="J194" t="s">
        <v>344</v>
      </c>
      <c r="K194" t="s">
        <v>340</v>
      </c>
      <c r="L194">
        <v>45811</v>
      </c>
      <c r="M194" t="s">
        <v>455</v>
      </c>
      <c r="N194">
        <v>1</v>
      </c>
      <c r="O194">
        <v>1</v>
      </c>
      <c r="P194" t="s">
        <v>2444</v>
      </c>
      <c r="T194" t="s">
        <v>458</v>
      </c>
      <c r="U194" t="s">
        <v>2653</v>
      </c>
      <c r="V194" t="s">
        <v>237</v>
      </c>
      <c r="W194">
        <v>1</v>
      </c>
      <c r="X194">
        <v>1</v>
      </c>
      <c r="Y194" t="s">
        <v>349</v>
      </c>
      <c r="Z194" t="s">
        <v>346</v>
      </c>
      <c r="AA194" t="s">
        <v>340</v>
      </c>
      <c r="AB194" t="s">
        <v>347</v>
      </c>
      <c r="AC194" t="s">
        <v>340</v>
      </c>
      <c r="AD194" t="s">
        <v>2670</v>
      </c>
      <c r="AE194" s="1">
        <v>45811.309363425928</v>
      </c>
      <c r="CI194" t="s">
        <v>337</v>
      </c>
      <c r="CJ194" t="s">
        <v>2431</v>
      </c>
      <c r="CK194">
        <v>45811</v>
      </c>
      <c r="CL194" t="s">
        <v>2430</v>
      </c>
      <c r="CM194" t="s">
        <v>2432</v>
      </c>
      <c r="CN194">
        <v>45811</v>
      </c>
      <c r="CP194" t="s">
        <v>338</v>
      </c>
      <c r="CQ194" t="s">
        <v>2433</v>
      </c>
    </row>
    <row r="195" spans="1:95" x14ac:dyDescent="0.2">
      <c r="A195" t="s">
        <v>333</v>
      </c>
      <c r="B195">
        <v>14</v>
      </c>
      <c r="C195" s="1" t="s">
        <v>2671</v>
      </c>
      <c r="D195" t="s">
        <v>2672</v>
      </c>
      <c r="E195" t="s">
        <v>335</v>
      </c>
      <c r="F195" t="s">
        <v>342</v>
      </c>
      <c r="G195" t="s">
        <v>340</v>
      </c>
      <c r="H195" t="s">
        <v>2673</v>
      </c>
      <c r="I195" t="s">
        <v>340</v>
      </c>
      <c r="J195" t="s">
        <v>344</v>
      </c>
      <c r="K195" t="s">
        <v>340</v>
      </c>
      <c r="L195">
        <v>45811</v>
      </c>
      <c r="M195" t="s">
        <v>455</v>
      </c>
      <c r="N195">
        <v>1</v>
      </c>
      <c r="O195">
        <v>1</v>
      </c>
      <c r="P195" t="s">
        <v>2444</v>
      </c>
      <c r="T195" t="s">
        <v>458</v>
      </c>
      <c r="U195" t="s">
        <v>2653</v>
      </c>
      <c r="V195" t="s">
        <v>237</v>
      </c>
      <c r="W195">
        <v>1</v>
      </c>
      <c r="X195">
        <v>1</v>
      </c>
      <c r="Y195" t="s">
        <v>349</v>
      </c>
      <c r="Z195" t="s">
        <v>346</v>
      </c>
      <c r="AA195" t="s">
        <v>340</v>
      </c>
      <c r="AB195" t="s">
        <v>347</v>
      </c>
      <c r="AC195" t="s">
        <v>340</v>
      </c>
      <c r="AD195" t="s">
        <v>2674</v>
      </c>
      <c r="AE195" s="1">
        <v>45811.309363425928</v>
      </c>
      <c r="CI195" t="s">
        <v>337</v>
      </c>
      <c r="CJ195" t="s">
        <v>2431</v>
      </c>
      <c r="CK195">
        <v>45811</v>
      </c>
      <c r="CL195" t="s">
        <v>2430</v>
      </c>
      <c r="CM195" t="s">
        <v>2432</v>
      </c>
      <c r="CN195">
        <v>45811</v>
      </c>
      <c r="CP195" t="s">
        <v>338</v>
      </c>
      <c r="CQ195" t="s">
        <v>2433</v>
      </c>
    </row>
    <row r="196" spans="1:95" x14ac:dyDescent="0.2">
      <c r="A196" t="s">
        <v>333</v>
      </c>
      <c r="B196">
        <v>15</v>
      </c>
      <c r="C196" s="1" t="s">
        <v>2675</v>
      </c>
      <c r="D196" t="s">
        <v>2676</v>
      </c>
      <c r="E196" t="s">
        <v>335</v>
      </c>
      <c r="F196" t="s">
        <v>342</v>
      </c>
      <c r="G196" t="s">
        <v>340</v>
      </c>
      <c r="H196" t="s">
        <v>2677</v>
      </c>
      <c r="I196" t="s">
        <v>340</v>
      </c>
      <c r="J196" t="s">
        <v>344</v>
      </c>
      <c r="K196" t="s">
        <v>340</v>
      </c>
      <c r="L196">
        <v>45811</v>
      </c>
      <c r="M196" t="s">
        <v>455</v>
      </c>
      <c r="N196">
        <v>1</v>
      </c>
      <c r="O196">
        <v>1</v>
      </c>
      <c r="P196" t="s">
        <v>2444</v>
      </c>
      <c r="T196" t="s">
        <v>458</v>
      </c>
      <c r="U196" t="s">
        <v>2653</v>
      </c>
      <c r="V196" t="s">
        <v>237</v>
      </c>
      <c r="W196">
        <v>1</v>
      </c>
      <c r="X196">
        <v>1</v>
      </c>
      <c r="Y196" t="s">
        <v>349</v>
      </c>
      <c r="Z196" t="s">
        <v>346</v>
      </c>
      <c r="AA196" t="s">
        <v>340</v>
      </c>
      <c r="AB196" t="s">
        <v>347</v>
      </c>
      <c r="AC196" t="s">
        <v>340</v>
      </c>
      <c r="AD196" t="s">
        <v>2678</v>
      </c>
      <c r="AE196" s="1">
        <v>45811.309363425928</v>
      </c>
      <c r="CI196" t="s">
        <v>337</v>
      </c>
      <c r="CJ196" t="s">
        <v>2431</v>
      </c>
      <c r="CK196">
        <v>45811</v>
      </c>
      <c r="CL196" t="s">
        <v>2430</v>
      </c>
      <c r="CM196" t="s">
        <v>2432</v>
      </c>
      <c r="CN196">
        <v>45811</v>
      </c>
      <c r="CP196" t="s">
        <v>338</v>
      </c>
      <c r="CQ196" t="s">
        <v>2433</v>
      </c>
    </row>
    <row r="197" spans="1:95" x14ac:dyDescent="0.2">
      <c r="A197" t="s">
        <v>333</v>
      </c>
      <c r="B197">
        <v>16</v>
      </c>
      <c r="C197" s="1" t="s">
        <v>2679</v>
      </c>
      <c r="D197" t="s">
        <v>2680</v>
      </c>
      <c r="E197" t="s">
        <v>335</v>
      </c>
      <c r="F197" t="s">
        <v>342</v>
      </c>
      <c r="G197" t="s">
        <v>340</v>
      </c>
      <c r="H197" t="s">
        <v>343</v>
      </c>
      <c r="I197" t="s">
        <v>340</v>
      </c>
      <c r="J197" t="s">
        <v>344</v>
      </c>
      <c r="K197" t="s">
        <v>340</v>
      </c>
      <c r="L197">
        <v>45811</v>
      </c>
      <c r="M197" t="s">
        <v>455</v>
      </c>
      <c r="N197">
        <v>1</v>
      </c>
      <c r="O197">
        <v>1</v>
      </c>
      <c r="P197" t="s">
        <v>2444</v>
      </c>
      <c r="T197" t="s">
        <v>458</v>
      </c>
      <c r="U197" t="s">
        <v>2681</v>
      </c>
      <c r="W197">
        <v>79.5</v>
      </c>
      <c r="X197">
        <v>79.5</v>
      </c>
      <c r="Y197" t="s">
        <v>345</v>
      </c>
      <c r="Z197" t="s">
        <v>346</v>
      </c>
      <c r="AA197" t="s">
        <v>340</v>
      </c>
      <c r="AB197" t="s">
        <v>347</v>
      </c>
      <c r="AC197" t="s">
        <v>340</v>
      </c>
      <c r="AD197" t="s">
        <v>2682</v>
      </c>
      <c r="AE197" s="1">
        <v>45811.203958333332</v>
      </c>
      <c r="CI197" t="s">
        <v>337</v>
      </c>
      <c r="CJ197" t="s">
        <v>2431</v>
      </c>
      <c r="CK197">
        <v>45811</v>
      </c>
      <c r="CL197" t="s">
        <v>2430</v>
      </c>
      <c r="CM197" t="s">
        <v>2432</v>
      </c>
      <c r="CN197">
        <v>45811</v>
      </c>
      <c r="CP197" t="s">
        <v>338</v>
      </c>
      <c r="CQ197" t="s">
        <v>2433</v>
      </c>
    </row>
    <row r="198" spans="1:95" x14ac:dyDescent="0.2">
      <c r="A198" t="s">
        <v>333</v>
      </c>
      <c r="B198">
        <v>17</v>
      </c>
      <c r="C198" s="1" t="s">
        <v>2683</v>
      </c>
      <c r="D198" t="s">
        <v>2684</v>
      </c>
      <c r="E198" t="s">
        <v>335</v>
      </c>
      <c r="F198" t="s">
        <v>342</v>
      </c>
      <c r="G198" t="s">
        <v>340</v>
      </c>
      <c r="H198" t="s">
        <v>2685</v>
      </c>
      <c r="I198" t="s">
        <v>340</v>
      </c>
      <c r="J198" t="s">
        <v>344</v>
      </c>
      <c r="K198" t="s">
        <v>340</v>
      </c>
      <c r="L198">
        <v>45811</v>
      </c>
      <c r="M198" t="s">
        <v>455</v>
      </c>
      <c r="N198">
        <v>1</v>
      </c>
      <c r="O198">
        <v>1</v>
      </c>
      <c r="P198" t="s">
        <v>2444</v>
      </c>
      <c r="T198" t="s">
        <v>458</v>
      </c>
      <c r="U198" t="s">
        <v>2686</v>
      </c>
      <c r="V198" t="s">
        <v>237</v>
      </c>
      <c r="W198">
        <v>0.01</v>
      </c>
      <c r="X198">
        <v>0.01</v>
      </c>
      <c r="Y198" t="s">
        <v>2648</v>
      </c>
      <c r="Z198" t="s">
        <v>346</v>
      </c>
      <c r="AA198" t="s">
        <v>340</v>
      </c>
      <c r="AB198" t="s">
        <v>347</v>
      </c>
      <c r="AC198" t="s">
        <v>340</v>
      </c>
      <c r="AD198" t="s">
        <v>2687</v>
      </c>
      <c r="AE198" s="1">
        <v>45811.309363425928</v>
      </c>
      <c r="CI198" t="s">
        <v>337</v>
      </c>
      <c r="CJ198" t="s">
        <v>2431</v>
      </c>
      <c r="CK198">
        <v>45811</v>
      </c>
      <c r="CL198" t="s">
        <v>2430</v>
      </c>
      <c r="CM198" t="s">
        <v>2432</v>
      </c>
      <c r="CN198">
        <v>45811</v>
      </c>
      <c r="CP198" t="s">
        <v>338</v>
      </c>
      <c r="CQ198" t="s">
        <v>2433</v>
      </c>
    </row>
    <row r="199" spans="1:95" x14ac:dyDescent="0.2">
      <c r="A199" t="s">
        <v>333</v>
      </c>
      <c r="B199">
        <v>18</v>
      </c>
      <c r="C199" s="1" t="s">
        <v>2688</v>
      </c>
      <c r="D199" t="s">
        <v>2689</v>
      </c>
      <c r="E199" t="s">
        <v>335</v>
      </c>
      <c r="F199" t="s">
        <v>342</v>
      </c>
      <c r="G199" t="s">
        <v>340</v>
      </c>
      <c r="H199" t="s">
        <v>2690</v>
      </c>
      <c r="I199" t="s">
        <v>340</v>
      </c>
      <c r="J199" t="s">
        <v>344</v>
      </c>
      <c r="K199" t="s">
        <v>340</v>
      </c>
      <c r="L199">
        <v>45811</v>
      </c>
      <c r="M199" t="s">
        <v>455</v>
      </c>
      <c r="N199">
        <v>1</v>
      </c>
      <c r="O199">
        <v>1</v>
      </c>
      <c r="P199" t="s">
        <v>2444</v>
      </c>
      <c r="T199" t="s">
        <v>458</v>
      </c>
      <c r="U199" t="s">
        <v>2686</v>
      </c>
      <c r="V199" t="s">
        <v>237</v>
      </c>
      <c r="W199">
        <v>0.01</v>
      </c>
      <c r="X199">
        <v>0.01</v>
      </c>
      <c r="Y199" t="s">
        <v>2648</v>
      </c>
      <c r="Z199" t="s">
        <v>346</v>
      </c>
      <c r="AA199" t="s">
        <v>340</v>
      </c>
      <c r="AB199" t="s">
        <v>347</v>
      </c>
      <c r="AC199" t="s">
        <v>340</v>
      </c>
      <c r="AD199" t="s">
        <v>2691</v>
      </c>
      <c r="AE199" s="1">
        <v>45811.309363425928</v>
      </c>
      <c r="CI199" t="s">
        <v>337</v>
      </c>
      <c r="CJ199" t="s">
        <v>2431</v>
      </c>
      <c r="CK199">
        <v>45811</v>
      </c>
      <c r="CL199" t="s">
        <v>2430</v>
      </c>
      <c r="CM199" t="s">
        <v>2432</v>
      </c>
      <c r="CN199">
        <v>45811</v>
      </c>
      <c r="CP199" t="s">
        <v>338</v>
      </c>
      <c r="CQ199" t="s">
        <v>2433</v>
      </c>
    </row>
    <row r="200" spans="1:95" x14ac:dyDescent="0.2">
      <c r="A200" t="s">
        <v>333</v>
      </c>
      <c r="B200">
        <v>19</v>
      </c>
      <c r="C200" s="1" t="s">
        <v>2692</v>
      </c>
      <c r="D200" t="s">
        <v>2693</v>
      </c>
      <c r="E200" t="s">
        <v>335</v>
      </c>
      <c r="F200" t="s">
        <v>342</v>
      </c>
      <c r="G200" t="s">
        <v>340</v>
      </c>
      <c r="H200" t="s">
        <v>2694</v>
      </c>
      <c r="I200" t="s">
        <v>340</v>
      </c>
      <c r="J200" t="s">
        <v>344</v>
      </c>
      <c r="K200" t="s">
        <v>340</v>
      </c>
      <c r="L200">
        <v>45811</v>
      </c>
      <c r="M200" t="s">
        <v>455</v>
      </c>
      <c r="N200">
        <v>1</v>
      </c>
      <c r="O200">
        <v>1</v>
      </c>
      <c r="P200" t="s">
        <v>2444</v>
      </c>
      <c r="T200" t="s">
        <v>458</v>
      </c>
      <c r="U200" t="s">
        <v>2686</v>
      </c>
      <c r="V200" t="s">
        <v>237</v>
      </c>
      <c r="W200">
        <v>0.01</v>
      </c>
      <c r="X200">
        <v>0.01</v>
      </c>
      <c r="Y200" t="s">
        <v>2648</v>
      </c>
      <c r="Z200" t="s">
        <v>346</v>
      </c>
      <c r="AA200" t="s">
        <v>340</v>
      </c>
      <c r="AB200" t="s">
        <v>347</v>
      </c>
      <c r="AC200" t="s">
        <v>340</v>
      </c>
      <c r="AD200" t="s">
        <v>2695</v>
      </c>
      <c r="AE200" s="1">
        <v>45811.309363425928</v>
      </c>
      <c r="CI200" t="s">
        <v>337</v>
      </c>
      <c r="CJ200" t="s">
        <v>2431</v>
      </c>
      <c r="CK200">
        <v>45811</v>
      </c>
      <c r="CL200" t="s">
        <v>2430</v>
      </c>
      <c r="CM200" t="s">
        <v>2432</v>
      </c>
      <c r="CN200">
        <v>45811</v>
      </c>
      <c r="CP200" t="s">
        <v>338</v>
      </c>
      <c r="CQ200" t="s">
        <v>2433</v>
      </c>
    </row>
    <row r="201" spans="1:95" x14ac:dyDescent="0.2">
      <c r="A201" t="s">
        <v>333</v>
      </c>
      <c r="B201">
        <v>20</v>
      </c>
      <c r="C201" s="1" t="s">
        <v>2696</v>
      </c>
      <c r="D201" t="s">
        <v>2697</v>
      </c>
      <c r="E201" t="s">
        <v>335</v>
      </c>
      <c r="F201" t="s">
        <v>342</v>
      </c>
      <c r="G201" t="s">
        <v>340</v>
      </c>
      <c r="H201" t="s">
        <v>2698</v>
      </c>
      <c r="I201" t="s">
        <v>340</v>
      </c>
      <c r="J201" t="s">
        <v>344</v>
      </c>
      <c r="K201" t="s">
        <v>340</v>
      </c>
      <c r="L201">
        <v>45811</v>
      </c>
      <c r="M201" t="s">
        <v>455</v>
      </c>
      <c r="N201">
        <v>1</v>
      </c>
      <c r="O201">
        <v>1</v>
      </c>
      <c r="P201" t="s">
        <v>2444</v>
      </c>
      <c r="T201" t="s">
        <v>458</v>
      </c>
      <c r="U201" t="s">
        <v>2686</v>
      </c>
      <c r="V201" t="s">
        <v>237</v>
      </c>
      <c r="W201">
        <v>0.01</v>
      </c>
      <c r="X201">
        <v>0.01</v>
      </c>
      <c r="Y201" t="s">
        <v>2648</v>
      </c>
      <c r="Z201" t="s">
        <v>346</v>
      </c>
      <c r="AA201" t="s">
        <v>340</v>
      </c>
      <c r="AB201" t="s">
        <v>347</v>
      </c>
      <c r="AC201" t="s">
        <v>340</v>
      </c>
      <c r="AD201" t="s">
        <v>2699</v>
      </c>
      <c r="AE201" s="1">
        <v>45811.309363425928</v>
      </c>
      <c r="CI201" t="s">
        <v>337</v>
      </c>
      <c r="CJ201" t="s">
        <v>2431</v>
      </c>
      <c r="CK201">
        <v>45811</v>
      </c>
      <c r="CL201" t="s">
        <v>2430</v>
      </c>
      <c r="CM201" t="s">
        <v>2432</v>
      </c>
      <c r="CN201">
        <v>45811</v>
      </c>
      <c r="CP201" t="s">
        <v>338</v>
      </c>
      <c r="CQ201" t="s">
        <v>2433</v>
      </c>
    </row>
    <row r="202" spans="1:95" x14ac:dyDescent="0.2">
      <c r="A202" t="s">
        <v>333</v>
      </c>
      <c r="B202">
        <v>21</v>
      </c>
      <c r="C202" s="1" t="s">
        <v>2700</v>
      </c>
      <c r="D202" t="s">
        <v>2701</v>
      </c>
      <c r="E202" t="s">
        <v>335</v>
      </c>
      <c r="F202" t="s">
        <v>342</v>
      </c>
      <c r="G202" t="s">
        <v>340</v>
      </c>
      <c r="H202" t="s">
        <v>2702</v>
      </c>
      <c r="I202" t="s">
        <v>340</v>
      </c>
      <c r="J202" t="s">
        <v>344</v>
      </c>
      <c r="K202" t="s">
        <v>340</v>
      </c>
      <c r="L202">
        <v>45811</v>
      </c>
      <c r="M202" t="s">
        <v>455</v>
      </c>
      <c r="N202">
        <v>1</v>
      </c>
      <c r="O202">
        <v>1</v>
      </c>
      <c r="P202" t="s">
        <v>2444</v>
      </c>
      <c r="T202" t="s">
        <v>458</v>
      </c>
      <c r="U202" t="s">
        <v>2686</v>
      </c>
      <c r="V202" t="s">
        <v>237</v>
      </c>
      <c r="W202">
        <v>0.01</v>
      </c>
      <c r="X202">
        <v>0.01</v>
      </c>
      <c r="Y202" t="s">
        <v>2648</v>
      </c>
      <c r="Z202" t="s">
        <v>346</v>
      </c>
      <c r="AA202" t="s">
        <v>340</v>
      </c>
      <c r="AB202" t="s">
        <v>347</v>
      </c>
      <c r="AC202" t="s">
        <v>340</v>
      </c>
      <c r="AD202" t="s">
        <v>2703</v>
      </c>
      <c r="AE202" s="1">
        <v>45811.309363425928</v>
      </c>
      <c r="CI202" t="s">
        <v>337</v>
      </c>
      <c r="CJ202" t="s">
        <v>2431</v>
      </c>
      <c r="CK202">
        <v>45811</v>
      </c>
      <c r="CL202" t="s">
        <v>2430</v>
      </c>
      <c r="CM202" t="s">
        <v>2432</v>
      </c>
      <c r="CN202">
        <v>45811</v>
      </c>
      <c r="CP202" t="s">
        <v>338</v>
      </c>
      <c r="CQ202" t="s">
        <v>2433</v>
      </c>
    </row>
    <row r="203" spans="1:95" x14ac:dyDescent="0.2">
      <c r="A203" t="s">
        <v>333</v>
      </c>
      <c r="B203">
        <v>22</v>
      </c>
      <c r="C203" s="1" t="s">
        <v>2704</v>
      </c>
      <c r="D203" t="s">
        <v>2705</v>
      </c>
      <c r="E203" t="s">
        <v>335</v>
      </c>
      <c r="F203" t="s">
        <v>342</v>
      </c>
      <c r="G203" t="s">
        <v>340</v>
      </c>
      <c r="H203" t="s">
        <v>2706</v>
      </c>
      <c r="I203" t="s">
        <v>340</v>
      </c>
      <c r="J203" t="s">
        <v>344</v>
      </c>
      <c r="K203" t="s">
        <v>340</v>
      </c>
      <c r="L203">
        <v>45811</v>
      </c>
      <c r="M203" t="s">
        <v>455</v>
      </c>
      <c r="N203">
        <v>1</v>
      </c>
      <c r="O203">
        <v>1</v>
      </c>
      <c r="P203" t="s">
        <v>2444</v>
      </c>
      <c r="T203" t="s">
        <v>458</v>
      </c>
      <c r="U203" t="s">
        <v>2686</v>
      </c>
      <c r="V203" t="s">
        <v>237</v>
      </c>
      <c r="W203">
        <v>0.01</v>
      </c>
      <c r="X203">
        <v>0.01</v>
      </c>
      <c r="Y203" t="s">
        <v>2648</v>
      </c>
      <c r="Z203" t="s">
        <v>346</v>
      </c>
      <c r="AA203" t="s">
        <v>340</v>
      </c>
      <c r="AB203" t="s">
        <v>347</v>
      </c>
      <c r="AC203" t="s">
        <v>340</v>
      </c>
      <c r="AD203" t="s">
        <v>2707</v>
      </c>
      <c r="AE203" s="1">
        <v>45811.309363425928</v>
      </c>
      <c r="CI203" t="s">
        <v>337</v>
      </c>
      <c r="CJ203" t="s">
        <v>2431</v>
      </c>
      <c r="CK203">
        <v>45811</v>
      </c>
      <c r="CL203" t="s">
        <v>2430</v>
      </c>
      <c r="CM203" t="s">
        <v>2432</v>
      </c>
      <c r="CN203">
        <v>45811</v>
      </c>
      <c r="CP203" t="s">
        <v>338</v>
      </c>
      <c r="CQ203" t="s">
        <v>2433</v>
      </c>
    </row>
    <row r="204" spans="1:95" x14ac:dyDescent="0.2">
      <c r="A204" t="s">
        <v>333</v>
      </c>
      <c r="B204">
        <v>23</v>
      </c>
      <c r="C204" s="1" t="s">
        <v>2708</v>
      </c>
      <c r="D204" t="s">
        <v>2709</v>
      </c>
      <c r="E204" t="s">
        <v>335</v>
      </c>
      <c r="F204" t="s">
        <v>342</v>
      </c>
      <c r="G204" t="s">
        <v>340</v>
      </c>
      <c r="H204" t="s">
        <v>2710</v>
      </c>
      <c r="I204" t="s">
        <v>340</v>
      </c>
      <c r="J204" t="s">
        <v>344</v>
      </c>
      <c r="K204" t="s">
        <v>340</v>
      </c>
      <c r="L204">
        <v>45811</v>
      </c>
      <c r="M204" t="s">
        <v>455</v>
      </c>
      <c r="N204">
        <v>1</v>
      </c>
      <c r="O204">
        <v>1</v>
      </c>
      <c r="P204" t="s">
        <v>2444</v>
      </c>
      <c r="T204" t="s">
        <v>458</v>
      </c>
      <c r="U204" t="s">
        <v>2686</v>
      </c>
      <c r="V204" t="s">
        <v>237</v>
      </c>
      <c r="W204">
        <v>0.01</v>
      </c>
      <c r="X204">
        <v>0.01</v>
      </c>
      <c r="Y204" t="s">
        <v>2648</v>
      </c>
      <c r="Z204" t="s">
        <v>346</v>
      </c>
      <c r="AA204" t="s">
        <v>340</v>
      </c>
      <c r="AB204" t="s">
        <v>347</v>
      </c>
      <c r="AC204" t="s">
        <v>340</v>
      </c>
      <c r="AD204" t="s">
        <v>2711</v>
      </c>
      <c r="AE204" s="1">
        <v>45811.309363425928</v>
      </c>
      <c r="CI204" t="s">
        <v>337</v>
      </c>
      <c r="CJ204" t="s">
        <v>2431</v>
      </c>
      <c r="CK204">
        <v>45811</v>
      </c>
      <c r="CL204" t="s">
        <v>2430</v>
      </c>
      <c r="CM204" t="s">
        <v>2432</v>
      </c>
      <c r="CN204">
        <v>45811</v>
      </c>
      <c r="CP204" t="s">
        <v>338</v>
      </c>
      <c r="CQ204" t="s">
        <v>2433</v>
      </c>
    </row>
    <row r="205" spans="1:95" x14ac:dyDescent="0.2">
      <c r="A205" t="s">
        <v>333</v>
      </c>
      <c r="B205">
        <v>24</v>
      </c>
      <c r="C205" s="1" t="s">
        <v>2712</v>
      </c>
      <c r="D205" t="s">
        <v>2713</v>
      </c>
      <c r="E205" t="s">
        <v>335</v>
      </c>
      <c r="F205" t="s">
        <v>342</v>
      </c>
      <c r="G205" t="s">
        <v>340</v>
      </c>
      <c r="H205" t="s">
        <v>2714</v>
      </c>
      <c r="I205" t="s">
        <v>340</v>
      </c>
      <c r="J205" t="s">
        <v>344</v>
      </c>
      <c r="K205" t="s">
        <v>340</v>
      </c>
      <c r="L205">
        <v>45811</v>
      </c>
      <c r="M205" t="s">
        <v>455</v>
      </c>
      <c r="N205">
        <v>1</v>
      </c>
      <c r="O205">
        <v>1</v>
      </c>
      <c r="P205" t="s">
        <v>2444</v>
      </c>
      <c r="T205" t="s">
        <v>458</v>
      </c>
      <c r="U205" t="s">
        <v>2686</v>
      </c>
      <c r="V205" t="s">
        <v>237</v>
      </c>
      <c r="W205">
        <v>0.01</v>
      </c>
      <c r="X205">
        <v>0.01</v>
      </c>
      <c r="Y205" t="s">
        <v>2648</v>
      </c>
      <c r="Z205" t="s">
        <v>346</v>
      </c>
      <c r="AA205" t="s">
        <v>340</v>
      </c>
      <c r="AB205" t="s">
        <v>347</v>
      </c>
      <c r="AC205" t="s">
        <v>340</v>
      </c>
      <c r="AD205" t="s">
        <v>2715</v>
      </c>
      <c r="AE205" s="1">
        <v>45811.309363425928</v>
      </c>
      <c r="CI205" t="s">
        <v>337</v>
      </c>
      <c r="CJ205" t="s">
        <v>2431</v>
      </c>
      <c r="CK205">
        <v>45811</v>
      </c>
      <c r="CL205" t="s">
        <v>2430</v>
      </c>
      <c r="CM205" t="s">
        <v>2432</v>
      </c>
      <c r="CN205">
        <v>45811</v>
      </c>
      <c r="CP205" t="s">
        <v>338</v>
      </c>
      <c r="CQ205" t="s">
        <v>2433</v>
      </c>
    </row>
    <row r="206" spans="1:95" x14ac:dyDescent="0.2">
      <c r="A206" t="s">
        <v>333</v>
      </c>
      <c r="B206">
        <v>25</v>
      </c>
      <c r="C206" s="1" t="s">
        <v>2716</v>
      </c>
      <c r="D206" t="s">
        <v>2717</v>
      </c>
      <c r="E206" t="s">
        <v>335</v>
      </c>
      <c r="F206" t="s">
        <v>342</v>
      </c>
      <c r="G206" t="s">
        <v>340</v>
      </c>
      <c r="H206" t="s">
        <v>2718</v>
      </c>
      <c r="I206" t="s">
        <v>340</v>
      </c>
      <c r="J206" t="s">
        <v>344</v>
      </c>
      <c r="K206" t="s">
        <v>340</v>
      </c>
      <c r="L206">
        <v>45811</v>
      </c>
      <c r="M206" t="s">
        <v>455</v>
      </c>
      <c r="N206">
        <v>1</v>
      </c>
      <c r="O206">
        <v>1</v>
      </c>
      <c r="P206" t="s">
        <v>2444</v>
      </c>
      <c r="T206" t="s">
        <v>458</v>
      </c>
      <c r="U206" t="s">
        <v>2686</v>
      </c>
      <c r="V206" t="s">
        <v>237</v>
      </c>
      <c r="W206">
        <v>0.01</v>
      </c>
      <c r="X206">
        <v>0.01</v>
      </c>
      <c r="Y206" t="s">
        <v>2648</v>
      </c>
      <c r="Z206" t="s">
        <v>346</v>
      </c>
      <c r="AA206" t="s">
        <v>340</v>
      </c>
      <c r="AB206" t="s">
        <v>347</v>
      </c>
      <c r="AC206" t="s">
        <v>340</v>
      </c>
      <c r="AD206" t="s">
        <v>2719</v>
      </c>
      <c r="AE206" s="1">
        <v>45811.309363425928</v>
      </c>
      <c r="CI206" t="s">
        <v>337</v>
      </c>
      <c r="CJ206" t="s">
        <v>2431</v>
      </c>
      <c r="CK206">
        <v>45811</v>
      </c>
      <c r="CL206" t="s">
        <v>2430</v>
      </c>
      <c r="CM206" t="s">
        <v>2432</v>
      </c>
      <c r="CN206">
        <v>45811</v>
      </c>
      <c r="CP206" t="s">
        <v>338</v>
      </c>
      <c r="CQ206" t="s">
        <v>2433</v>
      </c>
    </row>
    <row r="207" spans="1:95" x14ac:dyDescent="0.2">
      <c r="A207" t="s">
        <v>333</v>
      </c>
      <c r="B207">
        <v>26</v>
      </c>
      <c r="C207" s="1" t="s">
        <v>2720</v>
      </c>
      <c r="D207" t="s">
        <v>2721</v>
      </c>
      <c r="E207" t="s">
        <v>335</v>
      </c>
      <c r="F207" t="s">
        <v>342</v>
      </c>
      <c r="G207" t="s">
        <v>340</v>
      </c>
      <c r="H207" t="s">
        <v>2722</v>
      </c>
      <c r="I207" t="s">
        <v>340</v>
      </c>
      <c r="J207" t="s">
        <v>344</v>
      </c>
      <c r="K207" t="s">
        <v>340</v>
      </c>
      <c r="L207">
        <v>45811</v>
      </c>
      <c r="M207" t="s">
        <v>455</v>
      </c>
      <c r="N207">
        <v>1</v>
      </c>
      <c r="O207">
        <v>1</v>
      </c>
      <c r="P207" t="s">
        <v>2444</v>
      </c>
      <c r="T207" t="s">
        <v>458</v>
      </c>
      <c r="U207" t="s">
        <v>2686</v>
      </c>
      <c r="V207" t="s">
        <v>237</v>
      </c>
      <c r="W207">
        <v>0.01</v>
      </c>
      <c r="X207">
        <v>0.01</v>
      </c>
      <c r="Y207" t="s">
        <v>2648</v>
      </c>
      <c r="Z207" t="s">
        <v>346</v>
      </c>
      <c r="AA207" t="s">
        <v>340</v>
      </c>
      <c r="AB207" t="s">
        <v>347</v>
      </c>
      <c r="AC207" t="s">
        <v>340</v>
      </c>
      <c r="AD207" t="s">
        <v>2723</v>
      </c>
      <c r="AE207" s="1">
        <v>45811.309363425928</v>
      </c>
      <c r="CI207" t="s">
        <v>337</v>
      </c>
      <c r="CJ207" t="s">
        <v>2431</v>
      </c>
      <c r="CK207">
        <v>45811</v>
      </c>
      <c r="CL207" t="s">
        <v>2430</v>
      </c>
      <c r="CM207" t="s">
        <v>2432</v>
      </c>
      <c r="CN207">
        <v>45811</v>
      </c>
      <c r="CP207" t="s">
        <v>338</v>
      </c>
      <c r="CQ207" t="s">
        <v>2433</v>
      </c>
    </row>
    <row r="208" spans="1:95" x14ac:dyDescent="0.2">
      <c r="A208" t="s">
        <v>333</v>
      </c>
      <c r="B208">
        <v>27</v>
      </c>
      <c r="C208" s="1" t="s">
        <v>2724</v>
      </c>
      <c r="D208" t="s">
        <v>2725</v>
      </c>
      <c r="E208" t="s">
        <v>335</v>
      </c>
      <c r="F208" t="s">
        <v>2726</v>
      </c>
      <c r="G208" t="s">
        <v>340</v>
      </c>
      <c r="J208" t="s">
        <v>2727</v>
      </c>
      <c r="K208" t="s">
        <v>340</v>
      </c>
      <c r="L208">
        <v>45811</v>
      </c>
      <c r="M208" t="s">
        <v>455</v>
      </c>
      <c r="N208">
        <v>1</v>
      </c>
      <c r="O208">
        <v>1</v>
      </c>
      <c r="P208" t="s">
        <v>2444</v>
      </c>
      <c r="T208" t="s">
        <v>458</v>
      </c>
      <c r="U208" t="s">
        <v>2728</v>
      </c>
      <c r="W208">
        <v>11</v>
      </c>
      <c r="X208">
        <v>11</v>
      </c>
      <c r="Y208" t="s">
        <v>345</v>
      </c>
      <c r="Z208" t="s">
        <v>346</v>
      </c>
      <c r="AA208" t="s">
        <v>340</v>
      </c>
      <c r="AB208" t="s">
        <v>347</v>
      </c>
      <c r="AC208" t="s">
        <v>340</v>
      </c>
      <c r="AD208" t="s">
        <v>2729</v>
      </c>
      <c r="AE208" s="1">
        <v>45811.548900462964</v>
      </c>
      <c r="CI208" t="s">
        <v>337</v>
      </c>
      <c r="CJ208" t="s">
        <v>2431</v>
      </c>
      <c r="CK208">
        <v>45811</v>
      </c>
      <c r="CL208" t="s">
        <v>2430</v>
      </c>
      <c r="CM208" t="s">
        <v>2432</v>
      </c>
      <c r="CN208">
        <v>45811</v>
      </c>
      <c r="CP208" t="s">
        <v>338</v>
      </c>
      <c r="CQ208" t="s">
        <v>2433</v>
      </c>
    </row>
    <row r="209" spans="1:95" x14ac:dyDescent="0.2">
      <c r="A209" t="s">
        <v>333</v>
      </c>
      <c r="B209">
        <v>28</v>
      </c>
      <c r="C209" s="1" t="s">
        <v>2730</v>
      </c>
      <c r="D209" t="s">
        <v>2731</v>
      </c>
      <c r="E209" t="s">
        <v>335</v>
      </c>
      <c r="F209" t="s">
        <v>342</v>
      </c>
      <c r="G209" t="s">
        <v>340</v>
      </c>
      <c r="H209" t="s">
        <v>348</v>
      </c>
      <c r="I209" t="s">
        <v>340</v>
      </c>
      <c r="J209" t="s">
        <v>344</v>
      </c>
      <c r="K209" t="s">
        <v>340</v>
      </c>
      <c r="L209">
        <v>45811</v>
      </c>
      <c r="M209" t="s">
        <v>455</v>
      </c>
      <c r="N209">
        <v>1</v>
      </c>
      <c r="O209">
        <v>1</v>
      </c>
      <c r="P209" t="s">
        <v>2444</v>
      </c>
      <c r="T209" t="s">
        <v>458</v>
      </c>
      <c r="U209" t="s">
        <v>2732</v>
      </c>
      <c r="W209">
        <v>1.2</v>
      </c>
      <c r="X209">
        <v>1.2</v>
      </c>
      <c r="Y209" t="s">
        <v>345</v>
      </c>
      <c r="Z209" t="s">
        <v>346</v>
      </c>
      <c r="AA209" t="s">
        <v>340</v>
      </c>
      <c r="AB209" t="s">
        <v>347</v>
      </c>
      <c r="AC209" t="s">
        <v>340</v>
      </c>
      <c r="AD209" t="s">
        <v>2733</v>
      </c>
      <c r="AE209" s="1">
        <v>45811.649965277778</v>
      </c>
      <c r="CI209" t="s">
        <v>337</v>
      </c>
      <c r="CJ209" t="s">
        <v>2431</v>
      </c>
      <c r="CK209">
        <v>45811</v>
      </c>
      <c r="CL209" t="s">
        <v>2430</v>
      </c>
      <c r="CM209" t="s">
        <v>2432</v>
      </c>
      <c r="CN209">
        <v>45811</v>
      </c>
      <c r="CP209" t="s">
        <v>338</v>
      </c>
      <c r="CQ209" t="s">
        <v>2433</v>
      </c>
    </row>
    <row r="210" spans="1:95" x14ac:dyDescent="0.2">
      <c r="A210" t="s">
        <v>333</v>
      </c>
      <c r="B210">
        <v>29</v>
      </c>
      <c r="C210" s="1" t="s">
        <v>2734</v>
      </c>
      <c r="D210" t="s">
        <v>2735</v>
      </c>
      <c r="E210" t="s">
        <v>335</v>
      </c>
      <c r="F210" t="s">
        <v>342</v>
      </c>
      <c r="G210" t="s">
        <v>340</v>
      </c>
      <c r="H210" t="s">
        <v>2736</v>
      </c>
      <c r="I210" t="s">
        <v>340</v>
      </c>
      <c r="J210" t="s">
        <v>344</v>
      </c>
      <c r="K210" t="s">
        <v>340</v>
      </c>
      <c r="L210">
        <v>45811</v>
      </c>
      <c r="M210" t="s">
        <v>455</v>
      </c>
      <c r="N210">
        <v>1</v>
      </c>
      <c r="O210">
        <v>1</v>
      </c>
      <c r="P210" t="s">
        <v>2444</v>
      </c>
      <c r="T210" t="s">
        <v>458</v>
      </c>
      <c r="U210" t="s">
        <v>2737</v>
      </c>
      <c r="W210">
        <v>4.9000000000000004</v>
      </c>
      <c r="X210">
        <v>4.9000000000000004</v>
      </c>
      <c r="Y210" t="s">
        <v>349</v>
      </c>
      <c r="Z210" t="s">
        <v>346</v>
      </c>
      <c r="AA210" t="s">
        <v>340</v>
      </c>
      <c r="AB210" t="s">
        <v>347</v>
      </c>
      <c r="AC210" t="s">
        <v>340</v>
      </c>
      <c r="AD210" t="s">
        <v>2738</v>
      </c>
      <c r="AE210" s="1">
        <v>45811.30976851852</v>
      </c>
      <c r="CI210" t="s">
        <v>337</v>
      </c>
      <c r="CJ210" t="s">
        <v>2431</v>
      </c>
      <c r="CK210">
        <v>45811</v>
      </c>
      <c r="CL210" t="s">
        <v>2430</v>
      </c>
      <c r="CM210" t="s">
        <v>2432</v>
      </c>
      <c r="CN210">
        <v>45811</v>
      </c>
      <c r="CP210" t="s">
        <v>338</v>
      </c>
      <c r="CQ210" t="s">
        <v>2433</v>
      </c>
    </row>
    <row r="211" spans="1:95" x14ac:dyDescent="0.2">
      <c r="A211" t="s">
        <v>333</v>
      </c>
      <c r="B211">
        <v>30</v>
      </c>
      <c r="C211" s="1" t="s">
        <v>2739</v>
      </c>
      <c r="D211" t="s">
        <v>2740</v>
      </c>
      <c r="E211" t="s">
        <v>335</v>
      </c>
      <c r="F211" t="s">
        <v>342</v>
      </c>
      <c r="G211" t="s">
        <v>340</v>
      </c>
      <c r="H211" t="s">
        <v>2741</v>
      </c>
      <c r="I211" t="s">
        <v>340</v>
      </c>
      <c r="J211" t="s">
        <v>344</v>
      </c>
      <c r="K211" t="s">
        <v>340</v>
      </c>
      <c r="L211">
        <v>45811</v>
      </c>
      <c r="M211" t="s">
        <v>455</v>
      </c>
      <c r="N211">
        <v>1</v>
      </c>
      <c r="O211">
        <v>1</v>
      </c>
      <c r="P211" t="s">
        <v>2444</v>
      </c>
      <c r="T211" t="s">
        <v>458</v>
      </c>
      <c r="U211" t="s">
        <v>2742</v>
      </c>
      <c r="W211">
        <v>7.0000000000000007E-2</v>
      </c>
      <c r="X211">
        <v>7.0000000000000007E-2</v>
      </c>
      <c r="Y211" t="s">
        <v>2648</v>
      </c>
      <c r="Z211" t="s">
        <v>346</v>
      </c>
      <c r="AA211" t="s">
        <v>340</v>
      </c>
      <c r="AB211" t="s">
        <v>347</v>
      </c>
      <c r="AC211" t="s">
        <v>340</v>
      </c>
      <c r="AD211" t="s">
        <v>2743</v>
      </c>
      <c r="AE211" s="1">
        <v>45811.30976851852</v>
      </c>
      <c r="CI211" t="s">
        <v>337</v>
      </c>
      <c r="CJ211" t="s">
        <v>2431</v>
      </c>
      <c r="CK211">
        <v>45811</v>
      </c>
      <c r="CL211" t="s">
        <v>2430</v>
      </c>
      <c r="CM211" t="s">
        <v>2432</v>
      </c>
      <c r="CN211">
        <v>45811</v>
      </c>
      <c r="CP211" t="s">
        <v>338</v>
      </c>
      <c r="CQ211" t="s">
        <v>2433</v>
      </c>
    </row>
    <row r="212" spans="1:95" x14ac:dyDescent="0.2">
      <c r="A212" t="s">
        <v>333</v>
      </c>
      <c r="B212">
        <v>31</v>
      </c>
      <c r="C212" s="1" t="s">
        <v>2744</v>
      </c>
      <c r="D212" t="s">
        <v>2745</v>
      </c>
      <c r="E212" t="s">
        <v>335</v>
      </c>
      <c r="F212" t="s">
        <v>342</v>
      </c>
      <c r="G212" t="s">
        <v>340</v>
      </c>
      <c r="H212" t="s">
        <v>2746</v>
      </c>
      <c r="I212" t="s">
        <v>340</v>
      </c>
      <c r="J212" t="s">
        <v>344</v>
      </c>
      <c r="K212" t="s">
        <v>340</v>
      </c>
      <c r="L212">
        <v>45811</v>
      </c>
      <c r="M212" t="s">
        <v>455</v>
      </c>
      <c r="N212">
        <v>1</v>
      </c>
      <c r="O212">
        <v>1</v>
      </c>
      <c r="P212" t="s">
        <v>2444</v>
      </c>
      <c r="T212" t="s">
        <v>458</v>
      </c>
      <c r="U212" t="s">
        <v>2647</v>
      </c>
      <c r="V212" t="s">
        <v>237</v>
      </c>
      <c r="W212">
        <v>20</v>
      </c>
      <c r="X212">
        <v>20</v>
      </c>
      <c r="Y212" t="s">
        <v>2648</v>
      </c>
      <c r="Z212" t="s">
        <v>346</v>
      </c>
      <c r="AA212" t="s">
        <v>340</v>
      </c>
      <c r="AB212" t="s">
        <v>347</v>
      </c>
      <c r="AC212" t="s">
        <v>340</v>
      </c>
      <c r="AD212" t="s">
        <v>2747</v>
      </c>
      <c r="AE212" s="1">
        <v>45811.649583333332</v>
      </c>
      <c r="CI212" t="s">
        <v>337</v>
      </c>
      <c r="CJ212" t="s">
        <v>2431</v>
      </c>
      <c r="CK212">
        <v>45811</v>
      </c>
      <c r="CL212" t="s">
        <v>2430</v>
      </c>
      <c r="CM212" t="s">
        <v>2432</v>
      </c>
      <c r="CN212">
        <v>45811</v>
      </c>
      <c r="CP212" t="s">
        <v>338</v>
      </c>
      <c r="CQ212" t="s">
        <v>2433</v>
      </c>
    </row>
    <row r="213" spans="1:95" x14ac:dyDescent="0.2">
      <c r="A213" t="s">
        <v>333</v>
      </c>
      <c r="B213">
        <v>32</v>
      </c>
      <c r="C213" s="1" t="s">
        <v>2748</v>
      </c>
      <c r="D213" t="s">
        <v>2749</v>
      </c>
      <c r="E213" t="s">
        <v>335</v>
      </c>
      <c r="F213" t="s">
        <v>342</v>
      </c>
      <c r="G213" t="s">
        <v>340</v>
      </c>
      <c r="H213" t="s">
        <v>2750</v>
      </c>
      <c r="I213" t="s">
        <v>340</v>
      </c>
      <c r="J213" t="s">
        <v>344</v>
      </c>
      <c r="K213" t="s">
        <v>340</v>
      </c>
      <c r="L213">
        <v>45811</v>
      </c>
      <c r="M213" t="s">
        <v>455</v>
      </c>
      <c r="N213">
        <v>1</v>
      </c>
      <c r="O213">
        <v>1</v>
      </c>
      <c r="P213" t="s">
        <v>2444</v>
      </c>
      <c r="T213" t="s">
        <v>458</v>
      </c>
      <c r="U213" t="s">
        <v>2751</v>
      </c>
      <c r="W213">
        <v>21</v>
      </c>
      <c r="X213">
        <v>21</v>
      </c>
      <c r="Y213" t="s">
        <v>2648</v>
      </c>
      <c r="Z213" t="s">
        <v>346</v>
      </c>
      <c r="AA213" t="s">
        <v>340</v>
      </c>
      <c r="AB213" t="s">
        <v>347</v>
      </c>
      <c r="AC213" t="s">
        <v>340</v>
      </c>
      <c r="AD213" t="s">
        <v>2752</v>
      </c>
      <c r="AE213" s="1">
        <v>45811.649583333332</v>
      </c>
      <c r="CI213" t="s">
        <v>337</v>
      </c>
      <c r="CJ213" t="s">
        <v>2431</v>
      </c>
      <c r="CK213">
        <v>45811</v>
      </c>
      <c r="CL213" t="s">
        <v>2430</v>
      </c>
      <c r="CM213" t="s">
        <v>2432</v>
      </c>
      <c r="CN213">
        <v>45811</v>
      </c>
      <c r="CP213" t="s">
        <v>338</v>
      </c>
      <c r="CQ213" t="s">
        <v>2433</v>
      </c>
    </row>
    <row r="214" spans="1:95" x14ac:dyDescent="0.2">
      <c r="A214" t="s">
        <v>333</v>
      </c>
      <c r="B214">
        <v>33</v>
      </c>
      <c r="C214" s="1" t="s">
        <v>2753</v>
      </c>
      <c r="D214" t="s">
        <v>2754</v>
      </c>
      <c r="E214" t="s">
        <v>335</v>
      </c>
      <c r="F214" t="s">
        <v>342</v>
      </c>
      <c r="G214" t="s">
        <v>340</v>
      </c>
      <c r="H214" t="s">
        <v>2755</v>
      </c>
      <c r="I214" t="s">
        <v>340</v>
      </c>
      <c r="J214" t="s">
        <v>344</v>
      </c>
      <c r="K214" t="s">
        <v>340</v>
      </c>
      <c r="L214">
        <v>45811</v>
      </c>
      <c r="M214" t="s">
        <v>455</v>
      </c>
      <c r="N214">
        <v>1</v>
      </c>
      <c r="O214">
        <v>1</v>
      </c>
      <c r="P214" t="s">
        <v>2444</v>
      </c>
      <c r="T214" t="s">
        <v>458</v>
      </c>
      <c r="U214" t="s">
        <v>2756</v>
      </c>
      <c r="W214">
        <v>4.4000000000000004</v>
      </c>
      <c r="X214">
        <v>4.4000000000000004</v>
      </c>
      <c r="Y214" t="s">
        <v>2648</v>
      </c>
      <c r="Z214" t="s">
        <v>346</v>
      </c>
      <c r="AA214" t="s">
        <v>340</v>
      </c>
      <c r="AB214" t="s">
        <v>347</v>
      </c>
      <c r="AC214" t="s">
        <v>340</v>
      </c>
      <c r="AD214" t="s">
        <v>2757</v>
      </c>
      <c r="AE214" s="1">
        <v>45811.649583333332</v>
      </c>
      <c r="CI214" t="s">
        <v>337</v>
      </c>
      <c r="CJ214" t="s">
        <v>2431</v>
      </c>
      <c r="CK214">
        <v>45811</v>
      </c>
      <c r="CL214" t="s">
        <v>2430</v>
      </c>
      <c r="CM214" t="s">
        <v>2432</v>
      </c>
      <c r="CN214">
        <v>45811</v>
      </c>
      <c r="CP214" t="s">
        <v>338</v>
      </c>
      <c r="CQ214" t="s">
        <v>2433</v>
      </c>
    </row>
    <row r="215" spans="1:95" x14ac:dyDescent="0.2">
      <c r="A215" t="s">
        <v>333</v>
      </c>
      <c r="B215">
        <v>34</v>
      </c>
      <c r="C215" s="1" t="s">
        <v>2758</v>
      </c>
      <c r="D215" t="s">
        <v>2759</v>
      </c>
      <c r="E215" t="s">
        <v>335</v>
      </c>
      <c r="F215" t="s">
        <v>342</v>
      </c>
      <c r="G215" t="s">
        <v>340</v>
      </c>
      <c r="H215" t="s">
        <v>2760</v>
      </c>
      <c r="I215" t="s">
        <v>340</v>
      </c>
      <c r="J215" t="s">
        <v>344</v>
      </c>
      <c r="K215" t="s">
        <v>340</v>
      </c>
      <c r="L215">
        <v>45811</v>
      </c>
      <c r="M215" t="s">
        <v>455</v>
      </c>
      <c r="N215">
        <v>1</v>
      </c>
      <c r="O215">
        <v>1</v>
      </c>
      <c r="P215" t="s">
        <v>2444</v>
      </c>
      <c r="T215" t="s">
        <v>458</v>
      </c>
      <c r="U215" t="s">
        <v>2761</v>
      </c>
      <c r="V215" t="s">
        <v>237</v>
      </c>
      <c r="W215">
        <v>0.2</v>
      </c>
      <c r="X215">
        <v>0.2</v>
      </c>
      <c r="Y215" t="s">
        <v>2648</v>
      </c>
      <c r="Z215" t="s">
        <v>346</v>
      </c>
      <c r="AA215" t="s">
        <v>340</v>
      </c>
      <c r="AB215" t="s">
        <v>347</v>
      </c>
      <c r="AC215" t="s">
        <v>340</v>
      </c>
      <c r="AD215" t="s">
        <v>2762</v>
      </c>
      <c r="AE215" s="1">
        <v>45811.649583333332</v>
      </c>
      <c r="CI215" t="s">
        <v>337</v>
      </c>
      <c r="CJ215" t="s">
        <v>2431</v>
      </c>
      <c r="CK215">
        <v>45811</v>
      </c>
      <c r="CL215" t="s">
        <v>2430</v>
      </c>
      <c r="CM215" t="s">
        <v>2432</v>
      </c>
      <c r="CN215">
        <v>45811</v>
      </c>
      <c r="CP215" t="s">
        <v>338</v>
      </c>
      <c r="CQ215" t="s">
        <v>2433</v>
      </c>
    </row>
    <row r="216" spans="1:95" x14ac:dyDescent="0.2">
      <c r="A216" t="s">
        <v>333</v>
      </c>
      <c r="B216">
        <v>35</v>
      </c>
      <c r="C216" s="1" t="s">
        <v>2763</v>
      </c>
      <c r="D216" t="s">
        <v>2764</v>
      </c>
      <c r="E216" t="s">
        <v>335</v>
      </c>
      <c r="F216" t="s">
        <v>342</v>
      </c>
      <c r="G216" t="s">
        <v>340</v>
      </c>
      <c r="H216" t="s">
        <v>2765</v>
      </c>
      <c r="I216" t="s">
        <v>340</v>
      </c>
      <c r="J216" t="s">
        <v>344</v>
      </c>
      <c r="K216" t="s">
        <v>340</v>
      </c>
      <c r="L216">
        <v>45811</v>
      </c>
      <c r="M216" t="s">
        <v>455</v>
      </c>
      <c r="N216">
        <v>1</v>
      </c>
      <c r="O216">
        <v>1</v>
      </c>
      <c r="P216" t="s">
        <v>2444</v>
      </c>
      <c r="T216" t="s">
        <v>458</v>
      </c>
      <c r="U216" t="s">
        <v>2766</v>
      </c>
      <c r="W216">
        <v>4.0999999999999996</v>
      </c>
      <c r="X216">
        <v>4.0999999999999996</v>
      </c>
      <c r="Y216" t="s">
        <v>2648</v>
      </c>
      <c r="Z216" t="s">
        <v>346</v>
      </c>
      <c r="AA216" t="s">
        <v>340</v>
      </c>
      <c r="AB216" t="s">
        <v>347</v>
      </c>
      <c r="AC216" t="s">
        <v>340</v>
      </c>
      <c r="AD216" t="s">
        <v>2767</v>
      </c>
      <c r="AE216" s="1">
        <v>45811.649583333332</v>
      </c>
      <c r="CI216" t="s">
        <v>337</v>
      </c>
      <c r="CJ216" t="s">
        <v>2431</v>
      </c>
      <c r="CK216">
        <v>45811</v>
      </c>
      <c r="CL216" t="s">
        <v>2430</v>
      </c>
      <c r="CM216" t="s">
        <v>2432</v>
      </c>
      <c r="CN216">
        <v>45811</v>
      </c>
      <c r="CP216" t="s">
        <v>338</v>
      </c>
      <c r="CQ216" t="s">
        <v>2433</v>
      </c>
    </row>
    <row r="217" spans="1:95" x14ac:dyDescent="0.2">
      <c r="A217" t="s">
        <v>333</v>
      </c>
      <c r="B217">
        <v>36</v>
      </c>
      <c r="C217" s="1" t="s">
        <v>2768</v>
      </c>
      <c r="D217" t="s">
        <v>2769</v>
      </c>
      <c r="E217" t="s">
        <v>335</v>
      </c>
      <c r="F217" t="s">
        <v>342</v>
      </c>
      <c r="G217" t="s">
        <v>340</v>
      </c>
      <c r="H217" t="s">
        <v>2770</v>
      </c>
      <c r="I217" t="s">
        <v>340</v>
      </c>
      <c r="J217" t="s">
        <v>344</v>
      </c>
      <c r="K217" t="s">
        <v>340</v>
      </c>
      <c r="L217">
        <v>45811</v>
      </c>
      <c r="M217" t="s">
        <v>455</v>
      </c>
      <c r="N217">
        <v>1</v>
      </c>
      <c r="O217">
        <v>1</v>
      </c>
      <c r="P217" t="s">
        <v>2444</v>
      </c>
      <c r="T217" t="s">
        <v>458</v>
      </c>
      <c r="U217" t="s">
        <v>2771</v>
      </c>
      <c r="V217" t="s">
        <v>237</v>
      </c>
      <c r="W217">
        <v>5</v>
      </c>
      <c r="X217">
        <v>5</v>
      </c>
      <c r="Y217" t="s">
        <v>2648</v>
      </c>
      <c r="Z217" t="s">
        <v>346</v>
      </c>
      <c r="AA217" t="s">
        <v>340</v>
      </c>
      <c r="AB217" t="s">
        <v>347</v>
      </c>
      <c r="AC217" t="s">
        <v>340</v>
      </c>
      <c r="AD217" t="s">
        <v>2772</v>
      </c>
      <c r="AE217" s="1">
        <v>45811.649583333332</v>
      </c>
      <c r="CI217" t="s">
        <v>337</v>
      </c>
      <c r="CJ217" t="s">
        <v>2431</v>
      </c>
      <c r="CK217">
        <v>45811</v>
      </c>
      <c r="CL217" t="s">
        <v>2430</v>
      </c>
      <c r="CM217" t="s">
        <v>2432</v>
      </c>
      <c r="CN217">
        <v>45811</v>
      </c>
      <c r="CP217" t="s">
        <v>338</v>
      </c>
      <c r="CQ217" t="s">
        <v>2433</v>
      </c>
    </row>
    <row r="218" spans="1:95" x14ac:dyDescent="0.2">
      <c r="A218" t="s">
        <v>333</v>
      </c>
      <c r="B218">
        <v>37</v>
      </c>
      <c r="C218" s="1" t="s">
        <v>2773</v>
      </c>
      <c r="D218" t="s">
        <v>2774</v>
      </c>
      <c r="E218" t="s">
        <v>335</v>
      </c>
      <c r="F218" t="s">
        <v>342</v>
      </c>
      <c r="G218" t="s">
        <v>340</v>
      </c>
      <c r="H218" t="s">
        <v>2775</v>
      </c>
      <c r="I218" t="s">
        <v>340</v>
      </c>
      <c r="J218" t="s">
        <v>344</v>
      </c>
      <c r="K218" t="s">
        <v>340</v>
      </c>
      <c r="L218">
        <v>45811</v>
      </c>
      <c r="M218" t="s">
        <v>455</v>
      </c>
      <c r="N218">
        <v>1</v>
      </c>
      <c r="O218">
        <v>1</v>
      </c>
      <c r="P218" t="s">
        <v>2444</v>
      </c>
      <c r="T218" t="s">
        <v>458</v>
      </c>
      <c r="U218" t="s">
        <v>2776</v>
      </c>
      <c r="V218" t="s">
        <v>237</v>
      </c>
      <c r="W218">
        <v>0.05</v>
      </c>
      <c r="X218">
        <v>0.05</v>
      </c>
      <c r="Y218" t="s">
        <v>2648</v>
      </c>
      <c r="Z218" t="s">
        <v>346</v>
      </c>
      <c r="AA218" t="s">
        <v>340</v>
      </c>
      <c r="AB218" t="s">
        <v>347</v>
      </c>
      <c r="AC218" t="s">
        <v>340</v>
      </c>
      <c r="AD218" t="s">
        <v>2777</v>
      </c>
      <c r="AE218" s="1">
        <v>45811.649583333332</v>
      </c>
      <c r="CI218" t="s">
        <v>337</v>
      </c>
      <c r="CJ218" t="s">
        <v>2431</v>
      </c>
      <c r="CK218">
        <v>45811</v>
      </c>
      <c r="CL218" t="s">
        <v>2430</v>
      </c>
      <c r="CM218" t="s">
        <v>2432</v>
      </c>
      <c r="CN218">
        <v>45811</v>
      </c>
      <c r="CP218" t="s">
        <v>338</v>
      </c>
      <c r="CQ218" t="s">
        <v>2433</v>
      </c>
    </row>
    <row r="219" spans="1:95" x14ac:dyDescent="0.2">
      <c r="A219" t="s">
        <v>333</v>
      </c>
      <c r="B219">
        <v>38</v>
      </c>
      <c r="C219" s="1" t="s">
        <v>2778</v>
      </c>
      <c r="D219" t="s">
        <v>2779</v>
      </c>
      <c r="E219" t="s">
        <v>335</v>
      </c>
      <c r="F219" t="s">
        <v>342</v>
      </c>
      <c r="G219" t="s">
        <v>340</v>
      </c>
      <c r="H219" t="s">
        <v>2780</v>
      </c>
      <c r="I219" t="s">
        <v>340</v>
      </c>
      <c r="J219" t="s">
        <v>344</v>
      </c>
      <c r="K219" t="s">
        <v>340</v>
      </c>
      <c r="L219">
        <v>45811</v>
      </c>
      <c r="M219" t="s">
        <v>455</v>
      </c>
      <c r="N219">
        <v>1</v>
      </c>
      <c r="O219">
        <v>1</v>
      </c>
      <c r="P219" t="s">
        <v>2444</v>
      </c>
      <c r="T219" t="s">
        <v>458</v>
      </c>
      <c r="U219" t="s">
        <v>2781</v>
      </c>
      <c r="V219" t="s">
        <v>237</v>
      </c>
      <c r="W219">
        <v>1.5</v>
      </c>
      <c r="X219">
        <v>1.5</v>
      </c>
      <c r="Y219" t="s">
        <v>2648</v>
      </c>
      <c r="Z219" t="s">
        <v>346</v>
      </c>
      <c r="AA219" t="s">
        <v>340</v>
      </c>
      <c r="AB219" t="s">
        <v>347</v>
      </c>
      <c r="AC219" t="s">
        <v>340</v>
      </c>
      <c r="AD219" t="s">
        <v>2782</v>
      </c>
      <c r="AE219" s="1">
        <v>45811.649583333332</v>
      </c>
      <c r="CI219" t="s">
        <v>337</v>
      </c>
      <c r="CJ219" t="s">
        <v>2431</v>
      </c>
      <c r="CK219">
        <v>45811</v>
      </c>
      <c r="CL219" t="s">
        <v>2430</v>
      </c>
      <c r="CM219" t="s">
        <v>2432</v>
      </c>
      <c r="CN219">
        <v>45811</v>
      </c>
      <c r="CP219" t="s">
        <v>338</v>
      </c>
      <c r="CQ219" t="s">
        <v>2433</v>
      </c>
    </row>
    <row r="220" spans="1:95" x14ac:dyDescent="0.2">
      <c r="A220" t="s">
        <v>333</v>
      </c>
      <c r="B220">
        <v>39</v>
      </c>
      <c r="C220" s="1" t="s">
        <v>2783</v>
      </c>
      <c r="D220" t="s">
        <v>2784</v>
      </c>
      <c r="E220" t="s">
        <v>335</v>
      </c>
      <c r="F220" t="s">
        <v>342</v>
      </c>
      <c r="G220" t="s">
        <v>340</v>
      </c>
      <c r="H220" t="s">
        <v>2785</v>
      </c>
      <c r="I220" t="s">
        <v>340</v>
      </c>
      <c r="J220" t="s">
        <v>344</v>
      </c>
      <c r="K220" t="s">
        <v>340</v>
      </c>
      <c r="L220">
        <v>45811</v>
      </c>
      <c r="M220" t="s">
        <v>455</v>
      </c>
      <c r="N220">
        <v>1</v>
      </c>
      <c r="O220">
        <v>1</v>
      </c>
      <c r="P220" t="s">
        <v>2444</v>
      </c>
      <c r="T220" t="s">
        <v>458</v>
      </c>
      <c r="U220" t="s">
        <v>2786</v>
      </c>
      <c r="W220">
        <v>13</v>
      </c>
      <c r="X220">
        <v>13</v>
      </c>
      <c r="Y220" t="s">
        <v>2648</v>
      </c>
      <c r="Z220" t="s">
        <v>346</v>
      </c>
      <c r="AA220" t="s">
        <v>340</v>
      </c>
      <c r="AB220" t="s">
        <v>347</v>
      </c>
      <c r="AC220" t="s">
        <v>340</v>
      </c>
      <c r="AD220" t="s">
        <v>2787</v>
      </c>
      <c r="AE220" s="1">
        <v>45811.649583333332</v>
      </c>
      <c r="CI220" t="s">
        <v>337</v>
      </c>
      <c r="CJ220" t="s">
        <v>2431</v>
      </c>
      <c r="CK220">
        <v>45811</v>
      </c>
      <c r="CL220" t="s">
        <v>2430</v>
      </c>
      <c r="CM220" t="s">
        <v>2432</v>
      </c>
      <c r="CN220">
        <v>45811</v>
      </c>
      <c r="CP220" t="s">
        <v>338</v>
      </c>
      <c r="CQ220" t="s">
        <v>2433</v>
      </c>
    </row>
    <row r="221" spans="1:95" x14ac:dyDescent="0.2">
      <c r="A221" t="s">
        <v>333</v>
      </c>
      <c r="B221">
        <v>40</v>
      </c>
      <c r="C221" s="1" t="s">
        <v>2788</v>
      </c>
      <c r="D221" s="20" t="s">
        <v>2789</v>
      </c>
      <c r="E221" t="s">
        <v>335</v>
      </c>
      <c r="F221" t="s">
        <v>342</v>
      </c>
      <c r="G221" t="s">
        <v>340</v>
      </c>
      <c r="H221" t="s">
        <v>2790</v>
      </c>
      <c r="I221" t="s">
        <v>340</v>
      </c>
      <c r="J221" t="s">
        <v>344</v>
      </c>
      <c r="K221" t="s">
        <v>340</v>
      </c>
      <c r="L221">
        <v>45811</v>
      </c>
      <c r="M221" t="s">
        <v>455</v>
      </c>
      <c r="N221">
        <v>1</v>
      </c>
      <c r="O221">
        <v>1</v>
      </c>
      <c r="P221" t="s">
        <v>2444</v>
      </c>
      <c r="T221" t="s">
        <v>458</v>
      </c>
      <c r="U221" t="s">
        <v>2791</v>
      </c>
      <c r="V221" t="s">
        <v>237</v>
      </c>
      <c r="W221">
        <v>10</v>
      </c>
      <c r="X221">
        <v>10</v>
      </c>
      <c r="Y221" t="s">
        <v>2648</v>
      </c>
      <c r="Z221" t="s">
        <v>346</v>
      </c>
      <c r="AA221" t="s">
        <v>340</v>
      </c>
      <c r="AB221" t="s">
        <v>347</v>
      </c>
      <c r="AC221" t="s">
        <v>340</v>
      </c>
      <c r="AD221" t="s">
        <v>2792</v>
      </c>
      <c r="AE221" s="1">
        <v>45811.649583333332</v>
      </c>
      <c r="CI221" t="s">
        <v>337</v>
      </c>
      <c r="CJ221" t="s">
        <v>2431</v>
      </c>
      <c r="CK221">
        <v>45811</v>
      </c>
      <c r="CL221" t="s">
        <v>2430</v>
      </c>
      <c r="CM221" t="s">
        <v>2432</v>
      </c>
      <c r="CN221">
        <v>45811</v>
      </c>
      <c r="CP221" t="s">
        <v>338</v>
      </c>
      <c r="CQ221" t="s">
        <v>2433</v>
      </c>
    </row>
    <row r="222" spans="1:95" x14ac:dyDescent="0.2">
      <c r="A222" t="s">
        <v>333</v>
      </c>
      <c r="B222">
        <v>41</v>
      </c>
      <c r="C222" s="1" t="s">
        <v>2793</v>
      </c>
      <c r="D222" t="s">
        <v>2794</v>
      </c>
      <c r="E222" t="s">
        <v>335</v>
      </c>
      <c r="F222" t="s">
        <v>342</v>
      </c>
      <c r="G222" t="s">
        <v>340</v>
      </c>
      <c r="H222" t="s">
        <v>368</v>
      </c>
      <c r="I222" t="s">
        <v>340</v>
      </c>
      <c r="J222" t="s">
        <v>344</v>
      </c>
      <c r="K222" t="s">
        <v>340</v>
      </c>
      <c r="L222">
        <v>45811</v>
      </c>
      <c r="M222" t="s">
        <v>455</v>
      </c>
      <c r="N222">
        <v>1</v>
      </c>
      <c r="O222">
        <v>1</v>
      </c>
      <c r="P222" t="s">
        <v>2444</v>
      </c>
      <c r="T222" t="s">
        <v>458</v>
      </c>
      <c r="U222" t="s">
        <v>501</v>
      </c>
      <c r="V222" t="s">
        <v>237</v>
      </c>
      <c r="W222">
        <v>0.1</v>
      </c>
      <c r="X222">
        <v>0.1</v>
      </c>
      <c r="Y222" t="s">
        <v>349</v>
      </c>
      <c r="Z222" t="s">
        <v>346</v>
      </c>
      <c r="AA222" t="s">
        <v>340</v>
      </c>
      <c r="AB222" t="s">
        <v>347</v>
      </c>
      <c r="AC222" t="s">
        <v>340</v>
      </c>
      <c r="AD222" t="s">
        <v>2795</v>
      </c>
      <c r="AE222" s="1">
        <v>45811.618148148147</v>
      </c>
      <c r="CI222" t="s">
        <v>337</v>
      </c>
      <c r="CJ222" t="s">
        <v>2431</v>
      </c>
      <c r="CK222">
        <v>45811</v>
      </c>
      <c r="CL222" t="s">
        <v>2430</v>
      </c>
      <c r="CM222" t="s">
        <v>2432</v>
      </c>
      <c r="CN222">
        <v>45811</v>
      </c>
      <c r="CP222" t="s">
        <v>338</v>
      </c>
      <c r="CQ222" t="s">
        <v>2433</v>
      </c>
    </row>
    <row r="223" spans="1:95" x14ac:dyDescent="0.2">
      <c r="A223" t="s">
        <v>333</v>
      </c>
      <c r="B223">
        <v>42</v>
      </c>
      <c r="C223" s="1" t="s">
        <v>2796</v>
      </c>
      <c r="D223" t="s">
        <v>2797</v>
      </c>
      <c r="E223" t="s">
        <v>335</v>
      </c>
      <c r="F223" t="s">
        <v>342</v>
      </c>
      <c r="G223" t="s">
        <v>340</v>
      </c>
      <c r="H223" t="s">
        <v>369</v>
      </c>
      <c r="I223" t="s">
        <v>340</v>
      </c>
      <c r="J223" t="s">
        <v>344</v>
      </c>
      <c r="K223" t="s">
        <v>340</v>
      </c>
      <c r="L223">
        <v>45811</v>
      </c>
      <c r="M223" t="s">
        <v>455</v>
      </c>
      <c r="N223">
        <v>1</v>
      </c>
      <c r="O223">
        <v>1</v>
      </c>
      <c r="P223" t="s">
        <v>2444</v>
      </c>
      <c r="T223" t="s">
        <v>458</v>
      </c>
      <c r="U223" t="s">
        <v>501</v>
      </c>
      <c r="V223" t="s">
        <v>237</v>
      </c>
      <c r="W223">
        <v>0.1</v>
      </c>
      <c r="X223">
        <v>0.1</v>
      </c>
      <c r="Y223" t="s">
        <v>349</v>
      </c>
      <c r="Z223" t="s">
        <v>346</v>
      </c>
      <c r="AA223" t="s">
        <v>340</v>
      </c>
      <c r="AB223" t="s">
        <v>347</v>
      </c>
      <c r="AC223" t="s">
        <v>340</v>
      </c>
      <c r="AD223" t="s">
        <v>2798</v>
      </c>
      <c r="AE223" s="1">
        <v>45811.618148148147</v>
      </c>
      <c r="CI223" t="s">
        <v>337</v>
      </c>
      <c r="CJ223" t="s">
        <v>2431</v>
      </c>
      <c r="CK223">
        <v>45811</v>
      </c>
      <c r="CL223" t="s">
        <v>2430</v>
      </c>
      <c r="CM223" t="s">
        <v>2432</v>
      </c>
      <c r="CN223">
        <v>45811</v>
      </c>
      <c r="CP223" t="s">
        <v>338</v>
      </c>
      <c r="CQ223" t="s">
        <v>2433</v>
      </c>
    </row>
    <row r="224" spans="1:95" x14ac:dyDescent="0.2">
      <c r="A224" t="s">
        <v>333</v>
      </c>
      <c r="B224">
        <v>43</v>
      </c>
      <c r="C224" s="1" t="s">
        <v>2799</v>
      </c>
      <c r="D224" t="s">
        <v>2800</v>
      </c>
      <c r="E224" t="s">
        <v>335</v>
      </c>
      <c r="F224" t="s">
        <v>342</v>
      </c>
      <c r="G224" t="s">
        <v>340</v>
      </c>
      <c r="H224" t="s">
        <v>370</v>
      </c>
      <c r="I224" t="s">
        <v>340</v>
      </c>
      <c r="J224" t="s">
        <v>344</v>
      </c>
      <c r="K224" t="s">
        <v>340</v>
      </c>
      <c r="L224">
        <v>45811</v>
      </c>
      <c r="M224" t="s">
        <v>455</v>
      </c>
      <c r="N224">
        <v>1</v>
      </c>
      <c r="O224">
        <v>1</v>
      </c>
      <c r="P224" t="s">
        <v>2444</v>
      </c>
      <c r="T224" t="s">
        <v>458</v>
      </c>
      <c r="U224" t="s">
        <v>501</v>
      </c>
      <c r="V224" t="s">
        <v>237</v>
      </c>
      <c r="W224">
        <v>0.1</v>
      </c>
      <c r="X224">
        <v>0.1</v>
      </c>
      <c r="Y224" t="s">
        <v>349</v>
      </c>
      <c r="Z224" t="s">
        <v>346</v>
      </c>
      <c r="AA224" t="s">
        <v>340</v>
      </c>
      <c r="AB224" t="s">
        <v>347</v>
      </c>
      <c r="AC224" t="s">
        <v>340</v>
      </c>
      <c r="AD224" t="s">
        <v>2801</v>
      </c>
      <c r="AE224" s="1">
        <v>45811.618148148147</v>
      </c>
      <c r="CI224" t="s">
        <v>337</v>
      </c>
      <c r="CJ224" t="s">
        <v>2431</v>
      </c>
      <c r="CK224">
        <v>45811</v>
      </c>
      <c r="CL224" t="s">
        <v>2430</v>
      </c>
      <c r="CM224" t="s">
        <v>2432</v>
      </c>
      <c r="CN224">
        <v>45811</v>
      </c>
      <c r="CP224" t="s">
        <v>338</v>
      </c>
      <c r="CQ224" t="s">
        <v>2433</v>
      </c>
    </row>
    <row r="225" spans="1:95" x14ac:dyDescent="0.2">
      <c r="A225" t="s">
        <v>333</v>
      </c>
      <c r="B225">
        <v>44</v>
      </c>
      <c r="C225" s="1" t="s">
        <v>2802</v>
      </c>
      <c r="D225" t="s">
        <v>2803</v>
      </c>
      <c r="E225" t="s">
        <v>335</v>
      </c>
      <c r="F225" t="s">
        <v>342</v>
      </c>
      <c r="G225" t="s">
        <v>340</v>
      </c>
      <c r="H225" t="s">
        <v>361</v>
      </c>
      <c r="I225" t="s">
        <v>340</v>
      </c>
      <c r="J225" t="s">
        <v>344</v>
      </c>
      <c r="K225" t="s">
        <v>340</v>
      </c>
      <c r="L225">
        <v>45811</v>
      </c>
      <c r="M225" t="s">
        <v>455</v>
      </c>
      <c r="N225">
        <v>1</v>
      </c>
      <c r="O225">
        <v>1</v>
      </c>
      <c r="P225" t="s">
        <v>2444</v>
      </c>
      <c r="T225" t="s">
        <v>458</v>
      </c>
      <c r="U225" t="s">
        <v>501</v>
      </c>
      <c r="V225" t="s">
        <v>237</v>
      </c>
      <c r="W225">
        <v>0.1</v>
      </c>
      <c r="X225">
        <v>0.1</v>
      </c>
      <c r="Y225" t="s">
        <v>349</v>
      </c>
      <c r="Z225" t="s">
        <v>346</v>
      </c>
      <c r="AA225" t="s">
        <v>340</v>
      </c>
      <c r="AB225" t="s">
        <v>347</v>
      </c>
      <c r="AC225" t="s">
        <v>340</v>
      </c>
      <c r="AD225" t="s">
        <v>2804</v>
      </c>
      <c r="AE225" s="1">
        <v>45811.618148148147</v>
      </c>
      <c r="CI225" t="s">
        <v>337</v>
      </c>
      <c r="CJ225" t="s">
        <v>2431</v>
      </c>
      <c r="CK225">
        <v>45811</v>
      </c>
      <c r="CL225" t="s">
        <v>2430</v>
      </c>
      <c r="CM225" t="s">
        <v>2432</v>
      </c>
      <c r="CN225">
        <v>45811</v>
      </c>
      <c r="CP225" t="s">
        <v>338</v>
      </c>
      <c r="CQ225" t="s">
        <v>2433</v>
      </c>
    </row>
    <row r="226" spans="1:95" x14ac:dyDescent="0.2">
      <c r="A226" t="s">
        <v>333</v>
      </c>
      <c r="B226">
        <v>45</v>
      </c>
      <c r="C226" s="1" t="s">
        <v>2805</v>
      </c>
      <c r="D226" t="s">
        <v>2806</v>
      </c>
      <c r="E226" t="s">
        <v>335</v>
      </c>
      <c r="F226" t="s">
        <v>342</v>
      </c>
      <c r="G226" t="s">
        <v>340</v>
      </c>
      <c r="H226" t="s">
        <v>350</v>
      </c>
      <c r="I226" t="s">
        <v>340</v>
      </c>
      <c r="J226" t="s">
        <v>344</v>
      </c>
      <c r="K226" t="s">
        <v>340</v>
      </c>
      <c r="L226">
        <v>45811</v>
      </c>
      <c r="M226" t="s">
        <v>455</v>
      </c>
      <c r="N226">
        <v>1</v>
      </c>
      <c r="O226">
        <v>1</v>
      </c>
      <c r="P226" t="s">
        <v>2444</v>
      </c>
      <c r="T226" t="s">
        <v>458</v>
      </c>
      <c r="U226" t="s">
        <v>501</v>
      </c>
      <c r="V226" t="s">
        <v>237</v>
      </c>
      <c r="W226">
        <v>0.1</v>
      </c>
      <c r="X226">
        <v>0.1</v>
      </c>
      <c r="Y226" t="s">
        <v>349</v>
      </c>
      <c r="Z226" t="s">
        <v>346</v>
      </c>
      <c r="AA226" t="s">
        <v>340</v>
      </c>
      <c r="AB226" t="s">
        <v>347</v>
      </c>
      <c r="AC226" t="s">
        <v>340</v>
      </c>
      <c r="AD226" t="s">
        <v>2807</v>
      </c>
      <c r="AE226" s="1">
        <v>45811.618136574078</v>
      </c>
      <c r="CI226" t="s">
        <v>337</v>
      </c>
      <c r="CJ226" t="s">
        <v>2431</v>
      </c>
      <c r="CK226">
        <v>45811</v>
      </c>
      <c r="CL226" t="s">
        <v>2430</v>
      </c>
      <c r="CM226" t="s">
        <v>2432</v>
      </c>
      <c r="CN226">
        <v>45811</v>
      </c>
      <c r="CP226" t="s">
        <v>338</v>
      </c>
      <c r="CQ226" t="s">
        <v>2433</v>
      </c>
    </row>
    <row r="227" spans="1:95" x14ac:dyDescent="0.2">
      <c r="A227" t="s">
        <v>333</v>
      </c>
      <c r="B227">
        <v>46</v>
      </c>
      <c r="C227" s="1" t="s">
        <v>2808</v>
      </c>
      <c r="D227" t="s">
        <v>2809</v>
      </c>
      <c r="E227" t="s">
        <v>335</v>
      </c>
      <c r="F227" t="s">
        <v>342</v>
      </c>
      <c r="G227" t="s">
        <v>340</v>
      </c>
      <c r="H227" t="s">
        <v>2810</v>
      </c>
      <c r="I227" t="s">
        <v>340</v>
      </c>
      <c r="J227" t="s">
        <v>344</v>
      </c>
      <c r="K227" t="s">
        <v>340</v>
      </c>
      <c r="L227">
        <v>45811</v>
      </c>
      <c r="M227" t="s">
        <v>455</v>
      </c>
      <c r="N227">
        <v>1</v>
      </c>
      <c r="O227">
        <v>1</v>
      </c>
      <c r="P227" t="s">
        <v>2444</v>
      </c>
      <c r="T227" t="s">
        <v>458</v>
      </c>
      <c r="U227" t="s">
        <v>501</v>
      </c>
      <c r="V227" t="s">
        <v>237</v>
      </c>
      <c r="W227">
        <v>0.1</v>
      </c>
      <c r="X227">
        <v>0.1</v>
      </c>
      <c r="Y227" t="s">
        <v>349</v>
      </c>
      <c r="Z227" t="s">
        <v>346</v>
      </c>
      <c r="AA227" t="s">
        <v>340</v>
      </c>
      <c r="AB227" t="s">
        <v>347</v>
      </c>
      <c r="AC227" t="s">
        <v>340</v>
      </c>
      <c r="AD227" t="s">
        <v>2811</v>
      </c>
      <c r="AE227" s="1">
        <v>45811.618148148147</v>
      </c>
      <c r="CI227" t="s">
        <v>337</v>
      </c>
      <c r="CJ227" t="s">
        <v>2431</v>
      </c>
      <c r="CK227">
        <v>45811</v>
      </c>
      <c r="CL227" t="s">
        <v>2430</v>
      </c>
      <c r="CM227" t="s">
        <v>2432</v>
      </c>
      <c r="CN227">
        <v>45811</v>
      </c>
      <c r="CP227" t="s">
        <v>338</v>
      </c>
      <c r="CQ227" t="s">
        <v>2433</v>
      </c>
    </row>
    <row r="228" spans="1:95" x14ac:dyDescent="0.2">
      <c r="A228" t="s">
        <v>333</v>
      </c>
      <c r="B228">
        <v>47</v>
      </c>
      <c r="C228" s="1" t="s">
        <v>2812</v>
      </c>
      <c r="D228" t="s">
        <v>2813</v>
      </c>
      <c r="E228" t="s">
        <v>335</v>
      </c>
      <c r="F228" t="s">
        <v>342</v>
      </c>
      <c r="G228" t="s">
        <v>340</v>
      </c>
      <c r="H228" t="s">
        <v>358</v>
      </c>
      <c r="I228" t="s">
        <v>340</v>
      </c>
      <c r="J228" t="s">
        <v>344</v>
      </c>
      <c r="K228" t="s">
        <v>340</v>
      </c>
      <c r="L228">
        <v>45811</v>
      </c>
      <c r="M228" t="s">
        <v>455</v>
      </c>
      <c r="N228">
        <v>1</v>
      </c>
      <c r="O228">
        <v>1</v>
      </c>
      <c r="P228" t="s">
        <v>2444</v>
      </c>
      <c r="T228" t="s">
        <v>458</v>
      </c>
      <c r="U228" t="s">
        <v>501</v>
      </c>
      <c r="V228" t="s">
        <v>237</v>
      </c>
      <c r="W228">
        <v>0.1</v>
      </c>
      <c r="X228">
        <v>0.1</v>
      </c>
      <c r="Y228" t="s">
        <v>349</v>
      </c>
      <c r="Z228" t="s">
        <v>346</v>
      </c>
      <c r="AA228" t="s">
        <v>340</v>
      </c>
      <c r="AB228" t="s">
        <v>347</v>
      </c>
      <c r="AC228" t="s">
        <v>340</v>
      </c>
      <c r="AD228" t="s">
        <v>2814</v>
      </c>
      <c r="AE228" s="1">
        <v>45811.618136574078</v>
      </c>
      <c r="CI228" t="s">
        <v>337</v>
      </c>
      <c r="CJ228" t="s">
        <v>2431</v>
      </c>
      <c r="CK228">
        <v>45811</v>
      </c>
      <c r="CL228" t="s">
        <v>2430</v>
      </c>
      <c r="CM228" t="s">
        <v>2432</v>
      </c>
      <c r="CN228">
        <v>45811</v>
      </c>
      <c r="CP228" t="s">
        <v>338</v>
      </c>
      <c r="CQ228" t="s">
        <v>2433</v>
      </c>
    </row>
    <row r="229" spans="1:95" x14ac:dyDescent="0.2">
      <c r="A229" t="s">
        <v>333</v>
      </c>
      <c r="B229">
        <v>48</v>
      </c>
      <c r="C229" s="1" t="s">
        <v>2815</v>
      </c>
      <c r="D229" t="s">
        <v>2816</v>
      </c>
      <c r="E229" t="s">
        <v>335</v>
      </c>
      <c r="F229" t="s">
        <v>342</v>
      </c>
      <c r="G229" t="s">
        <v>340</v>
      </c>
      <c r="H229" t="s">
        <v>360</v>
      </c>
      <c r="I229" t="s">
        <v>340</v>
      </c>
      <c r="J229" t="s">
        <v>344</v>
      </c>
      <c r="K229" t="s">
        <v>340</v>
      </c>
      <c r="L229">
        <v>45811</v>
      </c>
      <c r="M229" t="s">
        <v>455</v>
      </c>
      <c r="N229">
        <v>1</v>
      </c>
      <c r="O229">
        <v>1</v>
      </c>
      <c r="P229" t="s">
        <v>2444</v>
      </c>
      <c r="T229" t="s">
        <v>458</v>
      </c>
      <c r="U229" t="s">
        <v>501</v>
      </c>
      <c r="V229" t="s">
        <v>237</v>
      </c>
      <c r="W229">
        <v>0.1</v>
      </c>
      <c r="X229">
        <v>0.1</v>
      </c>
      <c r="Y229" t="s">
        <v>349</v>
      </c>
      <c r="Z229" t="s">
        <v>346</v>
      </c>
      <c r="AA229" t="s">
        <v>340</v>
      </c>
      <c r="AB229" t="s">
        <v>347</v>
      </c>
      <c r="AC229" t="s">
        <v>340</v>
      </c>
      <c r="AD229" t="s">
        <v>2817</v>
      </c>
      <c r="AE229" s="1">
        <v>45811.618148148147</v>
      </c>
      <c r="CI229" t="s">
        <v>337</v>
      </c>
      <c r="CJ229" t="s">
        <v>2431</v>
      </c>
      <c r="CK229">
        <v>45811</v>
      </c>
      <c r="CL229" t="s">
        <v>2430</v>
      </c>
      <c r="CM229" t="s">
        <v>2432</v>
      </c>
      <c r="CN229">
        <v>45811</v>
      </c>
      <c r="CP229" t="s">
        <v>338</v>
      </c>
      <c r="CQ229" t="s">
        <v>2433</v>
      </c>
    </row>
    <row r="230" spans="1:95" x14ac:dyDescent="0.2">
      <c r="A230" t="s">
        <v>333</v>
      </c>
      <c r="B230">
        <v>49</v>
      </c>
      <c r="C230" s="1" t="s">
        <v>2818</v>
      </c>
      <c r="D230" t="s">
        <v>2819</v>
      </c>
      <c r="E230" t="s">
        <v>335</v>
      </c>
      <c r="F230" t="s">
        <v>342</v>
      </c>
      <c r="G230" t="s">
        <v>340</v>
      </c>
      <c r="H230" t="s">
        <v>364</v>
      </c>
      <c r="I230" t="s">
        <v>340</v>
      </c>
      <c r="J230" t="s">
        <v>344</v>
      </c>
      <c r="K230" t="s">
        <v>340</v>
      </c>
      <c r="L230">
        <v>45811</v>
      </c>
      <c r="M230" t="s">
        <v>455</v>
      </c>
      <c r="N230">
        <v>1</v>
      </c>
      <c r="O230">
        <v>1</v>
      </c>
      <c r="P230" t="s">
        <v>2444</v>
      </c>
      <c r="T230" t="s">
        <v>458</v>
      </c>
      <c r="U230" t="s">
        <v>501</v>
      </c>
      <c r="V230" t="s">
        <v>237</v>
      </c>
      <c r="W230">
        <v>0.1</v>
      </c>
      <c r="X230">
        <v>0.1</v>
      </c>
      <c r="Y230" t="s">
        <v>349</v>
      </c>
      <c r="Z230" t="s">
        <v>346</v>
      </c>
      <c r="AA230" t="s">
        <v>340</v>
      </c>
      <c r="AB230" t="s">
        <v>347</v>
      </c>
      <c r="AC230" t="s">
        <v>340</v>
      </c>
      <c r="AD230" t="s">
        <v>2820</v>
      </c>
      <c r="AE230" s="1">
        <v>45811.618148148147</v>
      </c>
      <c r="CI230" t="s">
        <v>337</v>
      </c>
      <c r="CJ230" t="s">
        <v>2431</v>
      </c>
      <c r="CK230">
        <v>45811</v>
      </c>
      <c r="CL230" t="s">
        <v>2430</v>
      </c>
      <c r="CM230" t="s">
        <v>2432</v>
      </c>
      <c r="CN230">
        <v>45811</v>
      </c>
      <c r="CP230" t="s">
        <v>338</v>
      </c>
      <c r="CQ230" t="s">
        <v>2433</v>
      </c>
    </row>
    <row r="231" spans="1:95" x14ac:dyDescent="0.2">
      <c r="A231" t="s">
        <v>333</v>
      </c>
      <c r="B231">
        <v>50</v>
      </c>
      <c r="C231" s="1" t="s">
        <v>2821</v>
      </c>
      <c r="D231" t="s">
        <v>2822</v>
      </c>
      <c r="E231" t="s">
        <v>335</v>
      </c>
      <c r="F231" t="s">
        <v>342</v>
      </c>
      <c r="G231" t="s">
        <v>340</v>
      </c>
      <c r="H231" t="s">
        <v>353</v>
      </c>
      <c r="I231" t="s">
        <v>340</v>
      </c>
      <c r="J231" t="s">
        <v>344</v>
      </c>
      <c r="K231" t="s">
        <v>340</v>
      </c>
      <c r="L231">
        <v>45811</v>
      </c>
      <c r="M231" t="s">
        <v>455</v>
      </c>
      <c r="N231">
        <v>1</v>
      </c>
      <c r="O231">
        <v>1</v>
      </c>
      <c r="P231" t="s">
        <v>2444</v>
      </c>
      <c r="T231" t="s">
        <v>458</v>
      </c>
      <c r="U231" t="s">
        <v>501</v>
      </c>
      <c r="V231" t="s">
        <v>237</v>
      </c>
      <c r="W231">
        <v>0.1</v>
      </c>
      <c r="X231">
        <v>0.1</v>
      </c>
      <c r="Y231" t="s">
        <v>349</v>
      </c>
      <c r="Z231" t="s">
        <v>346</v>
      </c>
      <c r="AA231" t="s">
        <v>340</v>
      </c>
      <c r="AB231" t="s">
        <v>347</v>
      </c>
      <c r="AC231" t="s">
        <v>340</v>
      </c>
      <c r="AD231" t="s">
        <v>2823</v>
      </c>
      <c r="AE231" s="1">
        <v>45811.618136574078</v>
      </c>
      <c r="CI231" t="s">
        <v>337</v>
      </c>
      <c r="CJ231" t="s">
        <v>2431</v>
      </c>
      <c r="CK231">
        <v>45811</v>
      </c>
      <c r="CL231" t="s">
        <v>2430</v>
      </c>
      <c r="CM231" t="s">
        <v>2432</v>
      </c>
      <c r="CN231">
        <v>45811</v>
      </c>
      <c r="CP231" t="s">
        <v>338</v>
      </c>
      <c r="CQ231" t="s">
        <v>2433</v>
      </c>
    </row>
    <row r="232" spans="1:95" x14ac:dyDescent="0.2">
      <c r="A232" t="s">
        <v>333</v>
      </c>
      <c r="B232">
        <v>51</v>
      </c>
      <c r="C232" s="1" t="s">
        <v>2824</v>
      </c>
      <c r="D232" t="s">
        <v>2825</v>
      </c>
      <c r="E232" t="s">
        <v>335</v>
      </c>
      <c r="F232" t="s">
        <v>342</v>
      </c>
      <c r="G232" t="s">
        <v>340</v>
      </c>
      <c r="H232" t="s">
        <v>363</v>
      </c>
      <c r="I232" t="s">
        <v>340</v>
      </c>
      <c r="J232" t="s">
        <v>344</v>
      </c>
      <c r="K232" t="s">
        <v>340</v>
      </c>
      <c r="L232">
        <v>45811</v>
      </c>
      <c r="M232" t="s">
        <v>455</v>
      </c>
      <c r="N232">
        <v>1</v>
      </c>
      <c r="O232">
        <v>1</v>
      </c>
      <c r="P232" t="s">
        <v>2444</v>
      </c>
      <c r="T232" t="s">
        <v>458</v>
      </c>
      <c r="U232" t="s">
        <v>501</v>
      </c>
      <c r="V232" t="s">
        <v>237</v>
      </c>
      <c r="W232">
        <v>0.1</v>
      </c>
      <c r="X232">
        <v>0.1</v>
      </c>
      <c r="Y232" t="s">
        <v>349</v>
      </c>
      <c r="Z232" t="s">
        <v>346</v>
      </c>
      <c r="AA232" t="s">
        <v>340</v>
      </c>
      <c r="AB232" t="s">
        <v>347</v>
      </c>
      <c r="AC232" t="s">
        <v>340</v>
      </c>
      <c r="AD232" t="s">
        <v>2826</v>
      </c>
      <c r="AE232" s="1">
        <v>45811.618148148147</v>
      </c>
      <c r="CI232" t="s">
        <v>337</v>
      </c>
      <c r="CJ232" t="s">
        <v>2431</v>
      </c>
      <c r="CK232">
        <v>45811</v>
      </c>
      <c r="CL232" t="s">
        <v>2430</v>
      </c>
      <c r="CM232" t="s">
        <v>2432</v>
      </c>
      <c r="CN232">
        <v>45811</v>
      </c>
      <c r="CP232" t="s">
        <v>338</v>
      </c>
      <c r="CQ232" t="s">
        <v>2433</v>
      </c>
    </row>
    <row r="233" spans="1:95" x14ac:dyDescent="0.2">
      <c r="A233" t="s">
        <v>333</v>
      </c>
      <c r="B233">
        <v>52</v>
      </c>
      <c r="C233" s="1" t="s">
        <v>2827</v>
      </c>
      <c r="D233" t="s">
        <v>2828</v>
      </c>
      <c r="E233" t="s">
        <v>335</v>
      </c>
      <c r="F233" t="s">
        <v>342</v>
      </c>
      <c r="G233" t="s">
        <v>340</v>
      </c>
      <c r="H233" t="s">
        <v>352</v>
      </c>
      <c r="I233" t="s">
        <v>340</v>
      </c>
      <c r="J233" t="s">
        <v>344</v>
      </c>
      <c r="K233" t="s">
        <v>340</v>
      </c>
      <c r="L233">
        <v>45811</v>
      </c>
      <c r="M233" t="s">
        <v>455</v>
      </c>
      <c r="N233">
        <v>1</v>
      </c>
      <c r="O233">
        <v>1</v>
      </c>
      <c r="P233" t="s">
        <v>2444</v>
      </c>
      <c r="T233" t="s">
        <v>458</v>
      </c>
      <c r="U233" t="s">
        <v>501</v>
      </c>
      <c r="V233" t="s">
        <v>237</v>
      </c>
      <c r="W233">
        <v>0.1</v>
      </c>
      <c r="X233">
        <v>0.1</v>
      </c>
      <c r="Y233" t="s">
        <v>349</v>
      </c>
      <c r="Z233" t="s">
        <v>346</v>
      </c>
      <c r="AA233" t="s">
        <v>340</v>
      </c>
      <c r="AB233" t="s">
        <v>347</v>
      </c>
      <c r="AC233" t="s">
        <v>340</v>
      </c>
      <c r="AD233" t="s">
        <v>2829</v>
      </c>
      <c r="AE233" s="1">
        <v>45811.618136574078</v>
      </c>
      <c r="CI233" t="s">
        <v>337</v>
      </c>
      <c r="CJ233" t="s">
        <v>2431</v>
      </c>
      <c r="CK233">
        <v>45811</v>
      </c>
      <c r="CL233" t="s">
        <v>2430</v>
      </c>
      <c r="CM233" t="s">
        <v>2432</v>
      </c>
      <c r="CN233">
        <v>45811</v>
      </c>
      <c r="CP233" t="s">
        <v>338</v>
      </c>
      <c r="CQ233" t="s">
        <v>2433</v>
      </c>
    </row>
    <row r="234" spans="1:95" x14ac:dyDescent="0.2">
      <c r="A234" t="s">
        <v>333</v>
      </c>
      <c r="B234">
        <v>53</v>
      </c>
      <c r="C234" s="1" t="s">
        <v>2830</v>
      </c>
      <c r="D234" s="20" t="s">
        <v>2831</v>
      </c>
      <c r="E234" t="s">
        <v>335</v>
      </c>
      <c r="F234" t="s">
        <v>342</v>
      </c>
      <c r="G234" t="s">
        <v>340</v>
      </c>
      <c r="H234" t="s">
        <v>357</v>
      </c>
      <c r="I234" t="s">
        <v>340</v>
      </c>
      <c r="J234" t="s">
        <v>344</v>
      </c>
      <c r="K234" t="s">
        <v>340</v>
      </c>
      <c r="L234">
        <v>45811</v>
      </c>
      <c r="M234" t="s">
        <v>455</v>
      </c>
      <c r="N234">
        <v>1</v>
      </c>
      <c r="O234">
        <v>1</v>
      </c>
      <c r="P234" t="s">
        <v>2444</v>
      </c>
      <c r="T234" t="s">
        <v>458</v>
      </c>
      <c r="U234" t="s">
        <v>501</v>
      </c>
      <c r="V234" t="s">
        <v>237</v>
      </c>
      <c r="W234">
        <v>0.1</v>
      </c>
      <c r="X234">
        <v>0.1</v>
      </c>
      <c r="Y234" t="s">
        <v>349</v>
      </c>
      <c r="Z234" t="s">
        <v>346</v>
      </c>
      <c r="AA234" t="s">
        <v>340</v>
      </c>
      <c r="AB234" t="s">
        <v>347</v>
      </c>
      <c r="AC234" t="s">
        <v>340</v>
      </c>
      <c r="AD234" t="s">
        <v>2832</v>
      </c>
      <c r="AE234" s="1">
        <v>45811.618136574078</v>
      </c>
      <c r="CI234" t="s">
        <v>337</v>
      </c>
      <c r="CJ234" t="s">
        <v>2431</v>
      </c>
      <c r="CK234">
        <v>45811</v>
      </c>
      <c r="CL234" t="s">
        <v>2430</v>
      </c>
      <c r="CM234" t="s">
        <v>2432</v>
      </c>
      <c r="CN234">
        <v>45811</v>
      </c>
      <c r="CP234" t="s">
        <v>338</v>
      </c>
      <c r="CQ234" t="s">
        <v>2433</v>
      </c>
    </row>
    <row r="235" spans="1:95" x14ac:dyDescent="0.2">
      <c r="A235" t="s">
        <v>333</v>
      </c>
      <c r="B235">
        <v>54</v>
      </c>
      <c r="C235" s="1" t="s">
        <v>2833</v>
      </c>
      <c r="D235" t="s">
        <v>2834</v>
      </c>
      <c r="E235" t="s">
        <v>335</v>
      </c>
      <c r="F235" t="s">
        <v>342</v>
      </c>
      <c r="G235" t="s">
        <v>340</v>
      </c>
      <c r="H235" t="s">
        <v>371</v>
      </c>
      <c r="I235" t="s">
        <v>340</v>
      </c>
      <c r="J235" t="s">
        <v>344</v>
      </c>
      <c r="K235" t="s">
        <v>340</v>
      </c>
      <c r="L235">
        <v>45811</v>
      </c>
      <c r="M235" t="s">
        <v>455</v>
      </c>
      <c r="N235">
        <v>1</v>
      </c>
      <c r="O235">
        <v>1</v>
      </c>
      <c r="P235" t="s">
        <v>2444</v>
      </c>
      <c r="T235" t="s">
        <v>458</v>
      </c>
      <c r="U235" t="s">
        <v>501</v>
      </c>
      <c r="V235" t="s">
        <v>237</v>
      </c>
      <c r="W235">
        <v>0.1</v>
      </c>
      <c r="X235">
        <v>0.1</v>
      </c>
      <c r="Y235" t="s">
        <v>349</v>
      </c>
      <c r="Z235" t="s">
        <v>346</v>
      </c>
      <c r="AA235" t="s">
        <v>340</v>
      </c>
      <c r="AB235" t="s">
        <v>347</v>
      </c>
      <c r="AC235" t="s">
        <v>340</v>
      </c>
      <c r="AD235" t="s">
        <v>2835</v>
      </c>
      <c r="AE235" s="1">
        <v>45811.618148148147</v>
      </c>
      <c r="CI235" t="s">
        <v>337</v>
      </c>
      <c r="CJ235" t="s">
        <v>2431</v>
      </c>
      <c r="CK235">
        <v>45811</v>
      </c>
      <c r="CL235" t="s">
        <v>2430</v>
      </c>
      <c r="CM235" t="s">
        <v>2432</v>
      </c>
      <c r="CN235">
        <v>45811</v>
      </c>
      <c r="CP235" t="s">
        <v>338</v>
      </c>
      <c r="CQ235" t="s">
        <v>2433</v>
      </c>
    </row>
    <row r="236" spans="1:95" x14ac:dyDescent="0.2">
      <c r="A236" t="s">
        <v>333</v>
      </c>
      <c r="B236">
        <v>55</v>
      </c>
      <c r="C236" s="1" t="s">
        <v>2836</v>
      </c>
      <c r="D236" t="s">
        <v>2837</v>
      </c>
      <c r="E236" t="s">
        <v>335</v>
      </c>
      <c r="F236" t="s">
        <v>342</v>
      </c>
      <c r="G236" t="s">
        <v>340</v>
      </c>
      <c r="H236" t="s">
        <v>365</v>
      </c>
      <c r="I236" t="s">
        <v>340</v>
      </c>
      <c r="J236" t="s">
        <v>344</v>
      </c>
      <c r="K236" t="s">
        <v>340</v>
      </c>
      <c r="L236">
        <v>45811</v>
      </c>
      <c r="M236" t="s">
        <v>455</v>
      </c>
      <c r="N236">
        <v>1</v>
      </c>
      <c r="O236">
        <v>1</v>
      </c>
      <c r="P236" t="s">
        <v>2444</v>
      </c>
      <c r="T236" t="s">
        <v>458</v>
      </c>
      <c r="U236" t="s">
        <v>501</v>
      </c>
      <c r="V236" t="s">
        <v>237</v>
      </c>
      <c r="W236">
        <v>0.1</v>
      </c>
      <c r="X236">
        <v>0.1</v>
      </c>
      <c r="Y236" t="s">
        <v>349</v>
      </c>
      <c r="Z236" t="s">
        <v>346</v>
      </c>
      <c r="AA236" t="s">
        <v>340</v>
      </c>
      <c r="AB236" t="s">
        <v>347</v>
      </c>
      <c r="AC236" t="s">
        <v>340</v>
      </c>
      <c r="AD236" t="s">
        <v>2838</v>
      </c>
      <c r="AE236" s="1">
        <v>45811.618148148147</v>
      </c>
      <c r="CI236" t="s">
        <v>337</v>
      </c>
      <c r="CJ236" t="s">
        <v>2431</v>
      </c>
      <c r="CK236">
        <v>45811</v>
      </c>
      <c r="CL236" t="s">
        <v>2430</v>
      </c>
      <c r="CM236" t="s">
        <v>2432</v>
      </c>
      <c r="CN236">
        <v>45811</v>
      </c>
      <c r="CP236" t="s">
        <v>338</v>
      </c>
      <c r="CQ236" t="s">
        <v>2433</v>
      </c>
    </row>
    <row r="237" spans="1:95" x14ac:dyDescent="0.2">
      <c r="A237" t="s">
        <v>333</v>
      </c>
      <c r="B237">
        <v>56</v>
      </c>
      <c r="C237" s="1" t="s">
        <v>2839</v>
      </c>
      <c r="D237" t="s">
        <v>2840</v>
      </c>
      <c r="E237" t="s">
        <v>335</v>
      </c>
      <c r="F237" t="s">
        <v>342</v>
      </c>
      <c r="G237" t="s">
        <v>340</v>
      </c>
      <c r="H237" t="s">
        <v>367</v>
      </c>
      <c r="I237" t="s">
        <v>340</v>
      </c>
      <c r="J237" t="s">
        <v>344</v>
      </c>
      <c r="K237" t="s">
        <v>340</v>
      </c>
      <c r="L237">
        <v>45811</v>
      </c>
      <c r="M237" t="s">
        <v>455</v>
      </c>
      <c r="N237">
        <v>1</v>
      </c>
      <c r="O237">
        <v>1</v>
      </c>
      <c r="P237" t="s">
        <v>2444</v>
      </c>
      <c r="T237" t="s">
        <v>458</v>
      </c>
      <c r="U237" t="s">
        <v>2841</v>
      </c>
      <c r="W237">
        <v>0.1</v>
      </c>
      <c r="X237">
        <v>0.1</v>
      </c>
      <c r="Y237" t="s">
        <v>349</v>
      </c>
      <c r="Z237" t="s">
        <v>346</v>
      </c>
      <c r="AA237" t="s">
        <v>340</v>
      </c>
      <c r="AB237" t="s">
        <v>347</v>
      </c>
      <c r="AC237" t="s">
        <v>340</v>
      </c>
      <c r="AD237" t="s">
        <v>2842</v>
      </c>
      <c r="AE237" s="1">
        <v>45811.618368055555</v>
      </c>
      <c r="CI237" t="s">
        <v>337</v>
      </c>
      <c r="CJ237" t="s">
        <v>2431</v>
      </c>
      <c r="CK237">
        <v>45811</v>
      </c>
      <c r="CL237" t="s">
        <v>2430</v>
      </c>
      <c r="CM237" t="s">
        <v>2432</v>
      </c>
      <c r="CN237">
        <v>45811</v>
      </c>
      <c r="CP237" t="s">
        <v>338</v>
      </c>
      <c r="CQ237" t="s">
        <v>2433</v>
      </c>
    </row>
    <row r="238" spans="1:95" x14ac:dyDescent="0.2">
      <c r="A238" t="s">
        <v>333</v>
      </c>
      <c r="B238">
        <v>57</v>
      </c>
      <c r="C238" s="1" t="s">
        <v>2843</v>
      </c>
      <c r="D238" t="s">
        <v>2844</v>
      </c>
      <c r="E238" t="s">
        <v>335</v>
      </c>
      <c r="F238" t="s">
        <v>342</v>
      </c>
      <c r="G238" t="s">
        <v>340</v>
      </c>
      <c r="H238" t="s">
        <v>366</v>
      </c>
      <c r="I238" t="s">
        <v>340</v>
      </c>
      <c r="J238" t="s">
        <v>344</v>
      </c>
      <c r="K238" t="s">
        <v>340</v>
      </c>
      <c r="L238">
        <v>45811</v>
      </c>
      <c r="M238" t="s">
        <v>455</v>
      </c>
      <c r="N238">
        <v>1</v>
      </c>
      <c r="O238">
        <v>1</v>
      </c>
      <c r="P238" t="s">
        <v>2444</v>
      </c>
      <c r="T238" t="s">
        <v>458</v>
      </c>
      <c r="U238" t="s">
        <v>501</v>
      </c>
      <c r="V238" t="s">
        <v>237</v>
      </c>
      <c r="W238">
        <v>0.1</v>
      </c>
      <c r="X238">
        <v>0.1</v>
      </c>
      <c r="Y238" t="s">
        <v>349</v>
      </c>
      <c r="Z238" t="s">
        <v>346</v>
      </c>
      <c r="AA238" t="s">
        <v>340</v>
      </c>
      <c r="AB238" t="s">
        <v>347</v>
      </c>
      <c r="AC238" t="s">
        <v>340</v>
      </c>
      <c r="AD238" t="s">
        <v>2845</v>
      </c>
      <c r="AE238" s="1">
        <v>45811.618148148147</v>
      </c>
      <c r="CI238" t="s">
        <v>337</v>
      </c>
      <c r="CJ238" t="s">
        <v>2431</v>
      </c>
      <c r="CK238">
        <v>45811</v>
      </c>
      <c r="CL238" t="s">
        <v>2430</v>
      </c>
      <c r="CM238" t="s">
        <v>2432</v>
      </c>
      <c r="CN238">
        <v>45811</v>
      </c>
      <c r="CP238" t="s">
        <v>338</v>
      </c>
      <c r="CQ238" t="s">
        <v>2433</v>
      </c>
    </row>
    <row r="239" spans="1:95" x14ac:dyDescent="0.2">
      <c r="A239" t="s">
        <v>333</v>
      </c>
      <c r="B239">
        <v>58</v>
      </c>
      <c r="C239" s="1" t="s">
        <v>2846</v>
      </c>
      <c r="D239" t="s">
        <v>2847</v>
      </c>
      <c r="E239" t="s">
        <v>335</v>
      </c>
      <c r="F239" t="s">
        <v>342</v>
      </c>
      <c r="G239" t="s">
        <v>340</v>
      </c>
      <c r="H239" t="s">
        <v>354</v>
      </c>
      <c r="I239" t="s">
        <v>340</v>
      </c>
      <c r="J239" t="s">
        <v>344</v>
      </c>
      <c r="K239" t="s">
        <v>340</v>
      </c>
      <c r="L239">
        <v>45811</v>
      </c>
      <c r="M239" t="s">
        <v>455</v>
      </c>
      <c r="N239">
        <v>1</v>
      </c>
      <c r="O239">
        <v>1</v>
      </c>
      <c r="P239" t="s">
        <v>2444</v>
      </c>
      <c r="T239" t="s">
        <v>458</v>
      </c>
      <c r="U239" t="s">
        <v>501</v>
      </c>
      <c r="V239" t="s">
        <v>237</v>
      </c>
      <c r="W239">
        <v>0.1</v>
      </c>
      <c r="X239">
        <v>0.1</v>
      </c>
      <c r="Y239" t="s">
        <v>349</v>
      </c>
      <c r="Z239" t="s">
        <v>346</v>
      </c>
      <c r="AA239" t="s">
        <v>340</v>
      </c>
      <c r="AB239" t="s">
        <v>347</v>
      </c>
      <c r="AC239" t="s">
        <v>340</v>
      </c>
      <c r="AD239" t="s">
        <v>2848</v>
      </c>
      <c r="AE239" s="1">
        <v>45811.618136574078</v>
      </c>
      <c r="CI239" t="s">
        <v>337</v>
      </c>
      <c r="CJ239" t="s">
        <v>2431</v>
      </c>
      <c r="CK239">
        <v>45811</v>
      </c>
      <c r="CL239" t="s">
        <v>2430</v>
      </c>
      <c r="CM239" t="s">
        <v>2432</v>
      </c>
      <c r="CN239">
        <v>45811</v>
      </c>
      <c r="CP239" t="s">
        <v>338</v>
      </c>
      <c r="CQ239" t="s">
        <v>2433</v>
      </c>
    </row>
    <row r="240" spans="1:95" x14ac:dyDescent="0.2">
      <c r="A240" t="s">
        <v>333</v>
      </c>
      <c r="B240">
        <v>59</v>
      </c>
      <c r="C240" s="1" t="s">
        <v>2849</v>
      </c>
      <c r="D240" t="s">
        <v>2850</v>
      </c>
      <c r="E240" t="s">
        <v>335</v>
      </c>
      <c r="F240" t="s">
        <v>342</v>
      </c>
      <c r="G240" t="s">
        <v>340</v>
      </c>
      <c r="H240" t="s">
        <v>356</v>
      </c>
      <c r="I240" t="s">
        <v>340</v>
      </c>
      <c r="J240" t="s">
        <v>344</v>
      </c>
      <c r="K240" t="s">
        <v>340</v>
      </c>
      <c r="L240">
        <v>45811</v>
      </c>
      <c r="M240" t="s">
        <v>455</v>
      </c>
      <c r="N240">
        <v>1</v>
      </c>
      <c r="O240">
        <v>1</v>
      </c>
      <c r="P240" t="s">
        <v>2444</v>
      </c>
      <c r="T240" t="s">
        <v>458</v>
      </c>
      <c r="U240" t="s">
        <v>2841</v>
      </c>
      <c r="W240">
        <v>0.1</v>
      </c>
      <c r="X240">
        <v>0.1</v>
      </c>
      <c r="Y240" t="s">
        <v>349</v>
      </c>
      <c r="Z240" t="s">
        <v>346</v>
      </c>
      <c r="AA240" t="s">
        <v>340</v>
      </c>
      <c r="AB240" t="s">
        <v>347</v>
      </c>
      <c r="AC240" t="s">
        <v>340</v>
      </c>
      <c r="AD240" t="s">
        <v>2851</v>
      </c>
      <c r="AE240" s="1">
        <v>45811.618368055555</v>
      </c>
      <c r="CI240" t="s">
        <v>337</v>
      </c>
      <c r="CJ240" t="s">
        <v>2431</v>
      </c>
      <c r="CK240">
        <v>45811</v>
      </c>
      <c r="CL240" t="s">
        <v>2430</v>
      </c>
      <c r="CM240" t="s">
        <v>2432</v>
      </c>
      <c r="CN240">
        <v>45811</v>
      </c>
      <c r="CP240" t="s">
        <v>338</v>
      </c>
      <c r="CQ240" t="s">
        <v>2433</v>
      </c>
    </row>
    <row r="241" spans="1:95" x14ac:dyDescent="0.2">
      <c r="A241" t="s">
        <v>333</v>
      </c>
      <c r="B241">
        <v>60</v>
      </c>
      <c r="C241" s="1" t="s">
        <v>2852</v>
      </c>
      <c r="D241" t="s">
        <v>2853</v>
      </c>
      <c r="E241" t="s">
        <v>335</v>
      </c>
      <c r="F241" t="s">
        <v>342</v>
      </c>
      <c r="G241" t="s">
        <v>340</v>
      </c>
      <c r="H241" t="s">
        <v>355</v>
      </c>
      <c r="I241" t="s">
        <v>340</v>
      </c>
      <c r="J241" t="s">
        <v>344</v>
      </c>
      <c r="K241" t="s">
        <v>340</v>
      </c>
      <c r="L241">
        <v>45811</v>
      </c>
      <c r="M241" t="s">
        <v>455</v>
      </c>
      <c r="N241">
        <v>1</v>
      </c>
      <c r="O241">
        <v>1</v>
      </c>
      <c r="P241" t="s">
        <v>2444</v>
      </c>
      <c r="T241" t="s">
        <v>458</v>
      </c>
      <c r="U241" t="s">
        <v>501</v>
      </c>
      <c r="V241" t="s">
        <v>237</v>
      </c>
      <c r="W241">
        <v>0.1</v>
      </c>
      <c r="X241">
        <v>0.1</v>
      </c>
      <c r="Y241" t="s">
        <v>349</v>
      </c>
      <c r="Z241" t="s">
        <v>346</v>
      </c>
      <c r="AA241" t="s">
        <v>340</v>
      </c>
      <c r="AB241" t="s">
        <v>347</v>
      </c>
      <c r="AC241" t="s">
        <v>340</v>
      </c>
      <c r="AD241" t="s">
        <v>2854</v>
      </c>
      <c r="AE241" s="1">
        <v>45811.618136574078</v>
      </c>
      <c r="CI241" t="s">
        <v>337</v>
      </c>
      <c r="CJ241" t="s">
        <v>2431</v>
      </c>
      <c r="CK241">
        <v>45811</v>
      </c>
      <c r="CL241" t="s">
        <v>2430</v>
      </c>
      <c r="CM241" t="s">
        <v>2432</v>
      </c>
      <c r="CN241">
        <v>45811</v>
      </c>
      <c r="CP241" t="s">
        <v>338</v>
      </c>
      <c r="CQ241" t="s">
        <v>2433</v>
      </c>
    </row>
    <row r="242" spans="1:95" x14ac:dyDescent="0.2">
      <c r="A242" t="s">
        <v>333</v>
      </c>
      <c r="B242">
        <v>61</v>
      </c>
      <c r="C242" s="1" t="s">
        <v>2855</v>
      </c>
      <c r="D242" t="s">
        <v>2856</v>
      </c>
      <c r="E242" t="s">
        <v>335</v>
      </c>
      <c r="F242" t="s">
        <v>342</v>
      </c>
      <c r="G242" t="s">
        <v>340</v>
      </c>
      <c r="H242" t="s">
        <v>362</v>
      </c>
      <c r="I242" t="s">
        <v>340</v>
      </c>
      <c r="J242" t="s">
        <v>344</v>
      </c>
      <c r="K242" t="s">
        <v>340</v>
      </c>
      <c r="L242">
        <v>45811</v>
      </c>
      <c r="M242" t="s">
        <v>455</v>
      </c>
      <c r="N242">
        <v>1</v>
      </c>
      <c r="O242">
        <v>1</v>
      </c>
      <c r="P242" t="s">
        <v>2444</v>
      </c>
      <c r="T242" t="s">
        <v>458</v>
      </c>
      <c r="U242" t="s">
        <v>501</v>
      </c>
      <c r="V242" t="s">
        <v>237</v>
      </c>
      <c r="W242">
        <v>0.1</v>
      </c>
      <c r="X242">
        <v>0.1</v>
      </c>
      <c r="Y242" t="s">
        <v>349</v>
      </c>
      <c r="Z242" t="s">
        <v>346</v>
      </c>
      <c r="AA242" t="s">
        <v>340</v>
      </c>
      <c r="AB242" t="s">
        <v>347</v>
      </c>
      <c r="AC242" t="s">
        <v>340</v>
      </c>
      <c r="AD242" t="s">
        <v>2857</v>
      </c>
      <c r="AE242" s="1">
        <v>45811.618148148147</v>
      </c>
      <c r="CI242" t="s">
        <v>337</v>
      </c>
      <c r="CJ242" t="s">
        <v>2431</v>
      </c>
      <c r="CK242">
        <v>45811</v>
      </c>
      <c r="CL242" t="s">
        <v>2430</v>
      </c>
      <c r="CM242" t="s">
        <v>2432</v>
      </c>
      <c r="CN242">
        <v>45811</v>
      </c>
      <c r="CP242" t="s">
        <v>338</v>
      </c>
      <c r="CQ242" t="s">
        <v>2433</v>
      </c>
    </row>
    <row r="243" spans="1:95" x14ac:dyDescent="0.2">
      <c r="A243" t="s">
        <v>333</v>
      </c>
      <c r="B243">
        <v>62</v>
      </c>
      <c r="C243" s="1" t="s">
        <v>2858</v>
      </c>
      <c r="D243" t="s">
        <v>2859</v>
      </c>
      <c r="E243" t="s">
        <v>335</v>
      </c>
      <c r="F243" t="s">
        <v>342</v>
      </c>
      <c r="G243" t="s">
        <v>340</v>
      </c>
      <c r="H243" t="s">
        <v>351</v>
      </c>
      <c r="I243" t="s">
        <v>340</v>
      </c>
      <c r="J243" t="s">
        <v>344</v>
      </c>
      <c r="K243" t="s">
        <v>340</v>
      </c>
      <c r="L243">
        <v>45811</v>
      </c>
      <c r="M243" t="s">
        <v>455</v>
      </c>
      <c r="N243">
        <v>1</v>
      </c>
      <c r="O243">
        <v>1</v>
      </c>
      <c r="P243" t="s">
        <v>2444</v>
      </c>
      <c r="T243" t="s">
        <v>458</v>
      </c>
      <c r="U243" t="s">
        <v>501</v>
      </c>
      <c r="V243" t="s">
        <v>237</v>
      </c>
      <c r="W243">
        <v>0.1</v>
      </c>
      <c r="X243">
        <v>0.1</v>
      </c>
      <c r="Y243" t="s">
        <v>349</v>
      </c>
      <c r="Z243" t="s">
        <v>346</v>
      </c>
      <c r="AA243" t="s">
        <v>340</v>
      </c>
      <c r="AB243" t="s">
        <v>347</v>
      </c>
      <c r="AC243" t="s">
        <v>340</v>
      </c>
      <c r="AD243" t="s">
        <v>2860</v>
      </c>
      <c r="AE243" s="1">
        <v>45811.618136574078</v>
      </c>
      <c r="CI243" t="s">
        <v>337</v>
      </c>
      <c r="CJ243" t="s">
        <v>2431</v>
      </c>
      <c r="CK243">
        <v>45811</v>
      </c>
      <c r="CL243" t="s">
        <v>2430</v>
      </c>
      <c r="CM243" t="s">
        <v>2432</v>
      </c>
      <c r="CN243">
        <v>45811</v>
      </c>
      <c r="CP243" t="s">
        <v>338</v>
      </c>
      <c r="CQ243" t="s">
        <v>2433</v>
      </c>
    </row>
    <row r="244" spans="1:95" x14ac:dyDescent="0.2">
      <c r="A244" t="s">
        <v>333</v>
      </c>
      <c r="B244">
        <v>63</v>
      </c>
      <c r="C244" s="1" t="s">
        <v>2861</v>
      </c>
      <c r="D244" t="s">
        <v>2862</v>
      </c>
      <c r="E244" t="s">
        <v>335</v>
      </c>
      <c r="F244" t="s">
        <v>342</v>
      </c>
      <c r="G244" t="s">
        <v>340</v>
      </c>
      <c r="H244" t="s">
        <v>359</v>
      </c>
      <c r="I244" t="s">
        <v>340</v>
      </c>
      <c r="J244" t="s">
        <v>344</v>
      </c>
      <c r="K244" t="s">
        <v>340</v>
      </c>
      <c r="L244">
        <v>45811</v>
      </c>
      <c r="M244" t="s">
        <v>455</v>
      </c>
      <c r="N244">
        <v>1</v>
      </c>
      <c r="O244">
        <v>1</v>
      </c>
      <c r="P244" t="s">
        <v>2444</v>
      </c>
      <c r="T244" t="s">
        <v>458</v>
      </c>
      <c r="U244" t="s">
        <v>501</v>
      </c>
      <c r="V244" t="s">
        <v>237</v>
      </c>
      <c r="W244">
        <v>0.1</v>
      </c>
      <c r="X244">
        <v>0.1</v>
      </c>
      <c r="Y244" t="s">
        <v>349</v>
      </c>
      <c r="Z244" t="s">
        <v>346</v>
      </c>
      <c r="AA244" t="s">
        <v>340</v>
      </c>
      <c r="AB244" t="s">
        <v>347</v>
      </c>
      <c r="AC244" t="s">
        <v>340</v>
      </c>
      <c r="AD244" t="s">
        <v>2863</v>
      </c>
      <c r="AE244" s="1">
        <v>45811.618136574078</v>
      </c>
      <c r="CI244" t="s">
        <v>337</v>
      </c>
      <c r="CJ244" t="s">
        <v>2431</v>
      </c>
      <c r="CK244">
        <v>45811</v>
      </c>
      <c r="CL244" t="s">
        <v>2430</v>
      </c>
      <c r="CM244" t="s">
        <v>2432</v>
      </c>
      <c r="CN244">
        <v>45811</v>
      </c>
      <c r="CP244" t="s">
        <v>338</v>
      </c>
      <c r="CQ244" t="s">
        <v>2433</v>
      </c>
    </row>
    <row r="245" spans="1:95" x14ac:dyDescent="0.2">
      <c r="A245" t="s">
        <v>333</v>
      </c>
      <c r="B245">
        <v>64</v>
      </c>
      <c r="C245" s="1" t="s">
        <v>2864</v>
      </c>
      <c r="D245" t="s">
        <v>2865</v>
      </c>
      <c r="E245" t="s">
        <v>335</v>
      </c>
      <c r="F245" t="s">
        <v>2866</v>
      </c>
      <c r="G245" t="s">
        <v>340</v>
      </c>
      <c r="H245" t="s">
        <v>2646</v>
      </c>
      <c r="I245" t="s">
        <v>340</v>
      </c>
      <c r="J245" t="s">
        <v>344</v>
      </c>
      <c r="K245" t="s">
        <v>340</v>
      </c>
      <c r="L245">
        <v>45811</v>
      </c>
      <c r="M245" t="s">
        <v>455</v>
      </c>
      <c r="N245">
        <v>1</v>
      </c>
      <c r="O245">
        <v>1</v>
      </c>
      <c r="P245" t="s">
        <v>2444</v>
      </c>
      <c r="T245" t="s">
        <v>458</v>
      </c>
      <c r="U245" t="s">
        <v>2771</v>
      </c>
      <c r="V245" t="s">
        <v>237</v>
      </c>
      <c r="W245">
        <v>5</v>
      </c>
      <c r="X245">
        <v>5</v>
      </c>
      <c r="Y245" t="s">
        <v>2648</v>
      </c>
      <c r="Z245" t="s">
        <v>346</v>
      </c>
      <c r="AA245" t="s">
        <v>340</v>
      </c>
      <c r="AB245" t="s">
        <v>347</v>
      </c>
      <c r="AC245" t="s">
        <v>340</v>
      </c>
      <c r="AD245" t="s">
        <v>2867</v>
      </c>
      <c r="AE245" s="1">
        <v>45811.321574074071</v>
      </c>
      <c r="CI245" t="s">
        <v>337</v>
      </c>
      <c r="CJ245" t="s">
        <v>2431</v>
      </c>
      <c r="CK245">
        <v>45811</v>
      </c>
      <c r="CL245" t="s">
        <v>2430</v>
      </c>
      <c r="CM245" t="s">
        <v>2432</v>
      </c>
      <c r="CN245">
        <v>45811</v>
      </c>
      <c r="CP245" t="s">
        <v>338</v>
      </c>
      <c r="CQ245" t="s">
        <v>2433</v>
      </c>
    </row>
    <row r="246" spans="1:95" x14ac:dyDescent="0.2">
      <c r="A246" t="s">
        <v>333</v>
      </c>
      <c r="B246">
        <v>65</v>
      </c>
      <c r="C246" s="1" t="s">
        <v>2868</v>
      </c>
      <c r="D246" t="s">
        <v>2869</v>
      </c>
      <c r="E246" t="s">
        <v>335</v>
      </c>
      <c r="F246" t="s">
        <v>2870</v>
      </c>
      <c r="G246" t="s">
        <v>340</v>
      </c>
      <c r="H246" t="s">
        <v>2646</v>
      </c>
      <c r="I246" t="s">
        <v>340</v>
      </c>
      <c r="J246" t="s">
        <v>344</v>
      </c>
      <c r="K246" t="s">
        <v>340</v>
      </c>
      <c r="L246">
        <v>45811</v>
      </c>
      <c r="M246" t="s">
        <v>455</v>
      </c>
      <c r="N246">
        <v>1</v>
      </c>
      <c r="O246">
        <v>1</v>
      </c>
      <c r="P246" t="s">
        <v>2444</v>
      </c>
      <c r="T246" t="s">
        <v>458</v>
      </c>
      <c r="U246" t="s">
        <v>2771</v>
      </c>
      <c r="V246" t="s">
        <v>237</v>
      </c>
      <c r="W246">
        <v>5</v>
      </c>
      <c r="X246">
        <v>5</v>
      </c>
      <c r="Y246" t="s">
        <v>2648</v>
      </c>
      <c r="Z246" t="s">
        <v>346</v>
      </c>
      <c r="AA246" t="s">
        <v>340</v>
      </c>
      <c r="AB246" t="s">
        <v>347</v>
      </c>
      <c r="AC246" t="s">
        <v>340</v>
      </c>
      <c r="AD246" t="s">
        <v>2871</v>
      </c>
      <c r="AE246" s="1">
        <v>45811.321574074071</v>
      </c>
      <c r="CI246" t="s">
        <v>337</v>
      </c>
      <c r="CJ246" t="s">
        <v>2431</v>
      </c>
      <c r="CK246">
        <v>45811</v>
      </c>
      <c r="CL246" t="s">
        <v>2430</v>
      </c>
      <c r="CM246" t="s">
        <v>2432</v>
      </c>
      <c r="CN246">
        <v>45811</v>
      </c>
      <c r="CP246" t="s">
        <v>338</v>
      </c>
      <c r="CQ246" t="s">
        <v>2433</v>
      </c>
    </row>
    <row r="247" spans="1:95" x14ac:dyDescent="0.2">
      <c r="A247" t="s">
        <v>333</v>
      </c>
      <c r="B247">
        <v>66</v>
      </c>
      <c r="C247" s="1" t="s">
        <v>2872</v>
      </c>
      <c r="D247" t="s">
        <v>2873</v>
      </c>
      <c r="E247" t="s">
        <v>335</v>
      </c>
      <c r="F247" t="s">
        <v>2874</v>
      </c>
      <c r="G247" t="s">
        <v>340</v>
      </c>
      <c r="H247" t="s">
        <v>2646</v>
      </c>
      <c r="I247" t="s">
        <v>340</v>
      </c>
      <c r="J247" t="s">
        <v>344</v>
      </c>
      <c r="K247" t="s">
        <v>340</v>
      </c>
      <c r="L247">
        <v>45811</v>
      </c>
      <c r="M247" t="s">
        <v>455</v>
      </c>
      <c r="N247">
        <v>1</v>
      </c>
      <c r="O247">
        <v>1</v>
      </c>
      <c r="P247" t="s">
        <v>2444</v>
      </c>
      <c r="T247" t="s">
        <v>458</v>
      </c>
      <c r="U247" t="s">
        <v>2771</v>
      </c>
      <c r="V247" t="s">
        <v>237</v>
      </c>
      <c r="W247">
        <v>5</v>
      </c>
      <c r="X247">
        <v>5</v>
      </c>
      <c r="Y247" t="s">
        <v>2648</v>
      </c>
      <c r="Z247" t="s">
        <v>346</v>
      </c>
      <c r="AA247" t="s">
        <v>340</v>
      </c>
      <c r="AB247" t="s">
        <v>347</v>
      </c>
      <c r="AC247" t="s">
        <v>340</v>
      </c>
      <c r="AD247" t="s">
        <v>2875</v>
      </c>
      <c r="AE247" s="1">
        <v>45811.321574074071</v>
      </c>
      <c r="CI247" t="s">
        <v>337</v>
      </c>
      <c r="CJ247" t="s">
        <v>2431</v>
      </c>
      <c r="CK247">
        <v>45811</v>
      </c>
      <c r="CL247" t="s">
        <v>2430</v>
      </c>
      <c r="CM247" t="s">
        <v>2432</v>
      </c>
      <c r="CN247">
        <v>45811</v>
      </c>
      <c r="CP247" t="s">
        <v>338</v>
      </c>
      <c r="CQ247" t="s">
        <v>2433</v>
      </c>
    </row>
    <row r="248" spans="1:95" x14ac:dyDescent="0.2">
      <c r="A248" t="s">
        <v>333</v>
      </c>
      <c r="B248">
        <v>67</v>
      </c>
      <c r="C248" s="1" t="s">
        <v>2876</v>
      </c>
      <c r="D248" t="s">
        <v>2877</v>
      </c>
      <c r="E248" t="s">
        <v>335</v>
      </c>
      <c r="F248" t="s">
        <v>2878</v>
      </c>
      <c r="G248" t="s">
        <v>340</v>
      </c>
      <c r="H248" t="s">
        <v>2646</v>
      </c>
      <c r="I248" t="s">
        <v>340</v>
      </c>
      <c r="J248" t="s">
        <v>344</v>
      </c>
      <c r="K248" t="s">
        <v>340</v>
      </c>
      <c r="L248">
        <v>45811</v>
      </c>
      <c r="M248" t="s">
        <v>455</v>
      </c>
      <c r="N248">
        <v>1</v>
      </c>
      <c r="O248">
        <v>1</v>
      </c>
      <c r="P248" t="s">
        <v>2444</v>
      </c>
      <c r="T248" t="s">
        <v>458</v>
      </c>
      <c r="U248" t="s">
        <v>2771</v>
      </c>
      <c r="V248" t="s">
        <v>237</v>
      </c>
      <c r="W248">
        <v>5</v>
      </c>
      <c r="X248">
        <v>5</v>
      </c>
      <c r="Y248" t="s">
        <v>2648</v>
      </c>
      <c r="Z248" t="s">
        <v>346</v>
      </c>
      <c r="AA248" t="s">
        <v>340</v>
      </c>
      <c r="AB248" t="s">
        <v>347</v>
      </c>
      <c r="AC248" t="s">
        <v>340</v>
      </c>
      <c r="AD248" t="s">
        <v>2879</v>
      </c>
      <c r="AE248" s="1">
        <v>45811.321574074071</v>
      </c>
      <c r="CI248" t="s">
        <v>337</v>
      </c>
      <c r="CJ248" t="s">
        <v>2431</v>
      </c>
      <c r="CK248">
        <v>45811</v>
      </c>
      <c r="CL248" t="s">
        <v>2430</v>
      </c>
      <c r="CM248" t="s">
        <v>2432</v>
      </c>
      <c r="CN248">
        <v>45811</v>
      </c>
      <c r="CP248" t="s">
        <v>338</v>
      </c>
      <c r="CQ248" t="s">
        <v>2433</v>
      </c>
    </row>
    <row r="249" spans="1:95" x14ac:dyDescent="0.2">
      <c r="A249" t="s">
        <v>333</v>
      </c>
      <c r="B249">
        <v>68</v>
      </c>
      <c r="C249" s="1" t="s">
        <v>2880</v>
      </c>
      <c r="D249" t="s">
        <v>2881</v>
      </c>
      <c r="E249" t="s">
        <v>335</v>
      </c>
      <c r="F249" t="s">
        <v>2645</v>
      </c>
      <c r="G249" t="s">
        <v>340</v>
      </c>
      <c r="H249" t="s">
        <v>2646</v>
      </c>
      <c r="I249" t="s">
        <v>340</v>
      </c>
      <c r="J249" t="s">
        <v>344</v>
      </c>
      <c r="K249" t="s">
        <v>340</v>
      </c>
      <c r="L249">
        <v>45811</v>
      </c>
      <c r="M249" t="s">
        <v>455</v>
      </c>
      <c r="N249">
        <v>1</v>
      </c>
      <c r="O249">
        <v>1</v>
      </c>
      <c r="P249" t="s">
        <v>2450</v>
      </c>
      <c r="T249" t="s">
        <v>458</v>
      </c>
      <c r="U249" t="s">
        <v>2647</v>
      </c>
      <c r="V249" t="s">
        <v>237</v>
      </c>
      <c r="W249">
        <v>20</v>
      </c>
      <c r="X249">
        <v>20</v>
      </c>
      <c r="Y249" t="s">
        <v>2648</v>
      </c>
      <c r="Z249" t="s">
        <v>346</v>
      </c>
      <c r="AA249" t="s">
        <v>340</v>
      </c>
      <c r="AB249" t="s">
        <v>347</v>
      </c>
      <c r="AC249" t="s">
        <v>340</v>
      </c>
      <c r="AD249" t="s">
        <v>2882</v>
      </c>
      <c r="AE249" s="1">
        <v>45811.321909722225</v>
      </c>
      <c r="CI249" t="s">
        <v>337</v>
      </c>
      <c r="CJ249" t="s">
        <v>2431</v>
      </c>
      <c r="CK249">
        <v>45811</v>
      </c>
      <c r="CL249" t="s">
        <v>2430</v>
      </c>
      <c r="CM249" t="s">
        <v>2432</v>
      </c>
      <c r="CN249">
        <v>45811</v>
      </c>
      <c r="CP249" t="s">
        <v>338</v>
      </c>
      <c r="CQ249" t="s">
        <v>2433</v>
      </c>
    </row>
    <row r="250" spans="1:95" x14ac:dyDescent="0.2">
      <c r="A250" t="s">
        <v>333</v>
      </c>
      <c r="B250">
        <v>69</v>
      </c>
      <c r="C250" s="1" t="s">
        <v>2883</v>
      </c>
      <c r="D250" t="s">
        <v>2884</v>
      </c>
      <c r="E250" t="s">
        <v>335</v>
      </c>
      <c r="F250" t="s">
        <v>342</v>
      </c>
      <c r="G250" t="s">
        <v>340</v>
      </c>
      <c r="H250" t="s">
        <v>2652</v>
      </c>
      <c r="I250" t="s">
        <v>340</v>
      </c>
      <c r="J250" t="s">
        <v>344</v>
      </c>
      <c r="K250" t="s">
        <v>340</v>
      </c>
      <c r="L250">
        <v>45811</v>
      </c>
      <c r="M250" t="s">
        <v>455</v>
      </c>
      <c r="N250">
        <v>1</v>
      </c>
      <c r="O250">
        <v>1</v>
      </c>
      <c r="P250" t="s">
        <v>2450</v>
      </c>
      <c r="T250" t="s">
        <v>458</v>
      </c>
      <c r="U250" t="s">
        <v>2653</v>
      </c>
      <c r="V250" t="s">
        <v>237</v>
      </c>
      <c r="W250">
        <v>1</v>
      </c>
      <c r="X250">
        <v>1</v>
      </c>
      <c r="Y250" t="s">
        <v>349</v>
      </c>
      <c r="Z250" t="s">
        <v>346</v>
      </c>
      <c r="AA250" t="s">
        <v>340</v>
      </c>
      <c r="AB250" t="s">
        <v>347</v>
      </c>
      <c r="AC250" t="s">
        <v>340</v>
      </c>
      <c r="AD250" t="s">
        <v>2885</v>
      </c>
      <c r="AE250" s="1">
        <v>45811.309270833335</v>
      </c>
      <c r="CI250" t="s">
        <v>337</v>
      </c>
      <c r="CJ250" t="s">
        <v>2431</v>
      </c>
      <c r="CK250">
        <v>45811</v>
      </c>
      <c r="CL250" t="s">
        <v>2430</v>
      </c>
      <c r="CM250" t="s">
        <v>2432</v>
      </c>
      <c r="CN250">
        <v>45811</v>
      </c>
      <c r="CP250" t="s">
        <v>338</v>
      </c>
      <c r="CQ250" t="s">
        <v>2433</v>
      </c>
    </row>
    <row r="251" spans="1:95" x14ac:dyDescent="0.2">
      <c r="A251" t="s">
        <v>333</v>
      </c>
      <c r="B251">
        <v>70</v>
      </c>
      <c r="C251" s="1" t="s">
        <v>2886</v>
      </c>
      <c r="D251" t="s">
        <v>2887</v>
      </c>
      <c r="E251" t="s">
        <v>335</v>
      </c>
      <c r="F251" t="s">
        <v>342</v>
      </c>
      <c r="G251" t="s">
        <v>340</v>
      </c>
      <c r="H251" t="s">
        <v>2657</v>
      </c>
      <c r="I251" t="s">
        <v>340</v>
      </c>
      <c r="J251" t="s">
        <v>344</v>
      </c>
      <c r="K251" t="s">
        <v>340</v>
      </c>
      <c r="L251">
        <v>45811</v>
      </c>
      <c r="M251" t="s">
        <v>455</v>
      </c>
      <c r="N251">
        <v>1</v>
      </c>
      <c r="O251">
        <v>1</v>
      </c>
      <c r="P251" t="s">
        <v>2450</v>
      </c>
      <c r="T251" t="s">
        <v>458</v>
      </c>
      <c r="U251" t="s">
        <v>2653</v>
      </c>
      <c r="V251" t="s">
        <v>237</v>
      </c>
      <c r="W251">
        <v>1</v>
      </c>
      <c r="X251">
        <v>1</v>
      </c>
      <c r="Y251" t="s">
        <v>349</v>
      </c>
      <c r="Z251" t="s">
        <v>346</v>
      </c>
      <c r="AA251" t="s">
        <v>340</v>
      </c>
      <c r="AB251" t="s">
        <v>347</v>
      </c>
      <c r="AC251" t="s">
        <v>340</v>
      </c>
      <c r="AD251" t="s">
        <v>2888</v>
      </c>
      <c r="AE251" s="1">
        <v>45811.309270833335</v>
      </c>
      <c r="CI251" t="s">
        <v>337</v>
      </c>
      <c r="CJ251" t="s">
        <v>2431</v>
      </c>
      <c r="CK251">
        <v>45811</v>
      </c>
      <c r="CL251" t="s">
        <v>2430</v>
      </c>
      <c r="CM251" t="s">
        <v>2432</v>
      </c>
      <c r="CN251">
        <v>45811</v>
      </c>
      <c r="CP251" t="s">
        <v>338</v>
      </c>
      <c r="CQ251" t="s">
        <v>2433</v>
      </c>
    </row>
    <row r="252" spans="1:95" x14ac:dyDescent="0.2">
      <c r="A252" t="s">
        <v>333</v>
      </c>
      <c r="B252">
        <v>71</v>
      </c>
      <c r="C252" s="1" t="s">
        <v>2889</v>
      </c>
      <c r="D252" t="s">
        <v>2890</v>
      </c>
      <c r="E252" t="s">
        <v>335</v>
      </c>
      <c r="F252" t="s">
        <v>342</v>
      </c>
      <c r="G252" t="s">
        <v>340</v>
      </c>
      <c r="H252" t="s">
        <v>2661</v>
      </c>
      <c r="I252" t="s">
        <v>340</v>
      </c>
      <c r="J252" t="s">
        <v>344</v>
      </c>
      <c r="K252" t="s">
        <v>340</v>
      </c>
      <c r="L252">
        <v>45811</v>
      </c>
      <c r="M252" t="s">
        <v>455</v>
      </c>
      <c r="N252">
        <v>1</v>
      </c>
      <c r="O252">
        <v>1</v>
      </c>
      <c r="P252" t="s">
        <v>2450</v>
      </c>
      <c r="T252" t="s">
        <v>458</v>
      </c>
      <c r="U252" t="s">
        <v>2653</v>
      </c>
      <c r="V252" t="s">
        <v>237</v>
      </c>
      <c r="W252">
        <v>1</v>
      </c>
      <c r="X252">
        <v>1</v>
      </c>
      <c r="Y252" t="s">
        <v>349</v>
      </c>
      <c r="Z252" t="s">
        <v>346</v>
      </c>
      <c r="AA252" t="s">
        <v>340</v>
      </c>
      <c r="AB252" t="s">
        <v>347</v>
      </c>
      <c r="AC252" t="s">
        <v>340</v>
      </c>
      <c r="AD252" t="s">
        <v>2891</v>
      </c>
      <c r="AE252" s="1">
        <v>45811.309270833335</v>
      </c>
      <c r="CI252" t="s">
        <v>337</v>
      </c>
      <c r="CJ252" t="s">
        <v>2431</v>
      </c>
      <c r="CK252">
        <v>45811</v>
      </c>
      <c r="CL252" t="s">
        <v>2430</v>
      </c>
      <c r="CM252" t="s">
        <v>2432</v>
      </c>
      <c r="CN252">
        <v>45811</v>
      </c>
      <c r="CP252" t="s">
        <v>338</v>
      </c>
      <c r="CQ252" t="s">
        <v>2433</v>
      </c>
    </row>
    <row r="253" spans="1:95" x14ac:dyDescent="0.2">
      <c r="A253" t="s">
        <v>333</v>
      </c>
      <c r="B253">
        <v>72</v>
      </c>
      <c r="C253" s="1" t="s">
        <v>2892</v>
      </c>
      <c r="D253" t="s">
        <v>2893</v>
      </c>
      <c r="E253" t="s">
        <v>335</v>
      </c>
      <c r="F253" t="s">
        <v>342</v>
      </c>
      <c r="G253" t="s">
        <v>340</v>
      </c>
      <c r="H253" t="s">
        <v>2665</v>
      </c>
      <c r="I253" t="s">
        <v>340</v>
      </c>
      <c r="J253" t="s">
        <v>344</v>
      </c>
      <c r="K253" t="s">
        <v>340</v>
      </c>
      <c r="L253">
        <v>45811</v>
      </c>
      <c r="M253" t="s">
        <v>455</v>
      </c>
      <c r="N253">
        <v>1</v>
      </c>
      <c r="O253">
        <v>1</v>
      </c>
      <c r="P253" t="s">
        <v>2450</v>
      </c>
      <c r="T253" t="s">
        <v>458</v>
      </c>
      <c r="U253" t="s">
        <v>2653</v>
      </c>
      <c r="V253" t="s">
        <v>237</v>
      </c>
      <c r="W253">
        <v>1</v>
      </c>
      <c r="X253">
        <v>1</v>
      </c>
      <c r="Y253" t="s">
        <v>349</v>
      </c>
      <c r="Z253" t="s">
        <v>346</v>
      </c>
      <c r="AA253" t="s">
        <v>340</v>
      </c>
      <c r="AB253" t="s">
        <v>347</v>
      </c>
      <c r="AC253" t="s">
        <v>340</v>
      </c>
      <c r="AD253" t="s">
        <v>2894</v>
      </c>
      <c r="AE253" s="1">
        <v>45811.309270833335</v>
      </c>
      <c r="CI253" t="s">
        <v>337</v>
      </c>
      <c r="CJ253" t="s">
        <v>2431</v>
      </c>
      <c r="CK253">
        <v>45811</v>
      </c>
      <c r="CL253" t="s">
        <v>2430</v>
      </c>
      <c r="CM253" t="s">
        <v>2432</v>
      </c>
      <c r="CN253">
        <v>45811</v>
      </c>
      <c r="CP253" t="s">
        <v>338</v>
      </c>
      <c r="CQ253" t="s">
        <v>2433</v>
      </c>
    </row>
    <row r="254" spans="1:95" x14ac:dyDescent="0.2">
      <c r="A254" t="s">
        <v>333</v>
      </c>
      <c r="B254">
        <v>73</v>
      </c>
      <c r="C254" s="1" t="s">
        <v>2895</v>
      </c>
      <c r="D254" t="s">
        <v>2896</v>
      </c>
      <c r="E254" t="s">
        <v>335</v>
      </c>
      <c r="F254" t="s">
        <v>342</v>
      </c>
      <c r="G254" t="s">
        <v>340</v>
      </c>
      <c r="H254" t="s">
        <v>2669</v>
      </c>
      <c r="I254" t="s">
        <v>340</v>
      </c>
      <c r="J254" t="s">
        <v>344</v>
      </c>
      <c r="K254" t="s">
        <v>340</v>
      </c>
      <c r="L254">
        <v>45811</v>
      </c>
      <c r="M254" t="s">
        <v>455</v>
      </c>
      <c r="N254">
        <v>1</v>
      </c>
      <c r="O254">
        <v>1</v>
      </c>
      <c r="P254" t="s">
        <v>2450</v>
      </c>
      <c r="T254" t="s">
        <v>458</v>
      </c>
      <c r="U254" t="s">
        <v>2653</v>
      </c>
      <c r="V254" t="s">
        <v>237</v>
      </c>
      <c r="W254">
        <v>1</v>
      </c>
      <c r="X254">
        <v>1</v>
      </c>
      <c r="Y254" t="s">
        <v>349</v>
      </c>
      <c r="Z254" t="s">
        <v>346</v>
      </c>
      <c r="AA254" t="s">
        <v>340</v>
      </c>
      <c r="AB254" t="s">
        <v>347</v>
      </c>
      <c r="AC254" t="s">
        <v>340</v>
      </c>
      <c r="AD254" t="s">
        <v>2897</v>
      </c>
      <c r="AE254" s="1">
        <v>45811.309270833335</v>
      </c>
      <c r="CI254" t="s">
        <v>337</v>
      </c>
      <c r="CJ254" t="s">
        <v>2431</v>
      </c>
      <c r="CK254">
        <v>45811</v>
      </c>
      <c r="CL254" t="s">
        <v>2430</v>
      </c>
      <c r="CM254" t="s">
        <v>2432</v>
      </c>
      <c r="CN254">
        <v>45811</v>
      </c>
      <c r="CP254" t="s">
        <v>338</v>
      </c>
      <c r="CQ254" t="s">
        <v>2433</v>
      </c>
    </row>
    <row r="255" spans="1:95" x14ac:dyDescent="0.2">
      <c r="A255" t="s">
        <v>333</v>
      </c>
      <c r="B255">
        <v>74</v>
      </c>
      <c r="C255" s="1" t="s">
        <v>2898</v>
      </c>
      <c r="D255" t="s">
        <v>2899</v>
      </c>
      <c r="E255" t="s">
        <v>335</v>
      </c>
      <c r="F255" t="s">
        <v>342</v>
      </c>
      <c r="G255" t="s">
        <v>340</v>
      </c>
      <c r="H255" t="s">
        <v>2673</v>
      </c>
      <c r="I255" t="s">
        <v>340</v>
      </c>
      <c r="J255" t="s">
        <v>344</v>
      </c>
      <c r="K255" t="s">
        <v>340</v>
      </c>
      <c r="L255">
        <v>45811</v>
      </c>
      <c r="M255" t="s">
        <v>455</v>
      </c>
      <c r="N255">
        <v>1</v>
      </c>
      <c r="O255">
        <v>1</v>
      </c>
      <c r="P255" t="s">
        <v>2450</v>
      </c>
      <c r="T255" t="s">
        <v>458</v>
      </c>
      <c r="U255" t="s">
        <v>2653</v>
      </c>
      <c r="V255" t="s">
        <v>237</v>
      </c>
      <c r="W255">
        <v>1</v>
      </c>
      <c r="X255">
        <v>1</v>
      </c>
      <c r="Y255" t="s">
        <v>349</v>
      </c>
      <c r="Z255" t="s">
        <v>346</v>
      </c>
      <c r="AA255" t="s">
        <v>340</v>
      </c>
      <c r="AB255" t="s">
        <v>347</v>
      </c>
      <c r="AC255" t="s">
        <v>340</v>
      </c>
      <c r="AD255" t="s">
        <v>2900</v>
      </c>
      <c r="AE255" s="1">
        <v>45811.309270833335</v>
      </c>
      <c r="CI255" t="s">
        <v>337</v>
      </c>
      <c r="CJ255" t="s">
        <v>2431</v>
      </c>
      <c r="CK255">
        <v>45811</v>
      </c>
      <c r="CL255" t="s">
        <v>2430</v>
      </c>
      <c r="CM255" t="s">
        <v>2432</v>
      </c>
      <c r="CN255">
        <v>45811</v>
      </c>
      <c r="CP255" t="s">
        <v>338</v>
      </c>
      <c r="CQ255" t="s">
        <v>2433</v>
      </c>
    </row>
    <row r="256" spans="1:95" x14ac:dyDescent="0.2">
      <c r="A256" t="s">
        <v>333</v>
      </c>
      <c r="B256">
        <v>75</v>
      </c>
      <c r="C256" s="1" t="s">
        <v>2901</v>
      </c>
      <c r="D256" t="s">
        <v>2902</v>
      </c>
      <c r="E256" t="s">
        <v>335</v>
      </c>
      <c r="F256" t="s">
        <v>342</v>
      </c>
      <c r="G256" t="s">
        <v>340</v>
      </c>
      <c r="H256" t="s">
        <v>2677</v>
      </c>
      <c r="I256" t="s">
        <v>340</v>
      </c>
      <c r="J256" t="s">
        <v>344</v>
      </c>
      <c r="K256" t="s">
        <v>340</v>
      </c>
      <c r="L256">
        <v>45811</v>
      </c>
      <c r="M256" t="s">
        <v>455</v>
      </c>
      <c r="N256">
        <v>1</v>
      </c>
      <c r="O256">
        <v>1</v>
      </c>
      <c r="P256" t="s">
        <v>2450</v>
      </c>
      <c r="T256" t="s">
        <v>458</v>
      </c>
      <c r="U256" t="s">
        <v>2653</v>
      </c>
      <c r="V256" t="s">
        <v>237</v>
      </c>
      <c r="W256">
        <v>1</v>
      </c>
      <c r="X256">
        <v>1</v>
      </c>
      <c r="Y256" t="s">
        <v>349</v>
      </c>
      <c r="Z256" t="s">
        <v>346</v>
      </c>
      <c r="AA256" t="s">
        <v>340</v>
      </c>
      <c r="AB256" t="s">
        <v>347</v>
      </c>
      <c r="AC256" t="s">
        <v>340</v>
      </c>
      <c r="AD256" t="s">
        <v>2903</v>
      </c>
      <c r="AE256" s="1">
        <v>45811.309270833335</v>
      </c>
      <c r="CI256" t="s">
        <v>337</v>
      </c>
      <c r="CJ256" t="s">
        <v>2431</v>
      </c>
      <c r="CK256">
        <v>45811</v>
      </c>
      <c r="CL256" t="s">
        <v>2430</v>
      </c>
      <c r="CM256" t="s">
        <v>2432</v>
      </c>
      <c r="CN256">
        <v>45811</v>
      </c>
      <c r="CP256" t="s">
        <v>338</v>
      </c>
      <c r="CQ256" t="s">
        <v>2433</v>
      </c>
    </row>
    <row r="257" spans="1:95" x14ac:dyDescent="0.2">
      <c r="A257" t="s">
        <v>333</v>
      </c>
      <c r="B257">
        <v>76</v>
      </c>
      <c r="C257" s="1" t="s">
        <v>2904</v>
      </c>
      <c r="D257" t="s">
        <v>2905</v>
      </c>
      <c r="E257" t="s">
        <v>335</v>
      </c>
      <c r="F257" t="s">
        <v>342</v>
      </c>
      <c r="G257" t="s">
        <v>340</v>
      </c>
      <c r="H257" t="s">
        <v>343</v>
      </c>
      <c r="I257" t="s">
        <v>340</v>
      </c>
      <c r="J257" t="s">
        <v>344</v>
      </c>
      <c r="K257" t="s">
        <v>340</v>
      </c>
      <c r="L257">
        <v>45811</v>
      </c>
      <c r="M257" t="s">
        <v>455</v>
      </c>
      <c r="N257">
        <v>1</v>
      </c>
      <c r="O257">
        <v>1</v>
      </c>
      <c r="P257" t="s">
        <v>2450</v>
      </c>
      <c r="T257" t="s">
        <v>458</v>
      </c>
      <c r="U257" t="s">
        <v>2906</v>
      </c>
      <c r="W257">
        <v>78.5</v>
      </c>
      <c r="X257">
        <v>78.5</v>
      </c>
      <c r="Y257" t="s">
        <v>345</v>
      </c>
      <c r="Z257" t="s">
        <v>346</v>
      </c>
      <c r="AA257" t="s">
        <v>340</v>
      </c>
      <c r="AB257" t="s">
        <v>347</v>
      </c>
      <c r="AC257" t="s">
        <v>340</v>
      </c>
      <c r="AD257" t="s">
        <v>2907</v>
      </c>
      <c r="AE257" s="1">
        <v>45811.204201388886</v>
      </c>
      <c r="CI257" t="s">
        <v>337</v>
      </c>
      <c r="CJ257" t="s">
        <v>2431</v>
      </c>
      <c r="CK257">
        <v>45811</v>
      </c>
      <c r="CL257" t="s">
        <v>2430</v>
      </c>
      <c r="CM257" t="s">
        <v>2432</v>
      </c>
      <c r="CN257">
        <v>45811</v>
      </c>
      <c r="CP257" t="s">
        <v>338</v>
      </c>
      <c r="CQ257" t="s">
        <v>2433</v>
      </c>
    </row>
    <row r="258" spans="1:95" x14ac:dyDescent="0.2">
      <c r="A258" t="s">
        <v>333</v>
      </c>
      <c r="B258">
        <v>77</v>
      </c>
      <c r="C258" s="1" t="s">
        <v>2908</v>
      </c>
      <c r="D258" t="s">
        <v>2909</v>
      </c>
      <c r="E258" t="s">
        <v>335</v>
      </c>
      <c r="F258" t="s">
        <v>342</v>
      </c>
      <c r="G258" t="s">
        <v>340</v>
      </c>
      <c r="H258" t="s">
        <v>2685</v>
      </c>
      <c r="I258" t="s">
        <v>340</v>
      </c>
      <c r="J258" t="s">
        <v>344</v>
      </c>
      <c r="K258" t="s">
        <v>340</v>
      </c>
      <c r="L258">
        <v>45811</v>
      </c>
      <c r="M258" t="s">
        <v>455</v>
      </c>
      <c r="N258">
        <v>1</v>
      </c>
      <c r="O258">
        <v>1</v>
      </c>
      <c r="P258" t="s">
        <v>2450</v>
      </c>
      <c r="T258" t="s">
        <v>458</v>
      </c>
      <c r="U258" t="s">
        <v>2686</v>
      </c>
      <c r="V258" t="s">
        <v>237</v>
      </c>
      <c r="W258">
        <v>0.01</v>
      </c>
      <c r="X258">
        <v>0.01</v>
      </c>
      <c r="Y258" t="s">
        <v>2648</v>
      </c>
      <c r="Z258" t="s">
        <v>346</v>
      </c>
      <c r="AA258" t="s">
        <v>340</v>
      </c>
      <c r="AB258" t="s">
        <v>347</v>
      </c>
      <c r="AC258" t="s">
        <v>340</v>
      </c>
      <c r="AD258" t="s">
        <v>2910</v>
      </c>
      <c r="AE258" s="1">
        <v>45811.309259259258</v>
      </c>
      <c r="CI258" t="s">
        <v>337</v>
      </c>
      <c r="CJ258" t="s">
        <v>2431</v>
      </c>
      <c r="CK258">
        <v>45811</v>
      </c>
      <c r="CL258" t="s">
        <v>2430</v>
      </c>
      <c r="CM258" t="s">
        <v>2432</v>
      </c>
      <c r="CN258">
        <v>45811</v>
      </c>
      <c r="CP258" t="s">
        <v>338</v>
      </c>
      <c r="CQ258" t="s">
        <v>2433</v>
      </c>
    </row>
    <row r="259" spans="1:95" x14ac:dyDescent="0.2">
      <c r="A259" t="s">
        <v>333</v>
      </c>
      <c r="B259">
        <v>78</v>
      </c>
      <c r="C259" s="1" t="s">
        <v>2911</v>
      </c>
      <c r="D259" t="s">
        <v>2912</v>
      </c>
      <c r="E259" t="s">
        <v>335</v>
      </c>
      <c r="F259" t="s">
        <v>342</v>
      </c>
      <c r="G259" t="s">
        <v>340</v>
      </c>
      <c r="H259" t="s">
        <v>2690</v>
      </c>
      <c r="I259" t="s">
        <v>340</v>
      </c>
      <c r="J259" t="s">
        <v>344</v>
      </c>
      <c r="K259" t="s">
        <v>340</v>
      </c>
      <c r="L259">
        <v>45811</v>
      </c>
      <c r="M259" t="s">
        <v>455</v>
      </c>
      <c r="N259">
        <v>1</v>
      </c>
      <c r="O259">
        <v>1</v>
      </c>
      <c r="P259" t="s">
        <v>2450</v>
      </c>
      <c r="T259" t="s">
        <v>458</v>
      </c>
      <c r="U259" t="s">
        <v>2686</v>
      </c>
      <c r="V259" t="s">
        <v>237</v>
      </c>
      <c r="W259">
        <v>0.01</v>
      </c>
      <c r="X259">
        <v>0.01</v>
      </c>
      <c r="Y259" t="s">
        <v>2648</v>
      </c>
      <c r="Z259" t="s">
        <v>346</v>
      </c>
      <c r="AA259" t="s">
        <v>340</v>
      </c>
      <c r="AB259" t="s">
        <v>347</v>
      </c>
      <c r="AC259" t="s">
        <v>340</v>
      </c>
      <c r="AD259" t="s">
        <v>2913</v>
      </c>
      <c r="AE259" s="1">
        <v>45811.309259259258</v>
      </c>
      <c r="CI259" t="s">
        <v>337</v>
      </c>
      <c r="CJ259" t="s">
        <v>2431</v>
      </c>
      <c r="CK259">
        <v>45811</v>
      </c>
      <c r="CL259" t="s">
        <v>2430</v>
      </c>
      <c r="CM259" t="s">
        <v>2432</v>
      </c>
      <c r="CN259">
        <v>45811</v>
      </c>
      <c r="CP259" t="s">
        <v>338</v>
      </c>
      <c r="CQ259" t="s">
        <v>2433</v>
      </c>
    </row>
    <row r="260" spans="1:95" x14ac:dyDescent="0.2">
      <c r="A260" t="s">
        <v>333</v>
      </c>
      <c r="B260">
        <v>79</v>
      </c>
      <c r="C260" s="1" t="s">
        <v>2914</v>
      </c>
      <c r="D260" t="s">
        <v>2915</v>
      </c>
      <c r="E260" t="s">
        <v>335</v>
      </c>
      <c r="F260" t="s">
        <v>342</v>
      </c>
      <c r="G260" t="s">
        <v>340</v>
      </c>
      <c r="H260" t="s">
        <v>2694</v>
      </c>
      <c r="I260" t="s">
        <v>340</v>
      </c>
      <c r="J260" t="s">
        <v>344</v>
      </c>
      <c r="K260" t="s">
        <v>340</v>
      </c>
      <c r="L260">
        <v>45811</v>
      </c>
      <c r="M260" t="s">
        <v>455</v>
      </c>
      <c r="N260">
        <v>1</v>
      </c>
      <c r="O260">
        <v>1</v>
      </c>
      <c r="P260" t="s">
        <v>2450</v>
      </c>
      <c r="T260" t="s">
        <v>458</v>
      </c>
      <c r="U260" t="s">
        <v>2686</v>
      </c>
      <c r="V260" t="s">
        <v>237</v>
      </c>
      <c r="W260">
        <v>0.01</v>
      </c>
      <c r="X260">
        <v>0.01</v>
      </c>
      <c r="Y260" t="s">
        <v>2648</v>
      </c>
      <c r="Z260" t="s">
        <v>346</v>
      </c>
      <c r="AA260" t="s">
        <v>340</v>
      </c>
      <c r="AB260" t="s">
        <v>347</v>
      </c>
      <c r="AC260" t="s">
        <v>340</v>
      </c>
      <c r="AD260" t="s">
        <v>2916</v>
      </c>
      <c r="AE260" s="1">
        <v>45811.309270833335</v>
      </c>
      <c r="CI260" t="s">
        <v>337</v>
      </c>
      <c r="CJ260" t="s">
        <v>2431</v>
      </c>
      <c r="CK260">
        <v>45811</v>
      </c>
      <c r="CL260" t="s">
        <v>2430</v>
      </c>
      <c r="CM260" t="s">
        <v>2432</v>
      </c>
      <c r="CN260">
        <v>45811</v>
      </c>
      <c r="CP260" t="s">
        <v>338</v>
      </c>
      <c r="CQ260" t="s">
        <v>2433</v>
      </c>
    </row>
    <row r="261" spans="1:95" x14ac:dyDescent="0.2">
      <c r="A261" t="s">
        <v>333</v>
      </c>
      <c r="B261">
        <v>80</v>
      </c>
      <c r="C261" s="1" t="s">
        <v>2917</v>
      </c>
      <c r="D261" t="s">
        <v>2918</v>
      </c>
      <c r="E261" t="s">
        <v>335</v>
      </c>
      <c r="F261" t="s">
        <v>342</v>
      </c>
      <c r="G261" t="s">
        <v>340</v>
      </c>
      <c r="H261" t="s">
        <v>2698</v>
      </c>
      <c r="I261" t="s">
        <v>340</v>
      </c>
      <c r="J261" t="s">
        <v>344</v>
      </c>
      <c r="K261" t="s">
        <v>340</v>
      </c>
      <c r="L261">
        <v>45811</v>
      </c>
      <c r="M261" t="s">
        <v>455</v>
      </c>
      <c r="N261">
        <v>1</v>
      </c>
      <c r="O261">
        <v>1</v>
      </c>
      <c r="P261" t="s">
        <v>2450</v>
      </c>
      <c r="T261" t="s">
        <v>458</v>
      </c>
      <c r="U261" t="s">
        <v>2686</v>
      </c>
      <c r="V261" t="s">
        <v>237</v>
      </c>
      <c r="W261">
        <v>0.01</v>
      </c>
      <c r="X261">
        <v>0.01</v>
      </c>
      <c r="Y261" t="s">
        <v>2648</v>
      </c>
      <c r="Z261" t="s">
        <v>346</v>
      </c>
      <c r="AA261" t="s">
        <v>340</v>
      </c>
      <c r="AB261" t="s">
        <v>347</v>
      </c>
      <c r="AC261" t="s">
        <v>340</v>
      </c>
      <c r="AD261" t="s">
        <v>2919</v>
      </c>
      <c r="AE261" s="1">
        <v>45811.309270833335</v>
      </c>
      <c r="CI261" t="s">
        <v>337</v>
      </c>
      <c r="CJ261" t="s">
        <v>2431</v>
      </c>
      <c r="CK261">
        <v>45811</v>
      </c>
      <c r="CL261" t="s">
        <v>2430</v>
      </c>
      <c r="CM261" t="s">
        <v>2432</v>
      </c>
      <c r="CN261">
        <v>45811</v>
      </c>
      <c r="CP261" t="s">
        <v>338</v>
      </c>
      <c r="CQ261" t="s">
        <v>2433</v>
      </c>
    </row>
    <row r="262" spans="1:95" x14ac:dyDescent="0.2">
      <c r="A262" t="s">
        <v>333</v>
      </c>
      <c r="B262">
        <v>81</v>
      </c>
      <c r="C262" s="1" t="s">
        <v>2920</v>
      </c>
      <c r="D262" t="s">
        <v>2921</v>
      </c>
      <c r="E262" t="s">
        <v>335</v>
      </c>
      <c r="F262" t="s">
        <v>342</v>
      </c>
      <c r="G262" t="s">
        <v>340</v>
      </c>
      <c r="H262" t="s">
        <v>2702</v>
      </c>
      <c r="I262" t="s">
        <v>340</v>
      </c>
      <c r="J262" t="s">
        <v>344</v>
      </c>
      <c r="K262" t="s">
        <v>340</v>
      </c>
      <c r="L262">
        <v>45811</v>
      </c>
      <c r="M262" t="s">
        <v>455</v>
      </c>
      <c r="N262">
        <v>1</v>
      </c>
      <c r="O262">
        <v>1</v>
      </c>
      <c r="P262" t="s">
        <v>2450</v>
      </c>
      <c r="T262" t="s">
        <v>458</v>
      </c>
      <c r="U262" t="s">
        <v>2686</v>
      </c>
      <c r="V262" t="s">
        <v>237</v>
      </c>
      <c r="W262">
        <v>0.01</v>
      </c>
      <c r="X262">
        <v>0.01</v>
      </c>
      <c r="Y262" t="s">
        <v>2648</v>
      </c>
      <c r="Z262" t="s">
        <v>346</v>
      </c>
      <c r="AA262" t="s">
        <v>340</v>
      </c>
      <c r="AB262" t="s">
        <v>347</v>
      </c>
      <c r="AC262" t="s">
        <v>340</v>
      </c>
      <c r="AD262" t="s">
        <v>2922</v>
      </c>
      <c r="AE262" s="1">
        <v>45811.309270833335</v>
      </c>
      <c r="CI262" t="s">
        <v>337</v>
      </c>
      <c r="CJ262" t="s">
        <v>2431</v>
      </c>
      <c r="CK262">
        <v>45811</v>
      </c>
      <c r="CL262" t="s">
        <v>2430</v>
      </c>
      <c r="CM262" t="s">
        <v>2432</v>
      </c>
      <c r="CN262">
        <v>45811</v>
      </c>
      <c r="CP262" t="s">
        <v>338</v>
      </c>
      <c r="CQ262" t="s">
        <v>2433</v>
      </c>
    </row>
    <row r="263" spans="1:95" x14ac:dyDescent="0.2">
      <c r="A263" t="s">
        <v>333</v>
      </c>
      <c r="B263">
        <v>82</v>
      </c>
      <c r="C263" s="1" t="s">
        <v>2923</v>
      </c>
      <c r="D263" t="s">
        <v>2924</v>
      </c>
      <c r="E263" t="s">
        <v>335</v>
      </c>
      <c r="F263" t="s">
        <v>342</v>
      </c>
      <c r="G263" t="s">
        <v>340</v>
      </c>
      <c r="H263" t="s">
        <v>2706</v>
      </c>
      <c r="I263" t="s">
        <v>340</v>
      </c>
      <c r="J263" t="s">
        <v>344</v>
      </c>
      <c r="K263" t="s">
        <v>340</v>
      </c>
      <c r="L263">
        <v>45811</v>
      </c>
      <c r="M263" t="s">
        <v>455</v>
      </c>
      <c r="N263">
        <v>1</v>
      </c>
      <c r="O263">
        <v>1</v>
      </c>
      <c r="P263" t="s">
        <v>2450</v>
      </c>
      <c r="T263" t="s">
        <v>458</v>
      </c>
      <c r="U263" t="s">
        <v>2686</v>
      </c>
      <c r="V263" t="s">
        <v>237</v>
      </c>
      <c r="W263">
        <v>0.01</v>
      </c>
      <c r="X263">
        <v>0.01</v>
      </c>
      <c r="Y263" t="s">
        <v>2648</v>
      </c>
      <c r="Z263" t="s">
        <v>346</v>
      </c>
      <c r="AA263" t="s">
        <v>340</v>
      </c>
      <c r="AB263" t="s">
        <v>347</v>
      </c>
      <c r="AC263" t="s">
        <v>340</v>
      </c>
      <c r="AD263" t="s">
        <v>2925</v>
      </c>
      <c r="AE263" s="1">
        <v>45811.309270833335</v>
      </c>
      <c r="CI263" t="s">
        <v>337</v>
      </c>
      <c r="CJ263" t="s">
        <v>2431</v>
      </c>
      <c r="CK263">
        <v>45811</v>
      </c>
      <c r="CL263" t="s">
        <v>2430</v>
      </c>
      <c r="CM263" t="s">
        <v>2432</v>
      </c>
      <c r="CN263">
        <v>45811</v>
      </c>
      <c r="CP263" t="s">
        <v>338</v>
      </c>
      <c r="CQ263" t="s">
        <v>2433</v>
      </c>
    </row>
    <row r="264" spans="1:95" x14ac:dyDescent="0.2">
      <c r="A264" t="s">
        <v>333</v>
      </c>
      <c r="B264">
        <v>83</v>
      </c>
      <c r="C264" s="1" t="s">
        <v>2926</v>
      </c>
      <c r="D264" t="s">
        <v>2927</v>
      </c>
      <c r="E264" t="s">
        <v>335</v>
      </c>
      <c r="F264" t="s">
        <v>342</v>
      </c>
      <c r="G264" t="s">
        <v>340</v>
      </c>
      <c r="H264" t="s">
        <v>2710</v>
      </c>
      <c r="I264" t="s">
        <v>340</v>
      </c>
      <c r="J264" t="s">
        <v>344</v>
      </c>
      <c r="K264" t="s">
        <v>340</v>
      </c>
      <c r="L264">
        <v>45811</v>
      </c>
      <c r="M264" t="s">
        <v>455</v>
      </c>
      <c r="N264">
        <v>1</v>
      </c>
      <c r="O264">
        <v>1</v>
      </c>
      <c r="P264" t="s">
        <v>2450</v>
      </c>
      <c r="T264" t="s">
        <v>458</v>
      </c>
      <c r="U264" t="s">
        <v>2686</v>
      </c>
      <c r="V264" t="s">
        <v>237</v>
      </c>
      <c r="W264">
        <v>0.01</v>
      </c>
      <c r="X264">
        <v>0.01</v>
      </c>
      <c r="Y264" t="s">
        <v>2648</v>
      </c>
      <c r="Z264" t="s">
        <v>346</v>
      </c>
      <c r="AA264" t="s">
        <v>340</v>
      </c>
      <c r="AB264" t="s">
        <v>347</v>
      </c>
      <c r="AC264" t="s">
        <v>340</v>
      </c>
      <c r="AD264" t="s">
        <v>2928</v>
      </c>
      <c r="AE264" s="1">
        <v>45811.309270833335</v>
      </c>
      <c r="CI264" t="s">
        <v>337</v>
      </c>
      <c r="CJ264" t="s">
        <v>2431</v>
      </c>
      <c r="CK264">
        <v>45811</v>
      </c>
      <c r="CL264" t="s">
        <v>2430</v>
      </c>
      <c r="CM264" t="s">
        <v>2432</v>
      </c>
      <c r="CN264">
        <v>45811</v>
      </c>
      <c r="CP264" t="s">
        <v>338</v>
      </c>
      <c r="CQ264" t="s">
        <v>2433</v>
      </c>
    </row>
    <row r="265" spans="1:95" x14ac:dyDescent="0.2">
      <c r="A265" t="s">
        <v>333</v>
      </c>
      <c r="B265">
        <v>84</v>
      </c>
      <c r="C265" s="1" t="s">
        <v>2929</v>
      </c>
      <c r="D265" t="s">
        <v>2930</v>
      </c>
      <c r="E265" t="s">
        <v>335</v>
      </c>
      <c r="F265" t="s">
        <v>342</v>
      </c>
      <c r="G265" t="s">
        <v>340</v>
      </c>
      <c r="H265" t="s">
        <v>2714</v>
      </c>
      <c r="I265" t="s">
        <v>340</v>
      </c>
      <c r="J265" t="s">
        <v>344</v>
      </c>
      <c r="K265" t="s">
        <v>340</v>
      </c>
      <c r="L265">
        <v>45811</v>
      </c>
      <c r="M265" t="s">
        <v>455</v>
      </c>
      <c r="N265">
        <v>1</v>
      </c>
      <c r="O265">
        <v>1</v>
      </c>
      <c r="P265" t="s">
        <v>2450</v>
      </c>
      <c r="T265" t="s">
        <v>458</v>
      </c>
      <c r="U265" t="s">
        <v>2686</v>
      </c>
      <c r="V265" t="s">
        <v>237</v>
      </c>
      <c r="W265">
        <v>0.01</v>
      </c>
      <c r="X265">
        <v>0.01</v>
      </c>
      <c r="Y265" t="s">
        <v>2648</v>
      </c>
      <c r="Z265" t="s">
        <v>346</v>
      </c>
      <c r="AA265" t="s">
        <v>340</v>
      </c>
      <c r="AB265" t="s">
        <v>347</v>
      </c>
      <c r="AC265" t="s">
        <v>340</v>
      </c>
      <c r="AD265" t="s">
        <v>2931</v>
      </c>
      <c r="AE265" s="1">
        <v>45811.309270833335</v>
      </c>
      <c r="CI265" t="s">
        <v>337</v>
      </c>
      <c r="CJ265" t="s">
        <v>2431</v>
      </c>
      <c r="CK265">
        <v>45811</v>
      </c>
      <c r="CL265" t="s">
        <v>2430</v>
      </c>
      <c r="CM265" t="s">
        <v>2432</v>
      </c>
      <c r="CN265">
        <v>45811</v>
      </c>
      <c r="CP265" t="s">
        <v>338</v>
      </c>
      <c r="CQ265" t="s">
        <v>2433</v>
      </c>
    </row>
    <row r="266" spans="1:95" x14ac:dyDescent="0.2">
      <c r="A266" t="s">
        <v>333</v>
      </c>
      <c r="B266">
        <v>85</v>
      </c>
      <c r="C266" s="1" t="s">
        <v>2932</v>
      </c>
      <c r="D266" t="s">
        <v>2933</v>
      </c>
      <c r="E266" t="s">
        <v>335</v>
      </c>
      <c r="F266" t="s">
        <v>342</v>
      </c>
      <c r="G266" t="s">
        <v>340</v>
      </c>
      <c r="H266" t="s">
        <v>2718</v>
      </c>
      <c r="I266" t="s">
        <v>340</v>
      </c>
      <c r="J266" t="s">
        <v>344</v>
      </c>
      <c r="K266" t="s">
        <v>340</v>
      </c>
      <c r="L266">
        <v>45811</v>
      </c>
      <c r="M266" t="s">
        <v>455</v>
      </c>
      <c r="N266">
        <v>1</v>
      </c>
      <c r="O266">
        <v>1</v>
      </c>
      <c r="P266" t="s">
        <v>2450</v>
      </c>
      <c r="T266" t="s">
        <v>458</v>
      </c>
      <c r="U266" t="s">
        <v>2686</v>
      </c>
      <c r="V266" t="s">
        <v>237</v>
      </c>
      <c r="W266">
        <v>0.01</v>
      </c>
      <c r="X266">
        <v>0.01</v>
      </c>
      <c r="Y266" t="s">
        <v>2648</v>
      </c>
      <c r="Z266" t="s">
        <v>346</v>
      </c>
      <c r="AA266" t="s">
        <v>340</v>
      </c>
      <c r="AB266" t="s">
        <v>347</v>
      </c>
      <c r="AC266" t="s">
        <v>340</v>
      </c>
      <c r="AD266" t="s">
        <v>2934</v>
      </c>
      <c r="AE266" s="1">
        <v>45811.309270833335</v>
      </c>
      <c r="CI266" t="s">
        <v>337</v>
      </c>
      <c r="CJ266" t="s">
        <v>2431</v>
      </c>
      <c r="CK266">
        <v>45811</v>
      </c>
      <c r="CL266" t="s">
        <v>2430</v>
      </c>
      <c r="CM266" t="s">
        <v>2432</v>
      </c>
      <c r="CN266">
        <v>45811</v>
      </c>
      <c r="CP266" t="s">
        <v>338</v>
      </c>
      <c r="CQ266" t="s">
        <v>2433</v>
      </c>
    </row>
    <row r="267" spans="1:95" x14ac:dyDescent="0.2">
      <c r="A267" t="s">
        <v>333</v>
      </c>
      <c r="B267">
        <v>86</v>
      </c>
      <c r="C267" s="1" t="s">
        <v>2935</v>
      </c>
      <c r="D267" t="s">
        <v>2936</v>
      </c>
      <c r="E267" t="s">
        <v>335</v>
      </c>
      <c r="F267" t="s">
        <v>342</v>
      </c>
      <c r="G267" t="s">
        <v>340</v>
      </c>
      <c r="H267" t="s">
        <v>2722</v>
      </c>
      <c r="I267" t="s">
        <v>340</v>
      </c>
      <c r="J267" t="s">
        <v>344</v>
      </c>
      <c r="K267" t="s">
        <v>340</v>
      </c>
      <c r="L267">
        <v>45811</v>
      </c>
      <c r="M267" t="s">
        <v>455</v>
      </c>
      <c r="N267">
        <v>1</v>
      </c>
      <c r="O267">
        <v>1</v>
      </c>
      <c r="P267" t="s">
        <v>2450</v>
      </c>
      <c r="T267" t="s">
        <v>458</v>
      </c>
      <c r="U267" t="s">
        <v>2686</v>
      </c>
      <c r="V267" t="s">
        <v>237</v>
      </c>
      <c r="W267">
        <v>0.01</v>
      </c>
      <c r="X267">
        <v>0.01</v>
      </c>
      <c r="Y267" t="s">
        <v>2648</v>
      </c>
      <c r="Z267" t="s">
        <v>346</v>
      </c>
      <c r="AA267" t="s">
        <v>340</v>
      </c>
      <c r="AB267" t="s">
        <v>347</v>
      </c>
      <c r="AC267" t="s">
        <v>340</v>
      </c>
      <c r="AD267" t="s">
        <v>2937</v>
      </c>
      <c r="AE267" s="1">
        <v>45811.309270833335</v>
      </c>
      <c r="CI267" t="s">
        <v>337</v>
      </c>
      <c r="CJ267" t="s">
        <v>2431</v>
      </c>
      <c r="CK267">
        <v>45811</v>
      </c>
      <c r="CL267" t="s">
        <v>2430</v>
      </c>
      <c r="CM267" t="s">
        <v>2432</v>
      </c>
      <c r="CN267">
        <v>45811</v>
      </c>
      <c r="CP267" t="s">
        <v>338</v>
      </c>
      <c r="CQ267" t="s">
        <v>2433</v>
      </c>
    </row>
    <row r="268" spans="1:95" x14ac:dyDescent="0.2">
      <c r="A268" t="s">
        <v>333</v>
      </c>
      <c r="B268">
        <v>87</v>
      </c>
      <c r="C268" s="1" t="s">
        <v>2938</v>
      </c>
      <c r="D268" t="s">
        <v>2939</v>
      </c>
      <c r="E268" t="s">
        <v>335</v>
      </c>
      <c r="F268" t="s">
        <v>2726</v>
      </c>
      <c r="G268" t="s">
        <v>340</v>
      </c>
      <c r="J268" t="s">
        <v>2727</v>
      </c>
      <c r="K268" t="s">
        <v>340</v>
      </c>
      <c r="L268">
        <v>45811</v>
      </c>
      <c r="M268" t="s">
        <v>455</v>
      </c>
      <c r="N268">
        <v>1</v>
      </c>
      <c r="O268">
        <v>1</v>
      </c>
      <c r="P268" t="s">
        <v>2450</v>
      </c>
      <c r="T268" t="s">
        <v>458</v>
      </c>
      <c r="U268" t="s">
        <v>500</v>
      </c>
      <c r="V268" t="s">
        <v>237</v>
      </c>
      <c r="W268">
        <v>2</v>
      </c>
      <c r="X268">
        <v>2</v>
      </c>
      <c r="Y268" t="s">
        <v>345</v>
      </c>
      <c r="Z268" t="s">
        <v>346</v>
      </c>
      <c r="AA268" t="s">
        <v>340</v>
      </c>
      <c r="AB268" t="s">
        <v>347</v>
      </c>
      <c r="AC268" t="s">
        <v>340</v>
      </c>
      <c r="AD268" t="s">
        <v>2940</v>
      </c>
      <c r="AE268" s="1">
        <v>45811.282430555555</v>
      </c>
      <c r="CI268" t="s">
        <v>337</v>
      </c>
      <c r="CJ268" t="s">
        <v>2431</v>
      </c>
      <c r="CK268">
        <v>45811</v>
      </c>
      <c r="CL268" t="s">
        <v>2430</v>
      </c>
      <c r="CM268" t="s">
        <v>2432</v>
      </c>
      <c r="CN268">
        <v>45811</v>
      </c>
      <c r="CP268" t="s">
        <v>338</v>
      </c>
      <c r="CQ268" t="s">
        <v>2433</v>
      </c>
    </row>
    <row r="269" spans="1:95" x14ac:dyDescent="0.2">
      <c r="A269" t="s">
        <v>333</v>
      </c>
      <c r="B269">
        <v>88</v>
      </c>
      <c r="C269" s="1" t="s">
        <v>2941</v>
      </c>
      <c r="D269" t="s">
        <v>2942</v>
      </c>
      <c r="E269" t="s">
        <v>335</v>
      </c>
      <c r="F269" t="s">
        <v>342</v>
      </c>
      <c r="G269" t="s">
        <v>340</v>
      </c>
      <c r="H269" t="s">
        <v>348</v>
      </c>
      <c r="I269" t="s">
        <v>340</v>
      </c>
      <c r="J269" t="s">
        <v>344</v>
      </c>
      <c r="K269" t="s">
        <v>340</v>
      </c>
      <c r="L269">
        <v>45811</v>
      </c>
      <c r="M269" t="s">
        <v>455</v>
      </c>
      <c r="N269">
        <v>1</v>
      </c>
      <c r="O269">
        <v>1</v>
      </c>
      <c r="P269" t="s">
        <v>2450</v>
      </c>
      <c r="T269" t="s">
        <v>458</v>
      </c>
      <c r="U269" t="s">
        <v>2943</v>
      </c>
      <c r="W269">
        <v>0.2</v>
      </c>
      <c r="X269">
        <v>0.2</v>
      </c>
      <c r="Y269" t="s">
        <v>345</v>
      </c>
      <c r="Z269" t="s">
        <v>346</v>
      </c>
      <c r="AA269" t="s">
        <v>340</v>
      </c>
      <c r="AB269" t="s">
        <v>347</v>
      </c>
      <c r="AC269" t="s">
        <v>340</v>
      </c>
      <c r="AD269" t="s">
        <v>2944</v>
      </c>
      <c r="AE269" s="1">
        <v>45811.610543981478</v>
      </c>
      <c r="CI269" t="s">
        <v>337</v>
      </c>
      <c r="CJ269" t="s">
        <v>2431</v>
      </c>
      <c r="CK269">
        <v>45811</v>
      </c>
      <c r="CL269" t="s">
        <v>2430</v>
      </c>
      <c r="CM269" t="s">
        <v>2432</v>
      </c>
      <c r="CN269">
        <v>45811</v>
      </c>
      <c r="CP269" t="s">
        <v>338</v>
      </c>
      <c r="CQ269" t="s">
        <v>2433</v>
      </c>
    </row>
    <row r="270" spans="1:95" x14ac:dyDescent="0.2">
      <c r="A270" t="s">
        <v>333</v>
      </c>
      <c r="B270">
        <v>89</v>
      </c>
      <c r="C270" s="1" t="s">
        <v>2945</v>
      </c>
      <c r="D270" t="s">
        <v>2946</v>
      </c>
      <c r="E270" t="s">
        <v>335</v>
      </c>
      <c r="F270" t="s">
        <v>342</v>
      </c>
      <c r="G270" t="s">
        <v>340</v>
      </c>
      <c r="H270" t="s">
        <v>2736</v>
      </c>
      <c r="I270" t="s">
        <v>340</v>
      </c>
      <c r="J270" t="s">
        <v>344</v>
      </c>
      <c r="K270" t="s">
        <v>340</v>
      </c>
      <c r="L270">
        <v>45811</v>
      </c>
      <c r="M270" t="s">
        <v>455</v>
      </c>
      <c r="N270">
        <v>1</v>
      </c>
      <c r="O270">
        <v>1</v>
      </c>
      <c r="P270" t="s">
        <v>2450</v>
      </c>
      <c r="T270" t="s">
        <v>458</v>
      </c>
      <c r="U270" t="s">
        <v>2737</v>
      </c>
      <c r="W270">
        <v>4.9000000000000004</v>
      </c>
      <c r="X270">
        <v>4.9000000000000004</v>
      </c>
      <c r="Y270" t="s">
        <v>349</v>
      </c>
      <c r="Z270" t="s">
        <v>346</v>
      </c>
      <c r="AA270" t="s">
        <v>340</v>
      </c>
      <c r="AB270" t="s">
        <v>347</v>
      </c>
      <c r="AC270" t="s">
        <v>340</v>
      </c>
      <c r="AD270" t="s">
        <v>2947</v>
      </c>
      <c r="AE270" s="1">
        <v>45811.309479166666</v>
      </c>
      <c r="CI270" t="s">
        <v>337</v>
      </c>
      <c r="CJ270" t="s">
        <v>2431</v>
      </c>
      <c r="CK270">
        <v>45811</v>
      </c>
      <c r="CL270" t="s">
        <v>2430</v>
      </c>
      <c r="CM270" t="s">
        <v>2432</v>
      </c>
      <c r="CN270">
        <v>45811</v>
      </c>
      <c r="CP270" t="s">
        <v>338</v>
      </c>
      <c r="CQ270" t="s">
        <v>2433</v>
      </c>
    </row>
    <row r="271" spans="1:95" x14ac:dyDescent="0.2">
      <c r="A271" t="s">
        <v>333</v>
      </c>
      <c r="B271">
        <v>90</v>
      </c>
      <c r="C271" s="1" t="s">
        <v>2948</v>
      </c>
      <c r="D271" t="s">
        <v>2949</v>
      </c>
      <c r="E271" t="s">
        <v>335</v>
      </c>
      <c r="F271" t="s">
        <v>342</v>
      </c>
      <c r="G271" t="s">
        <v>340</v>
      </c>
      <c r="H271" t="s">
        <v>2741</v>
      </c>
      <c r="I271" t="s">
        <v>340</v>
      </c>
      <c r="J271" t="s">
        <v>344</v>
      </c>
      <c r="K271" t="s">
        <v>340</v>
      </c>
      <c r="L271">
        <v>45811</v>
      </c>
      <c r="M271" t="s">
        <v>455</v>
      </c>
      <c r="N271">
        <v>1</v>
      </c>
      <c r="O271">
        <v>1</v>
      </c>
      <c r="P271" t="s">
        <v>2450</v>
      </c>
      <c r="T271" t="s">
        <v>458</v>
      </c>
      <c r="U271" t="s">
        <v>2742</v>
      </c>
      <c r="W271">
        <v>7.0000000000000007E-2</v>
      </c>
      <c r="X271">
        <v>7.0000000000000007E-2</v>
      </c>
      <c r="Y271" t="s">
        <v>2648</v>
      </c>
      <c r="Z271" t="s">
        <v>346</v>
      </c>
      <c r="AA271" t="s">
        <v>340</v>
      </c>
      <c r="AB271" t="s">
        <v>347</v>
      </c>
      <c r="AC271" t="s">
        <v>340</v>
      </c>
      <c r="AD271" t="s">
        <v>2950</v>
      </c>
      <c r="AE271" s="1">
        <v>45811.309479166666</v>
      </c>
      <c r="CI271" t="s">
        <v>337</v>
      </c>
      <c r="CJ271" t="s">
        <v>2431</v>
      </c>
      <c r="CK271">
        <v>45811</v>
      </c>
      <c r="CL271" t="s">
        <v>2430</v>
      </c>
      <c r="CM271" t="s">
        <v>2432</v>
      </c>
      <c r="CN271">
        <v>45811</v>
      </c>
      <c r="CP271" t="s">
        <v>338</v>
      </c>
      <c r="CQ271" t="s">
        <v>2433</v>
      </c>
    </row>
    <row r="272" spans="1:95" x14ac:dyDescent="0.2">
      <c r="A272" t="s">
        <v>333</v>
      </c>
      <c r="B272">
        <v>91</v>
      </c>
      <c r="C272" s="1" t="s">
        <v>2951</v>
      </c>
      <c r="D272" t="s">
        <v>2952</v>
      </c>
      <c r="E272" t="s">
        <v>335</v>
      </c>
      <c r="F272" t="s">
        <v>342</v>
      </c>
      <c r="G272" t="s">
        <v>340</v>
      </c>
      <c r="H272" t="s">
        <v>2746</v>
      </c>
      <c r="I272" t="s">
        <v>340</v>
      </c>
      <c r="J272" t="s">
        <v>344</v>
      </c>
      <c r="K272" t="s">
        <v>340</v>
      </c>
      <c r="L272">
        <v>45811</v>
      </c>
      <c r="M272" t="s">
        <v>455</v>
      </c>
      <c r="N272">
        <v>1</v>
      </c>
      <c r="O272">
        <v>1</v>
      </c>
      <c r="P272" t="s">
        <v>2450</v>
      </c>
      <c r="T272" t="s">
        <v>458</v>
      </c>
      <c r="U272" t="s">
        <v>2647</v>
      </c>
      <c r="V272" t="s">
        <v>237</v>
      </c>
      <c r="W272">
        <v>20</v>
      </c>
      <c r="X272">
        <v>20</v>
      </c>
      <c r="Y272" t="s">
        <v>2648</v>
      </c>
      <c r="Z272" t="s">
        <v>346</v>
      </c>
      <c r="AA272" t="s">
        <v>340</v>
      </c>
      <c r="AB272" t="s">
        <v>347</v>
      </c>
      <c r="AC272" t="s">
        <v>340</v>
      </c>
      <c r="AD272" t="s">
        <v>2953</v>
      </c>
      <c r="AE272" s="1">
        <v>45811.609930555554</v>
      </c>
      <c r="CI272" t="s">
        <v>337</v>
      </c>
      <c r="CJ272" t="s">
        <v>2431</v>
      </c>
      <c r="CK272">
        <v>45811</v>
      </c>
      <c r="CL272" t="s">
        <v>2430</v>
      </c>
      <c r="CM272" t="s">
        <v>2432</v>
      </c>
      <c r="CN272">
        <v>45811</v>
      </c>
      <c r="CP272" t="s">
        <v>338</v>
      </c>
      <c r="CQ272" t="s">
        <v>2433</v>
      </c>
    </row>
    <row r="273" spans="1:95" x14ac:dyDescent="0.2">
      <c r="A273" t="s">
        <v>333</v>
      </c>
      <c r="B273">
        <v>92</v>
      </c>
      <c r="C273" s="1" t="s">
        <v>2954</v>
      </c>
      <c r="D273" t="s">
        <v>2955</v>
      </c>
      <c r="E273" t="s">
        <v>335</v>
      </c>
      <c r="F273" t="s">
        <v>342</v>
      </c>
      <c r="G273" t="s">
        <v>340</v>
      </c>
      <c r="H273" t="s">
        <v>2750</v>
      </c>
      <c r="I273" t="s">
        <v>340</v>
      </c>
      <c r="J273" t="s">
        <v>344</v>
      </c>
      <c r="K273" t="s">
        <v>340</v>
      </c>
      <c r="L273">
        <v>45811</v>
      </c>
      <c r="M273" t="s">
        <v>455</v>
      </c>
      <c r="N273">
        <v>1</v>
      </c>
      <c r="O273">
        <v>1</v>
      </c>
      <c r="P273" t="s">
        <v>2450</v>
      </c>
      <c r="T273" t="s">
        <v>458</v>
      </c>
      <c r="U273" t="s">
        <v>2647</v>
      </c>
      <c r="V273" t="s">
        <v>237</v>
      </c>
      <c r="W273">
        <v>20</v>
      </c>
      <c r="X273">
        <v>20</v>
      </c>
      <c r="Y273" t="s">
        <v>2648</v>
      </c>
      <c r="Z273" t="s">
        <v>346</v>
      </c>
      <c r="AA273" t="s">
        <v>340</v>
      </c>
      <c r="AB273" t="s">
        <v>347</v>
      </c>
      <c r="AC273" t="s">
        <v>340</v>
      </c>
      <c r="AD273" t="s">
        <v>2956</v>
      </c>
      <c r="AE273" s="1">
        <v>45811.609942129631</v>
      </c>
      <c r="CI273" t="s">
        <v>337</v>
      </c>
      <c r="CJ273" t="s">
        <v>2431</v>
      </c>
      <c r="CK273">
        <v>45811</v>
      </c>
      <c r="CL273" t="s">
        <v>2430</v>
      </c>
      <c r="CM273" t="s">
        <v>2432</v>
      </c>
      <c r="CN273">
        <v>45811</v>
      </c>
      <c r="CP273" t="s">
        <v>338</v>
      </c>
      <c r="CQ273" t="s">
        <v>2433</v>
      </c>
    </row>
    <row r="274" spans="1:95" x14ac:dyDescent="0.2">
      <c r="A274" t="s">
        <v>333</v>
      </c>
      <c r="B274">
        <v>93</v>
      </c>
      <c r="C274" s="1" t="s">
        <v>2957</v>
      </c>
      <c r="D274" t="s">
        <v>2958</v>
      </c>
      <c r="E274" t="s">
        <v>335</v>
      </c>
      <c r="F274" t="s">
        <v>342</v>
      </c>
      <c r="G274" t="s">
        <v>340</v>
      </c>
      <c r="H274" t="s">
        <v>2755</v>
      </c>
      <c r="I274" t="s">
        <v>340</v>
      </c>
      <c r="J274" t="s">
        <v>344</v>
      </c>
      <c r="K274" t="s">
        <v>340</v>
      </c>
      <c r="L274">
        <v>45811</v>
      </c>
      <c r="M274" t="s">
        <v>455</v>
      </c>
      <c r="N274">
        <v>1</v>
      </c>
      <c r="O274">
        <v>1</v>
      </c>
      <c r="P274" t="s">
        <v>2450</v>
      </c>
      <c r="T274" t="s">
        <v>458</v>
      </c>
      <c r="U274" t="s">
        <v>2959</v>
      </c>
      <c r="V274" t="s">
        <v>237</v>
      </c>
      <c r="W274">
        <v>4</v>
      </c>
      <c r="X274">
        <v>4</v>
      </c>
      <c r="Y274" t="s">
        <v>2648</v>
      </c>
      <c r="Z274" t="s">
        <v>346</v>
      </c>
      <c r="AA274" t="s">
        <v>340</v>
      </c>
      <c r="AB274" t="s">
        <v>347</v>
      </c>
      <c r="AC274" t="s">
        <v>340</v>
      </c>
      <c r="AD274" t="s">
        <v>2960</v>
      </c>
      <c r="AE274" s="1">
        <v>45811.609930555554</v>
      </c>
      <c r="CI274" t="s">
        <v>337</v>
      </c>
      <c r="CJ274" t="s">
        <v>2431</v>
      </c>
      <c r="CK274">
        <v>45811</v>
      </c>
      <c r="CL274" t="s">
        <v>2430</v>
      </c>
      <c r="CM274" t="s">
        <v>2432</v>
      </c>
      <c r="CN274">
        <v>45811</v>
      </c>
      <c r="CP274" t="s">
        <v>338</v>
      </c>
      <c r="CQ274" t="s">
        <v>2433</v>
      </c>
    </row>
    <row r="275" spans="1:95" x14ac:dyDescent="0.2">
      <c r="A275" t="s">
        <v>333</v>
      </c>
      <c r="B275">
        <v>94</v>
      </c>
      <c r="C275" s="1" t="s">
        <v>2961</v>
      </c>
      <c r="D275" t="s">
        <v>2962</v>
      </c>
      <c r="E275" t="s">
        <v>335</v>
      </c>
      <c r="F275" t="s">
        <v>342</v>
      </c>
      <c r="G275" t="s">
        <v>340</v>
      </c>
      <c r="H275" t="s">
        <v>2760</v>
      </c>
      <c r="I275" t="s">
        <v>340</v>
      </c>
      <c r="J275" t="s">
        <v>344</v>
      </c>
      <c r="K275" t="s">
        <v>340</v>
      </c>
      <c r="L275">
        <v>45811</v>
      </c>
      <c r="M275" t="s">
        <v>455</v>
      </c>
      <c r="N275">
        <v>1</v>
      </c>
      <c r="O275">
        <v>1</v>
      </c>
      <c r="P275" t="s">
        <v>2450</v>
      </c>
      <c r="T275" t="s">
        <v>458</v>
      </c>
      <c r="U275" t="s">
        <v>2761</v>
      </c>
      <c r="V275" t="s">
        <v>237</v>
      </c>
      <c r="W275">
        <v>0.2</v>
      </c>
      <c r="X275">
        <v>0.2</v>
      </c>
      <c r="Y275" t="s">
        <v>2648</v>
      </c>
      <c r="Z275" t="s">
        <v>346</v>
      </c>
      <c r="AA275" t="s">
        <v>340</v>
      </c>
      <c r="AB275" t="s">
        <v>347</v>
      </c>
      <c r="AC275" t="s">
        <v>340</v>
      </c>
      <c r="AD275" t="s">
        <v>2963</v>
      </c>
      <c r="AE275" s="1">
        <v>45811.609930555554</v>
      </c>
      <c r="CI275" t="s">
        <v>337</v>
      </c>
      <c r="CJ275" t="s">
        <v>2431</v>
      </c>
      <c r="CK275">
        <v>45811</v>
      </c>
      <c r="CL275" t="s">
        <v>2430</v>
      </c>
      <c r="CM275" t="s">
        <v>2432</v>
      </c>
      <c r="CN275">
        <v>45811</v>
      </c>
      <c r="CP275" t="s">
        <v>338</v>
      </c>
      <c r="CQ275" t="s">
        <v>2433</v>
      </c>
    </row>
    <row r="276" spans="1:95" x14ac:dyDescent="0.2">
      <c r="A276" t="s">
        <v>333</v>
      </c>
      <c r="B276">
        <v>95</v>
      </c>
      <c r="C276" s="1" t="s">
        <v>2964</v>
      </c>
      <c r="D276" t="s">
        <v>2965</v>
      </c>
      <c r="E276" t="s">
        <v>335</v>
      </c>
      <c r="F276" t="s">
        <v>342</v>
      </c>
      <c r="G276" t="s">
        <v>340</v>
      </c>
      <c r="H276" t="s">
        <v>2765</v>
      </c>
      <c r="I276" t="s">
        <v>340</v>
      </c>
      <c r="J276" t="s">
        <v>344</v>
      </c>
      <c r="K276" t="s">
        <v>340</v>
      </c>
      <c r="L276">
        <v>45811</v>
      </c>
      <c r="M276" t="s">
        <v>455</v>
      </c>
      <c r="N276">
        <v>1</v>
      </c>
      <c r="O276">
        <v>1</v>
      </c>
      <c r="P276" t="s">
        <v>2450</v>
      </c>
      <c r="T276" t="s">
        <v>458</v>
      </c>
      <c r="U276" t="s">
        <v>2966</v>
      </c>
      <c r="V276" t="s">
        <v>237</v>
      </c>
      <c r="W276">
        <v>3</v>
      </c>
      <c r="X276">
        <v>3</v>
      </c>
      <c r="Y276" t="s">
        <v>2648</v>
      </c>
      <c r="Z276" t="s">
        <v>346</v>
      </c>
      <c r="AA276" t="s">
        <v>340</v>
      </c>
      <c r="AB276" t="s">
        <v>347</v>
      </c>
      <c r="AC276" t="s">
        <v>340</v>
      </c>
      <c r="AD276" t="s">
        <v>2967</v>
      </c>
      <c r="AE276" s="1">
        <v>45811.609930555554</v>
      </c>
      <c r="CI276" t="s">
        <v>337</v>
      </c>
      <c r="CJ276" t="s">
        <v>2431</v>
      </c>
      <c r="CK276">
        <v>45811</v>
      </c>
      <c r="CL276" t="s">
        <v>2430</v>
      </c>
      <c r="CM276" t="s">
        <v>2432</v>
      </c>
      <c r="CN276">
        <v>45811</v>
      </c>
      <c r="CP276" t="s">
        <v>338</v>
      </c>
      <c r="CQ276" t="s">
        <v>2433</v>
      </c>
    </row>
    <row r="277" spans="1:95" x14ac:dyDescent="0.2">
      <c r="A277" t="s">
        <v>333</v>
      </c>
      <c r="B277">
        <v>96</v>
      </c>
      <c r="C277" s="1" t="s">
        <v>2968</v>
      </c>
      <c r="D277" t="s">
        <v>2969</v>
      </c>
      <c r="E277" t="s">
        <v>335</v>
      </c>
      <c r="F277" t="s">
        <v>342</v>
      </c>
      <c r="G277" t="s">
        <v>340</v>
      </c>
      <c r="H277" t="s">
        <v>2770</v>
      </c>
      <c r="I277" t="s">
        <v>340</v>
      </c>
      <c r="J277" t="s">
        <v>344</v>
      </c>
      <c r="K277" t="s">
        <v>340</v>
      </c>
      <c r="L277">
        <v>45811</v>
      </c>
      <c r="M277" t="s">
        <v>455</v>
      </c>
      <c r="N277">
        <v>1</v>
      </c>
      <c r="O277">
        <v>1</v>
      </c>
      <c r="P277" t="s">
        <v>2450</v>
      </c>
      <c r="T277" t="s">
        <v>458</v>
      </c>
      <c r="U277" t="s">
        <v>2771</v>
      </c>
      <c r="V277" t="s">
        <v>237</v>
      </c>
      <c r="W277">
        <v>5</v>
      </c>
      <c r="X277">
        <v>5</v>
      </c>
      <c r="Y277" t="s">
        <v>2648</v>
      </c>
      <c r="Z277" t="s">
        <v>346</v>
      </c>
      <c r="AA277" t="s">
        <v>340</v>
      </c>
      <c r="AB277" t="s">
        <v>347</v>
      </c>
      <c r="AC277" t="s">
        <v>340</v>
      </c>
      <c r="AD277" t="s">
        <v>2970</v>
      </c>
      <c r="AE277" s="1">
        <v>45811.609930555554</v>
      </c>
      <c r="CI277" t="s">
        <v>337</v>
      </c>
      <c r="CJ277" t="s">
        <v>2431</v>
      </c>
      <c r="CK277">
        <v>45811</v>
      </c>
      <c r="CL277" t="s">
        <v>2430</v>
      </c>
      <c r="CM277" t="s">
        <v>2432</v>
      </c>
      <c r="CN277">
        <v>45811</v>
      </c>
      <c r="CP277" t="s">
        <v>338</v>
      </c>
      <c r="CQ277" t="s">
        <v>2433</v>
      </c>
    </row>
    <row r="278" spans="1:95" x14ac:dyDescent="0.2">
      <c r="A278" t="s">
        <v>333</v>
      </c>
      <c r="B278">
        <v>97</v>
      </c>
      <c r="C278" s="1" t="s">
        <v>2971</v>
      </c>
      <c r="D278" t="s">
        <v>2972</v>
      </c>
      <c r="E278" t="s">
        <v>335</v>
      </c>
      <c r="F278" t="s">
        <v>342</v>
      </c>
      <c r="G278" t="s">
        <v>340</v>
      </c>
      <c r="H278" t="s">
        <v>2775</v>
      </c>
      <c r="I278" t="s">
        <v>340</v>
      </c>
      <c r="J278" t="s">
        <v>344</v>
      </c>
      <c r="K278" t="s">
        <v>340</v>
      </c>
      <c r="L278">
        <v>45811</v>
      </c>
      <c r="M278" t="s">
        <v>455</v>
      </c>
      <c r="N278">
        <v>1</v>
      </c>
      <c r="O278">
        <v>1</v>
      </c>
      <c r="P278" t="s">
        <v>2450</v>
      </c>
      <c r="T278" t="s">
        <v>458</v>
      </c>
      <c r="U278" t="s">
        <v>2776</v>
      </c>
      <c r="V278" t="s">
        <v>237</v>
      </c>
      <c r="W278">
        <v>0.05</v>
      </c>
      <c r="X278">
        <v>0.05</v>
      </c>
      <c r="Y278" t="s">
        <v>2648</v>
      </c>
      <c r="Z278" t="s">
        <v>346</v>
      </c>
      <c r="AA278" t="s">
        <v>340</v>
      </c>
      <c r="AB278" t="s">
        <v>347</v>
      </c>
      <c r="AC278" t="s">
        <v>340</v>
      </c>
      <c r="AD278" t="s">
        <v>2973</v>
      </c>
      <c r="AE278" s="1">
        <v>45811.609930555554</v>
      </c>
      <c r="CI278" t="s">
        <v>337</v>
      </c>
      <c r="CJ278" t="s">
        <v>2431</v>
      </c>
      <c r="CK278">
        <v>45811</v>
      </c>
      <c r="CL278" t="s">
        <v>2430</v>
      </c>
      <c r="CM278" t="s">
        <v>2432</v>
      </c>
      <c r="CN278">
        <v>45811</v>
      </c>
      <c r="CP278" t="s">
        <v>338</v>
      </c>
      <c r="CQ278" t="s">
        <v>2433</v>
      </c>
    </row>
    <row r="279" spans="1:95" x14ac:dyDescent="0.2">
      <c r="A279" t="s">
        <v>333</v>
      </c>
      <c r="B279">
        <v>98</v>
      </c>
      <c r="C279" s="1" t="s">
        <v>2974</v>
      </c>
      <c r="D279" s="20" t="s">
        <v>2975</v>
      </c>
      <c r="E279" t="s">
        <v>335</v>
      </c>
      <c r="F279" t="s">
        <v>342</v>
      </c>
      <c r="G279" t="s">
        <v>340</v>
      </c>
      <c r="H279" t="s">
        <v>2780</v>
      </c>
      <c r="I279" t="s">
        <v>340</v>
      </c>
      <c r="J279" t="s">
        <v>344</v>
      </c>
      <c r="K279" t="s">
        <v>340</v>
      </c>
      <c r="L279">
        <v>45811</v>
      </c>
      <c r="M279" t="s">
        <v>455</v>
      </c>
      <c r="N279">
        <v>1</v>
      </c>
      <c r="O279">
        <v>1</v>
      </c>
      <c r="P279" t="s">
        <v>2450</v>
      </c>
      <c r="T279" t="s">
        <v>458</v>
      </c>
      <c r="U279" t="s">
        <v>2781</v>
      </c>
      <c r="V279" t="s">
        <v>237</v>
      </c>
      <c r="W279">
        <v>1.5</v>
      </c>
      <c r="X279">
        <v>1.5</v>
      </c>
      <c r="Y279" t="s">
        <v>2648</v>
      </c>
      <c r="Z279" t="s">
        <v>346</v>
      </c>
      <c r="AA279" t="s">
        <v>340</v>
      </c>
      <c r="AB279" t="s">
        <v>347</v>
      </c>
      <c r="AC279" t="s">
        <v>340</v>
      </c>
      <c r="AD279" t="s">
        <v>2976</v>
      </c>
      <c r="AE279" s="1">
        <v>45811.609930555554</v>
      </c>
      <c r="CI279" t="s">
        <v>337</v>
      </c>
      <c r="CJ279" t="s">
        <v>2431</v>
      </c>
      <c r="CK279">
        <v>45811</v>
      </c>
      <c r="CL279" t="s">
        <v>2430</v>
      </c>
      <c r="CM279" t="s">
        <v>2432</v>
      </c>
      <c r="CN279">
        <v>45811</v>
      </c>
      <c r="CP279" t="s">
        <v>338</v>
      </c>
      <c r="CQ279" t="s">
        <v>2433</v>
      </c>
    </row>
    <row r="280" spans="1:95" x14ac:dyDescent="0.2">
      <c r="A280" t="s">
        <v>333</v>
      </c>
      <c r="B280">
        <v>99</v>
      </c>
      <c r="C280" s="1" t="s">
        <v>2977</v>
      </c>
      <c r="D280" t="s">
        <v>2978</v>
      </c>
      <c r="E280" t="s">
        <v>335</v>
      </c>
      <c r="F280" t="s">
        <v>342</v>
      </c>
      <c r="G280" t="s">
        <v>340</v>
      </c>
      <c r="H280" t="s">
        <v>2785</v>
      </c>
      <c r="I280" t="s">
        <v>340</v>
      </c>
      <c r="J280" t="s">
        <v>344</v>
      </c>
      <c r="K280" t="s">
        <v>340</v>
      </c>
      <c r="L280">
        <v>45811</v>
      </c>
      <c r="M280" t="s">
        <v>455</v>
      </c>
      <c r="N280">
        <v>1</v>
      </c>
      <c r="O280">
        <v>1</v>
      </c>
      <c r="P280" t="s">
        <v>2450</v>
      </c>
      <c r="T280" t="s">
        <v>458</v>
      </c>
      <c r="U280" t="s">
        <v>2979</v>
      </c>
      <c r="W280">
        <v>8</v>
      </c>
      <c r="X280">
        <v>8</v>
      </c>
      <c r="Y280" t="s">
        <v>2648</v>
      </c>
      <c r="Z280" t="s">
        <v>346</v>
      </c>
      <c r="AA280" t="s">
        <v>340</v>
      </c>
      <c r="AB280" t="s">
        <v>347</v>
      </c>
      <c r="AC280" t="s">
        <v>340</v>
      </c>
      <c r="AD280" t="s">
        <v>2980</v>
      </c>
      <c r="AE280" s="1">
        <v>45811.609942129631</v>
      </c>
      <c r="CI280" t="s">
        <v>337</v>
      </c>
      <c r="CJ280" t="s">
        <v>2431</v>
      </c>
      <c r="CK280">
        <v>45811</v>
      </c>
      <c r="CL280" t="s">
        <v>2430</v>
      </c>
      <c r="CM280" t="s">
        <v>2432</v>
      </c>
      <c r="CN280">
        <v>45811</v>
      </c>
      <c r="CP280" t="s">
        <v>338</v>
      </c>
      <c r="CQ280" t="s">
        <v>2433</v>
      </c>
    </row>
    <row r="281" spans="1:95" x14ac:dyDescent="0.2">
      <c r="A281" t="s">
        <v>333</v>
      </c>
      <c r="B281">
        <v>100</v>
      </c>
      <c r="C281" s="1" t="s">
        <v>2981</v>
      </c>
      <c r="D281" t="s">
        <v>2982</v>
      </c>
      <c r="E281" t="s">
        <v>335</v>
      </c>
      <c r="F281" t="s">
        <v>342</v>
      </c>
      <c r="G281" t="s">
        <v>340</v>
      </c>
      <c r="H281" t="s">
        <v>2790</v>
      </c>
      <c r="I281" t="s">
        <v>340</v>
      </c>
      <c r="J281" t="s">
        <v>344</v>
      </c>
      <c r="K281" t="s">
        <v>340</v>
      </c>
      <c r="L281">
        <v>45811</v>
      </c>
      <c r="M281" t="s">
        <v>455</v>
      </c>
      <c r="N281">
        <v>1</v>
      </c>
      <c r="O281">
        <v>1</v>
      </c>
      <c r="P281" t="s">
        <v>2450</v>
      </c>
      <c r="T281" t="s">
        <v>458</v>
      </c>
      <c r="U281" t="s">
        <v>2791</v>
      </c>
      <c r="V281" t="s">
        <v>237</v>
      </c>
      <c r="W281">
        <v>10</v>
      </c>
      <c r="X281">
        <v>10</v>
      </c>
      <c r="Y281" t="s">
        <v>2648</v>
      </c>
      <c r="Z281" t="s">
        <v>346</v>
      </c>
      <c r="AA281" t="s">
        <v>340</v>
      </c>
      <c r="AB281" t="s">
        <v>347</v>
      </c>
      <c r="AC281" t="s">
        <v>340</v>
      </c>
      <c r="AD281" t="s">
        <v>2983</v>
      </c>
      <c r="AE281" s="1">
        <v>45811.609942129631</v>
      </c>
      <c r="CI281" t="s">
        <v>337</v>
      </c>
      <c r="CJ281" t="s">
        <v>2431</v>
      </c>
      <c r="CK281">
        <v>45811</v>
      </c>
      <c r="CL281" t="s">
        <v>2430</v>
      </c>
      <c r="CM281" t="s">
        <v>2432</v>
      </c>
      <c r="CN281">
        <v>45811</v>
      </c>
      <c r="CP281" t="s">
        <v>338</v>
      </c>
      <c r="CQ281" t="s">
        <v>2433</v>
      </c>
    </row>
    <row r="282" spans="1:95" x14ac:dyDescent="0.2">
      <c r="A282" t="s">
        <v>333</v>
      </c>
      <c r="B282">
        <v>101</v>
      </c>
      <c r="C282" s="1" t="s">
        <v>2984</v>
      </c>
      <c r="D282" t="s">
        <v>2985</v>
      </c>
      <c r="E282" t="s">
        <v>335</v>
      </c>
      <c r="F282" t="s">
        <v>342</v>
      </c>
      <c r="G282" t="s">
        <v>340</v>
      </c>
      <c r="H282" t="s">
        <v>368</v>
      </c>
      <c r="I282" t="s">
        <v>340</v>
      </c>
      <c r="J282" t="s">
        <v>344</v>
      </c>
      <c r="K282" t="s">
        <v>340</v>
      </c>
      <c r="L282">
        <v>45811</v>
      </c>
      <c r="M282" t="s">
        <v>455</v>
      </c>
      <c r="N282">
        <v>1</v>
      </c>
      <c r="O282">
        <v>1</v>
      </c>
      <c r="P282" t="s">
        <v>2450</v>
      </c>
      <c r="T282" t="s">
        <v>458</v>
      </c>
      <c r="U282" t="s">
        <v>501</v>
      </c>
      <c r="V282" t="s">
        <v>237</v>
      </c>
      <c r="W282">
        <v>0.1</v>
      </c>
      <c r="X282">
        <v>0.1</v>
      </c>
      <c r="Y282" t="s">
        <v>349</v>
      </c>
      <c r="Z282" t="s">
        <v>346</v>
      </c>
      <c r="AA282" t="s">
        <v>340</v>
      </c>
      <c r="AB282" t="s">
        <v>347</v>
      </c>
      <c r="AC282" t="s">
        <v>340</v>
      </c>
      <c r="AD282" t="s">
        <v>2986</v>
      </c>
      <c r="AE282" s="1">
        <v>45811.618101851855</v>
      </c>
      <c r="CI282" t="s">
        <v>337</v>
      </c>
      <c r="CJ282" t="s">
        <v>2431</v>
      </c>
      <c r="CK282">
        <v>45811</v>
      </c>
      <c r="CL282" t="s">
        <v>2430</v>
      </c>
      <c r="CM282" t="s">
        <v>2432</v>
      </c>
      <c r="CN282">
        <v>45811</v>
      </c>
      <c r="CP282" t="s">
        <v>338</v>
      </c>
      <c r="CQ282" t="s">
        <v>2433</v>
      </c>
    </row>
    <row r="283" spans="1:95" x14ac:dyDescent="0.2">
      <c r="A283" t="s">
        <v>333</v>
      </c>
      <c r="B283">
        <v>102</v>
      </c>
      <c r="C283" s="1" t="s">
        <v>2987</v>
      </c>
      <c r="D283" t="s">
        <v>2988</v>
      </c>
      <c r="E283" t="s">
        <v>335</v>
      </c>
      <c r="F283" t="s">
        <v>342</v>
      </c>
      <c r="G283" t="s">
        <v>340</v>
      </c>
      <c r="H283" t="s">
        <v>369</v>
      </c>
      <c r="I283" t="s">
        <v>340</v>
      </c>
      <c r="J283" t="s">
        <v>344</v>
      </c>
      <c r="K283" t="s">
        <v>340</v>
      </c>
      <c r="L283">
        <v>45811</v>
      </c>
      <c r="M283" t="s">
        <v>455</v>
      </c>
      <c r="N283">
        <v>1</v>
      </c>
      <c r="O283">
        <v>1</v>
      </c>
      <c r="P283" t="s">
        <v>2450</v>
      </c>
      <c r="T283" t="s">
        <v>458</v>
      </c>
      <c r="U283" t="s">
        <v>501</v>
      </c>
      <c r="V283" t="s">
        <v>237</v>
      </c>
      <c r="W283">
        <v>0.1</v>
      </c>
      <c r="X283">
        <v>0.1</v>
      </c>
      <c r="Y283" t="s">
        <v>349</v>
      </c>
      <c r="Z283" t="s">
        <v>346</v>
      </c>
      <c r="AA283" t="s">
        <v>340</v>
      </c>
      <c r="AB283" t="s">
        <v>347</v>
      </c>
      <c r="AC283" t="s">
        <v>340</v>
      </c>
      <c r="AD283" t="s">
        <v>2989</v>
      </c>
      <c r="AE283" s="1">
        <v>45811.618101851855</v>
      </c>
      <c r="CI283" t="s">
        <v>337</v>
      </c>
      <c r="CJ283" t="s">
        <v>2431</v>
      </c>
      <c r="CK283">
        <v>45811</v>
      </c>
      <c r="CL283" t="s">
        <v>2430</v>
      </c>
      <c r="CM283" t="s">
        <v>2432</v>
      </c>
      <c r="CN283">
        <v>45811</v>
      </c>
      <c r="CP283" t="s">
        <v>338</v>
      </c>
      <c r="CQ283" t="s">
        <v>2433</v>
      </c>
    </row>
    <row r="284" spans="1:95" x14ac:dyDescent="0.2">
      <c r="A284" t="s">
        <v>333</v>
      </c>
      <c r="B284">
        <v>103</v>
      </c>
      <c r="C284" s="1" t="s">
        <v>2990</v>
      </c>
      <c r="D284" t="s">
        <v>2991</v>
      </c>
      <c r="E284" t="s">
        <v>335</v>
      </c>
      <c r="F284" t="s">
        <v>342</v>
      </c>
      <c r="G284" t="s">
        <v>340</v>
      </c>
      <c r="H284" t="s">
        <v>370</v>
      </c>
      <c r="I284" t="s">
        <v>340</v>
      </c>
      <c r="J284" t="s">
        <v>344</v>
      </c>
      <c r="K284" t="s">
        <v>340</v>
      </c>
      <c r="L284">
        <v>45811</v>
      </c>
      <c r="M284" t="s">
        <v>455</v>
      </c>
      <c r="N284">
        <v>1</v>
      </c>
      <c r="O284">
        <v>1</v>
      </c>
      <c r="P284" t="s">
        <v>2450</v>
      </c>
      <c r="T284" t="s">
        <v>458</v>
      </c>
      <c r="U284" t="s">
        <v>501</v>
      </c>
      <c r="V284" t="s">
        <v>237</v>
      </c>
      <c r="W284">
        <v>0.1</v>
      </c>
      <c r="X284">
        <v>0.1</v>
      </c>
      <c r="Y284" t="s">
        <v>349</v>
      </c>
      <c r="Z284" t="s">
        <v>346</v>
      </c>
      <c r="AA284" t="s">
        <v>340</v>
      </c>
      <c r="AB284" t="s">
        <v>347</v>
      </c>
      <c r="AC284" t="s">
        <v>340</v>
      </c>
      <c r="AD284" t="s">
        <v>2992</v>
      </c>
      <c r="AE284" s="1">
        <v>45811.618101851855</v>
      </c>
      <c r="CI284" t="s">
        <v>337</v>
      </c>
      <c r="CJ284" t="s">
        <v>2431</v>
      </c>
      <c r="CK284">
        <v>45811</v>
      </c>
      <c r="CL284" t="s">
        <v>2430</v>
      </c>
      <c r="CM284" t="s">
        <v>2432</v>
      </c>
      <c r="CN284">
        <v>45811</v>
      </c>
      <c r="CP284" t="s">
        <v>338</v>
      </c>
      <c r="CQ284" t="s">
        <v>2433</v>
      </c>
    </row>
    <row r="285" spans="1:95" x14ac:dyDescent="0.2">
      <c r="A285" t="s">
        <v>333</v>
      </c>
      <c r="B285">
        <v>104</v>
      </c>
      <c r="C285" s="1" t="s">
        <v>2993</v>
      </c>
      <c r="D285" t="s">
        <v>2994</v>
      </c>
      <c r="E285" t="s">
        <v>335</v>
      </c>
      <c r="F285" t="s">
        <v>342</v>
      </c>
      <c r="G285" t="s">
        <v>340</v>
      </c>
      <c r="H285" t="s">
        <v>361</v>
      </c>
      <c r="I285" t="s">
        <v>340</v>
      </c>
      <c r="J285" t="s">
        <v>344</v>
      </c>
      <c r="K285" t="s">
        <v>340</v>
      </c>
      <c r="L285">
        <v>45811</v>
      </c>
      <c r="M285" t="s">
        <v>455</v>
      </c>
      <c r="N285">
        <v>1</v>
      </c>
      <c r="O285">
        <v>1</v>
      </c>
      <c r="P285" t="s">
        <v>2450</v>
      </c>
      <c r="T285" t="s">
        <v>458</v>
      </c>
      <c r="U285" t="s">
        <v>501</v>
      </c>
      <c r="V285" t="s">
        <v>237</v>
      </c>
      <c r="W285">
        <v>0.1</v>
      </c>
      <c r="X285">
        <v>0.1</v>
      </c>
      <c r="Y285" t="s">
        <v>349</v>
      </c>
      <c r="Z285" t="s">
        <v>346</v>
      </c>
      <c r="AA285" t="s">
        <v>340</v>
      </c>
      <c r="AB285" t="s">
        <v>347</v>
      </c>
      <c r="AC285" t="s">
        <v>340</v>
      </c>
      <c r="AD285" t="s">
        <v>2995</v>
      </c>
      <c r="AE285" s="1">
        <v>45811.618101851855</v>
      </c>
      <c r="CI285" t="s">
        <v>337</v>
      </c>
      <c r="CJ285" t="s">
        <v>2431</v>
      </c>
      <c r="CK285">
        <v>45811</v>
      </c>
      <c r="CL285" t="s">
        <v>2430</v>
      </c>
      <c r="CM285" t="s">
        <v>2432</v>
      </c>
      <c r="CN285">
        <v>45811</v>
      </c>
      <c r="CP285" t="s">
        <v>338</v>
      </c>
      <c r="CQ285" t="s">
        <v>2433</v>
      </c>
    </row>
    <row r="286" spans="1:95" x14ac:dyDescent="0.2">
      <c r="A286" t="s">
        <v>333</v>
      </c>
      <c r="B286">
        <v>105</v>
      </c>
      <c r="C286" s="1" t="s">
        <v>2996</v>
      </c>
      <c r="D286" t="s">
        <v>2997</v>
      </c>
      <c r="E286" t="s">
        <v>335</v>
      </c>
      <c r="F286" t="s">
        <v>342</v>
      </c>
      <c r="G286" t="s">
        <v>340</v>
      </c>
      <c r="H286" t="s">
        <v>350</v>
      </c>
      <c r="I286" t="s">
        <v>340</v>
      </c>
      <c r="J286" t="s">
        <v>344</v>
      </c>
      <c r="K286" t="s">
        <v>340</v>
      </c>
      <c r="L286">
        <v>45811</v>
      </c>
      <c r="M286" t="s">
        <v>455</v>
      </c>
      <c r="N286">
        <v>1</v>
      </c>
      <c r="O286">
        <v>1</v>
      </c>
      <c r="P286" t="s">
        <v>2450</v>
      </c>
      <c r="T286" t="s">
        <v>458</v>
      </c>
      <c r="U286" t="s">
        <v>501</v>
      </c>
      <c r="V286" t="s">
        <v>237</v>
      </c>
      <c r="W286">
        <v>0.1</v>
      </c>
      <c r="X286">
        <v>0.1</v>
      </c>
      <c r="Y286" t="s">
        <v>349</v>
      </c>
      <c r="Z286" t="s">
        <v>346</v>
      </c>
      <c r="AA286" t="s">
        <v>340</v>
      </c>
      <c r="AB286" t="s">
        <v>347</v>
      </c>
      <c r="AC286" t="s">
        <v>340</v>
      </c>
      <c r="AD286" t="s">
        <v>2998</v>
      </c>
      <c r="AE286" s="1">
        <v>45811.618101851855</v>
      </c>
      <c r="CI286" t="s">
        <v>337</v>
      </c>
      <c r="CJ286" t="s">
        <v>2431</v>
      </c>
      <c r="CK286">
        <v>45811</v>
      </c>
      <c r="CL286" t="s">
        <v>2430</v>
      </c>
      <c r="CM286" t="s">
        <v>2432</v>
      </c>
      <c r="CN286">
        <v>45811</v>
      </c>
      <c r="CP286" t="s">
        <v>338</v>
      </c>
      <c r="CQ286" t="s">
        <v>2433</v>
      </c>
    </row>
    <row r="287" spans="1:95" x14ac:dyDescent="0.2">
      <c r="A287" t="s">
        <v>333</v>
      </c>
      <c r="B287">
        <v>106</v>
      </c>
      <c r="C287" s="1" t="s">
        <v>2999</v>
      </c>
      <c r="D287" t="s">
        <v>3000</v>
      </c>
      <c r="E287" t="s">
        <v>335</v>
      </c>
      <c r="F287" t="s">
        <v>342</v>
      </c>
      <c r="G287" t="s">
        <v>340</v>
      </c>
      <c r="H287" t="s">
        <v>2810</v>
      </c>
      <c r="I287" t="s">
        <v>340</v>
      </c>
      <c r="J287" t="s">
        <v>344</v>
      </c>
      <c r="K287" t="s">
        <v>340</v>
      </c>
      <c r="L287">
        <v>45811</v>
      </c>
      <c r="M287" t="s">
        <v>455</v>
      </c>
      <c r="N287">
        <v>1</v>
      </c>
      <c r="O287">
        <v>1</v>
      </c>
      <c r="P287" t="s">
        <v>2450</v>
      </c>
      <c r="T287" t="s">
        <v>458</v>
      </c>
      <c r="U287" t="s">
        <v>501</v>
      </c>
      <c r="V287" t="s">
        <v>237</v>
      </c>
      <c r="W287">
        <v>0.1</v>
      </c>
      <c r="X287">
        <v>0.1</v>
      </c>
      <c r="Y287" t="s">
        <v>349</v>
      </c>
      <c r="Z287" t="s">
        <v>346</v>
      </c>
      <c r="AA287" t="s">
        <v>340</v>
      </c>
      <c r="AB287" t="s">
        <v>347</v>
      </c>
      <c r="AC287" t="s">
        <v>340</v>
      </c>
      <c r="AD287" t="s">
        <v>3001</v>
      </c>
      <c r="AE287" s="1">
        <v>45811.618101851855</v>
      </c>
      <c r="CI287" t="s">
        <v>337</v>
      </c>
      <c r="CJ287" t="s">
        <v>2431</v>
      </c>
      <c r="CK287">
        <v>45811</v>
      </c>
      <c r="CL287" t="s">
        <v>2430</v>
      </c>
      <c r="CM287" t="s">
        <v>2432</v>
      </c>
      <c r="CN287">
        <v>45811</v>
      </c>
      <c r="CP287" t="s">
        <v>338</v>
      </c>
      <c r="CQ287" t="s">
        <v>2433</v>
      </c>
    </row>
    <row r="288" spans="1:95" x14ac:dyDescent="0.2">
      <c r="A288" t="s">
        <v>333</v>
      </c>
      <c r="B288">
        <v>107</v>
      </c>
      <c r="C288" s="1" t="s">
        <v>3002</v>
      </c>
      <c r="D288" t="s">
        <v>3003</v>
      </c>
      <c r="E288" t="s">
        <v>335</v>
      </c>
      <c r="F288" t="s">
        <v>342</v>
      </c>
      <c r="G288" t="s">
        <v>340</v>
      </c>
      <c r="H288" t="s">
        <v>358</v>
      </c>
      <c r="I288" t="s">
        <v>340</v>
      </c>
      <c r="J288" t="s">
        <v>344</v>
      </c>
      <c r="K288" t="s">
        <v>340</v>
      </c>
      <c r="L288">
        <v>45811</v>
      </c>
      <c r="M288" t="s">
        <v>455</v>
      </c>
      <c r="N288">
        <v>1</v>
      </c>
      <c r="O288">
        <v>1</v>
      </c>
      <c r="P288" t="s">
        <v>2450</v>
      </c>
      <c r="T288" t="s">
        <v>458</v>
      </c>
      <c r="U288" t="s">
        <v>501</v>
      </c>
      <c r="V288" t="s">
        <v>237</v>
      </c>
      <c r="W288">
        <v>0.1</v>
      </c>
      <c r="X288">
        <v>0.1</v>
      </c>
      <c r="Y288" t="s">
        <v>349</v>
      </c>
      <c r="Z288" t="s">
        <v>346</v>
      </c>
      <c r="AA288" t="s">
        <v>340</v>
      </c>
      <c r="AB288" t="s">
        <v>347</v>
      </c>
      <c r="AC288" t="s">
        <v>340</v>
      </c>
      <c r="AD288" t="s">
        <v>3004</v>
      </c>
      <c r="AE288" s="1">
        <v>45811.618101851855</v>
      </c>
      <c r="CI288" t="s">
        <v>337</v>
      </c>
      <c r="CJ288" t="s">
        <v>2431</v>
      </c>
      <c r="CK288">
        <v>45811</v>
      </c>
      <c r="CL288" t="s">
        <v>2430</v>
      </c>
      <c r="CM288" t="s">
        <v>2432</v>
      </c>
      <c r="CN288">
        <v>45811</v>
      </c>
      <c r="CP288" t="s">
        <v>338</v>
      </c>
      <c r="CQ288" t="s">
        <v>2433</v>
      </c>
    </row>
    <row r="289" spans="1:95" x14ac:dyDescent="0.2">
      <c r="A289" t="s">
        <v>333</v>
      </c>
      <c r="B289">
        <v>108</v>
      </c>
      <c r="C289" s="1" t="s">
        <v>3005</v>
      </c>
      <c r="D289" t="s">
        <v>3006</v>
      </c>
      <c r="E289" t="s">
        <v>335</v>
      </c>
      <c r="F289" t="s">
        <v>342</v>
      </c>
      <c r="G289" t="s">
        <v>340</v>
      </c>
      <c r="H289" t="s">
        <v>360</v>
      </c>
      <c r="I289" t="s">
        <v>340</v>
      </c>
      <c r="J289" t="s">
        <v>344</v>
      </c>
      <c r="K289" t="s">
        <v>340</v>
      </c>
      <c r="L289">
        <v>45811</v>
      </c>
      <c r="M289" t="s">
        <v>455</v>
      </c>
      <c r="N289">
        <v>1</v>
      </c>
      <c r="O289">
        <v>1</v>
      </c>
      <c r="P289" t="s">
        <v>2450</v>
      </c>
      <c r="T289" t="s">
        <v>458</v>
      </c>
      <c r="U289" t="s">
        <v>501</v>
      </c>
      <c r="V289" t="s">
        <v>237</v>
      </c>
      <c r="W289">
        <v>0.1</v>
      </c>
      <c r="X289">
        <v>0.1</v>
      </c>
      <c r="Y289" t="s">
        <v>349</v>
      </c>
      <c r="Z289" t="s">
        <v>346</v>
      </c>
      <c r="AA289" t="s">
        <v>340</v>
      </c>
      <c r="AB289" t="s">
        <v>347</v>
      </c>
      <c r="AC289" t="s">
        <v>340</v>
      </c>
      <c r="AD289" t="s">
        <v>3007</v>
      </c>
      <c r="AE289" s="1">
        <v>45811.618101851855</v>
      </c>
      <c r="CI289" t="s">
        <v>337</v>
      </c>
      <c r="CJ289" t="s">
        <v>2431</v>
      </c>
      <c r="CK289">
        <v>45811</v>
      </c>
      <c r="CL289" t="s">
        <v>2430</v>
      </c>
      <c r="CM289" t="s">
        <v>2432</v>
      </c>
      <c r="CN289">
        <v>45811</v>
      </c>
      <c r="CP289" t="s">
        <v>338</v>
      </c>
      <c r="CQ289" t="s">
        <v>2433</v>
      </c>
    </row>
    <row r="290" spans="1:95" x14ac:dyDescent="0.2">
      <c r="A290" t="s">
        <v>333</v>
      </c>
      <c r="B290">
        <v>109</v>
      </c>
      <c r="C290" s="1" t="s">
        <v>3008</v>
      </c>
      <c r="D290" t="s">
        <v>3009</v>
      </c>
      <c r="E290" t="s">
        <v>335</v>
      </c>
      <c r="F290" t="s">
        <v>342</v>
      </c>
      <c r="G290" t="s">
        <v>340</v>
      </c>
      <c r="H290" t="s">
        <v>364</v>
      </c>
      <c r="I290" t="s">
        <v>340</v>
      </c>
      <c r="J290" t="s">
        <v>344</v>
      </c>
      <c r="K290" t="s">
        <v>340</v>
      </c>
      <c r="L290">
        <v>45811</v>
      </c>
      <c r="M290" t="s">
        <v>455</v>
      </c>
      <c r="N290">
        <v>1</v>
      </c>
      <c r="O290">
        <v>1</v>
      </c>
      <c r="P290" t="s">
        <v>2450</v>
      </c>
      <c r="T290" t="s">
        <v>458</v>
      </c>
      <c r="U290" t="s">
        <v>501</v>
      </c>
      <c r="V290" t="s">
        <v>237</v>
      </c>
      <c r="W290">
        <v>0.1</v>
      </c>
      <c r="X290">
        <v>0.1</v>
      </c>
      <c r="Y290" t="s">
        <v>349</v>
      </c>
      <c r="Z290" t="s">
        <v>346</v>
      </c>
      <c r="AA290" t="s">
        <v>340</v>
      </c>
      <c r="AB290" t="s">
        <v>347</v>
      </c>
      <c r="AC290" t="s">
        <v>340</v>
      </c>
      <c r="AD290" t="s">
        <v>3010</v>
      </c>
      <c r="AE290" s="1">
        <v>45811.618101851855</v>
      </c>
      <c r="CI290" t="s">
        <v>337</v>
      </c>
      <c r="CJ290" t="s">
        <v>2431</v>
      </c>
      <c r="CK290">
        <v>45811</v>
      </c>
      <c r="CL290" t="s">
        <v>2430</v>
      </c>
      <c r="CM290" t="s">
        <v>2432</v>
      </c>
      <c r="CN290">
        <v>45811</v>
      </c>
      <c r="CP290" t="s">
        <v>338</v>
      </c>
      <c r="CQ290" t="s">
        <v>2433</v>
      </c>
    </row>
    <row r="291" spans="1:95" x14ac:dyDescent="0.2">
      <c r="A291" t="s">
        <v>333</v>
      </c>
      <c r="B291">
        <v>110</v>
      </c>
      <c r="C291" s="1" t="s">
        <v>3011</v>
      </c>
      <c r="D291" t="s">
        <v>3012</v>
      </c>
      <c r="E291" t="s">
        <v>335</v>
      </c>
      <c r="F291" t="s">
        <v>342</v>
      </c>
      <c r="G291" t="s">
        <v>340</v>
      </c>
      <c r="H291" t="s">
        <v>353</v>
      </c>
      <c r="I291" t="s">
        <v>340</v>
      </c>
      <c r="J291" t="s">
        <v>344</v>
      </c>
      <c r="K291" t="s">
        <v>340</v>
      </c>
      <c r="L291">
        <v>45811</v>
      </c>
      <c r="M291" t="s">
        <v>455</v>
      </c>
      <c r="N291">
        <v>1</v>
      </c>
      <c r="O291">
        <v>1</v>
      </c>
      <c r="P291" t="s">
        <v>2450</v>
      </c>
      <c r="T291" t="s">
        <v>458</v>
      </c>
      <c r="U291" t="s">
        <v>501</v>
      </c>
      <c r="V291" t="s">
        <v>237</v>
      </c>
      <c r="W291">
        <v>0.1</v>
      </c>
      <c r="X291">
        <v>0.1</v>
      </c>
      <c r="Y291" t="s">
        <v>349</v>
      </c>
      <c r="Z291" t="s">
        <v>346</v>
      </c>
      <c r="AA291" t="s">
        <v>340</v>
      </c>
      <c r="AB291" t="s">
        <v>347</v>
      </c>
      <c r="AC291" t="s">
        <v>340</v>
      </c>
      <c r="AD291" t="s">
        <v>3013</v>
      </c>
      <c r="AE291" s="1">
        <v>45811.618101851855</v>
      </c>
      <c r="CI291" t="s">
        <v>337</v>
      </c>
      <c r="CJ291" t="s">
        <v>2431</v>
      </c>
      <c r="CK291">
        <v>45811</v>
      </c>
      <c r="CL291" t="s">
        <v>2430</v>
      </c>
      <c r="CM291" t="s">
        <v>2432</v>
      </c>
      <c r="CN291">
        <v>45811</v>
      </c>
      <c r="CP291" t="s">
        <v>338</v>
      </c>
      <c r="CQ291" t="s">
        <v>2433</v>
      </c>
    </row>
    <row r="292" spans="1:95" x14ac:dyDescent="0.2">
      <c r="A292" t="s">
        <v>333</v>
      </c>
      <c r="B292">
        <v>111</v>
      </c>
      <c r="C292" s="1" t="s">
        <v>3014</v>
      </c>
      <c r="D292" t="s">
        <v>3015</v>
      </c>
      <c r="E292" t="s">
        <v>335</v>
      </c>
      <c r="F292" t="s">
        <v>342</v>
      </c>
      <c r="G292" t="s">
        <v>340</v>
      </c>
      <c r="H292" t="s">
        <v>363</v>
      </c>
      <c r="I292" t="s">
        <v>340</v>
      </c>
      <c r="J292" t="s">
        <v>344</v>
      </c>
      <c r="K292" t="s">
        <v>340</v>
      </c>
      <c r="L292">
        <v>45811</v>
      </c>
      <c r="M292" t="s">
        <v>455</v>
      </c>
      <c r="N292">
        <v>1</v>
      </c>
      <c r="O292">
        <v>1</v>
      </c>
      <c r="P292" t="s">
        <v>2450</v>
      </c>
      <c r="T292" t="s">
        <v>458</v>
      </c>
      <c r="U292" t="s">
        <v>501</v>
      </c>
      <c r="V292" t="s">
        <v>237</v>
      </c>
      <c r="W292">
        <v>0.1</v>
      </c>
      <c r="X292">
        <v>0.1</v>
      </c>
      <c r="Y292" t="s">
        <v>349</v>
      </c>
      <c r="Z292" t="s">
        <v>346</v>
      </c>
      <c r="AA292" t="s">
        <v>340</v>
      </c>
      <c r="AB292" t="s">
        <v>347</v>
      </c>
      <c r="AC292" t="s">
        <v>340</v>
      </c>
      <c r="AD292" t="s">
        <v>3016</v>
      </c>
      <c r="AE292" s="1">
        <v>45811.618101851855</v>
      </c>
      <c r="CI292" t="s">
        <v>337</v>
      </c>
      <c r="CJ292" t="s">
        <v>2431</v>
      </c>
      <c r="CK292">
        <v>45811</v>
      </c>
      <c r="CL292" t="s">
        <v>2430</v>
      </c>
      <c r="CM292" t="s">
        <v>2432</v>
      </c>
      <c r="CN292">
        <v>45811</v>
      </c>
      <c r="CP292" t="s">
        <v>338</v>
      </c>
      <c r="CQ292" t="s">
        <v>2433</v>
      </c>
    </row>
    <row r="293" spans="1:95" x14ac:dyDescent="0.2">
      <c r="A293" t="s">
        <v>333</v>
      </c>
      <c r="B293">
        <v>112</v>
      </c>
      <c r="C293" s="1" t="s">
        <v>3017</v>
      </c>
      <c r="D293" t="s">
        <v>3018</v>
      </c>
      <c r="E293" t="s">
        <v>335</v>
      </c>
      <c r="F293" t="s">
        <v>342</v>
      </c>
      <c r="G293" t="s">
        <v>340</v>
      </c>
      <c r="H293" t="s">
        <v>352</v>
      </c>
      <c r="I293" t="s">
        <v>340</v>
      </c>
      <c r="J293" t="s">
        <v>344</v>
      </c>
      <c r="K293" t="s">
        <v>340</v>
      </c>
      <c r="L293">
        <v>45811</v>
      </c>
      <c r="M293" t="s">
        <v>455</v>
      </c>
      <c r="N293">
        <v>1</v>
      </c>
      <c r="O293">
        <v>1</v>
      </c>
      <c r="P293" t="s">
        <v>2450</v>
      </c>
      <c r="T293" t="s">
        <v>458</v>
      </c>
      <c r="U293" t="s">
        <v>501</v>
      </c>
      <c r="V293" t="s">
        <v>237</v>
      </c>
      <c r="W293">
        <v>0.1</v>
      </c>
      <c r="X293">
        <v>0.1</v>
      </c>
      <c r="Y293" t="s">
        <v>349</v>
      </c>
      <c r="Z293" t="s">
        <v>346</v>
      </c>
      <c r="AA293" t="s">
        <v>340</v>
      </c>
      <c r="AB293" t="s">
        <v>347</v>
      </c>
      <c r="AC293" t="s">
        <v>340</v>
      </c>
      <c r="AD293" t="s">
        <v>3019</v>
      </c>
      <c r="AE293" s="1">
        <v>45811.618101851855</v>
      </c>
      <c r="CI293" t="s">
        <v>337</v>
      </c>
      <c r="CJ293" t="s">
        <v>2431</v>
      </c>
      <c r="CK293">
        <v>45811</v>
      </c>
      <c r="CL293" t="s">
        <v>2430</v>
      </c>
      <c r="CM293" t="s">
        <v>2432</v>
      </c>
      <c r="CN293">
        <v>45811</v>
      </c>
      <c r="CP293" t="s">
        <v>338</v>
      </c>
      <c r="CQ293" t="s">
        <v>2433</v>
      </c>
    </row>
    <row r="294" spans="1:95" x14ac:dyDescent="0.2">
      <c r="A294" t="s">
        <v>333</v>
      </c>
      <c r="B294">
        <v>113</v>
      </c>
      <c r="C294" s="1" t="s">
        <v>3020</v>
      </c>
      <c r="D294" t="s">
        <v>3021</v>
      </c>
      <c r="E294" t="s">
        <v>335</v>
      </c>
      <c r="F294" t="s">
        <v>342</v>
      </c>
      <c r="G294" t="s">
        <v>340</v>
      </c>
      <c r="H294" t="s">
        <v>357</v>
      </c>
      <c r="I294" t="s">
        <v>340</v>
      </c>
      <c r="J294" t="s">
        <v>344</v>
      </c>
      <c r="K294" t="s">
        <v>340</v>
      </c>
      <c r="L294">
        <v>45811</v>
      </c>
      <c r="M294" t="s">
        <v>455</v>
      </c>
      <c r="N294">
        <v>1</v>
      </c>
      <c r="O294">
        <v>1</v>
      </c>
      <c r="P294" t="s">
        <v>2450</v>
      </c>
      <c r="T294" t="s">
        <v>458</v>
      </c>
      <c r="U294" t="s">
        <v>501</v>
      </c>
      <c r="V294" t="s">
        <v>237</v>
      </c>
      <c r="W294">
        <v>0.1</v>
      </c>
      <c r="X294">
        <v>0.1</v>
      </c>
      <c r="Y294" t="s">
        <v>349</v>
      </c>
      <c r="Z294" t="s">
        <v>346</v>
      </c>
      <c r="AA294" t="s">
        <v>340</v>
      </c>
      <c r="AB294" t="s">
        <v>347</v>
      </c>
      <c r="AC294" t="s">
        <v>340</v>
      </c>
      <c r="AD294" t="s">
        <v>3022</v>
      </c>
      <c r="AE294" s="1">
        <v>45811.618101851855</v>
      </c>
      <c r="CI294" t="s">
        <v>337</v>
      </c>
      <c r="CJ294" t="s">
        <v>2431</v>
      </c>
      <c r="CK294">
        <v>45811</v>
      </c>
      <c r="CL294" t="s">
        <v>2430</v>
      </c>
      <c r="CM294" t="s">
        <v>2432</v>
      </c>
      <c r="CN294">
        <v>45811</v>
      </c>
      <c r="CP294" t="s">
        <v>338</v>
      </c>
      <c r="CQ294" t="s">
        <v>2433</v>
      </c>
    </row>
    <row r="295" spans="1:95" x14ac:dyDescent="0.2">
      <c r="A295" t="s">
        <v>333</v>
      </c>
      <c r="B295">
        <v>114</v>
      </c>
      <c r="C295" s="1" t="s">
        <v>3023</v>
      </c>
      <c r="D295" t="s">
        <v>3024</v>
      </c>
      <c r="E295" t="s">
        <v>335</v>
      </c>
      <c r="F295" t="s">
        <v>342</v>
      </c>
      <c r="G295" t="s">
        <v>340</v>
      </c>
      <c r="H295" t="s">
        <v>371</v>
      </c>
      <c r="I295" t="s">
        <v>340</v>
      </c>
      <c r="J295" t="s">
        <v>344</v>
      </c>
      <c r="K295" t="s">
        <v>340</v>
      </c>
      <c r="L295">
        <v>45811</v>
      </c>
      <c r="M295" t="s">
        <v>455</v>
      </c>
      <c r="N295">
        <v>1</v>
      </c>
      <c r="O295">
        <v>1</v>
      </c>
      <c r="P295" t="s">
        <v>2450</v>
      </c>
      <c r="T295" t="s">
        <v>458</v>
      </c>
      <c r="U295" t="s">
        <v>501</v>
      </c>
      <c r="V295" t="s">
        <v>237</v>
      </c>
      <c r="W295">
        <v>0.1</v>
      </c>
      <c r="X295">
        <v>0.1</v>
      </c>
      <c r="Y295" t="s">
        <v>349</v>
      </c>
      <c r="Z295" t="s">
        <v>346</v>
      </c>
      <c r="AA295" t="s">
        <v>340</v>
      </c>
      <c r="AB295" t="s">
        <v>347</v>
      </c>
      <c r="AC295" t="s">
        <v>340</v>
      </c>
      <c r="AD295" t="s">
        <v>3025</v>
      </c>
      <c r="AE295" s="1">
        <v>45811.618101851855</v>
      </c>
      <c r="CI295" t="s">
        <v>337</v>
      </c>
      <c r="CJ295" t="s">
        <v>2431</v>
      </c>
      <c r="CK295">
        <v>45811</v>
      </c>
      <c r="CL295" t="s">
        <v>2430</v>
      </c>
      <c r="CM295" t="s">
        <v>2432</v>
      </c>
      <c r="CN295">
        <v>45811</v>
      </c>
      <c r="CP295" t="s">
        <v>338</v>
      </c>
      <c r="CQ295" t="s">
        <v>2433</v>
      </c>
    </row>
    <row r="296" spans="1:95" x14ac:dyDescent="0.2">
      <c r="A296" t="s">
        <v>333</v>
      </c>
      <c r="B296">
        <v>115</v>
      </c>
      <c r="C296" s="1" t="s">
        <v>3026</v>
      </c>
      <c r="D296" t="s">
        <v>3027</v>
      </c>
      <c r="E296" t="s">
        <v>335</v>
      </c>
      <c r="F296" t="s">
        <v>342</v>
      </c>
      <c r="G296" t="s">
        <v>340</v>
      </c>
      <c r="H296" t="s">
        <v>365</v>
      </c>
      <c r="I296" t="s">
        <v>340</v>
      </c>
      <c r="J296" t="s">
        <v>344</v>
      </c>
      <c r="K296" t="s">
        <v>340</v>
      </c>
      <c r="L296">
        <v>45811</v>
      </c>
      <c r="M296" t="s">
        <v>455</v>
      </c>
      <c r="N296">
        <v>1</v>
      </c>
      <c r="O296">
        <v>1</v>
      </c>
      <c r="P296" t="s">
        <v>2450</v>
      </c>
      <c r="T296" t="s">
        <v>458</v>
      </c>
      <c r="U296" t="s">
        <v>501</v>
      </c>
      <c r="V296" t="s">
        <v>237</v>
      </c>
      <c r="W296">
        <v>0.1</v>
      </c>
      <c r="X296">
        <v>0.1</v>
      </c>
      <c r="Y296" t="s">
        <v>349</v>
      </c>
      <c r="Z296" t="s">
        <v>346</v>
      </c>
      <c r="AA296" t="s">
        <v>340</v>
      </c>
      <c r="AB296" t="s">
        <v>347</v>
      </c>
      <c r="AC296" t="s">
        <v>340</v>
      </c>
      <c r="AD296" t="s">
        <v>3028</v>
      </c>
      <c r="AE296" s="1">
        <v>45811.618101851855</v>
      </c>
      <c r="CI296" t="s">
        <v>337</v>
      </c>
      <c r="CJ296" t="s">
        <v>2431</v>
      </c>
      <c r="CK296">
        <v>45811</v>
      </c>
      <c r="CL296" t="s">
        <v>2430</v>
      </c>
      <c r="CM296" t="s">
        <v>2432</v>
      </c>
      <c r="CN296">
        <v>45811</v>
      </c>
      <c r="CP296" t="s">
        <v>338</v>
      </c>
      <c r="CQ296" t="s">
        <v>2433</v>
      </c>
    </row>
    <row r="297" spans="1:95" x14ac:dyDescent="0.2">
      <c r="A297" t="s">
        <v>333</v>
      </c>
      <c r="B297">
        <v>116</v>
      </c>
      <c r="C297" s="1" t="s">
        <v>3029</v>
      </c>
      <c r="D297" t="s">
        <v>3030</v>
      </c>
      <c r="E297" t="s">
        <v>335</v>
      </c>
      <c r="F297" t="s">
        <v>342</v>
      </c>
      <c r="G297" t="s">
        <v>340</v>
      </c>
      <c r="H297" t="s">
        <v>367</v>
      </c>
      <c r="I297" t="s">
        <v>340</v>
      </c>
      <c r="J297" t="s">
        <v>344</v>
      </c>
      <c r="K297" t="s">
        <v>340</v>
      </c>
      <c r="L297">
        <v>45811</v>
      </c>
      <c r="M297" t="s">
        <v>455</v>
      </c>
      <c r="N297">
        <v>1</v>
      </c>
      <c r="O297">
        <v>1</v>
      </c>
      <c r="P297" t="s">
        <v>2450</v>
      </c>
      <c r="T297" t="s">
        <v>458</v>
      </c>
      <c r="U297" t="s">
        <v>2841</v>
      </c>
      <c r="W297">
        <v>0.1</v>
      </c>
      <c r="X297">
        <v>0.1</v>
      </c>
      <c r="Y297" t="s">
        <v>349</v>
      </c>
      <c r="Z297" t="s">
        <v>346</v>
      </c>
      <c r="AA297" t="s">
        <v>340</v>
      </c>
      <c r="AB297" t="s">
        <v>347</v>
      </c>
      <c r="AC297" t="s">
        <v>340</v>
      </c>
      <c r="AD297" t="s">
        <v>3031</v>
      </c>
      <c r="AE297" s="1">
        <v>45811.618321759262</v>
      </c>
      <c r="CI297" t="s">
        <v>337</v>
      </c>
      <c r="CJ297" t="s">
        <v>2431</v>
      </c>
      <c r="CK297">
        <v>45811</v>
      </c>
      <c r="CL297" t="s">
        <v>2430</v>
      </c>
      <c r="CM297" t="s">
        <v>2432</v>
      </c>
      <c r="CN297">
        <v>45811</v>
      </c>
      <c r="CP297" t="s">
        <v>338</v>
      </c>
      <c r="CQ297" t="s">
        <v>2433</v>
      </c>
    </row>
    <row r="298" spans="1:95" x14ac:dyDescent="0.2">
      <c r="A298" t="s">
        <v>333</v>
      </c>
      <c r="B298">
        <v>117</v>
      </c>
      <c r="C298" s="1" t="s">
        <v>3032</v>
      </c>
      <c r="D298" t="s">
        <v>3033</v>
      </c>
      <c r="E298" t="s">
        <v>335</v>
      </c>
      <c r="F298" t="s">
        <v>342</v>
      </c>
      <c r="G298" t="s">
        <v>340</v>
      </c>
      <c r="H298" t="s">
        <v>366</v>
      </c>
      <c r="I298" t="s">
        <v>340</v>
      </c>
      <c r="J298" t="s">
        <v>344</v>
      </c>
      <c r="K298" t="s">
        <v>340</v>
      </c>
      <c r="L298">
        <v>45811</v>
      </c>
      <c r="M298" t="s">
        <v>455</v>
      </c>
      <c r="N298">
        <v>1</v>
      </c>
      <c r="O298">
        <v>1</v>
      </c>
      <c r="P298" t="s">
        <v>2450</v>
      </c>
      <c r="T298" t="s">
        <v>458</v>
      </c>
      <c r="U298" t="s">
        <v>501</v>
      </c>
      <c r="V298" t="s">
        <v>237</v>
      </c>
      <c r="W298">
        <v>0.1</v>
      </c>
      <c r="X298">
        <v>0.1</v>
      </c>
      <c r="Y298" t="s">
        <v>349</v>
      </c>
      <c r="Z298" t="s">
        <v>346</v>
      </c>
      <c r="AA298" t="s">
        <v>340</v>
      </c>
      <c r="AB298" t="s">
        <v>347</v>
      </c>
      <c r="AC298" t="s">
        <v>340</v>
      </c>
      <c r="AD298" t="s">
        <v>3034</v>
      </c>
      <c r="AE298" s="1">
        <v>45811.618101851855</v>
      </c>
      <c r="CI298" t="s">
        <v>337</v>
      </c>
      <c r="CJ298" t="s">
        <v>2431</v>
      </c>
      <c r="CK298">
        <v>45811</v>
      </c>
      <c r="CL298" t="s">
        <v>2430</v>
      </c>
      <c r="CM298" t="s">
        <v>2432</v>
      </c>
      <c r="CN298">
        <v>45811</v>
      </c>
      <c r="CP298" t="s">
        <v>338</v>
      </c>
      <c r="CQ298" t="s">
        <v>2433</v>
      </c>
    </row>
    <row r="299" spans="1:95" x14ac:dyDescent="0.2">
      <c r="A299" t="s">
        <v>333</v>
      </c>
      <c r="B299">
        <v>118</v>
      </c>
      <c r="C299" s="1" t="s">
        <v>3035</v>
      </c>
      <c r="D299" t="s">
        <v>3036</v>
      </c>
      <c r="E299" t="s">
        <v>335</v>
      </c>
      <c r="F299" t="s">
        <v>342</v>
      </c>
      <c r="G299" t="s">
        <v>340</v>
      </c>
      <c r="H299" t="s">
        <v>354</v>
      </c>
      <c r="I299" t="s">
        <v>340</v>
      </c>
      <c r="J299" t="s">
        <v>344</v>
      </c>
      <c r="K299" t="s">
        <v>340</v>
      </c>
      <c r="L299">
        <v>45811</v>
      </c>
      <c r="M299" t="s">
        <v>455</v>
      </c>
      <c r="N299">
        <v>1</v>
      </c>
      <c r="O299">
        <v>1</v>
      </c>
      <c r="P299" t="s">
        <v>2450</v>
      </c>
      <c r="T299" t="s">
        <v>458</v>
      </c>
      <c r="U299" t="s">
        <v>501</v>
      </c>
      <c r="V299" t="s">
        <v>237</v>
      </c>
      <c r="W299">
        <v>0.1</v>
      </c>
      <c r="X299">
        <v>0.1</v>
      </c>
      <c r="Y299" t="s">
        <v>349</v>
      </c>
      <c r="Z299" t="s">
        <v>346</v>
      </c>
      <c r="AA299" t="s">
        <v>340</v>
      </c>
      <c r="AB299" t="s">
        <v>347</v>
      </c>
      <c r="AC299" t="s">
        <v>340</v>
      </c>
      <c r="AD299" t="s">
        <v>3037</v>
      </c>
      <c r="AE299" s="1">
        <v>45811.618101851855</v>
      </c>
      <c r="CI299" t="s">
        <v>337</v>
      </c>
      <c r="CJ299" t="s">
        <v>2431</v>
      </c>
      <c r="CK299">
        <v>45811</v>
      </c>
      <c r="CL299" t="s">
        <v>2430</v>
      </c>
      <c r="CM299" t="s">
        <v>2432</v>
      </c>
      <c r="CN299">
        <v>45811</v>
      </c>
      <c r="CP299" t="s">
        <v>338</v>
      </c>
      <c r="CQ299" t="s">
        <v>2433</v>
      </c>
    </row>
    <row r="300" spans="1:95" x14ac:dyDescent="0.2">
      <c r="A300" t="s">
        <v>333</v>
      </c>
      <c r="B300">
        <v>119</v>
      </c>
      <c r="C300" s="1" t="s">
        <v>3038</v>
      </c>
      <c r="D300" t="s">
        <v>3039</v>
      </c>
      <c r="E300" t="s">
        <v>335</v>
      </c>
      <c r="F300" t="s">
        <v>342</v>
      </c>
      <c r="G300" t="s">
        <v>340</v>
      </c>
      <c r="H300" t="s">
        <v>356</v>
      </c>
      <c r="I300" t="s">
        <v>340</v>
      </c>
      <c r="J300" t="s">
        <v>344</v>
      </c>
      <c r="K300" t="s">
        <v>340</v>
      </c>
      <c r="L300">
        <v>45811</v>
      </c>
      <c r="M300" t="s">
        <v>455</v>
      </c>
      <c r="N300">
        <v>1</v>
      </c>
      <c r="O300">
        <v>1</v>
      </c>
      <c r="P300" t="s">
        <v>2450</v>
      </c>
      <c r="T300" t="s">
        <v>458</v>
      </c>
      <c r="U300" t="s">
        <v>2841</v>
      </c>
      <c r="W300">
        <v>0.1</v>
      </c>
      <c r="X300">
        <v>0.1</v>
      </c>
      <c r="Y300" t="s">
        <v>349</v>
      </c>
      <c r="Z300" t="s">
        <v>346</v>
      </c>
      <c r="AA300" t="s">
        <v>340</v>
      </c>
      <c r="AB300" t="s">
        <v>347</v>
      </c>
      <c r="AC300" t="s">
        <v>340</v>
      </c>
      <c r="AD300" t="s">
        <v>3040</v>
      </c>
      <c r="AE300" s="1">
        <v>45811.618321759262</v>
      </c>
      <c r="CI300" t="s">
        <v>337</v>
      </c>
      <c r="CJ300" t="s">
        <v>2431</v>
      </c>
      <c r="CK300">
        <v>45811</v>
      </c>
      <c r="CL300" t="s">
        <v>2430</v>
      </c>
      <c r="CM300" t="s">
        <v>2432</v>
      </c>
      <c r="CN300">
        <v>45811</v>
      </c>
      <c r="CP300" t="s">
        <v>338</v>
      </c>
      <c r="CQ300" t="s">
        <v>2433</v>
      </c>
    </row>
    <row r="301" spans="1:95" x14ac:dyDescent="0.2">
      <c r="A301" t="s">
        <v>333</v>
      </c>
      <c r="B301">
        <v>120</v>
      </c>
      <c r="C301" s="1" t="s">
        <v>3041</v>
      </c>
      <c r="D301" t="s">
        <v>3042</v>
      </c>
      <c r="E301" t="s">
        <v>335</v>
      </c>
      <c r="F301" t="s">
        <v>342</v>
      </c>
      <c r="G301" t="s">
        <v>340</v>
      </c>
      <c r="H301" t="s">
        <v>355</v>
      </c>
      <c r="I301" t="s">
        <v>340</v>
      </c>
      <c r="J301" t="s">
        <v>344</v>
      </c>
      <c r="K301" t="s">
        <v>340</v>
      </c>
      <c r="L301">
        <v>45811</v>
      </c>
      <c r="M301" t="s">
        <v>455</v>
      </c>
      <c r="N301">
        <v>1</v>
      </c>
      <c r="O301">
        <v>1</v>
      </c>
      <c r="P301" t="s">
        <v>2450</v>
      </c>
      <c r="T301" t="s">
        <v>458</v>
      </c>
      <c r="U301" t="s">
        <v>501</v>
      </c>
      <c r="V301" t="s">
        <v>237</v>
      </c>
      <c r="W301">
        <v>0.1</v>
      </c>
      <c r="X301">
        <v>0.1</v>
      </c>
      <c r="Y301" t="s">
        <v>349</v>
      </c>
      <c r="Z301" t="s">
        <v>346</v>
      </c>
      <c r="AA301" t="s">
        <v>340</v>
      </c>
      <c r="AB301" t="s">
        <v>347</v>
      </c>
      <c r="AC301" t="s">
        <v>340</v>
      </c>
      <c r="AD301" t="s">
        <v>3043</v>
      </c>
      <c r="AE301" s="1">
        <v>45811.618101851855</v>
      </c>
      <c r="CI301" t="s">
        <v>337</v>
      </c>
      <c r="CJ301" t="s">
        <v>2431</v>
      </c>
      <c r="CK301">
        <v>45811</v>
      </c>
      <c r="CL301" t="s">
        <v>2430</v>
      </c>
      <c r="CM301" t="s">
        <v>2432</v>
      </c>
      <c r="CN301">
        <v>45811</v>
      </c>
      <c r="CP301" t="s">
        <v>338</v>
      </c>
      <c r="CQ301" t="s">
        <v>2433</v>
      </c>
    </row>
    <row r="302" spans="1:95" x14ac:dyDescent="0.2">
      <c r="A302" t="s">
        <v>333</v>
      </c>
      <c r="B302">
        <v>121</v>
      </c>
      <c r="C302" s="1" t="s">
        <v>3044</v>
      </c>
      <c r="D302" t="s">
        <v>3045</v>
      </c>
      <c r="E302" t="s">
        <v>335</v>
      </c>
      <c r="F302" t="s">
        <v>342</v>
      </c>
      <c r="G302" t="s">
        <v>340</v>
      </c>
      <c r="H302" t="s">
        <v>362</v>
      </c>
      <c r="I302" t="s">
        <v>340</v>
      </c>
      <c r="J302" t="s">
        <v>344</v>
      </c>
      <c r="K302" t="s">
        <v>340</v>
      </c>
      <c r="L302">
        <v>45811</v>
      </c>
      <c r="M302" t="s">
        <v>455</v>
      </c>
      <c r="N302">
        <v>1</v>
      </c>
      <c r="O302">
        <v>1</v>
      </c>
      <c r="P302" t="s">
        <v>2450</v>
      </c>
      <c r="T302" t="s">
        <v>458</v>
      </c>
      <c r="U302" t="s">
        <v>501</v>
      </c>
      <c r="V302" t="s">
        <v>237</v>
      </c>
      <c r="W302">
        <v>0.1</v>
      </c>
      <c r="X302">
        <v>0.1</v>
      </c>
      <c r="Y302" t="s">
        <v>349</v>
      </c>
      <c r="Z302" t="s">
        <v>346</v>
      </c>
      <c r="AA302" t="s">
        <v>340</v>
      </c>
      <c r="AB302" t="s">
        <v>347</v>
      </c>
      <c r="AC302" t="s">
        <v>340</v>
      </c>
      <c r="AD302" t="s">
        <v>3046</v>
      </c>
      <c r="AE302" s="1">
        <v>45811.618101851855</v>
      </c>
      <c r="CI302" t="s">
        <v>337</v>
      </c>
      <c r="CJ302" t="s">
        <v>2431</v>
      </c>
      <c r="CK302">
        <v>45811</v>
      </c>
      <c r="CL302" t="s">
        <v>2430</v>
      </c>
      <c r="CM302" t="s">
        <v>2432</v>
      </c>
      <c r="CN302">
        <v>45811</v>
      </c>
      <c r="CP302" t="s">
        <v>338</v>
      </c>
      <c r="CQ302" t="s">
        <v>2433</v>
      </c>
    </row>
    <row r="303" spans="1:95" x14ac:dyDescent="0.2">
      <c r="A303" t="s">
        <v>333</v>
      </c>
      <c r="B303">
        <v>122</v>
      </c>
      <c r="C303" s="1" t="s">
        <v>3047</v>
      </c>
      <c r="D303" t="s">
        <v>3048</v>
      </c>
      <c r="E303" t="s">
        <v>335</v>
      </c>
      <c r="F303" t="s">
        <v>342</v>
      </c>
      <c r="G303" t="s">
        <v>340</v>
      </c>
      <c r="H303" t="s">
        <v>351</v>
      </c>
      <c r="I303" t="s">
        <v>340</v>
      </c>
      <c r="J303" t="s">
        <v>344</v>
      </c>
      <c r="K303" t="s">
        <v>340</v>
      </c>
      <c r="L303">
        <v>45811</v>
      </c>
      <c r="M303" t="s">
        <v>455</v>
      </c>
      <c r="N303">
        <v>1</v>
      </c>
      <c r="O303">
        <v>1</v>
      </c>
      <c r="P303" t="s">
        <v>2450</v>
      </c>
      <c r="T303" t="s">
        <v>458</v>
      </c>
      <c r="U303" t="s">
        <v>501</v>
      </c>
      <c r="V303" t="s">
        <v>237</v>
      </c>
      <c r="W303">
        <v>0.1</v>
      </c>
      <c r="X303">
        <v>0.1</v>
      </c>
      <c r="Y303" t="s">
        <v>349</v>
      </c>
      <c r="Z303" t="s">
        <v>346</v>
      </c>
      <c r="AA303" t="s">
        <v>340</v>
      </c>
      <c r="AB303" t="s">
        <v>347</v>
      </c>
      <c r="AC303" t="s">
        <v>340</v>
      </c>
      <c r="AD303" t="s">
        <v>3049</v>
      </c>
      <c r="AE303" s="1">
        <v>45811.618101851855</v>
      </c>
      <c r="CI303" t="s">
        <v>337</v>
      </c>
      <c r="CJ303" t="s">
        <v>2431</v>
      </c>
      <c r="CK303">
        <v>45811</v>
      </c>
      <c r="CL303" t="s">
        <v>2430</v>
      </c>
      <c r="CM303" t="s">
        <v>2432</v>
      </c>
      <c r="CN303">
        <v>45811</v>
      </c>
      <c r="CP303" t="s">
        <v>338</v>
      </c>
      <c r="CQ303" t="s">
        <v>2433</v>
      </c>
    </row>
    <row r="304" spans="1:95" x14ac:dyDescent="0.2">
      <c r="A304" t="s">
        <v>333</v>
      </c>
      <c r="B304">
        <v>123</v>
      </c>
      <c r="C304" s="1" t="s">
        <v>3050</v>
      </c>
      <c r="D304" t="s">
        <v>3051</v>
      </c>
      <c r="E304" t="s">
        <v>335</v>
      </c>
      <c r="F304" t="s">
        <v>342</v>
      </c>
      <c r="G304" t="s">
        <v>340</v>
      </c>
      <c r="H304" t="s">
        <v>359</v>
      </c>
      <c r="I304" t="s">
        <v>340</v>
      </c>
      <c r="J304" t="s">
        <v>344</v>
      </c>
      <c r="K304" t="s">
        <v>340</v>
      </c>
      <c r="L304">
        <v>45811</v>
      </c>
      <c r="M304" t="s">
        <v>455</v>
      </c>
      <c r="N304">
        <v>1</v>
      </c>
      <c r="O304">
        <v>1</v>
      </c>
      <c r="P304" t="s">
        <v>2450</v>
      </c>
      <c r="T304" t="s">
        <v>458</v>
      </c>
      <c r="U304" t="s">
        <v>501</v>
      </c>
      <c r="V304" t="s">
        <v>237</v>
      </c>
      <c r="W304">
        <v>0.1</v>
      </c>
      <c r="X304">
        <v>0.1</v>
      </c>
      <c r="Y304" t="s">
        <v>349</v>
      </c>
      <c r="Z304" t="s">
        <v>346</v>
      </c>
      <c r="AA304" t="s">
        <v>340</v>
      </c>
      <c r="AB304" t="s">
        <v>347</v>
      </c>
      <c r="AC304" t="s">
        <v>340</v>
      </c>
      <c r="AD304" t="s">
        <v>3052</v>
      </c>
      <c r="AE304" s="1">
        <v>45811.618101851855</v>
      </c>
      <c r="CI304" t="s">
        <v>337</v>
      </c>
      <c r="CJ304" t="s">
        <v>2431</v>
      </c>
      <c r="CK304">
        <v>45811</v>
      </c>
      <c r="CL304" t="s">
        <v>2430</v>
      </c>
      <c r="CM304" t="s">
        <v>2432</v>
      </c>
      <c r="CN304">
        <v>45811</v>
      </c>
      <c r="CP304" t="s">
        <v>338</v>
      </c>
      <c r="CQ304" t="s">
        <v>2433</v>
      </c>
    </row>
    <row r="305" spans="1:95" x14ac:dyDescent="0.2">
      <c r="A305" t="s">
        <v>333</v>
      </c>
      <c r="B305">
        <v>124</v>
      </c>
      <c r="C305" s="1" t="s">
        <v>3053</v>
      </c>
      <c r="D305" t="s">
        <v>3054</v>
      </c>
      <c r="E305" t="s">
        <v>335</v>
      </c>
      <c r="F305" t="s">
        <v>2866</v>
      </c>
      <c r="G305" t="s">
        <v>340</v>
      </c>
      <c r="H305" t="s">
        <v>2646</v>
      </c>
      <c r="I305" t="s">
        <v>340</v>
      </c>
      <c r="J305" t="s">
        <v>344</v>
      </c>
      <c r="K305" t="s">
        <v>340</v>
      </c>
      <c r="L305">
        <v>45811</v>
      </c>
      <c r="M305" t="s">
        <v>455</v>
      </c>
      <c r="N305">
        <v>1</v>
      </c>
      <c r="O305">
        <v>1</v>
      </c>
      <c r="P305" t="s">
        <v>2450</v>
      </c>
      <c r="T305" t="s">
        <v>458</v>
      </c>
      <c r="U305" t="s">
        <v>2771</v>
      </c>
      <c r="V305" t="s">
        <v>237</v>
      </c>
      <c r="W305">
        <v>5</v>
      </c>
      <c r="X305">
        <v>5</v>
      </c>
      <c r="Y305" t="s">
        <v>2648</v>
      </c>
      <c r="Z305" t="s">
        <v>346</v>
      </c>
      <c r="AA305" t="s">
        <v>340</v>
      </c>
      <c r="AB305" t="s">
        <v>347</v>
      </c>
      <c r="AC305" t="s">
        <v>340</v>
      </c>
      <c r="AD305" t="s">
        <v>3055</v>
      </c>
      <c r="AE305" s="1">
        <v>45811.321689814817</v>
      </c>
      <c r="CI305" t="s">
        <v>337</v>
      </c>
      <c r="CJ305" t="s">
        <v>2431</v>
      </c>
      <c r="CK305">
        <v>45811</v>
      </c>
      <c r="CL305" t="s">
        <v>2430</v>
      </c>
      <c r="CM305" t="s">
        <v>2432</v>
      </c>
      <c r="CN305">
        <v>45811</v>
      </c>
      <c r="CP305" t="s">
        <v>338</v>
      </c>
      <c r="CQ305" t="s">
        <v>2433</v>
      </c>
    </row>
    <row r="306" spans="1:95" x14ac:dyDescent="0.2">
      <c r="A306" t="s">
        <v>333</v>
      </c>
      <c r="B306">
        <v>125</v>
      </c>
      <c r="C306" s="1" t="s">
        <v>3056</v>
      </c>
      <c r="D306" t="s">
        <v>3057</v>
      </c>
      <c r="E306" t="s">
        <v>335</v>
      </c>
      <c r="F306" t="s">
        <v>2870</v>
      </c>
      <c r="G306" t="s">
        <v>340</v>
      </c>
      <c r="H306" t="s">
        <v>2646</v>
      </c>
      <c r="I306" t="s">
        <v>340</v>
      </c>
      <c r="J306" t="s">
        <v>344</v>
      </c>
      <c r="K306" t="s">
        <v>340</v>
      </c>
      <c r="L306">
        <v>45811</v>
      </c>
      <c r="M306" t="s">
        <v>455</v>
      </c>
      <c r="N306">
        <v>1</v>
      </c>
      <c r="O306">
        <v>1</v>
      </c>
      <c r="P306" t="s">
        <v>2450</v>
      </c>
      <c r="T306" t="s">
        <v>458</v>
      </c>
      <c r="U306" t="s">
        <v>2771</v>
      </c>
      <c r="V306" t="s">
        <v>237</v>
      </c>
      <c r="W306">
        <v>5</v>
      </c>
      <c r="X306">
        <v>5</v>
      </c>
      <c r="Y306" t="s">
        <v>2648</v>
      </c>
      <c r="Z306" t="s">
        <v>346</v>
      </c>
      <c r="AA306" t="s">
        <v>340</v>
      </c>
      <c r="AB306" t="s">
        <v>347</v>
      </c>
      <c r="AC306" t="s">
        <v>340</v>
      </c>
      <c r="AD306" t="s">
        <v>3058</v>
      </c>
      <c r="AE306" s="1">
        <v>45811.321689814817</v>
      </c>
      <c r="CI306" t="s">
        <v>337</v>
      </c>
      <c r="CJ306" t="s">
        <v>2431</v>
      </c>
      <c r="CK306">
        <v>45811</v>
      </c>
      <c r="CL306" t="s">
        <v>2430</v>
      </c>
      <c r="CM306" t="s">
        <v>2432</v>
      </c>
      <c r="CN306">
        <v>45811</v>
      </c>
      <c r="CP306" t="s">
        <v>338</v>
      </c>
      <c r="CQ306" t="s">
        <v>2433</v>
      </c>
    </row>
    <row r="307" spans="1:95" x14ac:dyDescent="0.2">
      <c r="A307" t="s">
        <v>333</v>
      </c>
      <c r="B307">
        <v>126</v>
      </c>
      <c r="C307" s="1" t="s">
        <v>3059</v>
      </c>
      <c r="D307" t="s">
        <v>3060</v>
      </c>
      <c r="E307" t="s">
        <v>335</v>
      </c>
      <c r="F307" t="s">
        <v>2874</v>
      </c>
      <c r="G307" t="s">
        <v>340</v>
      </c>
      <c r="H307" t="s">
        <v>2646</v>
      </c>
      <c r="I307" t="s">
        <v>340</v>
      </c>
      <c r="J307" t="s">
        <v>344</v>
      </c>
      <c r="K307" t="s">
        <v>340</v>
      </c>
      <c r="L307">
        <v>45811</v>
      </c>
      <c r="M307" t="s">
        <v>455</v>
      </c>
      <c r="N307">
        <v>1</v>
      </c>
      <c r="O307">
        <v>1</v>
      </c>
      <c r="P307" t="s">
        <v>2450</v>
      </c>
      <c r="T307" t="s">
        <v>458</v>
      </c>
      <c r="U307" t="s">
        <v>2771</v>
      </c>
      <c r="V307" t="s">
        <v>237</v>
      </c>
      <c r="W307">
        <v>5</v>
      </c>
      <c r="X307">
        <v>5</v>
      </c>
      <c r="Y307" t="s">
        <v>2648</v>
      </c>
      <c r="Z307" t="s">
        <v>346</v>
      </c>
      <c r="AA307" t="s">
        <v>340</v>
      </c>
      <c r="AB307" t="s">
        <v>347</v>
      </c>
      <c r="AC307" t="s">
        <v>340</v>
      </c>
      <c r="AD307" t="s">
        <v>3061</v>
      </c>
      <c r="AE307" s="1">
        <v>45811.321689814817</v>
      </c>
      <c r="CI307" t="s">
        <v>337</v>
      </c>
      <c r="CJ307" t="s">
        <v>2431</v>
      </c>
      <c r="CK307">
        <v>45811</v>
      </c>
      <c r="CL307" t="s">
        <v>2430</v>
      </c>
      <c r="CM307" t="s">
        <v>2432</v>
      </c>
      <c r="CN307">
        <v>45811</v>
      </c>
      <c r="CP307" t="s">
        <v>338</v>
      </c>
      <c r="CQ307" t="s">
        <v>2433</v>
      </c>
    </row>
    <row r="308" spans="1:95" x14ac:dyDescent="0.2">
      <c r="A308" t="s">
        <v>333</v>
      </c>
      <c r="B308">
        <v>127</v>
      </c>
      <c r="C308" s="1" t="s">
        <v>3062</v>
      </c>
      <c r="D308" t="s">
        <v>3063</v>
      </c>
      <c r="E308" t="s">
        <v>335</v>
      </c>
      <c r="F308" t="s">
        <v>2878</v>
      </c>
      <c r="G308" t="s">
        <v>340</v>
      </c>
      <c r="H308" t="s">
        <v>2646</v>
      </c>
      <c r="I308" t="s">
        <v>340</v>
      </c>
      <c r="J308" t="s">
        <v>344</v>
      </c>
      <c r="K308" t="s">
        <v>340</v>
      </c>
      <c r="L308">
        <v>45811</v>
      </c>
      <c r="M308" t="s">
        <v>455</v>
      </c>
      <c r="N308">
        <v>1</v>
      </c>
      <c r="O308">
        <v>1</v>
      </c>
      <c r="P308" t="s">
        <v>2450</v>
      </c>
      <c r="T308" t="s">
        <v>458</v>
      </c>
      <c r="U308" t="s">
        <v>2771</v>
      </c>
      <c r="V308" t="s">
        <v>237</v>
      </c>
      <c r="W308">
        <v>5</v>
      </c>
      <c r="X308">
        <v>5</v>
      </c>
      <c r="Y308" t="s">
        <v>2648</v>
      </c>
      <c r="Z308" t="s">
        <v>346</v>
      </c>
      <c r="AA308" t="s">
        <v>340</v>
      </c>
      <c r="AB308" t="s">
        <v>347</v>
      </c>
      <c r="AC308" t="s">
        <v>340</v>
      </c>
      <c r="AD308" t="s">
        <v>3064</v>
      </c>
      <c r="AE308" s="1">
        <v>45811.321689814817</v>
      </c>
      <c r="CI308" t="s">
        <v>337</v>
      </c>
      <c r="CJ308" t="s">
        <v>2431</v>
      </c>
      <c r="CK308">
        <v>45811</v>
      </c>
      <c r="CL308" t="s">
        <v>2430</v>
      </c>
      <c r="CM308" t="s">
        <v>2432</v>
      </c>
      <c r="CN308">
        <v>45811</v>
      </c>
      <c r="CP308" t="s">
        <v>338</v>
      </c>
      <c r="CQ308" t="s">
        <v>2433</v>
      </c>
    </row>
    <row r="309" spans="1:95" x14ac:dyDescent="0.2">
      <c r="A309" t="s">
        <v>333</v>
      </c>
      <c r="B309">
        <v>128</v>
      </c>
      <c r="C309" s="1" t="s">
        <v>3065</v>
      </c>
      <c r="D309" t="s">
        <v>3066</v>
      </c>
      <c r="E309" t="s">
        <v>335</v>
      </c>
      <c r="F309" t="s">
        <v>2645</v>
      </c>
      <c r="G309" t="s">
        <v>340</v>
      </c>
      <c r="H309" t="s">
        <v>2646</v>
      </c>
      <c r="I309" t="s">
        <v>340</v>
      </c>
      <c r="J309" t="s">
        <v>344</v>
      </c>
      <c r="K309" t="s">
        <v>340</v>
      </c>
      <c r="L309">
        <v>45811</v>
      </c>
      <c r="M309" t="s">
        <v>455</v>
      </c>
      <c r="N309">
        <v>1</v>
      </c>
      <c r="O309">
        <v>1</v>
      </c>
      <c r="P309" t="s">
        <v>2452</v>
      </c>
      <c r="T309" t="s">
        <v>458</v>
      </c>
      <c r="U309" t="s">
        <v>2647</v>
      </c>
      <c r="V309" t="s">
        <v>237</v>
      </c>
      <c r="W309">
        <v>20</v>
      </c>
      <c r="X309">
        <v>20</v>
      </c>
      <c r="Y309" t="s">
        <v>2648</v>
      </c>
      <c r="Z309" t="s">
        <v>346</v>
      </c>
      <c r="AA309" t="s">
        <v>340</v>
      </c>
      <c r="AB309" t="s">
        <v>347</v>
      </c>
      <c r="AC309" t="s">
        <v>340</v>
      </c>
      <c r="AD309" t="s">
        <v>3067</v>
      </c>
      <c r="AE309" s="1">
        <v>45811.32167824074</v>
      </c>
      <c r="CI309" t="s">
        <v>337</v>
      </c>
      <c r="CJ309" t="s">
        <v>2431</v>
      </c>
      <c r="CK309">
        <v>45811</v>
      </c>
      <c r="CL309" t="s">
        <v>2430</v>
      </c>
      <c r="CM309" t="s">
        <v>2432</v>
      </c>
      <c r="CN309">
        <v>45811</v>
      </c>
      <c r="CP309" t="s">
        <v>338</v>
      </c>
      <c r="CQ309" t="s">
        <v>2433</v>
      </c>
    </row>
    <row r="310" spans="1:95" x14ac:dyDescent="0.2">
      <c r="A310" t="s">
        <v>333</v>
      </c>
      <c r="B310">
        <v>129</v>
      </c>
      <c r="C310" s="1" t="s">
        <v>3068</v>
      </c>
      <c r="D310" t="s">
        <v>3069</v>
      </c>
      <c r="E310" t="s">
        <v>335</v>
      </c>
      <c r="F310" t="s">
        <v>342</v>
      </c>
      <c r="G310" t="s">
        <v>340</v>
      </c>
      <c r="H310" t="s">
        <v>2652</v>
      </c>
      <c r="I310" t="s">
        <v>340</v>
      </c>
      <c r="J310" t="s">
        <v>344</v>
      </c>
      <c r="K310" t="s">
        <v>340</v>
      </c>
      <c r="L310">
        <v>45811</v>
      </c>
      <c r="M310" t="s">
        <v>455</v>
      </c>
      <c r="N310">
        <v>1</v>
      </c>
      <c r="O310">
        <v>1</v>
      </c>
      <c r="P310" t="s">
        <v>2452</v>
      </c>
      <c r="T310" t="s">
        <v>458</v>
      </c>
      <c r="U310" t="s">
        <v>2653</v>
      </c>
      <c r="V310" t="s">
        <v>237</v>
      </c>
      <c r="W310">
        <v>1</v>
      </c>
      <c r="X310">
        <v>1</v>
      </c>
      <c r="Y310" t="s">
        <v>349</v>
      </c>
      <c r="Z310" t="s">
        <v>346</v>
      </c>
      <c r="AA310" t="s">
        <v>340</v>
      </c>
      <c r="AB310" t="s">
        <v>347</v>
      </c>
      <c r="AC310" t="s">
        <v>340</v>
      </c>
      <c r="AD310" t="s">
        <v>3070</v>
      </c>
      <c r="AE310" s="1">
        <v>45811.309340277781</v>
      </c>
      <c r="CI310" t="s">
        <v>337</v>
      </c>
      <c r="CJ310" t="s">
        <v>2431</v>
      </c>
      <c r="CK310">
        <v>45811</v>
      </c>
      <c r="CL310" t="s">
        <v>2430</v>
      </c>
      <c r="CM310" t="s">
        <v>2432</v>
      </c>
      <c r="CN310">
        <v>45811</v>
      </c>
      <c r="CP310" t="s">
        <v>338</v>
      </c>
      <c r="CQ310" t="s">
        <v>2433</v>
      </c>
    </row>
    <row r="311" spans="1:95" x14ac:dyDescent="0.2">
      <c r="A311" t="s">
        <v>333</v>
      </c>
      <c r="B311">
        <v>130</v>
      </c>
      <c r="C311" s="1" t="s">
        <v>3071</v>
      </c>
      <c r="D311" t="s">
        <v>3072</v>
      </c>
      <c r="E311" t="s">
        <v>335</v>
      </c>
      <c r="F311" t="s">
        <v>342</v>
      </c>
      <c r="G311" t="s">
        <v>340</v>
      </c>
      <c r="H311" t="s">
        <v>2657</v>
      </c>
      <c r="I311" t="s">
        <v>340</v>
      </c>
      <c r="J311" t="s">
        <v>344</v>
      </c>
      <c r="K311" t="s">
        <v>340</v>
      </c>
      <c r="L311">
        <v>45811</v>
      </c>
      <c r="M311" t="s">
        <v>455</v>
      </c>
      <c r="N311">
        <v>1</v>
      </c>
      <c r="O311">
        <v>1</v>
      </c>
      <c r="P311" t="s">
        <v>2452</v>
      </c>
      <c r="T311" t="s">
        <v>458</v>
      </c>
      <c r="U311" t="s">
        <v>2653</v>
      </c>
      <c r="V311" t="s">
        <v>237</v>
      </c>
      <c r="W311">
        <v>1</v>
      </c>
      <c r="X311">
        <v>1</v>
      </c>
      <c r="Y311" t="s">
        <v>349</v>
      </c>
      <c r="Z311" t="s">
        <v>346</v>
      </c>
      <c r="AA311" t="s">
        <v>340</v>
      </c>
      <c r="AB311" t="s">
        <v>347</v>
      </c>
      <c r="AC311" t="s">
        <v>340</v>
      </c>
      <c r="AD311" t="s">
        <v>3073</v>
      </c>
      <c r="AE311" s="1">
        <v>45811.309340277781</v>
      </c>
      <c r="CI311" t="s">
        <v>337</v>
      </c>
      <c r="CJ311" t="s">
        <v>2431</v>
      </c>
      <c r="CK311">
        <v>45811</v>
      </c>
      <c r="CL311" t="s">
        <v>2430</v>
      </c>
      <c r="CM311" t="s">
        <v>2432</v>
      </c>
      <c r="CN311">
        <v>45811</v>
      </c>
      <c r="CP311" t="s">
        <v>338</v>
      </c>
      <c r="CQ311" t="s">
        <v>2433</v>
      </c>
    </row>
    <row r="312" spans="1:95" x14ac:dyDescent="0.2">
      <c r="A312" t="s">
        <v>333</v>
      </c>
      <c r="B312">
        <v>131</v>
      </c>
      <c r="C312" s="1" t="s">
        <v>3074</v>
      </c>
      <c r="D312" t="s">
        <v>3075</v>
      </c>
      <c r="E312" t="s">
        <v>335</v>
      </c>
      <c r="F312" t="s">
        <v>342</v>
      </c>
      <c r="G312" t="s">
        <v>340</v>
      </c>
      <c r="H312" t="s">
        <v>2661</v>
      </c>
      <c r="I312" t="s">
        <v>340</v>
      </c>
      <c r="J312" t="s">
        <v>344</v>
      </c>
      <c r="K312" t="s">
        <v>340</v>
      </c>
      <c r="L312">
        <v>45811</v>
      </c>
      <c r="M312" t="s">
        <v>455</v>
      </c>
      <c r="N312">
        <v>1</v>
      </c>
      <c r="O312">
        <v>1</v>
      </c>
      <c r="P312" t="s">
        <v>2452</v>
      </c>
      <c r="T312" t="s">
        <v>458</v>
      </c>
      <c r="U312" t="s">
        <v>2653</v>
      </c>
      <c r="V312" t="s">
        <v>237</v>
      </c>
      <c r="W312">
        <v>1</v>
      </c>
      <c r="X312">
        <v>1</v>
      </c>
      <c r="Y312" t="s">
        <v>349</v>
      </c>
      <c r="Z312" t="s">
        <v>346</v>
      </c>
      <c r="AA312" t="s">
        <v>340</v>
      </c>
      <c r="AB312" t="s">
        <v>347</v>
      </c>
      <c r="AC312" t="s">
        <v>340</v>
      </c>
      <c r="AD312" t="s">
        <v>3076</v>
      </c>
      <c r="AE312" s="1">
        <v>45811.309340277781</v>
      </c>
      <c r="CI312" t="s">
        <v>337</v>
      </c>
      <c r="CJ312" t="s">
        <v>2431</v>
      </c>
      <c r="CK312">
        <v>45811</v>
      </c>
      <c r="CL312" t="s">
        <v>2430</v>
      </c>
      <c r="CM312" t="s">
        <v>2432</v>
      </c>
      <c r="CN312">
        <v>45811</v>
      </c>
      <c r="CP312" t="s">
        <v>338</v>
      </c>
      <c r="CQ312" t="s">
        <v>2433</v>
      </c>
    </row>
    <row r="313" spans="1:95" x14ac:dyDescent="0.2">
      <c r="A313" t="s">
        <v>333</v>
      </c>
      <c r="B313">
        <v>132</v>
      </c>
      <c r="C313" s="1" t="s">
        <v>3077</v>
      </c>
      <c r="D313" t="s">
        <v>3078</v>
      </c>
      <c r="E313" t="s">
        <v>335</v>
      </c>
      <c r="F313" t="s">
        <v>342</v>
      </c>
      <c r="G313" t="s">
        <v>340</v>
      </c>
      <c r="H313" t="s">
        <v>2665</v>
      </c>
      <c r="I313" t="s">
        <v>340</v>
      </c>
      <c r="J313" t="s">
        <v>344</v>
      </c>
      <c r="K313" t="s">
        <v>340</v>
      </c>
      <c r="L313">
        <v>45811</v>
      </c>
      <c r="M313" t="s">
        <v>455</v>
      </c>
      <c r="N313">
        <v>1</v>
      </c>
      <c r="O313">
        <v>1</v>
      </c>
      <c r="P313" t="s">
        <v>2452</v>
      </c>
      <c r="T313" t="s">
        <v>458</v>
      </c>
      <c r="U313" t="s">
        <v>2653</v>
      </c>
      <c r="V313" t="s">
        <v>237</v>
      </c>
      <c r="W313">
        <v>1</v>
      </c>
      <c r="X313">
        <v>1</v>
      </c>
      <c r="Y313" t="s">
        <v>349</v>
      </c>
      <c r="Z313" t="s">
        <v>346</v>
      </c>
      <c r="AA313" t="s">
        <v>340</v>
      </c>
      <c r="AB313" t="s">
        <v>347</v>
      </c>
      <c r="AC313" t="s">
        <v>340</v>
      </c>
      <c r="AD313" t="s">
        <v>3079</v>
      </c>
      <c r="AE313" s="1">
        <v>45811.309340277781</v>
      </c>
      <c r="CI313" t="s">
        <v>337</v>
      </c>
      <c r="CJ313" t="s">
        <v>2431</v>
      </c>
      <c r="CK313">
        <v>45811</v>
      </c>
      <c r="CL313" t="s">
        <v>2430</v>
      </c>
      <c r="CM313" t="s">
        <v>2432</v>
      </c>
      <c r="CN313">
        <v>45811</v>
      </c>
      <c r="CP313" t="s">
        <v>338</v>
      </c>
      <c r="CQ313" t="s">
        <v>2433</v>
      </c>
    </row>
    <row r="314" spans="1:95" x14ac:dyDescent="0.2">
      <c r="A314" t="s">
        <v>333</v>
      </c>
      <c r="B314">
        <v>133</v>
      </c>
      <c r="C314" s="1" t="s">
        <v>3080</v>
      </c>
      <c r="D314" t="s">
        <v>3081</v>
      </c>
      <c r="E314" t="s">
        <v>335</v>
      </c>
      <c r="F314" t="s">
        <v>342</v>
      </c>
      <c r="G314" t="s">
        <v>340</v>
      </c>
      <c r="H314" t="s">
        <v>2669</v>
      </c>
      <c r="I314" t="s">
        <v>340</v>
      </c>
      <c r="J314" t="s">
        <v>344</v>
      </c>
      <c r="K314" t="s">
        <v>340</v>
      </c>
      <c r="L314">
        <v>45811</v>
      </c>
      <c r="M314" t="s">
        <v>455</v>
      </c>
      <c r="N314">
        <v>1</v>
      </c>
      <c r="O314">
        <v>1</v>
      </c>
      <c r="P314" t="s">
        <v>2452</v>
      </c>
      <c r="T314" t="s">
        <v>458</v>
      </c>
      <c r="U314" t="s">
        <v>2653</v>
      </c>
      <c r="V314" t="s">
        <v>237</v>
      </c>
      <c r="W314">
        <v>1</v>
      </c>
      <c r="X314">
        <v>1</v>
      </c>
      <c r="Y314" t="s">
        <v>349</v>
      </c>
      <c r="Z314" t="s">
        <v>346</v>
      </c>
      <c r="AA314" t="s">
        <v>340</v>
      </c>
      <c r="AB314" t="s">
        <v>347</v>
      </c>
      <c r="AC314" t="s">
        <v>340</v>
      </c>
      <c r="AD314" t="s">
        <v>3082</v>
      </c>
      <c r="AE314" s="1">
        <v>45811.309340277781</v>
      </c>
      <c r="CI314" t="s">
        <v>337</v>
      </c>
      <c r="CJ314" t="s">
        <v>2431</v>
      </c>
      <c r="CK314">
        <v>45811</v>
      </c>
      <c r="CL314" t="s">
        <v>2430</v>
      </c>
      <c r="CM314" t="s">
        <v>2432</v>
      </c>
      <c r="CN314">
        <v>45811</v>
      </c>
      <c r="CP314" t="s">
        <v>338</v>
      </c>
      <c r="CQ314" t="s">
        <v>2433</v>
      </c>
    </row>
    <row r="315" spans="1:95" x14ac:dyDescent="0.2">
      <c r="A315" t="s">
        <v>333</v>
      </c>
      <c r="B315">
        <v>134</v>
      </c>
      <c r="C315" s="1" t="s">
        <v>3083</v>
      </c>
      <c r="D315" t="s">
        <v>3084</v>
      </c>
      <c r="E315" t="s">
        <v>335</v>
      </c>
      <c r="F315" t="s">
        <v>342</v>
      </c>
      <c r="G315" t="s">
        <v>340</v>
      </c>
      <c r="H315" t="s">
        <v>2673</v>
      </c>
      <c r="I315" t="s">
        <v>340</v>
      </c>
      <c r="J315" t="s">
        <v>344</v>
      </c>
      <c r="K315" t="s">
        <v>340</v>
      </c>
      <c r="L315">
        <v>45811</v>
      </c>
      <c r="M315" t="s">
        <v>455</v>
      </c>
      <c r="N315">
        <v>1</v>
      </c>
      <c r="O315">
        <v>1</v>
      </c>
      <c r="P315" t="s">
        <v>2452</v>
      </c>
      <c r="T315" t="s">
        <v>458</v>
      </c>
      <c r="U315" t="s">
        <v>2653</v>
      </c>
      <c r="V315" t="s">
        <v>237</v>
      </c>
      <c r="W315">
        <v>1</v>
      </c>
      <c r="X315">
        <v>1</v>
      </c>
      <c r="Y315" t="s">
        <v>349</v>
      </c>
      <c r="Z315" t="s">
        <v>346</v>
      </c>
      <c r="AA315" t="s">
        <v>340</v>
      </c>
      <c r="AB315" t="s">
        <v>347</v>
      </c>
      <c r="AC315" t="s">
        <v>340</v>
      </c>
      <c r="AD315" t="s">
        <v>3085</v>
      </c>
      <c r="AE315" s="1">
        <v>45811.309340277781</v>
      </c>
      <c r="CI315" t="s">
        <v>337</v>
      </c>
      <c r="CJ315" t="s">
        <v>2431</v>
      </c>
      <c r="CK315">
        <v>45811</v>
      </c>
      <c r="CL315" t="s">
        <v>2430</v>
      </c>
      <c r="CM315" t="s">
        <v>2432</v>
      </c>
      <c r="CN315">
        <v>45811</v>
      </c>
      <c r="CP315" t="s">
        <v>338</v>
      </c>
      <c r="CQ315" t="s">
        <v>2433</v>
      </c>
    </row>
    <row r="316" spans="1:95" x14ac:dyDescent="0.2">
      <c r="A316" t="s">
        <v>333</v>
      </c>
      <c r="B316">
        <v>135</v>
      </c>
      <c r="C316" s="1" t="s">
        <v>3086</v>
      </c>
      <c r="D316" t="s">
        <v>3087</v>
      </c>
      <c r="E316" t="s">
        <v>335</v>
      </c>
      <c r="F316" t="s">
        <v>342</v>
      </c>
      <c r="G316" t="s">
        <v>340</v>
      </c>
      <c r="H316" t="s">
        <v>2677</v>
      </c>
      <c r="I316" t="s">
        <v>340</v>
      </c>
      <c r="J316" t="s">
        <v>344</v>
      </c>
      <c r="K316" t="s">
        <v>340</v>
      </c>
      <c r="L316">
        <v>45811</v>
      </c>
      <c r="M316" t="s">
        <v>455</v>
      </c>
      <c r="N316">
        <v>1</v>
      </c>
      <c r="O316">
        <v>1</v>
      </c>
      <c r="P316" t="s">
        <v>2452</v>
      </c>
      <c r="T316" t="s">
        <v>458</v>
      </c>
      <c r="U316" t="s">
        <v>2653</v>
      </c>
      <c r="V316" t="s">
        <v>237</v>
      </c>
      <c r="W316">
        <v>1</v>
      </c>
      <c r="X316">
        <v>1</v>
      </c>
      <c r="Y316" t="s">
        <v>349</v>
      </c>
      <c r="Z316" t="s">
        <v>346</v>
      </c>
      <c r="AA316" t="s">
        <v>340</v>
      </c>
      <c r="AB316" t="s">
        <v>347</v>
      </c>
      <c r="AC316" t="s">
        <v>340</v>
      </c>
      <c r="AD316" t="s">
        <v>3088</v>
      </c>
      <c r="AE316" s="1">
        <v>45811.309340277781</v>
      </c>
      <c r="CI316" t="s">
        <v>337</v>
      </c>
      <c r="CJ316" t="s">
        <v>2431</v>
      </c>
      <c r="CK316">
        <v>45811</v>
      </c>
      <c r="CL316" t="s">
        <v>2430</v>
      </c>
      <c r="CM316" t="s">
        <v>2432</v>
      </c>
      <c r="CN316">
        <v>45811</v>
      </c>
      <c r="CP316" t="s">
        <v>338</v>
      </c>
      <c r="CQ316" t="s">
        <v>2433</v>
      </c>
    </row>
    <row r="317" spans="1:95" x14ac:dyDescent="0.2">
      <c r="A317" t="s">
        <v>333</v>
      </c>
      <c r="B317">
        <v>136</v>
      </c>
      <c r="C317" s="1" t="s">
        <v>3089</v>
      </c>
      <c r="D317" t="s">
        <v>3090</v>
      </c>
      <c r="E317" t="s">
        <v>335</v>
      </c>
      <c r="F317" t="s">
        <v>342</v>
      </c>
      <c r="G317" t="s">
        <v>340</v>
      </c>
      <c r="H317" t="s">
        <v>343</v>
      </c>
      <c r="I317" t="s">
        <v>340</v>
      </c>
      <c r="J317" t="s">
        <v>344</v>
      </c>
      <c r="K317" t="s">
        <v>340</v>
      </c>
      <c r="L317">
        <v>45811</v>
      </c>
      <c r="M317" t="s">
        <v>455</v>
      </c>
      <c r="N317">
        <v>1</v>
      </c>
      <c r="O317">
        <v>1</v>
      </c>
      <c r="P317" t="s">
        <v>2452</v>
      </c>
      <c r="T317" t="s">
        <v>458</v>
      </c>
      <c r="U317" t="s">
        <v>3091</v>
      </c>
      <c r="W317">
        <v>76.900000000000006</v>
      </c>
      <c r="X317">
        <v>76.900000000000006</v>
      </c>
      <c r="Y317" t="s">
        <v>345</v>
      </c>
      <c r="Z317" t="s">
        <v>346</v>
      </c>
      <c r="AA317" t="s">
        <v>340</v>
      </c>
      <c r="AB317" t="s">
        <v>347</v>
      </c>
      <c r="AC317" t="s">
        <v>340</v>
      </c>
      <c r="AD317" t="s">
        <v>3092</v>
      </c>
      <c r="AE317" s="1">
        <v>45811.20417824074</v>
      </c>
      <c r="CI317" t="s">
        <v>337</v>
      </c>
      <c r="CJ317" t="s">
        <v>2431</v>
      </c>
      <c r="CK317">
        <v>45811</v>
      </c>
      <c r="CL317" t="s">
        <v>2430</v>
      </c>
      <c r="CM317" t="s">
        <v>2432</v>
      </c>
      <c r="CN317">
        <v>45811</v>
      </c>
      <c r="CP317" t="s">
        <v>338</v>
      </c>
      <c r="CQ317" t="s">
        <v>2433</v>
      </c>
    </row>
    <row r="318" spans="1:95" x14ac:dyDescent="0.2">
      <c r="A318" t="s">
        <v>333</v>
      </c>
      <c r="B318">
        <v>137</v>
      </c>
      <c r="C318" s="1" t="s">
        <v>3093</v>
      </c>
      <c r="D318" t="s">
        <v>3094</v>
      </c>
      <c r="E318" t="s">
        <v>335</v>
      </c>
      <c r="F318" t="s">
        <v>342</v>
      </c>
      <c r="G318" t="s">
        <v>340</v>
      </c>
      <c r="H318" t="s">
        <v>2685</v>
      </c>
      <c r="I318" t="s">
        <v>340</v>
      </c>
      <c r="J318" t="s">
        <v>344</v>
      </c>
      <c r="K318" t="s">
        <v>340</v>
      </c>
      <c r="L318">
        <v>45811</v>
      </c>
      <c r="M318" t="s">
        <v>455</v>
      </c>
      <c r="N318">
        <v>1</v>
      </c>
      <c r="O318">
        <v>1</v>
      </c>
      <c r="P318" t="s">
        <v>2452</v>
      </c>
      <c r="T318" t="s">
        <v>458</v>
      </c>
      <c r="U318" t="s">
        <v>2686</v>
      </c>
      <c r="V318" t="s">
        <v>237</v>
      </c>
      <c r="W318">
        <v>0.01</v>
      </c>
      <c r="X318">
        <v>0.01</v>
      </c>
      <c r="Y318" t="s">
        <v>2648</v>
      </c>
      <c r="Z318" t="s">
        <v>346</v>
      </c>
      <c r="AA318" t="s">
        <v>340</v>
      </c>
      <c r="AB318" t="s">
        <v>347</v>
      </c>
      <c r="AC318" t="s">
        <v>340</v>
      </c>
      <c r="AD318" t="s">
        <v>3095</v>
      </c>
      <c r="AE318" s="1">
        <v>45811.309340277781</v>
      </c>
      <c r="CI318" t="s">
        <v>337</v>
      </c>
      <c r="CJ318" t="s">
        <v>2431</v>
      </c>
      <c r="CK318">
        <v>45811</v>
      </c>
      <c r="CL318" t="s">
        <v>2430</v>
      </c>
      <c r="CM318" t="s">
        <v>2432</v>
      </c>
      <c r="CN318">
        <v>45811</v>
      </c>
      <c r="CP318" t="s">
        <v>338</v>
      </c>
      <c r="CQ318" t="s">
        <v>2433</v>
      </c>
    </row>
    <row r="319" spans="1:95" x14ac:dyDescent="0.2">
      <c r="A319" t="s">
        <v>333</v>
      </c>
      <c r="B319">
        <v>138</v>
      </c>
      <c r="C319" s="1" t="s">
        <v>3096</v>
      </c>
      <c r="D319" t="s">
        <v>3097</v>
      </c>
      <c r="E319" t="s">
        <v>335</v>
      </c>
      <c r="F319" t="s">
        <v>342</v>
      </c>
      <c r="G319" t="s">
        <v>340</v>
      </c>
      <c r="H319" t="s">
        <v>2690</v>
      </c>
      <c r="I319" t="s">
        <v>340</v>
      </c>
      <c r="J319" t="s">
        <v>344</v>
      </c>
      <c r="K319" t="s">
        <v>340</v>
      </c>
      <c r="L319">
        <v>45811</v>
      </c>
      <c r="M319" t="s">
        <v>455</v>
      </c>
      <c r="N319">
        <v>1</v>
      </c>
      <c r="O319">
        <v>1</v>
      </c>
      <c r="P319" t="s">
        <v>2452</v>
      </c>
      <c r="T319" t="s">
        <v>458</v>
      </c>
      <c r="U319" t="s">
        <v>2686</v>
      </c>
      <c r="V319" t="s">
        <v>237</v>
      </c>
      <c r="W319">
        <v>0.01</v>
      </c>
      <c r="X319">
        <v>0.01</v>
      </c>
      <c r="Y319" t="s">
        <v>2648</v>
      </c>
      <c r="Z319" t="s">
        <v>346</v>
      </c>
      <c r="AA319" t="s">
        <v>340</v>
      </c>
      <c r="AB319" t="s">
        <v>347</v>
      </c>
      <c r="AC319" t="s">
        <v>340</v>
      </c>
      <c r="AD319" t="s">
        <v>3098</v>
      </c>
      <c r="AE319" s="1">
        <v>45811.309340277781</v>
      </c>
      <c r="CI319" t="s">
        <v>337</v>
      </c>
      <c r="CJ319" t="s">
        <v>2431</v>
      </c>
      <c r="CK319">
        <v>45811</v>
      </c>
      <c r="CL319" t="s">
        <v>2430</v>
      </c>
      <c r="CM319" t="s">
        <v>2432</v>
      </c>
      <c r="CN319">
        <v>45811</v>
      </c>
      <c r="CP319" t="s">
        <v>338</v>
      </c>
      <c r="CQ319" t="s">
        <v>2433</v>
      </c>
    </row>
    <row r="320" spans="1:95" x14ac:dyDescent="0.2">
      <c r="A320" t="s">
        <v>333</v>
      </c>
      <c r="B320">
        <v>139</v>
      </c>
      <c r="C320" s="1" t="s">
        <v>3099</v>
      </c>
      <c r="D320" t="s">
        <v>3100</v>
      </c>
      <c r="E320" t="s">
        <v>335</v>
      </c>
      <c r="F320" t="s">
        <v>342</v>
      </c>
      <c r="G320" t="s">
        <v>340</v>
      </c>
      <c r="H320" t="s">
        <v>2694</v>
      </c>
      <c r="I320" t="s">
        <v>340</v>
      </c>
      <c r="J320" t="s">
        <v>344</v>
      </c>
      <c r="K320" t="s">
        <v>340</v>
      </c>
      <c r="L320">
        <v>45811</v>
      </c>
      <c r="M320" t="s">
        <v>455</v>
      </c>
      <c r="N320">
        <v>1</v>
      </c>
      <c r="O320">
        <v>1</v>
      </c>
      <c r="P320" t="s">
        <v>2452</v>
      </c>
      <c r="T320" t="s">
        <v>458</v>
      </c>
      <c r="U320" t="s">
        <v>2686</v>
      </c>
      <c r="V320" t="s">
        <v>237</v>
      </c>
      <c r="W320">
        <v>0.01</v>
      </c>
      <c r="X320">
        <v>0.01</v>
      </c>
      <c r="Y320" t="s">
        <v>2648</v>
      </c>
      <c r="Z320" t="s">
        <v>346</v>
      </c>
      <c r="AA320" t="s">
        <v>340</v>
      </c>
      <c r="AB320" t="s">
        <v>347</v>
      </c>
      <c r="AC320" t="s">
        <v>340</v>
      </c>
      <c r="AD320" t="s">
        <v>3101</v>
      </c>
      <c r="AE320" s="1">
        <v>45811.309340277781</v>
      </c>
      <c r="CI320" t="s">
        <v>337</v>
      </c>
      <c r="CJ320" t="s">
        <v>2431</v>
      </c>
      <c r="CK320">
        <v>45811</v>
      </c>
      <c r="CL320" t="s">
        <v>2430</v>
      </c>
      <c r="CM320" t="s">
        <v>2432</v>
      </c>
      <c r="CN320">
        <v>45811</v>
      </c>
      <c r="CP320" t="s">
        <v>338</v>
      </c>
      <c r="CQ320" t="s">
        <v>2433</v>
      </c>
    </row>
    <row r="321" spans="1:95" x14ac:dyDescent="0.2">
      <c r="A321" t="s">
        <v>333</v>
      </c>
      <c r="B321">
        <v>140</v>
      </c>
      <c r="C321" s="1" t="s">
        <v>3102</v>
      </c>
      <c r="D321" t="s">
        <v>3103</v>
      </c>
      <c r="E321" t="s">
        <v>335</v>
      </c>
      <c r="F321" t="s">
        <v>342</v>
      </c>
      <c r="G321" t="s">
        <v>340</v>
      </c>
      <c r="H321" t="s">
        <v>2698</v>
      </c>
      <c r="I321" t="s">
        <v>340</v>
      </c>
      <c r="J321" t="s">
        <v>344</v>
      </c>
      <c r="K321" t="s">
        <v>340</v>
      </c>
      <c r="L321">
        <v>45811</v>
      </c>
      <c r="M321" t="s">
        <v>455</v>
      </c>
      <c r="N321">
        <v>1</v>
      </c>
      <c r="O321">
        <v>1</v>
      </c>
      <c r="P321" t="s">
        <v>2452</v>
      </c>
      <c r="T321" t="s">
        <v>458</v>
      </c>
      <c r="U321" t="s">
        <v>2686</v>
      </c>
      <c r="V321" t="s">
        <v>237</v>
      </c>
      <c r="W321">
        <v>0.01</v>
      </c>
      <c r="X321">
        <v>0.01</v>
      </c>
      <c r="Y321" t="s">
        <v>2648</v>
      </c>
      <c r="Z321" t="s">
        <v>346</v>
      </c>
      <c r="AA321" t="s">
        <v>340</v>
      </c>
      <c r="AB321" t="s">
        <v>347</v>
      </c>
      <c r="AC321" t="s">
        <v>340</v>
      </c>
      <c r="AD321" t="s">
        <v>3104</v>
      </c>
      <c r="AE321" s="1">
        <v>45811.309340277781</v>
      </c>
      <c r="CI321" t="s">
        <v>337</v>
      </c>
      <c r="CJ321" t="s">
        <v>2431</v>
      </c>
      <c r="CK321">
        <v>45811</v>
      </c>
      <c r="CL321" t="s">
        <v>2430</v>
      </c>
      <c r="CM321" t="s">
        <v>2432</v>
      </c>
      <c r="CN321">
        <v>45811</v>
      </c>
      <c r="CP321" t="s">
        <v>338</v>
      </c>
      <c r="CQ321" t="s">
        <v>2433</v>
      </c>
    </row>
    <row r="322" spans="1:95" x14ac:dyDescent="0.2">
      <c r="A322" t="s">
        <v>333</v>
      </c>
      <c r="B322">
        <v>141</v>
      </c>
      <c r="C322" s="1" t="s">
        <v>3105</v>
      </c>
      <c r="D322" t="s">
        <v>3106</v>
      </c>
      <c r="E322" t="s">
        <v>335</v>
      </c>
      <c r="F322" t="s">
        <v>342</v>
      </c>
      <c r="G322" t="s">
        <v>340</v>
      </c>
      <c r="H322" t="s">
        <v>2702</v>
      </c>
      <c r="I322" t="s">
        <v>340</v>
      </c>
      <c r="J322" t="s">
        <v>344</v>
      </c>
      <c r="K322" t="s">
        <v>340</v>
      </c>
      <c r="L322">
        <v>45811</v>
      </c>
      <c r="M322" t="s">
        <v>455</v>
      </c>
      <c r="N322">
        <v>1</v>
      </c>
      <c r="O322">
        <v>1</v>
      </c>
      <c r="P322" t="s">
        <v>2452</v>
      </c>
      <c r="T322" t="s">
        <v>458</v>
      </c>
      <c r="U322" t="s">
        <v>2686</v>
      </c>
      <c r="V322" t="s">
        <v>237</v>
      </c>
      <c r="W322">
        <v>0.01</v>
      </c>
      <c r="X322">
        <v>0.01</v>
      </c>
      <c r="Y322" t="s">
        <v>2648</v>
      </c>
      <c r="Z322" t="s">
        <v>346</v>
      </c>
      <c r="AA322" t="s">
        <v>340</v>
      </c>
      <c r="AB322" t="s">
        <v>347</v>
      </c>
      <c r="AC322" t="s">
        <v>340</v>
      </c>
      <c r="AD322" t="s">
        <v>3107</v>
      </c>
      <c r="AE322" s="1">
        <v>45811.309340277781</v>
      </c>
      <c r="CI322" t="s">
        <v>337</v>
      </c>
      <c r="CJ322" t="s">
        <v>2431</v>
      </c>
      <c r="CK322">
        <v>45811</v>
      </c>
      <c r="CL322" t="s">
        <v>2430</v>
      </c>
      <c r="CM322" t="s">
        <v>2432</v>
      </c>
      <c r="CN322">
        <v>45811</v>
      </c>
      <c r="CP322" t="s">
        <v>338</v>
      </c>
      <c r="CQ322" t="s">
        <v>2433</v>
      </c>
    </row>
    <row r="323" spans="1:95" x14ac:dyDescent="0.2">
      <c r="A323" t="s">
        <v>333</v>
      </c>
      <c r="B323">
        <v>142</v>
      </c>
      <c r="C323" s="1" t="s">
        <v>3108</v>
      </c>
      <c r="D323" t="s">
        <v>3109</v>
      </c>
      <c r="E323" t="s">
        <v>335</v>
      </c>
      <c r="F323" t="s">
        <v>342</v>
      </c>
      <c r="G323" t="s">
        <v>340</v>
      </c>
      <c r="H323" t="s">
        <v>2706</v>
      </c>
      <c r="I323" t="s">
        <v>340</v>
      </c>
      <c r="J323" t="s">
        <v>344</v>
      </c>
      <c r="K323" t="s">
        <v>340</v>
      </c>
      <c r="L323">
        <v>45811</v>
      </c>
      <c r="M323" t="s">
        <v>455</v>
      </c>
      <c r="N323">
        <v>1</v>
      </c>
      <c r="O323">
        <v>1</v>
      </c>
      <c r="P323" t="s">
        <v>2452</v>
      </c>
      <c r="T323" t="s">
        <v>458</v>
      </c>
      <c r="U323" t="s">
        <v>2686</v>
      </c>
      <c r="V323" t="s">
        <v>237</v>
      </c>
      <c r="W323">
        <v>0.01</v>
      </c>
      <c r="X323">
        <v>0.01</v>
      </c>
      <c r="Y323" t="s">
        <v>2648</v>
      </c>
      <c r="Z323" t="s">
        <v>346</v>
      </c>
      <c r="AA323" t="s">
        <v>340</v>
      </c>
      <c r="AB323" t="s">
        <v>347</v>
      </c>
      <c r="AC323" t="s">
        <v>340</v>
      </c>
      <c r="AD323" t="s">
        <v>3110</v>
      </c>
      <c r="AE323" s="1">
        <v>45811.309340277781</v>
      </c>
      <c r="CI323" t="s">
        <v>337</v>
      </c>
      <c r="CJ323" t="s">
        <v>2431</v>
      </c>
      <c r="CK323">
        <v>45811</v>
      </c>
      <c r="CL323" t="s">
        <v>2430</v>
      </c>
      <c r="CM323" t="s">
        <v>2432</v>
      </c>
      <c r="CN323">
        <v>45811</v>
      </c>
      <c r="CP323" t="s">
        <v>338</v>
      </c>
      <c r="CQ323" t="s">
        <v>2433</v>
      </c>
    </row>
    <row r="324" spans="1:95" x14ac:dyDescent="0.2">
      <c r="A324" t="s">
        <v>333</v>
      </c>
      <c r="B324">
        <v>143</v>
      </c>
      <c r="C324" s="1" t="s">
        <v>3111</v>
      </c>
      <c r="D324" t="s">
        <v>3112</v>
      </c>
      <c r="E324" t="s">
        <v>335</v>
      </c>
      <c r="F324" t="s">
        <v>342</v>
      </c>
      <c r="G324" t="s">
        <v>340</v>
      </c>
      <c r="H324" t="s">
        <v>2710</v>
      </c>
      <c r="I324" t="s">
        <v>340</v>
      </c>
      <c r="J324" t="s">
        <v>344</v>
      </c>
      <c r="K324" t="s">
        <v>340</v>
      </c>
      <c r="L324">
        <v>45811</v>
      </c>
      <c r="M324" t="s">
        <v>455</v>
      </c>
      <c r="N324">
        <v>1</v>
      </c>
      <c r="O324">
        <v>1</v>
      </c>
      <c r="P324" t="s">
        <v>2452</v>
      </c>
      <c r="T324" t="s">
        <v>458</v>
      </c>
      <c r="U324" t="s">
        <v>2686</v>
      </c>
      <c r="V324" t="s">
        <v>237</v>
      </c>
      <c r="W324">
        <v>0.01</v>
      </c>
      <c r="X324">
        <v>0.01</v>
      </c>
      <c r="Y324" t="s">
        <v>2648</v>
      </c>
      <c r="Z324" t="s">
        <v>346</v>
      </c>
      <c r="AA324" t="s">
        <v>340</v>
      </c>
      <c r="AB324" t="s">
        <v>347</v>
      </c>
      <c r="AC324" t="s">
        <v>340</v>
      </c>
      <c r="AD324" t="s">
        <v>3113</v>
      </c>
      <c r="AE324" s="1">
        <v>45811.309340277781</v>
      </c>
      <c r="CI324" t="s">
        <v>337</v>
      </c>
      <c r="CJ324" t="s">
        <v>2431</v>
      </c>
      <c r="CK324">
        <v>45811</v>
      </c>
      <c r="CL324" t="s">
        <v>2430</v>
      </c>
      <c r="CM324" t="s">
        <v>2432</v>
      </c>
      <c r="CN324">
        <v>45811</v>
      </c>
      <c r="CP324" t="s">
        <v>338</v>
      </c>
      <c r="CQ324" t="s">
        <v>2433</v>
      </c>
    </row>
    <row r="325" spans="1:95" x14ac:dyDescent="0.2">
      <c r="A325" t="s">
        <v>333</v>
      </c>
      <c r="B325">
        <v>144</v>
      </c>
      <c r="C325" s="1" t="s">
        <v>3114</v>
      </c>
      <c r="D325" t="s">
        <v>3115</v>
      </c>
      <c r="E325" t="s">
        <v>335</v>
      </c>
      <c r="F325" t="s">
        <v>342</v>
      </c>
      <c r="G325" t="s">
        <v>340</v>
      </c>
      <c r="H325" t="s">
        <v>2714</v>
      </c>
      <c r="I325" t="s">
        <v>340</v>
      </c>
      <c r="J325" t="s">
        <v>344</v>
      </c>
      <c r="K325" t="s">
        <v>340</v>
      </c>
      <c r="L325">
        <v>45811</v>
      </c>
      <c r="M325" t="s">
        <v>455</v>
      </c>
      <c r="N325">
        <v>1</v>
      </c>
      <c r="O325">
        <v>1</v>
      </c>
      <c r="P325" t="s">
        <v>2452</v>
      </c>
      <c r="T325" t="s">
        <v>458</v>
      </c>
      <c r="U325" t="s">
        <v>2686</v>
      </c>
      <c r="V325" t="s">
        <v>237</v>
      </c>
      <c r="W325">
        <v>0.01</v>
      </c>
      <c r="X325">
        <v>0.01</v>
      </c>
      <c r="Y325" t="s">
        <v>2648</v>
      </c>
      <c r="Z325" t="s">
        <v>346</v>
      </c>
      <c r="AA325" t="s">
        <v>340</v>
      </c>
      <c r="AB325" t="s">
        <v>347</v>
      </c>
      <c r="AC325" t="s">
        <v>340</v>
      </c>
      <c r="AD325" t="s">
        <v>3116</v>
      </c>
      <c r="AE325" s="1">
        <v>45811.309340277781</v>
      </c>
      <c r="CI325" t="s">
        <v>337</v>
      </c>
      <c r="CJ325" t="s">
        <v>2431</v>
      </c>
      <c r="CK325">
        <v>45811</v>
      </c>
      <c r="CL325" t="s">
        <v>2430</v>
      </c>
      <c r="CM325" t="s">
        <v>2432</v>
      </c>
      <c r="CN325">
        <v>45811</v>
      </c>
      <c r="CP325" t="s">
        <v>338</v>
      </c>
      <c r="CQ325" t="s">
        <v>2433</v>
      </c>
    </row>
    <row r="326" spans="1:95" x14ac:dyDescent="0.2">
      <c r="A326" t="s">
        <v>333</v>
      </c>
      <c r="B326">
        <v>145</v>
      </c>
      <c r="C326" s="1" t="s">
        <v>3117</v>
      </c>
      <c r="D326" t="s">
        <v>3118</v>
      </c>
      <c r="E326" t="s">
        <v>335</v>
      </c>
      <c r="F326" t="s">
        <v>342</v>
      </c>
      <c r="G326" t="s">
        <v>340</v>
      </c>
      <c r="H326" t="s">
        <v>2718</v>
      </c>
      <c r="I326" t="s">
        <v>340</v>
      </c>
      <c r="J326" t="s">
        <v>344</v>
      </c>
      <c r="K326" t="s">
        <v>340</v>
      </c>
      <c r="L326">
        <v>45811</v>
      </c>
      <c r="M326" t="s">
        <v>455</v>
      </c>
      <c r="N326">
        <v>1</v>
      </c>
      <c r="O326">
        <v>1</v>
      </c>
      <c r="P326" t="s">
        <v>2452</v>
      </c>
      <c r="T326" t="s">
        <v>458</v>
      </c>
      <c r="U326" t="s">
        <v>2686</v>
      </c>
      <c r="V326" t="s">
        <v>237</v>
      </c>
      <c r="W326">
        <v>0.01</v>
      </c>
      <c r="X326">
        <v>0.01</v>
      </c>
      <c r="Y326" t="s">
        <v>2648</v>
      </c>
      <c r="Z326" t="s">
        <v>346</v>
      </c>
      <c r="AA326" t="s">
        <v>340</v>
      </c>
      <c r="AB326" t="s">
        <v>347</v>
      </c>
      <c r="AC326" t="s">
        <v>340</v>
      </c>
      <c r="AD326" t="s">
        <v>3119</v>
      </c>
      <c r="AE326" s="1">
        <v>45811.309340277781</v>
      </c>
      <c r="CI326" t="s">
        <v>337</v>
      </c>
      <c r="CJ326" t="s">
        <v>2431</v>
      </c>
      <c r="CK326">
        <v>45811</v>
      </c>
      <c r="CL326" t="s">
        <v>2430</v>
      </c>
      <c r="CM326" t="s">
        <v>2432</v>
      </c>
      <c r="CN326">
        <v>45811</v>
      </c>
      <c r="CP326" t="s">
        <v>338</v>
      </c>
      <c r="CQ326" t="s">
        <v>2433</v>
      </c>
    </row>
    <row r="327" spans="1:95" x14ac:dyDescent="0.2">
      <c r="A327" t="s">
        <v>333</v>
      </c>
      <c r="B327">
        <v>146</v>
      </c>
      <c r="C327" s="1" t="s">
        <v>3120</v>
      </c>
      <c r="D327" t="s">
        <v>3121</v>
      </c>
      <c r="E327" t="s">
        <v>335</v>
      </c>
      <c r="F327" t="s">
        <v>342</v>
      </c>
      <c r="G327" t="s">
        <v>340</v>
      </c>
      <c r="H327" t="s">
        <v>2722</v>
      </c>
      <c r="I327" t="s">
        <v>340</v>
      </c>
      <c r="J327" t="s">
        <v>344</v>
      </c>
      <c r="K327" t="s">
        <v>340</v>
      </c>
      <c r="L327">
        <v>45811</v>
      </c>
      <c r="M327" t="s">
        <v>455</v>
      </c>
      <c r="N327">
        <v>1</v>
      </c>
      <c r="O327">
        <v>1</v>
      </c>
      <c r="P327" t="s">
        <v>2452</v>
      </c>
      <c r="T327" t="s">
        <v>458</v>
      </c>
      <c r="U327" t="s">
        <v>2686</v>
      </c>
      <c r="V327" t="s">
        <v>237</v>
      </c>
      <c r="W327">
        <v>0.01</v>
      </c>
      <c r="X327">
        <v>0.01</v>
      </c>
      <c r="Y327" t="s">
        <v>2648</v>
      </c>
      <c r="Z327" t="s">
        <v>346</v>
      </c>
      <c r="AA327" t="s">
        <v>340</v>
      </c>
      <c r="AB327" t="s">
        <v>347</v>
      </c>
      <c r="AC327" t="s">
        <v>340</v>
      </c>
      <c r="AD327" t="s">
        <v>3122</v>
      </c>
      <c r="AE327" s="1">
        <v>45811.309340277781</v>
      </c>
      <c r="CI327" t="s">
        <v>337</v>
      </c>
      <c r="CJ327" t="s">
        <v>2431</v>
      </c>
      <c r="CK327">
        <v>45811</v>
      </c>
      <c r="CL327" t="s">
        <v>2430</v>
      </c>
      <c r="CM327" t="s">
        <v>2432</v>
      </c>
      <c r="CN327">
        <v>45811</v>
      </c>
      <c r="CP327" t="s">
        <v>338</v>
      </c>
      <c r="CQ327" t="s">
        <v>2433</v>
      </c>
    </row>
    <row r="328" spans="1:95" x14ac:dyDescent="0.2">
      <c r="A328" t="s">
        <v>333</v>
      </c>
      <c r="B328">
        <v>147</v>
      </c>
      <c r="C328" s="1" t="s">
        <v>3123</v>
      </c>
      <c r="D328" t="s">
        <v>3124</v>
      </c>
      <c r="E328" t="s">
        <v>335</v>
      </c>
      <c r="F328" t="s">
        <v>2726</v>
      </c>
      <c r="G328" t="s">
        <v>340</v>
      </c>
      <c r="J328" t="s">
        <v>2727</v>
      </c>
      <c r="K328" t="s">
        <v>340</v>
      </c>
      <c r="L328">
        <v>45811</v>
      </c>
      <c r="M328" t="s">
        <v>455</v>
      </c>
      <c r="N328">
        <v>1</v>
      </c>
      <c r="O328">
        <v>1</v>
      </c>
      <c r="P328" t="s">
        <v>2452</v>
      </c>
      <c r="T328" t="s">
        <v>458</v>
      </c>
      <c r="U328" t="s">
        <v>3125</v>
      </c>
      <c r="W328">
        <v>5.8</v>
      </c>
      <c r="X328">
        <v>5.8</v>
      </c>
      <c r="Y328" t="s">
        <v>345</v>
      </c>
      <c r="Z328" t="s">
        <v>346</v>
      </c>
      <c r="AA328" t="s">
        <v>340</v>
      </c>
      <c r="AB328" t="s">
        <v>347</v>
      </c>
      <c r="AC328" t="s">
        <v>340</v>
      </c>
      <c r="AD328" t="s">
        <v>3126</v>
      </c>
      <c r="AE328" s="1">
        <v>45811.548715277779</v>
      </c>
      <c r="CI328" t="s">
        <v>337</v>
      </c>
      <c r="CJ328" t="s">
        <v>2431</v>
      </c>
      <c r="CK328">
        <v>45811</v>
      </c>
      <c r="CL328" t="s">
        <v>2430</v>
      </c>
      <c r="CM328" t="s">
        <v>2432</v>
      </c>
      <c r="CN328">
        <v>45811</v>
      </c>
      <c r="CP328" t="s">
        <v>338</v>
      </c>
      <c r="CQ328" t="s">
        <v>2433</v>
      </c>
    </row>
    <row r="329" spans="1:95" x14ac:dyDescent="0.2">
      <c r="A329" t="s">
        <v>333</v>
      </c>
      <c r="B329">
        <v>148</v>
      </c>
      <c r="C329" s="1" t="s">
        <v>3127</v>
      </c>
      <c r="D329" t="s">
        <v>3128</v>
      </c>
      <c r="E329" t="s">
        <v>335</v>
      </c>
      <c r="F329" t="s">
        <v>342</v>
      </c>
      <c r="G329" t="s">
        <v>340</v>
      </c>
      <c r="H329" t="s">
        <v>348</v>
      </c>
      <c r="I329" t="s">
        <v>340</v>
      </c>
      <c r="J329" t="s">
        <v>344</v>
      </c>
      <c r="K329" t="s">
        <v>340</v>
      </c>
      <c r="L329">
        <v>45811</v>
      </c>
      <c r="M329" t="s">
        <v>455</v>
      </c>
      <c r="N329">
        <v>1</v>
      </c>
      <c r="O329">
        <v>1</v>
      </c>
      <c r="P329" t="s">
        <v>2452</v>
      </c>
      <c r="T329" t="s">
        <v>458</v>
      </c>
      <c r="U329" t="s">
        <v>3129</v>
      </c>
      <c r="W329">
        <v>1.4</v>
      </c>
      <c r="X329">
        <v>1.4</v>
      </c>
      <c r="Y329" t="s">
        <v>345</v>
      </c>
      <c r="Z329" t="s">
        <v>346</v>
      </c>
      <c r="AA329" t="s">
        <v>340</v>
      </c>
      <c r="AB329" t="s">
        <v>347</v>
      </c>
      <c r="AC329" t="s">
        <v>340</v>
      </c>
      <c r="AD329" t="s">
        <v>3130</v>
      </c>
      <c r="AE329" s="1">
        <v>45811.649976851855</v>
      </c>
      <c r="CI329" t="s">
        <v>337</v>
      </c>
      <c r="CJ329" t="s">
        <v>2431</v>
      </c>
      <c r="CK329">
        <v>45811</v>
      </c>
      <c r="CL329" t="s">
        <v>2430</v>
      </c>
      <c r="CM329" t="s">
        <v>2432</v>
      </c>
      <c r="CN329">
        <v>45811</v>
      </c>
      <c r="CP329" t="s">
        <v>338</v>
      </c>
      <c r="CQ329" t="s">
        <v>2433</v>
      </c>
    </row>
    <row r="330" spans="1:95" x14ac:dyDescent="0.2">
      <c r="A330" t="s">
        <v>333</v>
      </c>
      <c r="B330">
        <v>149</v>
      </c>
      <c r="C330" s="1" t="s">
        <v>3131</v>
      </c>
      <c r="D330" t="s">
        <v>3132</v>
      </c>
      <c r="E330" t="s">
        <v>335</v>
      </c>
      <c r="F330" t="s">
        <v>342</v>
      </c>
      <c r="G330" t="s">
        <v>340</v>
      </c>
      <c r="H330" t="s">
        <v>2736</v>
      </c>
      <c r="I330" t="s">
        <v>340</v>
      </c>
      <c r="J330" t="s">
        <v>344</v>
      </c>
      <c r="K330" t="s">
        <v>340</v>
      </c>
      <c r="L330">
        <v>45811</v>
      </c>
      <c r="M330" t="s">
        <v>455</v>
      </c>
      <c r="N330">
        <v>1</v>
      </c>
      <c r="O330">
        <v>1</v>
      </c>
      <c r="P330" t="s">
        <v>2452</v>
      </c>
      <c r="T330" t="s">
        <v>458</v>
      </c>
      <c r="U330" t="s">
        <v>2737</v>
      </c>
      <c r="W330">
        <v>4.9000000000000004</v>
      </c>
      <c r="X330">
        <v>4.9000000000000004</v>
      </c>
      <c r="Y330" t="s">
        <v>349</v>
      </c>
      <c r="Z330" t="s">
        <v>346</v>
      </c>
      <c r="AA330" t="s">
        <v>340</v>
      </c>
      <c r="AB330" t="s">
        <v>347</v>
      </c>
      <c r="AC330" t="s">
        <v>340</v>
      </c>
      <c r="AD330" t="s">
        <v>3133</v>
      </c>
      <c r="AE330" s="1">
        <v>45811.309525462966</v>
      </c>
      <c r="CI330" t="s">
        <v>337</v>
      </c>
      <c r="CJ330" t="s">
        <v>2431</v>
      </c>
      <c r="CK330">
        <v>45811</v>
      </c>
      <c r="CL330" t="s">
        <v>2430</v>
      </c>
      <c r="CM330" t="s">
        <v>2432</v>
      </c>
      <c r="CN330">
        <v>45811</v>
      </c>
      <c r="CP330" t="s">
        <v>338</v>
      </c>
      <c r="CQ330" t="s">
        <v>2433</v>
      </c>
    </row>
    <row r="331" spans="1:95" x14ac:dyDescent="0.2">
      <c r="A331" t="s">
        <v>333</v>
      </c>
      <c r="B331">
        <v>150</v>
      </c>
      <c r="C331" s="1" t="s">
        <v>3134</v>
      </c>
      <c r="D331" t="s">
        <v>3135</v>
      </c>
      <c r="E331" t="s">
        <v>335</v>
      </c>
      <c r="F331" t="s">
        <v>342</v>
      </c>
      <c r="G331" t="s">
        <v>340</v>
      </c>
      <c r="H331" t="s">
        <v>2741</v>
      </c>
      <c r="I331" t="s">
        <v>340</v>
      </c>
      <c r="J331" t="s">
        <v>344</v>
      </c>
      <c r="K331" t="s">
        <v>340</v>
      </c>
      <c r="L331">
        <v>45811</v>
      </c>
      <c r="M331" t="s">
        <v>455</v>
      </c>
      <c r="N331">
        <v>1</v>
      </c>
      <c r="O331">
        <v>1</v>
      </c>
      <c r="P331" t="s">
        <v>2452</v>
      </c>
      <c r="T331" t="s">
        <v>458</v>
      </c>
      <c r="U331" t="s">
        <v>2742</v>
      </c>
      <c r="W331">
        <v>7.0000000000000007E-2</v>
      </c>
      <c r="X331">
        <v>7.0000000000000007E-2</v>
      </c>
      <c r="Y331" t="s">
        <v>2648</v>
      </c>
      <c r="Z331" t="s">
        <v>346</v>
      </c>
      <c r="AA331" t="s">
        <v>340</v>
      </c>
      <c r="AB331" t="s">
        <v>347</v>
      </c>
      <c r="AC331" t="s">
        <v>340</v>
      </c>
      <c r="AD331" t="s">
        <v>3136</v>
      </c>
      <c r="AE331" s="1">
        <v>45811.309525462966</v>
      </c>
      <c r="CI331" t="s">
        <v>337</v>
      </c>
      <c r="CJ331" t="s">
        <v>2431</v>
      </c>
      <c r="CK331">
        <v>45811</v>
      </c>
      <c r="CL331" t="s">
        <v>2430</v>
      </c>
      <c r="CM331" t="s">
        <v>2432</v>
      </c>
      <c r="CN331">
        <v>45811</v>
      </c>
      <c r="CP331" t="s">
        <v>338</v>
      </c>
      <c r="CQ331" t="s">
        <v>2433</v>
      </c>
    </row>
    <row r="332" spans="1:95" x14ac:dyDescent="0.2">
      <c r="A332" t="s">
        <v>333</v>
      </c>
      <c r="B332">
        <v>151</v>
      </c>
      <c r="C332" s="1" t="s">
        <v>3137</v>
      </c>
      <c r="D332" t="s">
        <v>3138</v>
      </c>
      <c r="E332" t="s">
        <v>335</v>
      </c>
      <c r="F332" t="s">
        <v>342</v>
      </c>
      <c r="G332" t="s">
        <v>340</v>
      </c>
      <c r="H332" t="s">
        <v>2746</v>
      </c>
      <c r="I332" t="s">
        <v>340</v>
      </c>
      <c r="J332" t="s">
        <v>344</v>
      </c>
      <c r="K332" t="s">
        <v>340</v>
      </c>
      <c r="L332">
        <v>45811</v>
      </c>
      <c r="M332" t="s">
        <v>455</v>
      </c>
      <c r="N332">
        <v>1</v>
      </c>
      <c r="O332">
        <v>1</v>
      </c>
      <c r="P332" t="s">
        <v>2452</v>
      </c>
      <c r="T332" t="s">
        <v>458</v>
      </c>
      <c r="U332" t="s">
        <v>2647</v>
      </c>
      <c r="V332" t="s">
        <v>237</v>
      </c>
      <c r="W332">
        <v>20</v>
      </c>
      <c r="X332">
        <v>20</v>
      </c>
      <c r="Y332" t="s">
        <v>2648</v>
      </c>
      <c r="Z332" t="s">
        <v>346</v>
      </c>
      <c r="AA332" t="s">
        <v>340</v>
      </c>
      <c r="AB332" t="s">
        <v>347</v>
      </c>
      <c r="AC332" t="s">
        <v>340</v>
      </c>
      <c r="AD332" t="s">
        <v>3139</v>
      </c>
      <c r="AE332" s="1">
        <v>45811.649606481478</v>
      </c>
      <c r="CI332" t="s">
        <v>337</v>
      </c>
      <c r="CJ332" t="s">
        <v>2431</v>
      </c>
      <c r="CK332">
        <v>45811</v>
      </c>
      <c r="CL332" t="s">
        <v>2430</v>
      </c>
      <c r="CM332" t="s">
        <v>2432</v>
      </c>
      <c r="CN332">
        <v>45811</v>
      </c>
      <c r="CP332" t="s">
        <v>338</v>
      </c>
      <c r="CQ332" t="s">
        <v>2433</v>
      </c>
    </row>
    <row r="333" spans="1:95" x14ac:dyDescent="0.2">
      <c r="A333" t="s">
        <v>333</v>
      </c>
      <c r="B333">
        <v>152</v>
      </c>
      <c r="C333" s="1" t="s">
        <v>3140</v>
      </c>
      <c r="D333" t="s">
        <v>3141</v>
      </c>
      <c r="E333" t="s">
        <v>335</v>
      </c>
      <c r="F333" t="s">
        <v>342</v>
      </c>
      <c r="G333" t="s">
        <v>340</v>
      </c>
      <c r="H333" t="s">
        <v>2750</v>
      </c>
      <c r="I333" t="s">
        <v>340</v>
      </c>
      <c r="J333" t="s">
        <v>344</v>
      </c>
      <c r="K333" t="s">
        <v>340</v>
      </c>
      <c r="L333">
        <v>45811</v>
      </c>
      <c r="M333" t="s">
        <v>455</v>
      </c>
      <c r="N333">
        <v>1</v>
      </c>
      <c r="O333">
        <v>1</v>
      </c>
      <c r="P333" t="s">
        <v>2452</v>
      </c>
      <c r="T333" t="s">
        <v>458</v>
      </c>
      <c r="U333" t="s">
        <v>3142</v>
      </c>
      <c r="W333">
        <v>20</v>
      </c>
      <c r="X333">
        <v>20</v>
      </c>
      <c r="Y333" t="s">
        <v>2648</v>
      </c>
      <c r="Z333" t="s">
        <v>346</v>
      </c>
      <c r="AA333" t="s">
        <v>340</v>
      </c>
      <c r="AB333" t="s">
        <v>347</v>
      </c>
      <c r="AC333" t="s">
        <v>340</v>
      </c>
      <c r="AD333" t="s">
        <v>3143</v>
      </c>
      <c r="AE333" s="1">
        <v>45811.649606481478</v>
      </c>
      <c r="CI333" t="s">
        <v>337</v>
      </c>
      <c r="CJ333" t="s">
        <v>2431</v>
      </c>
      <c r="CK333">
        <v>45811</v>
      </c>
      <c r="CL333" t="s">
        <v>2430</v>
      </c>
      <c r="CM333" t="s">
        <v>2432</v>
      </c>
      <c r="CN333">
        <v>45811</v>
      </c>
      <c r="CP333" t="s">
        <v>338</v>
      </c>
      <c r="CQ333" t="s">
        <v>2433</v>
      </c>
    </row>
    <row r="334" spans="1:95" x14ac:dyDescent="0.2">
      <c r="A334" t="s">
        <v>333</v>
      </c>
      <c r="B334">
        <v>153</v>
      </c>
      <c r="C334" s="1" t="s">
        <v>3144</v>
      </c>
      <c r="D334" t="s">
        <v>3145</v>
      </c>
      <c r="E334" t="s">
        <v>335</v>
      </c>
      <c r="F334" t="s">
        <v>342</v>
      </c>
      <c r="G334" t="s">
        <v>340</v>
      </c>
      <c r="H334" t="s">
        <v>2755</v>
      </c>
      <c r="I334" t="s">
        <v>340</v>
      </c>
      <c r="J334" t="s">
        <v>344</v>
      </c>
      <c r="K334" t="s">
        <v>340</v>
      </c>
      <c r="L334">
        <v>45811</v>
      </c>
      <c r="M334" t="s">
        <v>455</v>
      </c>
      <c r="N334">
        <v>1</v>
      </c>
      <c r="O334">
        <v>1</v>
      </c>
      <c r="P334" t="s">
        <v>2452</v>
      </c>
      <c r="T334" t="s">
        <v>458</v>
      </c>
      <c r="U334" t="s">
        <v>3146</v>
      </c>
      <c r="W334">
        <v>5</v>
      </c>
      <c r="X334">
        <v>5</v>
      </c>
      <c r="Y334" t="s">
        <v>2648</v>
      </c>
      <c r="Z334" t="s">
        <v>346</v>
      </c>
      <c r="AA334" t="s">
        <v>340</v>
      </c>
      <c r="AB334" t="s">
        <v>347</v>
      </c>
      <c r="AC334" t="s">
        <v>340</v>
      </c>
      <c r="AD334" t="s">
        <v>3147</v>
      </c>
      <c r="AE334" s="1">
        <v>45811.649606481478</v>
      </c>
      <c r="CI334" t="s">
        <v>337</v>
      </c>
      <c r="CJ334" t="s">
        <v>2431</v>
      </c>
      <c r="CK334">
        <v>45811</v>
      </c>
      <c r="CL334" t="s">
        <v>2430</v>
      </c>
      <c r="CM334" t="s">
        <v>2432</v>
      </c>
      <c r="CN334">
        <v>45811</v>
      </c>
      <c r="CP334" t="s">
        <v>338</v>
      </c>
      <c r="CQ334" t="s">
        <v>2433</v>
      </c>
    </row>
    <row r="335" spans="1:95" x14ac:dyDescent="0.2">
      <c r="A335" t="s">
        <v>333</v>
      </c>
      <c r="B335">
        <v>154</v>
      </c>
      <c r="C335" s="1" t="s">
        <v>3148</v>
      </c>
      <c r="D335" t="s">
        <v>3149</v>
      </c>
      <c r="E335" t="s">
        <v>335</v>
      </c>
      <c r="F335" t="s">
        <v>342</v>
      </c>
      <c r="G335" t="s">
        <v>340</v>
      </c>
      <c r="H335" t="s">
        <v>2760</v>
      </c>
      <c r="I335" t="s">
        <v>340</v>
      </c>
      <c r="J335" t="s">
        <v>344</v>
      </c>
      <c r="K335" t="s">
        <v>340</v>
      </c>
      <c r="L335">
        <v>45811</v>
      </c>
      <c r="M335" t="s">
        <v>455</v>
      </c>
      <c r="N335">
        <v>1</v>
      </c>
      <c r="O335">
        <v>1</v>
      </c>
      <c r="P335" t="s">
        <v>2452</v>
      </c>
      <c r="T335" t="s">
        <v>458</v>
      </c>
      <c r="U335" t="s">
        <v>2761</v>
      </c>
      <c r="V335" t="s">
        <v>237</v>
      </c>
      <c r="W335">
        <v>0.2</v>
      </c>
      <c r="X335">
        <v>0.2</v>
      </c>
      <c r="Y335" t="s">
        <v>2648</v>
      </c>
      <c r="Z335" t="s">
        <v>346</v>
      </c>
      <c r="AA335" t="s">
        <v>340</v>
      </c>
      <c r="AB335" t="s">
        <v>347</v>
      </c>
      <c r="AC335" t="s">
        <v>340</v>
      </c>
      <c r="AD335" t="s">
        <v>3150</v>
      </c>
      <c r="AE335" s="1">
        <v>45811.649606481478</v>
      </c>
      <c r="CI335" t="s">
        <v>337</v>
      </c>
      <c r="CJ335" t="s">
        <v>2431</v>
      </c>
      <c r="CK335">
        <v>45811</v>
      </c>
      <c r="CL335" t="s">
        <v>2430</v>
      </c>
      <c r="CM335" t="s">
        <v>2432</v>
      </c>
      <c r="CN335">
        <v>45811</v>
      </c>
      <c r="CP335" t="s">
        <v>338</v>
      </c>
      <c r="CQ335" t="s">
        <v>2433</v>
      </c>
    </row>
    <row r="336" spans="1:95" x14ac:dyDescent="0.2">
      <c r="A336" t="s">
        <v>333</v>
      </c>
      <c r="B336">
        <v>155</v>
      </c>
      <c r="C336" s="1" t="s">
        <v>3151</v>
      </c>
      <c r="D336" t="s">
        <v>3152</v>
      </c>
      <c r="E336" t="s">
        <v>335</v>
      </c>
      <c r="F336" t="s">
        <v>342</v>
      </c>
      <c r="G336" t="s">
        <v>340</v>
      </c>
      <c r="H336" t="s">
        <v>2765</v>
      </c>
      <c r="I336" t="s">
        <v>340</v>
      </c>
      <c r="J336" t="s">
        <v>344</v>
      </c>
      <c r="K336" t="s">
        <v>340</v>
      </c>
      <c r="L336">
        <v>45811</v>
      </c>
      <c r="M336" t="s">
        <v>455</v>
      </c>
      <c r="N336">
        <v>1</v>
      </c>
      <c r="O336">
        <v>1</v>
      </c>
      <c r="P336" t="s">
        <v>2452</v>
      </c>
      <c r="T336" t="s">
        <v>458</v>
      </c>
      <c r="U336" t="s">
        <v>3153</v>
      </c>
      <c r="W336">
        <v>3.4</v>
      </c>
      <c r="X336">
        <v>3.4</v>
      </c>
      <c r="Y336" t="s">
        <v>2648</v>
      </c>
      <c r="Z336" t="s">
        <v>346</v>
      </c>
      <c r="AA336" t="s">
        <v>340</v>
      </c>
      <c r="AB336" t="s">
        <v>347</v>
      </c>
      <c r="AC336" t="s">
        <v>340</v>
      </c>
      <c r="AD336" t="s">
        <v>3154</v>
      </c>
      <c r="AE336" s="1">
        <v>45811.649606481478</v>
      </c>
      <c r="CI336" t="s">
        <v>337</v>
      </c>
      <c r="CJ336" t="s">
        <v>2431</v>
      </c>
      <c r="CK336">
        <v>45811</v>
      </c>
      <c r="CL336" t="s">
        <v>2430</v>
      </c>
      <c r="CM336" t="s">
        <v>2432</v>
      </c>
      <c r="CN336">
        <v>45811</v>
      </c>
      <c r="CP336" t="s">
        <v>338</v>
      </c>
      <c r="CQ336" t="s">
        <v>2433</v>
      </c>
    </row>
    <row r="337" spans="1:95" x14ac:dyDescent="0.2">
      <c r="A337" t="s">
        <v>333</v>
      </c>
      <c r="B337">
        <v>156</v>
      </c>
      <c r="C337" s="1" t="s">
        <v>3155</v>
      </c>
      <c r="D337" t="s">
        <v>3156</v>
      </c>
      <c r="E337" t="s">
        <v>335</v>
      </c>
      <c r="F337" t="s">
        <v>342</v>
      </c>
      <c r="G337" t="s">
        <v>340</v>
      </c>
      <c r="H337" t="s">
        <v>2770</v>
      </c>
      <c r="I337" t="s">
        <v>340</v>
      </c>
      <c r="J337" t="s">
        <v>344</v>
      </c>
      <c r="K337" t="s">
        <v>340</v>
      </c>
      <c r="L337">
        <v>45811</v>
      </c>
      <c r="M337" t="s">
        <v>455</v>
      </c>
      <c r="N337">
        <v>1</v>
      </c>
      <c r="O337">
        <v>1</v>
      </c>
      <c r="P337" t="s">
        <v>2452</v>
      </c>
      <c r="T337" t="s">
        <v>458</v>
      </c>
      <c r="U337" t="s">
        <v>2771</v>
      </c>
      <c r="V337" t="s">
        <v>237</v>
      </c>
      <c r="W337">
        <v>5</v>
      </c>
      <c r="X337">
        <v>5</v>
      </c>
      <c r="Y337" t="s">
        <v>2648</v>
      </c>
      <c r="Z337" t="s">
        <v>346</v>
      </c>
      <c r="AA337" t="s">
        <v>340</v>
      </c>
      <c r="AB337" t="s">
        <v>347</v>
      </c>
      <c r="AC337" t="s">
        <v>340</v>
      </c>
      <c r="AD337" t="s">
        <v>3157</v>
      </c>
      <c r="AE337" s="1">
        <v>45811.649606481478</v>
      </c>
      <c r="CI337" t="s">
        <v>337</v>
      </c>
      <c r="CJ337" t="s">
        <v>2431</v>
      </c>
      <c r="CK337">
        <v>45811</v>
      </c>
      <c r="CL337" t="s">
        <v>2430</v>
      </c>
      <c r="CM337" t="s">
        <v>2432</v>
      </c>
      <c r="CN337">
        <v>45811</v>
      </c>
      <c r="CP337" t="s">
        <v>338</v>
      </c>
      <c r="CQ337" t="s">
        <v>2433</v>
      </c>
    </row>
    <row r="338" spans="1:95" x14ac:dyDescent="0.2">
      <c r="A338" t="s">
        <v>333</v>
      </c>
      <c r="B338">
        <v>157</v>
      </c>
      <c r="C338" s="1" t="s">
        <v>3158</v>
      </c>
      <c r="D338" t="s">
        <v>3159</v>
      </c>
      <c r="E338" t="s">
        <v>335</v>
      </c>
      <c r="F338" t="s">
        <v>342</v>
      </c>
      <c r="G338" t="s">
        <v>340</v>
      </c>
      <c r="H338" t="s">
        <v>2775</v>
      </c>
      <c r="I338" t="s">
        <v>340</v>
      </c>
      <c r="J338" t="s">
        <v>344</v>
      </c>
      <c r="K338" t="s">
        <v>340</v>
      </c>
      <c r="L338">
        <v>45811</v>
      </c>
      <c r="M338" t="s">
        <v>455</v>
      </c>
      <c r="N338">
        <v>1</v>
      </c>
      <c r="O338">
        <v>1</v>
      </c>
      <c r="P338" t="s">
        <v>2452</v>
      </c>
      <c r="T338" t="s">
        <v>458</v>
      </c>
      <c r="U338" t="s">
        <v>2776</v>
      </c>
      <c r="V338" t="s">
        <v>237</v>
      </c>
      <c r="W338">
        <v>0.05</v>
      </c>
      <c r="X338">
        <v>0.05</v>
      </c>
      <c r="Y338" t="s">
        <v>2648</v>
      </c>
      <c r="Z338" t="s">
        <v>346</v>
      </c>
      <c r="AA338" t="s">
        <v>340</v>
      </c>
      <c r="AB338" t="s">
        <v>347</v>
      </c>
      <c r="AC338" t="s">
        <v>340</v>
      </c>
      <c r="AD338" t="s">
        <v>3160</v>
      </c>
      <c r="AE338" s="1">
        <v>45811.649606481478</v>
      </c>
      <c r="CI338" t="s">
        <v>337</v>
      </c>
      <c r="CJ338" t="s">
        <v>2431</v>
      </c>
      <c r="CK338">
        <v>45811</v>
      </c>
      <c r="CL338" t="s">
        <v>2430</v>
      </c>
      <c r="CM338" t="s">
        <v>2432</v>
      </c>
      <c r="CN338">
        <v>45811</v>
      </c>
      <c r="CP338" t="s">
        <v>338</v>
      </c>
      <c r="CQ338" t="s">
        <v>2433</v>
      </c>
    </row>
    <row r="339" spans="1:95" x14ac:dyDescent="0.2">
      <c r="A339" t="s">
        <v>333</v>
      </c>
      <c r="B339">
        <v>158</v>
      </c>
      <c r="C339" s="1" t="s">
        <v>3161</v>
      </c>
      <c r="D339" t="s">
        <v>3162</v>
      </c>
      <c r="E339" t="s">
        <v>335</v>
      </c>
      <c r="F339" t="s">
        <v>342</v>
      </c>
      <c r="G339" t="s">
        <v>340</v>
      </c>
      <c r="H339" t="s">
        <v>2780</v>
      </c>
      <c r="I339" t="s">
        <v>340</v>
      </c>
      <c r="J339" t="s">
        <v>344</v>
      </c>
      <c r="K339" t="s">
        <v>340</v>
      </c>
      <c r="L339">
        <v>45811</v>
      </c>
      <c r="M339" t="s">
        <v>455</v>
      </c>
      <c r="N339">
        <v>1</v>
      </c>
      <c r="O339">
        <v>1</v>
      </c>
      <c r="P339" t="s">
        <v>2452</v>
      </c>
      <c r="T339" t="s">
        <v>458</v>
      </c>
      <c r="U339" t="s">
        <v>2781</v>
      </c>
      <c r="V339" t="s">
        <v>237</v>
      </c>
      <c r="W339">
        <v>1.5</v>
      </c>
      <c r="X339">
        <v>1.5</v>
      </c>
      <c r="Y339" t="s">
        <v>2648</v>
      </c>
      <c r="Z339" t="s">
        <v>346</v>
      </c>
      <c r="AA339" t="s">
        <v>340</v>
      </c>
      <c r="AB339" t="s">
        <v>347</v>
      </c>
      <c r="AC339" t="s">
        <v>340</v>
      </c>
      <c r="AD339" t="s">
        <v>3163</v>
      </c>
      <c r="AE339" s="1">
        <v>45811.649606481478</v>
      </c>
      <c r="CI339" t="s">
        <v>337</v>
      </c>
      <c r="CJ339" t="s">
        <v>2431</v>
      </c>
      <c r="CK339">
        <v>45811</v>
      </c>
      <c r="CL339" t="s">
        <v>2430</v>
      </c>
      <c r="CM339" t="s">
        <v>2432</v>
      </c>
      <c r="CN339">
        <v>45811</v>
      </c>
      <c r="CP339" t="s">
        <v>338</v>
      </c>
      <c r="CQ339" t="s">
        <v>2433</v>
      </c>
    </row>
    <row r="340" spans="1:95" x14ac:dyDescent="0.2">
      <c r="A340" t="s">
        <v>333</v>
      </c>
      <c r="B340">
        <v>159</v>
      </c>
      <c r="C340" s="1" t="s">
        <v>3164</v>
      </c>
      <c r="D340" t="s">
        <v>3165</v>
      </c>
      <c r="E340" t="s">
        <v>335</v>
      </c>
      <c r="F340" t="s">
        <v>342</v>
      </c>
      <c r="G340" t="s">
        <v>340</v>
      </c>
      <c r="H340" t="s">
        <v>2785</v>
      </c>
      <c r="I340" t="s">
        <v>340</v>
      </c>
      <c r="J340" t="s">
        <v>344</v>
      </c>
      <c r="K340" t="s">
        <v>340</v>
      </c>
      <c r="L340">
        <v>45811</v>
      </c>
      <c r="M340" t="s">
        <v>455</v>
      </c>
      <c r="N340">
        <v>1</v>
      </c>
      <c r="O340">
        <v>1</v>
      </c>
      <c r="P340" t="s">
        <v>2452</v>
      </c>
      <c r="T340" t="s">
        <v>458</v>
      </c>
      <c r="U340" t="s">
        <v>3166</v>
      </c>
      <c r="W340">
        <v>10</v>
      </c>
      <c r="X340">
        <v>10</v>
      </c>
      <c r="Y340" t="s">
        <v>2648</v>
      </c>
      <c r="Z340" t="s">
        <v>346</v>
      </c>
      <c r="AA340" t="s">
        <v>340</v>
      </c>
      <c r="AB340" t="s">
        <v>347</v>
      </c>
      <c r="AC340" t="s">
        <v>340</v>
      </c>
      <c r="AD340" t="s">
        <v>3167</v>
      </c>
      <c r="AE340" s="1">
        <v>45811.649606481478</v>
      </c>
      <c r="CI340" t="s">
        <v>337</v>
      </c>
      <c r="CJ340" t="s">
        <v>2431</v>
      </c>
      <c r="CK340">
        <v>45811</v>
      </c>
      <c r="CL340" t="s">
        <v>2430</v>
      </c>
      <c r="CM340" t="s">
        <v>2432</v>
      </c>
      <c r="CN340">
        <v>45811</v>
      </c>
      <c r="CP340" t="s">
        <v>338</v>
      </c>
      <c r="CQ340" t="s">
        <v>2433</v>
      </c>
    </row>
    <row r="341" spans="1:95" x14ac:dyDescent="0.2">
      <c r="A341" t="s">
        <v>333</v>
      </c>
      <c r="B341">
        <v>160</v>
      </c>
      <c r="C341" s="1" t="s">
        <v>3168</v>
      </c>
      <c r="D341" t="s">
        <v>3169</v>
      </c>
      <c r="E341" t="s">
        <v>335</v>
      </c>
      <c r="F341" t="s">
        <v>342</v>
      </c>
      <c r="G341" t="s">
        <v>340</v>
      </c>
      <c r="H341" t="s">
        <v>2790</v>
      </c>
      <c r="I341" t="s">
        <v>340</v>
      </c>
      <c r="J341" t="s">
        <v>344</v>
      </c>
      <c r="K341" t="s">
        <v>340</v>
      </c>
      <c r="L341">
        <v>45811</v>
      </c>
      <c r="M341" t="s">
        <v>455</v>
      </c>
      <c r="N341">
        <v>1</v>
      </c>
      <c r="O341">
        <v>1</v>
      </c>
      <c r="P341" t="s">
        <v>2452</v>
      </c>
      <c r="T341" t="s">
        <v>458</v>
      </c>
      <c r="U341" t="s">
        <v>2791</v>
      </c>
      <c r="V341" t="s">
        <v>237</v>
      </c>
      <c r="W341">
        <v>10</v>
      </c>
      <c r="X341">
        <v>10</v>
      </c>
      <c r="Y341" t="s">
        <v>2648</v>
      </c>
      <c r="Z341" t="s">
        <v>346</v>
      </c>
      <c r="AA341" t="s">
        <v>340</v>
      </c>
      <c r="AB341" t="s">
        <v>347</v>
      </c>
      <c r="AC341" t="s">
        <v>340</v>
      </c>
      <c r="AD341" t="s">
        <v>3170</v>
      </c>
      <c r="AE341" s="1">
        <v>45811.649606481478</v>
      </c>
      <c r="CI341" t="s">
        <v>337</v>
      </c>
      <c r="CJ341" t="s">
        <v>2431</v>
      </c>
      <c r="CK341">
        <v>45811</v>
      </c>
      <c r="CL341" t="s">
        <v>2430</v>
      </c>
      <c r="CM341" t="s">
        <v>2432</v>
      </c>
      <c r="CN341">
        <v>45811</v>
      </c>
      <c r="CP341" t="s">
        <v>338</v>
      </c>
      <c r="CQ341" t="s">
        <v>2433</v>
      </c>
    </row>
    <row r="342" spans="1:95" x14ac:dyDescent="0.2">
      <c r="A342" t="s">
        <v>333</v>
      </c>
      <c r="B342">
        <v>161</v>
      </c>
      <c r="C342" s="1" t="s">
        <v>3171</v>
      </c>
      <c r="D342" t="s">
        <v>3172</v>
      </c>
      <c r="E342" t="s">
        <v>335</v>
      </c>
      <c r="F342" t="s">
        <v>342</v>
      </c>
      <c r="G342" t="s">
        <v>340</v>
      </c>
      <c r="H342" t="s">
        <v>368</v>
      </c>
      <c r="I342" t="s">
        <v>340</v>
      </c>
      <c r="J342" t="s">
        <v>344</v>
      </c>
      <c r="K342" t="s">
        <v>340</v>
      </c>
      <c r="L342">
        <v>45811</v>
      </c>
      <c r="M342" t="s">
        <v>455</v>
      </c>
      <c r="N342">
        <v>1</v>
      </c>
      <c r="O342">
        <v>1</v>
      </c>
      <c r="P342" t="s">
        <v>2452</v>
      </c>
      <c r="T342" t="s">
        <v>458</v>
      </c>
      <c r="U342" t="s">
        <v>501</v>
      </c>
      <c r="V342" t="s">
        <v>237</v>
      </c>
      <c r="W342">
        <v>0.1</v>
      </c>
      <c r="X342">
        <v>0.1</v>
      </c>
      <c r="Y342" t="s">
        <v>349</v>
      </c>
      <c r="Z342" t="s">
        <v>346</v>
      </c>
      <c r="AA342" t="s">
        <v>340</v>
      </c>
      <c r="AB342" t="s">
        <v>347</v>
      </c>
      <c r="AC342" t="s">
        <v>340</v>
      </c>
      <c r="AD342" t="s">
        <v>3173</v>
      </c>
      <c r="AE342" s="1">
        <v>45811.61818287037</v>
      </c>
      <c r="CI342" t="s">
        <v>337</v>
      </c>
      <c r="CJ342" t="s">
        <v>2431</v>
      </c>
      <c r="CK342">
        <v>45811</v>
      </c>
      <c r="CL342" t="s">
        <v>2430</v>
      </c>
      <c r="CM342" t="s">
        <v>2432</v>
      </c>
      <c r="CN342">
        <v>45811</v>
      </c>
      <c r="CP342" t="s">
        <v>338</v>
      </c>
      <c r="CQ342" t="s">
        <v>2433</v>
      </c>
    </row>
    <row r="343" spans="1:95" x14ac:dyDescent="0.2">
      <c r="A343" t="s">
        <v>333</v>
      </c>
      <c r="B343">
        <v>162</v>
      </c>
      <c r="C343" s="1" t="s">
        <v>3174</v>
      </c>
      <c r="D343" t="s">
        <v>3175</v>
      </c>
      <c r="E343" t="s">
        <v>335</v>
      </c>
      <c r="F343" t="s">
        <v>342</v>
      </c>
      <c r="G343" t="s">
        <v>340</v>
      </c>
      <c r="H343" t="s">
        <v>369</v>
      </c>
      <c r="I343" t="s">
        <v>340</v>
      </c>
      <c r="J343" t="s">
        <v>344</v>
      </c>
      <c r="K343" t="s">
        <v>340</v>
      </c>
      <c r="L343">
        <v>45811</v>
      </c>
      <c r="M343" t="s">
        <v>455</v>
      </c>
      <c r="N343">
        <v>1</v>
      </c>
      <c r="O343">
        <v>1</v>
      </c>
      <c r="P343" t="s">
        <v>2452</v>
      </c>
      <c r="T343" t="s">
        <v>458</v>
      </c>
      <c r="U343" t="s">
        <v>501</v>
      </c>
      <c r="V343" t="s">
        <v>237</v>
      </c>
      <c r="W343">
        <v>0.1</v>
      </c>
      <c r="X343">
        <v>0.1</v>
      </c>
      <c r="Y343" t="s">
        <v>349</v>
      </c>
      <c r="Z343" t="s">
        <v>346</v>
      </c>
      <c r="AA343" t="s">
        <v>340</v>
      </c>
      <c r="AB343" t="s">
        <v>347</v>
      </c>
      <c r="AC343" t="s">
        <v>340</v>
      </c>
      <c r="AD343" t="s">
        <v>3176</v>
      </c>
      <c r="AE343" s="1">
        <v>45811.61818287037</v>
      </c>
      <c r="CI343" t="s">
        <v>337</v>
      </c>
      <c r="CJ343" t="s">
        <v>2431</v>
      </c>
      <c r="CK343">
        <v>45811</v>
      </c>
      <c r="CL343" t="s">
        <v>2430</v>
      </c>
      <c r="CM343" t="s">
        <v>2432</v>
      </c>
      <c r="CN343">
        <v>45811</v>
      </c>
      <c r="CP343" t="s">
        <v>338</v>
      </c>
      <c r="CQ343" t="s">
        <v>2433</v>
      </c>
    </row>
    <row r="344" spans="1:95" x14ac:dyDescent="0.2">
      <c r="A344" t="s">
        <v>333</v>
      </c>
      <c r="B344">
        <v>163</v>
      </c>
      <c r="C344" s="1" t="s">
        <v>3177</v>
      </c>
      <c r="D344" t="s">
        <v>3178</v>
      </c>
      <c r="E344" t="s">
        <v>335</v>
      </c>
      <c r="F344" t="s">
        <v>342</v>
      </c>
      <c r="G344" t="s">
        <v>340</v>
      </c>
      <c r="H344" t="s">
        <v>370</v>
      </c>
      <c r="I344" t="s">
        <v>340</v>
      </c>
      <c r="J344" t="s">
        <v>344</v>
      </c>
      <c r="K344" t="s">
        <v>340</v>
      </c>
      <c r="L344">
        <v>45811</v>
      </c>
      <c r="M344" t="s">
        <v>455</v>
      </c>
      <c r="N344">
        <v>1</v>
      </c>
      <c r="O344">
        <v>1</v>
      </c>
      <c r="P344" t="s">
        <v>2452</v>
      </c>
      <c r="T344" t="s">
        <v>458</v>
      </c>
      <c r="U344" t="s">
        <v>501</v>
      </c>
      <c r="V344" t="s">
        <v>237</v>
      </c>
      <c r="W344">
        <v>0.1</v>
      </c>
      <c r="X344">
        <v>0.1</v>
      </c>
      <c r="Y344" t="s">
        <v>349</v>
      </c>
      <c r="Z344" t="s">
        <v>346</v>
      </c>
      <c r="AA344" t="s">
        <v>340</v>
      </c>
      <c r="AB344" t="s">
        <v>347</v>
      </c>
      <c r="AC344" t="s">
        <v>340</v>
      </c>
      <c r="AD344" t="s">
        <v>3179</v>
      </c>
      <c r="AE344" s="1">
        <v>45811.61818287037</v>
      </c>
      <c r="CI344" t="s">
        <v>337</v>
      </c>
      <c r="CJ344" t="s">
        <v>2431</v>
      </c>
      <c r="CK344">
        <v>45811</v>
      </c>
      <c r="CL344" t="s">
        <v>2430</v>
      </c>
      <c r="CM344" t="s">
        <v>2432</v>
      </c>
      <c r="CN344">
        <v>45811</v>
      </c>
      <c r="CP344" t="s">
        <v>338</v>
      </c>
      <c r="CQ344" t="s">
        <v>2433</v>
      </c>
    </row>
    <row r="345" spans="1:95" x14ac:dyDescent="0.2">
      <c r="A345" t="s">
        <v>333</v>
      </c>
      <c r="B345">
        <v>164</v>
      </c>
      <c r="C345" s="1" t="s">
        <v>3180</v>
      </c>
      <c r="D345" t="s">
        <v>3181</v>
      </c>
      <c r="E345" t="s">
        <v>335</v>
      </c>
      <c r="F345" t="s">
        <v>342</v>
      </c>
      <c r="G345" t="s">
        <v>340</v>
      </c>
      <c r="H345" t="s">
        <v>361</v>
      </c>
      <c r="I345" t="s">
        <v>340</v>
      </c>
      <c r="J345" t="s">
        <v>344</v>
      </c>
      <c r="K345" t="s">
        <v>340</v>
      </c>
      <c r="L345">
        <v>45811</v>
      </c>
      <c r="M345" t="s">
        <v>455</v>
      </c>
      <c r="N345">
        <v>1</v>
      </c>
      <c r="O345">
        <v>1</v>
      </c>
      <c r="P345" t="s">
        <v>2452</v>
      </c>
      <c r="T345" t="s">
        <v>458</v>
      </c>
      <c r="U345" t="s">
        <v>501</v>
      </c>
      <c r="V345" t="s">
        <v>237</v>
      </c>
      <c r="W345">
        <v>0.1</v>
      </c>
      <c r="X345">
        <v>0.1</v>
      </c>
      <c r="Y345" t="s">
        <v>349</v>
      </c>
      <c r="Z345" t="s">
        <v>346</v>
      </c>
      <c r="AA345" t="s">
        <v>340</v>
      </c>
      <c r="AB345" t="s">
        <v>347</v>
      </c>
      <c r="AC345" t="s">
        <v>340</v>
      </c>
      <c r="AD345" t="s">
        <v>3182</v>
      </c>
      <c r="AE345" s="1">
        <v>45811.618171296293</v>
      </c>
      <c r="CI345" t="s">
        <v>337</v>
      </c>
      <c r="CJ345" t="s">
        <v>2431</v>
      </c>
      <c r="CK345">
        <v>45811</v>
      </c>
      <c r="CL345" t="s">
        <v>2430</v>
      </c>
      <c r="CM345" t="s">
        <v>2432</v>
      </c>
      <c r="CN345">
        <v>45811</v>
      </c>
      <c r="CP345" t="s">
        <v>338</v>
      </c>
      <c r="CQ345" t="s">
        <v>2433</v>
      </c>
    </row>
    <row r="346" spans="1:95" x14ac:dyDescent="0.2">
      <c r="A346" t="s">
        <v>333</v>
      </c>
      <c r="B346">
        <v>165</v>
      </c>
      <c r="C346" s="1" t="s">
        <v>3183</v>
      </c>
      <c r="D346" t="s">
        <v>3184</v>
      </c>
      <c r="E346" t="s">
        <v>335</v>
      </c>
      <c r="F346" t="s">
        <v>342</v>
      </c>
      <c r="G346" t="s">
        <v>340</v>
      </c>
      <c r="H346" t="s">
        <v>350</v>
      </c>
      <c r="I346" t="s">
        <v>340</v>
      </c>
      <c r="J346" t="s">
        <v>344</v>
      </c>
      <c r="K346" t="s">
        <v>340</v>
      </c>
      <c r="L346">
        <v>45811</v>
      </c>
      <c r="M346" t="s">
        <v>455</v>
      </c>
      <c r="N346">
        <v>1</v>
      </c>
      <c r="O346">
        <v>1</v>
      </c>
      <c r="P346" t="s">
        <v>2452</v>
      </c>
      <c r="T346" t="s">
        <v>458</v>
      </c>
      <c r="U346" t="s">
        <v>501</v>
      </c>
      <c r="V346" t="s">
        <v>237</v>
      </c>
      <c r="W346">
        <v>0.1</v>
      </c>
      <c r="X346">
        <v>0.1</v>
      </c>
      <c r="Y346" t="s">
        <v>349</v>
      </c>
      <c r="Z346" t="s">
        <v>346</v>
      </c>
      <c r="AA346" t="s">
        <v>340</v>
      </c>
      <c r="AB346" t="s">
        <v>347</v>
      </c>
      <c r="AC346" t="s">
        <v>340</v>
      </c>
      <c r="AD346" t="s">
        <v>3185</v>
      </c>
      <c r="AE346" s="1">
        <v>45811.618171296293</v>
      </c>
      <c r="CI346" t="s">
        <v>337</v>
      </c>
      <c r="CJ346" t="s">
        <v>2431</v>
      </c>
      <c r="CK346">
        <v>45811</v>
      </c>
      <c r="CL346" t="s">
        <v>2430</v>
      </c>
      <c r="CM346" t="s">
        <v>2432</v>
      </c>
      <c r="CN346">
        <v>45811</v>
      </c>
      <c r="CP346" t="s">
        <v>338</v>
      </c>
      <c r="CQ346" t="s">
        <v>2433</v>
      </c>
    </row>
    <row r="347" spans="1:95" x14ac:dyDescent="0.2">
      <c r="A347" t="s">
        <v>333</v>
      </c>
      <c r="B347">
        <v>166</v>
      </c>
      <c r="C347" s="1" t="s">
        <v>3186</v>
      </c>
      <c r="D347" t="s">
        <v>3187</v>
      </c>
      <c r="E347" t="s">
        <v>335</v>
      </c>
      <c r="F347" t="s">
        <v>342</v>
      </c>
      <c r="G347" t="s">
        <v>340</v>
      </c>
      <c r="H347" t="s">
        <v>2810</v>
      </c>
      <c r="I347" t="s">
        <v>340</v>
      </c>
      <c r="J347" t="s">
        <v>344</v>
      </c>
      <c r="K347" t="s">
        <v>340</v>
      </c>
      <c r="L347">
        <v>45811</v>
      </c>
      <c r="M347" t="s">
        <v>455</v>
      </c>
      <c r="N347">
        <v>1</v>
      </c>
      <c r="O347">
        <v>1</v>
      </c>
      <c r="P347" t="s">
        <v>2452</v>
      </c>
      <c r="T347" t="s">
        <v>458</v>
      </c>
      <c r="U347" t="s">
        <v>501</v>
      </c>
      <c r="V347" t="s">
        <v>237</v>
      </c>
      <c r="W347">
        <v>0.1</v>
      </c>
      <c r="X347">
        <v>0.1</v>
      </c>
      <c r="Y347" t="s">
        <v>349</v>
      </c>
      <c r="Z347" t="s">
        <v>346</v>
      </c>
      <c r="AA347" t="s">
        <v>340</v>
      </c>
      <c r="AB347" t="s">
        <v>347</v>
      </c>
      <c r="AC347" t="s">
        <v>340</v>
      </c>
      <c r="AD347" t="s">
        <v>3188</v>
      </c>
      <c r="AE347" s="1">
        <v>45811.61818287037</v>
      </c>
      <c r="CI347" t="s">
        <v>337</v>
      </c>
      <c r="CJ347" t="s">
        <v>2431</v>
      </c>
      <c r="CK347">
        <v>45811</v>
      </c>
      <c r="CL347" t="s">
        <v>2430</v>
      </c>
      <c r="CM347" t="s">
        <v>2432</v>
      </c>
      <c r="CN347">
        <v>45811</v>
      </c>
      <c r="CP347" t="s">
        <v>338</v>
      </c>
      <c r="CQ347" t="s">
        <v>2433</v>
      </c>
    </row>
    <row r="348" spans="1:95" x14ac:dyDescent="0.2">
      <c r="A348" t="s">
        <v>333</v>
      </c>
      <c r="B348">
        <v>167</v>
      </c>
      <c r="C348" s="1" t="s">
        <v>3189</v>
      </c>
      <c r="D348" t="s">
        <v>3190</v>
      </c>
      <c r="E348" t="s">
        <v>335</v>
      </c>
      <c r="F348" t="s">
        <v>342</v>
      </c>
      <c r="G348" t="s">
        <v>340</v>
      </c>
      <c r="H348" t="s">
        <v>358</v>
      </c>
      <c r="I348" t="s">
        <v>340</v>
      </c>
      <c r="J348" t="s">
        <v>344</v>
      </c>
      <c r="K348" t="s">
        <v>340</v>
      </c>
      <c r="L348">
        <v>45811</v>
      </c>
      <c r="M348" t="s">
        <v>455</v>
      </c>
      <c r="N348">
        <v>1</v>
      </c>
      <c r="O348">
        <v>1</v>
      </c>
      <c r="P348" t="s">
        <v>2452</v>
      </c>
      <c r="T348" t="s">
        <v>458</v>
      </c>
      <c r="U348" t="s">
        <v>501</v>
      </c>
      <c r="V348" t="s">
        <v>237</v>
      </c>
      <c r="W348">
        <v>0.1</v>
      </c>
      <c r="X348">
        <v>0.1</v>
      </c>
      <c r="Y348" t="s">
        <v>349</v>
      </c>
      <c r="Z348" t="s">
        <v>346</v>
      </c>
      <c r="AA348" t="s">
        <v>340</v>
      </c>
      <c r="AB348" t="s">
        <v>347</v>
      </c>
      <c r="AC348" t="s">
        <v>340</v>
      </c>
      <c r="AD348" t="s">
        <v>3191</v>
      </c>
      <c r="AE348" s="1">
        <v>45811.618171296293</v>
      </c>
      <c r="CI348" t="s">
        <v>337</v>
      </c>
      <c r="CJ348" t="s">
        <v>2431</v>
      </c>
      <c r="CK348">
        <v>45811</v>
      </c>
      <c r="CL348" t="s">
        <v>2430</v>
      </c>
      <c r="CM348" t="s">
        <v>2432</v>
      </c>
      <c r="CN348">
        <v>45811</v>
      </c>
      <c r="CP348" t="s">
        <v>338</v>
      </c>
      <c r="CQ348" t="s">
        <v>2433</v>
      </c>
    </row>
    <row r="349" spans="1:95" x14ac:dyDescent="0.2">
      <c r="A349" t="s">
        <v>333</v>
      </c>
      <c r="B349">
        <v>168</v>
      </c>
      <c r="C349" s="1" t="s">
        <v>3192</v>
      </c>
      <c r="D349" t="s">
        <v>3193</v>
      </c>
      <c r="E349" t="s">
        <v>335</v>
      </c>
      <c r="F349" t="s">
        <v>342</v>
      </c>
      <c r="G349" t="s">
        <v>340</v>
      </c>
      <c r="H349" t="s">
        <v>360</v>
      </c>
      <c r="I349" t="s">
        <v>340</v>
      </c>
      <c r="J349" t="s">
        <v>344</v>
      </c>
      <c r="K349" t="s">
        <v>340</v>
      </c>
      <c r="L349">
        <v>45811</v>
      </c>
      <c r="M349" t="s">
        <v>455</v>
      </c>
      <c r="N349">
        <v>1</v>
      </c>
      <c r="O349">
        <v>1</v>
      </c>
      <c r="P349" t="s">
        <v>2452</v>
      </c>
      <c r="T349" t="s">
        <v>458</v>
      </c>
      <c r="U349" t="s">
        <v>501</v>
      </c>
      <c r="V349" t="s">
        <v>237</v>
      </c>
      <c r="W349">
        <v>0.1</v>
      </c>
      <c r="X349">
        <v>0.1</v>
      </c>
      <c r="Y349" t="s">
        <v>349</v>
      </c>
      <c r="Z349" t="s">
        <v>346</v>
      </c>
      <c r="AA349" t="s">
        <v>340</v>
      </c>
      <c r="AB349" t="s">
        <v>347</v>
      </c>
      <c r="AC349" t="s">
        <v>340</v>
      </c>
      <c r="AD349" t="s">
        <v>3194</v>
      </c>
      <c r="AE349" s="1">
        <v>45811.618171296293</v>
      </c>
      <c r="CI349" t="s">
        <v>337</v>
      </c>
      <c r="CJ349" t="s">
        <v>2431</v>
      </c>
      <c r="CK349">
        <v>45811</v>
      </c>
      <c r="CL349" t="s">
        <v>2430</v>
      </c>
      <c r="CM349" t="s">
        <v>2432</v>
      </c>
      <c r="CN349">
        <v>45811</v>
      </c>
      <c r="CP349" t="s">
        <v>338</v>
      </c>
      <c r="CQ349" t="s">
        <v>2433</v>
      </c>
    </row>
    <row r="350" spans="1:95" x14ac:dyDescent="0.2">
      <c r="A350" t="s">
        <v>333</v>
      </c>
      <c r="B350">
        <v>169</v>
      </c>
      <c r="C350" s="1" t="s">
        <v>3195</v>
      </c>
      <c r="D350" t="s">
        <v>3196</v>
      </c>
      <c r="E350" t="s">
        <v>335</v>
      </c>
      <c r="F350" t="s">
        <v>342</v>
      </c>
      <c r="G350" t="s">
        <v>340</v>
      </c>
      <c r="H350" t="s">
        <v>364</v>
      </c>
      <c r="I350" t="s">
        <v>340</v>
      </c>
      <c r="J350" t="s">
        <v>344</v>
      </c>
      <c r="K350" t="s">
        <v>340</v>
      </c>
      <c r="L350">
        <v>45811</v>
      </c>
      <c r="M350" t="s">
        <v>455</v>
      </c>
      <c r="N350">
        <v>1</v>
      </c>
      <c r="O350">
        <v>1</v>
      </c>
      <c r="P350" t="s">
        <v>2452</v>
      </c>
      <c r="T350" t="s">
        <v>458</v>
      </c>
      <c r="U350" t="s">
        <v>501</v>
      </c>
      <c r="V350" t="s">
        <v>237</v>
      </c>
      <c r="W350">
        <v>0.1</v>
      </c>
      <c r="X350">
        <v>0.1</v>
      </c>
      <c r="Y350" t="s">
        <v>349</v>
      </c>
      <c r="Z350" t="s">
        <v>346</v>
      </c>
      <c r="AA350" t="s">
        <v>340</v>
      </c>
      <c r="AB350" t="s">
        <v>347</v>
      </c>
      <c r="AC350" t="s">
        <v>340</v>
      </c>
      <c r="AD350" t="s">
        <v>3197</v>
      </c>
      <c r="AE350" s="1">
        <v>45811.61818287037</v>
      </c>
      <c r="CI350" t="s">
        <v>337</v>
      </c>
      <c r="CJ350" t="s">
        <v>2431</v>
      </c>
      <c r="CK350">
        <v>45811</v>
      </c>
      <c r="CL350" t="s">
        <v>2430</v>
      </c>
      <c r="CM350" t="s">
        <v>2432</v>
      </c>
      <c r="CN350">
        <v>45811</v>
      </c>
      <c r="CP350" t="s">
        <v>338</v>
      </c>
      <c r="CQ350" t="s">
        <v>2433</v>
      </c>
    </row>
    <row r="351" spans="1:95" x14ac:dyDescent="0.2">
      <c r="A351" t="s">
        <v>333</v>
      </c>
      <c r="B351">
        <v>170</v>
      </c>
      <c r="C351" s="1" t="s">
        <v>3198</v>
      </c>
      <c r="D351" t="s">
        <v>3199</v>
      </c>
      <c r="E351" t="s">
        <v>335</v>
      </c>
      <c r="F351" t="s">
        <v>342</v>
      </c>
      <c r="G351" t="s">
        <v>340</v>
      </c>
      <c r="H351" t="s">
        <v>353</v>
      </c>
      <c r="I351" t="s">
        <v>340</v>
      </c>
      <c r="J351" t="s">
        <v>344</v>
      </c>
      <c r="K351" t="s">
        <v>340</v>
      </c>
      <c r="L351">
        <v>45811</v>
      </c>
      <c r="M351" t="s">
        <v>455</v>
      </c>
      <c r="N351">
        <v>1</v>
      </c>
      <c r="O351">
        <v>1</v>
      </c>
      <c r="P351" t="s">
        <v>2452</v>
      </c>
      <c r="T351" t="s">
        <v>458</v>
      </c>
      <c r="U351" t="s">
        <v>501</v>
      </c>
      <c r="V351" t="s">
        <v>237</v>
      </c>
      <c r="W351">
        <v>0.1</v>
      </c>
      <c r="X351">
        <v>0.1</v>
      </c>
      <c r="Y351" t="s">
        <v>349</v>
      </c>
      <c r="Z351" t="s">
        <v>346</v>
      </c>
      <c r="AA351" t="s">
        <v>340</v>
      </c>
      <c r="AB351" t="s">
        <v>347</v>
      </c>
      <c r="AC351" t="s">
        <v>340</v>
      </c>
      <c r="AD351" t="s">
        <v>3200</v>
      </c>
      <c r="AE351" s="1">
        <v>45811.618171296293</v>
      </c>
      <c r="CI351" t="s">
        <v>337</v>
      </c>
      <c r="CJ351" t="s">
        <v>2431</v>
      </c>
      <c r="CK351">
        <v>45811</v>
      </c>
      <c r="CL351" t="s">
        <v>2430</v>
      </c>
      <c r="CM351" t="s">
        <v>2432</v>
      </c>
      <c r="CN351">
        <v>45811</v>
      </c>
      <c r="CP351" t="s">
        <v>338</v>
      </c>
      <c r="CQ351" t="s">
        <v>2433</v>
      </c>
    </row>
    <row r="352" spans="1:95" x14ac:dyDescent="0.2">
      <c r="A352" t="s">
        <v>333</v>
      </c>
      <c r="B352">
        <v>171</v>
      </c>
      <c r="C352" s="1" t="s">
        <v>3201</v>
      </c>
      <c r="D352" t="s">
        <v>3202</v>
      </c>
      <c r="E352" t="s">
        <v>335</v>
      </c>
      <c r="F352" t="s">
        <v>342</v>
      </c>
      <c r="G352" t="s">
        <v>340</v>
      </c>
      <c r="H352" t="s">
        <v>363</v>
      </c>
      <c r="I352" t="s">
        <v>340</v>
      </c>
      <c r="J352" t="s">
        <v>344</v>
      </c>
      <c r="K352" t="s">
        <v>340</v>
      </c>
      <c r="L352">
        <v>45811</v>
      </c>
      <c r="M352" t="s">
        <v>455</v>
      </c>
      <c r="N352">
        <v>1</v>
      </c>
      <c r="O352">
        <v>1</v>
      </c>
      <c r="P352" t="s">
        <v>2452</v>
      </c>
      <c r="T352" t="s">
        <v>458</v>
      </c>
      <c r="U352" t="s">
        <v>501</v>
      </c>
      <c r="V352" t="s">
        <v>237</v>
      </c>
      <c r="W352">
        <v>0.1</v>
      </c>
      <c r="X352">
        <v>0.1</v>
      </c>
      <c r="Y352" t="s">
        <v>349</v>
      </c>
      <c r="Z352" t="s">
        <v>346</v>
      </c>
      <c r="AA352" t="s">
        <v>340</v>
      </c>
      <c r="AB352" t="s">
        <v>347</v>
      </c>
      <c r="AC352" t="s">
        <v>340</v>
      </c>
      <c r="AD352" t="s">
        <v>3203</v>
      </c>
      <c r="AE352" s="1">
        <v>45811.61818287037</v>
      </c>
      <c r="CI352" t="s">
        <v>337</v>
      </c>
      <c r="CJ352" t="s">
        <v>2431</v>
      </c>
      <c r="CK352">
        <v>45811</v>
      </c>
      <c r="CL352" t="s">
        <v>2430</v>
      </c>
      <c r="CM352" t="s">
        <v>2432</v>
      </c>
      <c r="CN352">
        <v>45811</v>
      </c>
      <c r="CP352" t="s">
        <v>338</v>
      </c>
      <c r="CQ352" t="s">
        <v>2433</v>
      </c>
    </row>
    <row r="353" spans="1:95" x14ac:dyDescent="0.2">
      <c r="A353" t="s">
        <v>333</v>
      </c>
      <c r="B353">
        <v>172</v>
      </c>
      <c r="C353" s="1" t="s">
        <v>3204</v>
      </c>
      <c r="D353" t="s">
        <v>3205</v>
      </c>
      <c r="E353" t="s">
        <v>335</v>
      </c>
      <c r="F353" t="s">
        <v>342</v>
      </c>
      <c r="G353" t="s">
        <v>340</v>
      </c>
      <c r="H353" t="s">
        <v>352</v>
      </c>
      <c r="I353" t="s">
        <v>340</v>
      </c>
      <c r="J353" t="s">
        <v>344</v>
      </c>
      <c r="K353" t="s">
        <v>340</v>
      </c>
      <c r="L353">
        <v>45811</v>
      </c>
      <c r="M353" t="s">
        <v>455</v>
      </c>
      <c r="N353">
        <v>1</v>
      </c>
      <c r="O353">
        <v>1</v>
      </c>
      <c r="P353" t="s">
        <v>2452</v>
      </c>
      <c r="T353" t="s">
        <v>458</v>
      </c>
      <c r="U353" t="s">
        <v>501</v>
      </c>
      <c r="V353" t="s">
        <v>237</v>
      </c>
      <c r="W353">
        <v>0.1</v>
      </c>
      <c r="X353">
        <v>0.1</v>
      </c>
      <c r="Y353" t="s">
        <v>349</v>
      </c>
      <c r="Z353" t="s">
        <v>346</v>
      </c>
      <c r="AA353" t="s">
        <v>340</v>
      </c>
      <c r="AB353" t="s">
        <v>347</v>
      </c>
      <c r="AC353" t="s">
        <v>340</v>
      </c>
      <c r="AD353" t="s">
        <v>3206</v>
      </c>
      <c r="AE353" s="1">
        <v>45811.618171296293</v>
      </c>
      <c r="CI353" t="s">
        <v>337</v>
      </c>
      <c r="CJ353" t="s">
        <v>2431</v>
      </c>
      <c r="CK353">
        <v>45811</v>
      </c>
      <c r="CL353" t="s">
        <v>2430</v>
      </c>
      <c r="CM353" t="s">
        <v>2432</v>
      </c>
      <c r="CN353">
        <v>45811</v>
      </c>
      <c r="CP353" t="s">
        <v>338</v>
      </c>
      <c r="CQ353" t="s">
        <v>2433</v>
      </c>
    </row>
    <row r="354" spans="1:95" x14ac:dyDescent="0.2">
      <c r="A354" t="s">
        <v>333</v>
      </c>
      <c r="B354">
        <v>173</v>
      </c>
      <c r="C354" s="1" t="s">
        <v>3207</v>
      </c>
      <c r="D354" t="s">
        <v>3208</v>
      </c>
      <c r="E354" t="s">
        <v>335</v>
      </c>
      <c r="F354" t="s">
        <v>342</v>
      </c>
      <c r="G354" t="s">
        <v>340</v>
      </c>
      <c r="H354" t="s">
        <v>357</v>
      </c>
      <c r="I354" t="s">
        <v>340</v>
      </c>
      <c r="J354" t="s">
        <v>344</v>
      </c>
      <c r="K354" t="s">
        <v>340</v>
      </c>
      <c r="L354">
        <v>45811</v>
      </c>
      <c r="M354" t="s">
        <v>455</v>
      </c>
      <c r="N354">
        <v>1</v>
      </c>
      <c r="O354">
        <v>1</v>
      </c>
      <c r="P354" t="s">
        <v>2452</v>
      </c>
      <c r="T354" t="s">
        <v>458</v>
      </c>
      <c r="U354" t="s">
        <v>501</v>
      </c>
      <c r="V354" t="s">
        <v>237</v>
      </c>
      <c r="W354">
        <v>0.1</v>
      </c>
      <c r="X354">
        <v>0.1</v>
      </c>
      <c r="Y354" t="s">
        <v>349</v>
      </c>
      <c r="Z354" t="s">
        <v>346</v>
      </c>
      <c r="AA354" t="s">
        <v>340</v>
      </c>
      <c r="AB354" t="s">
        <v>347</v>
      </c>
      <c r="AC354" t="s">
        <v>340</v>
      </c>
      <c r="AD354" t="s">
        <v>3209</v>
      </c>
      <c r="AE354" s="1">
        <v>45811.618171296293</v>
      </c>
      <c r="CI354" t="s">
        <v>337</v>
      </c>
      <c r="CJ354" t="s">
        <v>2431</v>
      </c>
      <c r="CK354">
        <v>45811</v>
      </c>
      <c r="CL354" t="s">
        <v>2430</v>
      </c>
      <c r="CM354" t="s">
        <v>2432</v>
      </c>
      <c r="CN354">
        <v>45811</v>
      </c>
      <c r="CP354" t="s">
        <v>338</v>
      </c>
      <c r="CQ354" t="s">
        <v>2433</v>
      </c>
    </row>
    <row r="355" spans="1:95" x14ac:dyDescent="0.2">
      <c r="A355" t="s">
        <v>333</v>
      </c>
      <c r="B355">
        <v>174</v>
      </c>
      <c r="C355" s="1" t="s">
        <v>3210</v>
      </c>
      <c r="D355" t="s">
        <v>3211</v>
      </c>
      <c r="E355" t="s">
        <v>335</v>
      </c>
      <c r="F355" t="s">
        <v>342</v>
      </c>
      <c r="G355" t="s">
        <v>340</v>
      </c>
      <c r="H355" t="s">
        <v>371</v>
      </c>
      <c r="I355" t="s">
        <v>340</v>
      </c>
      <c r="J355" t="s">
        <v>344</v>
      </c>
      <c r="K355" t="s">
        <v>340</v>
      </c>
      <c r="L355">
        <v>45811</v>
      </c>
      <c r="M355" t="s">
        <v>455</v>
      </c>
      <c r="N355">
        <v>1</v>
      </c>
      <c r="O355">
        <v>1</v>
      </c>
      <c r="P355" t="s">
        <v>2452</v>
      </c>
      <c r="T355" t="s">
        <v>458</v>
      </c>
      <c r="U355" t="s">
        <v>501</v>
      </c>
      <c r="V355" t="s">
        <v>237</v>
      </c>
      <c r="W355">
        <v>0.1</v>
      </c>
      <c r="X355">
        <v>0.1</v>
      </c>
      <c r="Y355" t="s">
        <v>349</v>
      </c>
      <c r="Z355" t="s">
        <v>346</v>
      </c>
      <c r="AA355" t="s">
        <v>340</v>
      </c>
      <c r="AB355" t="s">
        <v>347</v>
      </c>
      <c r="AC355" t="s">
        <v>340</v>
      </c>
      <c r="AD355" t="s">
        <v>3212</v>
      </c>
      <c r="AE355" s="1">
        <v>45811.61818287037</v>
      </c>
      <c r="CI355" t="s">
        <v>337</v>
      </c>
      <c r="CJ355" t="s">
        <v>2431</v>
      </c>
      <c r="CK355">
        <v>45811</v>
      </c>
      <c r="CL355" t="s">
        <v>2430</v>
      </c>
      <c r="CM355" t="s">
        <v>2432</v>
      </c>
      <c r="CN355">
        <v>45811</v>
      </c>
      <c r="CP355" t="s">
        <v>338</v>
      </c>
      <c r="CQ355" t="s">
        <v>2433</v>
      </c>
    </row>
    <row r="356" spans="1:95" x14ac:dyDescent="0.2">
      <c r="A356" t="s">
        <v>333</v>
      </c>
      <c r="B356">
        <v>175</v>
      </c>
      <c r="C356" s="1" t="s">
        <v>3213</v>
      </c>
      <c r="D356" t="s">
        <v>3214</v>
      </c>
      <c r="E356" t="s">
        <v>335</v>
      </c>
      <c r="F356" t="s">
        <v>342</v>
      </c>
      <c r="G356" t="s">
        <v>340</v>
      </c>
      <c r="H356" t="s">
        <v>365</v>
      </c>
      <c r="I356" t="s">
        <v>340</v>
      </c>
      <c r="J356" t="s">
        <v>344</v>
      </c>
      <c r="K356" t="s">
        <v>340</v>
      </c>
      <c r="L356">
        <v>45811</v>
      </c>
      <c r="M356" t="s">
        <v>455</v>
      </c>
      <c r="N356">
        <v>1</v>
      </c>
      <c r="O356">
        <v>1</v>
      </c>
      <c r="P356" t="s">
        <v>2452</v>
      </c>
      <c r="T356" t="s">
        <v>458</v>
      </c>
      <c r="U356" t="s">
        <v>501</v>
      </c>
      <c r="V356" t="s">
        <v>237</v>
      </c>
      <c r="W356">
        <v>0.1</v>
      </c>
      <c r="X356">
        <v>0.1</v>
      </c>
      <c r="Y356" t="s">
        <v>349</v>
      </c>
      <c r="Z356" t="s">
        <v>346</v>
      </c>
      <c r="AA356" t="s">
        <v>340</v>
      </c>
      <c r="AB356" t="s">
        <v>347</v>
      </c>
      <c r="AC356" t="s">
        <v>340</v>
      </c>
      <c r="AD356" t="s">
        <v>3215</v>
      </c>
      <c r="AE356" s="1">
        <v>45811.61818287037</v>
      </c>
      <c r="CI356" t="s">
        <v>337</v>
      </c>
      <c r="CJ356" t="s">
        <v>2431</v>
      </c>
      <c r="CK356">
        <v>45811</v>
      </c>
      <c r="CL356" t="s">
        <v>2430</v>
      </c>
      <c r="CM356" t="s">
        <v>2432</v>
      </c>
      <c r="CN356">
        <v>45811</v>
      </c>
      <c r="CP356" t="s">
        <v>338</v>
      </c>
      <c r="CQ356" t="s">
        <v>2433</v>
      </c>
    </row>
    <row r="357" spans="1:95" x14ac:dyDescent="0.2">
      <c r="A357" t="s">
        <v>333</v>
      </c>
      <c r="B357">
        <v>176</v>
      </c>
      <c r="C357" s="1" t="s">
        <v>3216</v>
      </c>
      <c r="D357" t="s">
        <v>3217</v>
      </c>
      <c r="E357" t="s">
        <v>335</v>
      </c>
      <c r="F357" t="s">
        <v>342</v>
      </c>
      <c r="G357" t="s">
        <v>340</v>
      </c>
      <c r="H357" t="s">
        <v>367</v>
      </c>
      <c r="I357" t="s">
        <v>340</v>
      </c>
      <c r="J357" t="s">
        <v>344</v>
      </c>
      <c r="K357" t="s">
        <v>340</v>
      </c>
      <c r="L357">
        <v>45811</v>
      </c>
      <c r="M357" t="s">
        <v>455</v>
      </c>
      <c r="N357">
        <v>1</v>
      </c>
      <c r="O357">
        <v>1</v>
      </c>
      <c r="P357" t="s">
        <v>2452</v>
      </c>
      <c r="T357" t="s">
        <v>458</v>
      </c>
      <c r="U357" t="s">
        <v>2841</v>
      </c>
      <c r="W357">
        <v>0.1</v>
      </c>
      <c r="X357">
        <v>0.1</v>
      </c>
      <c r="Y357" t="s">
        <v>349</v>
      </c>
      <c r="Z357" t="s">
        <v>346</v>
      </c>
      <c r="AA357" t="s">
        <v>340</v>
      </c>
      <c r="AB357" t="s">
        <v>347</v>
      </c>
      <c r="AC357" t="s">
        <v>340</v>
      </c>
      <c r="AD357" t="s">
        <v>3218</v>
      </c>
      <c r="AE357" s="1">
        <v>45811.618483796294</v>
      </c>
      <c r="CI357" t="s">
        <v>337</v>
      </c>
      <c r="CJ357" t="s">
        <v>2431</v>
      </c>
      <c r="CK357">
        <v>45811</v>
      </c>
      <c r="CL357" t="s">
        <v>2430</v>
      </c>
      <c r="CM357" t="s">
        <v>2432</v>
      </c>
      <c r="CN357">
        <v>45811</v>
      </c>
      <c r="CP357" t="s">
        <v>338</v>
      </c>
      <c r="CQ357" t="s">
        <v>2433</v>
      </c>
    </row>
    <row r="358" spans="1:95" x14ac:dyDescent="0.2">
      <c r="A358" t="s">
        <v>333</v>
      </c>
      <c r="B358">
        <v>177</v>
      </c>
      <c r="C358" s="1" t="s">
        <v>3219</v>
      </c>
      <c r="D358" t="s">
        <v>3220</v>
      </c>
      <c r="E358" t="s">
        <v>335</v>
      </c>
      <c r="F358" t="s">
        <v>342</v>
      </c>
      <c r="G358" t="s">
        <v>340</v>
      </c>
      <c r="H358" t="s">
        <v>366</v>
      </c>
      <c r="I358" t="s">
        <v>340</v>
      </c>
      <c r="J358" t="s">
        <v>344</v>
      </c>
      <c r="K358" t="s">
        <v>340</v>
      </c>
      <c r="L358">
        <v>45811</v>
      </c>
      <c r="M358" t="s">
        <v>455</v>
      </c>
      <c r="N358">
        <v>1</v>
      </c>
      <c r="O358">
        <v>1</v>
      </c>
      <c r="P358" t="s">
        <v>2452</v>
      </c>
      <c r="T358" t="s">
        <v>458</v>
      </c>
      <c r="U358" t="s">
        <v>501</v>
      </c>
      <c r="V358" t="s">
        <v>237</v>
      </c>
      <c r="W358">
        <v>0.1</v>
      </c>
      <c r="X358">
        <v>0.1</v>
      </c>
      <c r="Y358" t="s">
        <v>349</v>
      </c>
      <c r="Z358" t="s">
        <v>346</v>
      </c>
      <c r="AA358" t="s">
        <v>340</v>
      </c>
      <c r="AB358" t="s">
        <v>347</v>
      </c>
      <c r="AC358" t="s">
        <v>340</v>
      </c>
      <c r="AD358" t="s">
        <v>3221</v>
      </c>
      <c r="AE358" s="1">
        <v>45811.61818287037</v>
      </c>
      <c r="CI358" t="s">
        <v>337</v>
      </c>
      <c r="CJ358" t="s">
        <v>2431</v>
      </c>
      <c r="CK358">
        <v>45811</v>
      </c>
      <c r="CL358" t="s">
        <v>2430</v>
      </c>
      <c r="CM358" t="s">
        <v>2432</v>
      </c>
      <c r="CN358">
        <v>45811</v>
      </c>
      <c r="CP358" t="s">
        <v>338</v>
      </c>
      <c r="CQ358" t="s">
        <v>2433</v>
      </c>
    </row>
    <row r="359" spans="1:95" x14ac:dyDescent="0.2">
      <c r="A359" t="s">
        <v>333</v>
      </c>
      <c r="B359">
        <v>178</v>
      </c>
      <c r="C359" s="1" t="s">
        <v>3222</v>
      </c>
      <c r="D359" t="s">
        <v>3223</v>
      </c>
      <c r="E359" t="s">
        <v>335</v>
      </c>
      <c r="F359" t="s">
        <v>342</v>
      </c>
      <c r="G359" t="s">
        <v>340</v>
      </c>
      <c r="H359" t="s">
        <v>354</v>
      </c>
      <c r="I359" t="s">
        <v>340</v>
      </c>
      <c r="J359" t="s">
        <v>344</v>
      </c>
      <c r="K359" t="s">
        <v>340</v>
      </c>
      <c r="L359">
        <v>45811</v>
      </c>
      <c r="M359" t="s">
        <v>455</v>
      </c>
      <c r="N359">
        <v>1</v>
      </c>
      <c r="O359">
        <v>1</v>
      </c>
      <c r="P359" t="s">
        <v>2452</v>
      </c>
      <c r="T359" t="s">
        <v>458</v>
      </c>
      <c r="U359" t="s">
        <v>501</v>
      </c>
      <c r="V359" t="s">
        <v>237</v>
      </c>
      <c r="W359">
        <v>0.1</v>
      </c>
      <c r="X359">
        <v>0.1</v>
      </c>
      <c r="Y359" t="s">
        <v>349</v>
      </c>
      <c r="Z359" t="s">
        <v>346</v>
      </c>
      <c r="AA359" t="s">
        <v>340</v>
      </c>
      <c r="AB359" t="s">
        <v>347</v>
      </c>
      <c r="AC359" t="s">
        <v>340</v>
      </c>
      <c r="AD359" t="s">
        <v>3224</v>
      </c>
      <c r="AE359" s="1">
        <v>45811.618171296293</v>
      </c>
      <c r="CI359" t="s">
        <v>337</v>
      </c>
      <c r="CJ359" t="s">
        <v>2431</v>
      </c>
      <c r="CK359">
        <v>45811</v>
      </c>
      <c r="CL359" t="s">
        <v>2430</v>
      </c>
      <c r="CM359" t="s">
        <v>2432</v>
      </c>
      <c r="CN359">
        <v>45811</v>
      </c>
      <c r="CP359" t="s">
        <v>338</v>
      </c>
      <c r="CQ359" t="s">
        <v>2433</v>
      </c>
    </row>
    <row r="360" spans="1:95" x14ac:dyDescent="0.2">
      <c r="A360" t="s">
        <v>333</v>
      </c>
      <c r="B360">
        <v>179</v>
      </c>
      <c r="C360" s="1" t="s">
        <v>3225</v>
      </c>
      <c r="D360" t="s">
        <v>3226</v>
      </c>
      <c r="E360" t="s">
        <v>335</v>
      </c>
      <c r="F360" t="s">
        <v>342</v>
      </c>
      <c r="G360" t="s">
        <v>340</v>
      </c>
      <c r="H360" t="s">
        <v>356</v>
      </c>
      <c r="I360" t="s">
        <v>340</v>
      </c>
      <c r="J360" t="s">
        <v>344</v>
      </c>
      <c r="K360" t="s">
        <v>340</v>
      </c>
      <c r="L360">
        <v>45811</v>
      </c>
      <c r="M360" t="s">
        <v>455</v>
      </c>
      <c r="N360">
        <v>1</v>
      </c>
      <c r="O360">
        <v>1</v>
      </c>
      <c r="P360" t="s">
        <v>2452</v>
      </c>
      <c r="T360" t="s">
        <v>458</v>
      </c>
      <c r="U360" t="s">
        <v>2841</v>
      </c>
      <c r="W360">
        <v>0.1</v>
      </c>
      <c r="X360">
        <v>0.1</v>
      </c>
      <c r="Y360" t="s">
        <v>349</v>
      </c>
      <c r="Z360" t="s">
        <v>346</v>
      </c>
      <c r="AA360" t="s">
        <v>340</v>
      </c>
      <c r="AB360" t="s">
        <v>347</v>
      </c>
      <c r="AC360" t="s">
        <v>340</v>
      </c>
      <c r="AD360" t="s">
        <v>3227</v>
      </c>
      <c r="AE360" s="1">
        <v>45811.618483796294</v>
      </c>
      <c r="CI360" t="s">
        <v>337</v>
      </c>
      <c r="CJ360" t="s">
        <v>2431</v>
      </c>
      <c r="CK360">
        <v>45811</v>
      </c>
      <c r="CL360" t="s">
        <v>2430</v>
      </c>
      <c r="CM360" t="s">
        <v>2432</v>
      </c>
      <c r="CN360">
        <v>45811</v>
      </c>
      <c r="CP360" t="s">
        <v>338</v>
      </c>
      <c r="CQ360" t="s">
        <v>2433</v>
      </c>
    </row>
    <row r="361" spans="1:95" x14ac:dyDescent="0.2">
      <c r="A361" t="s">
        <v>333</v>
      </c>
      <c r="B361">
        <v>180</v>
      </c>
      <c r="C361" s="1" t="s">
        <v>3228</v>
      </c>
      <c r="D361" t="s">
        <v>3229</v>
      </c>
      <c r="E361" t="s">
        <v>335</v>
      </c>
      <c r="F361" t="s">
        <v>342</v>
      </c>
      <c r="G361" t="s">
        <v>340</v>
      </c>
      <c r="H361" t="s">
        <v>355</v>
      </c>
      <c r="I361" t="s">
        <v>340</v>
      </c>
      <c r="J361" t="s">
        <v>344</v>
      </c>
      <c r="K361" t="s">
        <v>340</v>
      </c>
      <c r="L361">
        <v>45811</v>
      </c>
      <c r="M361" t="s">
        <v>455</v>
      </c>
      <c r="N361">
        <v>1</v>
      </c>
      <c r="O361">
        <v>1</v>
      </c>
      <c r="P361" t="s">
        <v>2452</v>
      </c>
      <c r="T361" t="s">
        <v>458</v>
      </c>
      <c r="U361" t="s">
        <v>501</v>
      </c>
      <c r="V361" t="s">
        <v>237</v>
      </c>
      <c r="W361">
        <v>0.1</v>
      </c>
      <c r="X361">
        <v>0.1</v>
      </c>
      <c r="Y361" t="s">
        <v>349</v>
      </c>
      <c r="Z361" t="s">
        <v>346</v>
      </c>
      <c r="AA361" t="s">
        <v>340</v>
      </c>
      <c r="AB361" t="s">
        <v>347</v>
      </c>
      <c r="AC361" t="s">
        <v>340</v>
      </c>
      <c r="AD361" t="s">
        <v>3230</v>
      </c>
      <c r="AE361" s="1">
        <v>45811.618171296293</v>
      </c>
      <c r="CI361" t="s">
        <v>337</v>
      </c>
      <c r="CJ361" t="s">
        <v>2431</v>
      </c>
      <c r="CK361">
        <v>45811</v>
      </c>
      <c r="CL361" t="s">
        <v>2430</v>
      </c>
      <c r="CM361" t="s">
        <v>2432</v>
      </c>
      <c r="CN361">
        <v>45811</v>
      </c>
      <c r="CP361" t="s">
        <v>338</v>
      </c>
      <c r="CQ361" t="s">
        <v>2433</v>
      </c>
    </row>
    <row r="362" spans="1:95" x14ac:dyDescent="0.2">
      <c r="A362" t="s">
        <v>333</v>
      </c>
      <c r="B362">
        <v>181</v>
      </c>
      <c r="C362" s="1" t="s">
        <v>3231</v>
      </c>
      <c r="D362" t="s">
        <v>3232</v>
      </c>
      <c r="E362" t="s">
        <v>335</v>
      </c>
      <c r="F362" t="s">
        <v>342</v>
      </c>
      <c r="G362" t="s">
        <v>340</v>
      </c>
      <c r="H362" t="s">
        <v>362</v>
      </c>
      <c r="I362" t="s">
        <v>340</v>
      </c>
      <c r="J362" t="s">
        <v>344</v>
      </c>
      <c r="K362" t="s">
        <v>340</v>
      </c>
      <c r="L362">
        <v>45811</v>
      </c>
      <c r="M362" t="s">
        <v>455</v>
      </c>
      <c r="N362">
        <v>1</v>
      </c>
      <c r="O362">
        <v>1</v>
      </c>
      <c r="P362" t="s">
        <v>2452</v>
      </c>
      <c r="T362" t="s">
        <v>458</v>
      </c>
      <c r="U362" t="s">
        <v>501</v>
      </c>
      <c r="V362" t="s">
        <v>237</v>
      </c>
      <c r="W362">
        <v>0.1</v>
      </c>
      <c r="X362">
        <v>0.1</v>
      </c>
      <c r="Y362" t="s">
        <v>349</v>
      </c>
      <c r="Z362" t="s">
        <v>346</v>
      </c>
      <c r="AA362" t="s">
        <v>340</v>
      </c>
      <c r="AB362" t="s">
        <v>347</v>
      </c>
      <c r="AC362" t="s">
        <v>340</v>
      </c>
      <c r="AD362" t="s">
        <v>3233</v>
      </c>
      <c r="AE362" s="1">
        <v>45811.61818287037</v>
      </c>
      <c r="CI362" t="s">
        <v>337</v>
      </c>
      <c r="CJ362" t="s">
        <v>2431</v>
      </c>
      <c r="CK362">
        <v>45811</v>
      </c>
      <c r="CL362" t="s">
        <v>2430</v>
      </c>
      <c r="CM362" t="s">
        <v>2432</v>
      </c>
      <c r="CN362">
        <v>45811</v>
      </c>
      <c r="CP362" t="s">
        <v>338</v>
      </c>
      <c r="CQ362" t="s">
        <v>2433</v>
      </c>
    </row>
    <row r="363" spans="1:95" x14ac:dyDescent="0.2">
      <c r="A363" t="s">
        <v>333</v>
      </c>
      <c r="B363">
        <v>182</v>
      </c>
      <c r="C363" s="1" t="s">
        <v>3234</v>
      </c>
      <c r="D363" t="s">
        <v>3235</v>
      </c>
      <c r="E363" t="s">
        <v>335</v>
      </c>
      <c r="F363" t="s">
        <v>342</v>
      </c>
      <c r="G363" t="s">
        <v>340</v>
      </c>
      <c r="H363" t="s">
        <v>351</v>
      </c>
      <c r="I363" t="s">
        <v>340</v>
      </c>
      <c r="J363" t="s">
        <v>344</v>
      </c>
      <c r="K363" t="s">
        <v>340</v>
      </c>
      <c r="L363">
        <v>45811</v>
      </c>
      <c r="M363" t="s">
        <v>455</v>
      </c>
      <c r="N363">
        <v>1</v>
      </c>
      <c r="O363">
        <v>1</v>
      </c>
      <c r="P363" t="s">
        <v>2452</v>
      </c>
      <c r="T363" t="s">
        <v>458</v>
      </c>
      <c r="U363" t="s">
        <v>501</v>
      </c>
      <c r="V363" t="s">
        <v>237</v>
      </c>
      <c r="W363">
        <v>0.1</v>
      </c>
      <c r="X363">
        <v>0.1</v>
      </c>
      <c r="Y363" t="s">
        <v>349</v>
      </c>
      <c r="Z363" t="s">
        <v>346</v>
      </c>
      <c r="AA363" t="s">
        <v>340</v>
      </c>
      <c r="AB363" t="s">
        <v>347</v>
      </c>
      <c r="AC363" t="s">
        <v>340</v>
      </c>
      <c r="AD363" t="s">
        <v>3236</v>
      </c>
      <c r="AE363" s="1">
        <v>45811.618171296293</v>
      </c>
      <c r="CI363" t="s">
        <v>337</v>
      </c>
      <c r="CJ363" t="s">
        <v>2431</v>
      </c>
      <c r="CK363">
        <v>45811</v>
      </c>
      <c r="CL363" t="s">
        <v>2430</v>
      </c>
      <c r="CM363" t="s">
        <v>2432</v>
      </c>
      <c r="CN363">
        <v>45811</v>
      </c>
      <c r="CP363" t="s">
        <v>338</v>
      </c>
      <c r="CQ363" t="s">
        <v>2433</v>
      </c>
    </row>
    <row r="364" spans="1:95" x14ac:dyDescent="0.2">
      <c r="A364" t="s">
        <v>333</v>
      </c>
      <c r="B364">
        <v>183</v>
      </c>
      <c r="C364" s="1" t="s">
        <v>3237</v>
      </c>
      <c r="D364" t="s">
        <v>3238</v>
      </c>
      <c r="E364" t="s">
        <v>335</v>
      </c>
      <c r="F364" t="s">
        <v>342</v>
      </c>
      <c r="G364" t="s">
        <v>340</v>
      </c>
      <c r="H364" t="s">
        <v>359</v>
      </c>
      <c r="I364" t="s">
        <v>340</v>
      </c>
      <c r="J364" t="s">
        <v>344</v>
      </c>
      <c r="K364" t="s">
        <v>340</v>
      </c>
      <c r="L364">
        <v>45811</v>
      </c>
      <c r="M364" t="s">
        <v>455</v>
      </c>
      <c r="N364">
        <v>1</v>
      </c>
      <c r="O364">
        <v>1</v>
      </c>
      <c r="P364" t="s">
        <v>2452</v>
      </c>
      <c r="T364" t="s">
        <v>458</v>
      </c>
      <c r="U364" t="s">
        <v>501</v>
      </c>
      <c r="V364" t="s">
        <v>237</v>
      </c>
      <c r="W364">
        <v>0.1</v>
      </c>
      <c r="X364">
        <v>0.1</v>
      </c>
      <c r="Y364" t="s">
        <v>349</v>
      </c>
      <c r="Z364" t="s">
        <v>346</v>
      </c>
      <c r="AA364" t="s">
        <v>340</v>
      </c>
      <c r="AB364" t="s">
        <v>347</v>
      </c>
      <c r="AC364" t="s">
        <v>340</v>
      </c>
      <c r="AD364" t="s">
        <v>3239</v>
      </c>
      <c r="AE364" s="1">
        <v>45811.618171296293</v>
      </c>
      <c r="CI364" t="s">
        <v>337</v>
      </c>
      <c r="CJ364" t="s">
        <v>2431</v>
      </c>
      <c r="CK364">
        <v>45811</v>
      </c>
      <c r="CL364" t="s">
        <v>2430</v>
      </c>
      <c r="CM364" t="s">
        <v>2432</v>
      </c>
      <c r="CN364">
        <v>45811</v>
      </c>
      <c r="CP364" t="s">
        <v>338</v>
      </c>
      <c r="CQ364" t="s">
        <v>2433</v>
      </c>
    </row>
    <row r="365" spans="1:95" x14ac:dyDescent="0.2">
      <c r="A365" t="s">
        <v>333</v>
      </c>
      <c r="B365">
        <v>184</v>
      </c>
      <c r="C365" s="1" t="s">
        <v>3240</v>
      </c>
      <c r="D365" t="s">
        <v>3241</v>
      </c>
      <c r="E365" t="s">
        <v>335</v>
      </c>
      <c r="F365" t="s">
        <v>2866</v>
      </c>
      <c r="G365" t="s">
        <v>340</v>
      </c>
      <c r="H365" t="s">
        <v>2646</v>
      </c>
      <c r="I365" t="s">
        <v>340</v>
      </c>
      <c r="J365" t="s">
        <v>344</v>
      </c>
      <c r="K365" t="s">
        <v>340</v>
      </c>
      <c r="L365">
        <v>45811</v>
      </c>
      <c r="M365" t="s">
        <v>455</v>
      </c>
      <c r="N365">
        <v>1</v>
      </c>
      <c r="O365">
        <v>1</v>
      </c>
      <c r="P365" t="s">
        <v>2452</v>
      </c>
      <c r="T365" t="s">
        <v>458</v>
      </c>
      <c r="U365" t="s">
        <v>2771</v>
      </c>
      <c r="V365" t="s">
        <v>237</v>
      </c>
      <c r="W365">
        <v>5</v>
      </c>
      <c r="X365">
        <v>5</v>
      </c>
      <c r="Y365" t="s">
        <v>2648</v>
      </c>
      <c r="Z365" t="s">
        <v>346</v>
      </c>
      <c r="AA365" t="s">
        <v>340</v>
      </c>
      <c r="AB365" t="s">
        <v>347</v>
      </c>
      <c r="AC365" t="s">
        <v>340</v>
      </c>
      <c r="AD365" t="s">
        <v>3242</v>
      </c>
      <c r="AE365" s="1">
        <v>45811.321585648147</v>
      </c>
      <c r="CI365" t="s">
        <v>337</v>
      </c>
      <c r="CJ365" t="s">
        <v>2431</v>
      </c>
      <c r="CK365">
        <v>45811</v>
      </c>
      <c r="CL365" t="s">
        <v>2430</v>
      </c>
      <c r="CM365" t="s">
        <v>2432</v>
      </c>
      <c r="CN365">
        <v>45811</v>
      </c>
      <c r="CP365" t="s">
        <v>338</v>
      </c>
      <c r="CQ365" t="s">
        <v>2433</v>
      </c>
    </row>
    <row r="366" spans="1:95" x14ac:dyDescent="0.2">
      <c r="A366" t="s">
        <v>333</v>
      </c>
      <c r="B366">
        <v>185</v>
      </c>
      <c r="C366" s="1" t="s">
        <v>3243</v>
      </c>
      <c r="D366" t="s">
        <v>3244</v>
      </c>
      <c r="E366" t="s">
        <v>335</v>
      </c>
      <c r="F366" t="s">
        <v>2870</v>
      </c>
      <c r="G366" t="s">
        <v>340</v>
      </c>
      <c r="H366" t="s">
        <v>2646</v>
      </c>
      <c r="I366" t="s">
        <v>340</v>
      </c>
      <c r="J366" t="s">
        <v>344</v>
      </c>
      <c r="K366" t="s">
        <v>340</v>
      </c>
      <c r="L366">
        <v>45811</v>
      </c>
      <c r="M366" t="s">
        <v>455</v>
      </c>
      <c r="N366">
        <v>1</v>
      </c>
      <c r="O366">
        <v>1</v>
      </c>
      <c r="P366" t="s">
        <v>2452</v>
      </c>
      <c r="T366" t="s">
        <v>458</v>
      </c>
      <c r="U366" t="s">
        <v>2771</v>
      </c>
      <c r="V366" t="s">
        <v>237</v>
      </c>
      <c r="W366">
        <v>5</v>
      </c>
      <c r="X366">
        <v>5</v>
      </c>
      <c r="Y366" t="s">
        <v>2648</v>
      </c>
      <c r="Z366" t="s">
        <v>346</v>
      </c>
      <c r="AA366" t="s">
        <v>340</v>
      </c>
      <c r="AB366" t="s">
        <v>347</v>
      </c>
      <c r="AC366" t="s">
        <v>340</v>
      </c>
      <c r="AD366" t="s">
        <v>3245</v>
      </c>
      <c r="AE366" s="1">
        <v>45811.321585648147</v>
      </c>
      <c r="CI366" t="s">
        <v>337</v>
      </c>
      <c r="CJ366" t="s">
        <v>2431</v>
      </c>
      <c r="CK366">
        <v>45811</v>
      </c>
      <c r="CL366" t="s">
        <v>2430</v>
      </c>
      <c r="CM366" t="s">
        <v>2432</v>
      </c>
      <c r="CN366">
        <v>45811</v>
      </c>
      <c r="CP366" t="s">
        <v>338</v>
      </c>
      <c r="CQ366" t="s">
        <v>2433</v>
      </c>
    </row>
    <row r="367" spans="1:95" x14ac:dyDescent="0.2">
      <c r="A367" t="s">
        <v>333</v>
      </c>
      <c r="B367">
        <v>186</v>
      </c>
      <c r="C367" s="1" t="s">
        <v>3246</v>
      </c>
      <c r="D367" t="s">
        <v>3247</v>
      </c>
      <c r="E367" t="s">
        <v>335</v>
      </c>
      <c r="F367" t="s">
        <v>2874</v>
      </c>
      <c r="G367" t="s">
        <v>340</v>
      </c>
      <c r="H367" t="s">
        <v>2646</v>
      </c>
      <c r="I367" t="s">
        <v>340</v>
      </c>
      <c r="J367" t="s">
        <v>344</v>
      </c>
      <c r="K367" t="s">
        <v>340</v>
      </c>
      <c r="L367">
        <v>45811</v>
      </c>
      <c r="M367" t="s">
        <v>455</v>
      </c>
      <c r="N367">
        <v>1</v>
      </c>
      <c r="O367">
        <v>1</v>
      </c>
      <c r="P367" t="s">
        <v>2452</v>
      </c>
      <c r="T367" t="s">
        <v>458</v>
      </c>
      <c r="U367" t="s">
        <v>2771</v>
      </c>
      <c r="V367" t="s">
        <v>237</v>
      </c>
      <c r="W367">
        <v>5</v>
      </c>
      <c r="X367">
        <v>5</v>
      </c>
      <c r="Y367" t="s">
        <v>2648</v>
      </c>
      <c r="Z367" t="s">
        <v>346</v>
      </c>
      <c r="AA367" t="s">
        <v>340</v>
      </c>
      <c r="AB367" t="s">
        <v>347</v>
      </c>
      <c r="AC367" t="s">
        <v>340</v>
      </c>
      <c r="AD367" t="s">
        <v>3248</v>
      </c>
      <c r="AE367" s="1">
        <v>45811.321585648147</v>
      </c>
      <c r="CI367" t="s">
        <v>337</v>
      </c>
      <c r="CJ367" t="s">
        <v>2431</v>
      </c>
      <c r="CK367">
        <v>45811</v>
      </c>
      <c r="CL367" t="s">
        <v>2430</v>
      </c>
      <c r="CM367" t="s">
        <v>2432</v>
      </c>
      <c r="CN367">
        <v>45811</v>
      </c>
      <c r="CP367" t="s">
        <v>338</v>
      </c>
      <c r="CQ367" t="s">
        <v>2433</v>
      </c>
    </row>
    <row r="368" spans="1:95" x14ac:dyDescent="0.2">
      <c r="A368" t="s">
        <v>333</v>
      </c>
      <c r="B368">
        <v>187</v>
      </c>
      <c r="C368" s="1" t="s">
        <v>3249</v>
      </c>
      <c r="D368" t="s">
        <v>3250</v>
      </c>
      <c r="E368" t="s">
        <v>335</v>
      </c>
      <c r="F368" t="s">
        <v>2878</v>
      </c>
      <c r="G368" t="s">
        <v>340</v>
      </c>
      <c r="H368" t="s">
        <v>2646</v>
      </c>
      <c r="I368" t="s">
        <v>340</v>
      </c>
      <c r="J368" t="s">
        <v>344</v>
      </c>
      <c r="K368" t="s">
        <v>340</v>
      </c>
      <c r="L368">
        <v>45811</v>
      </c>
      <c r="M368" t="s">
        <v>455</v>
      </c>
      <c r="N368">
        <v>1</v>
      </c>
      <c r="O368">
        <v>1</v>
      </c>
      <c r="P368" t="s">
        <v>2452</v>
      </c>
      <c r="T368" t="s">
        <v>458</v>
      </c>
      <c r="U368" t="s">
        <v>2771</v>
      </c>
      <c r="V368" t="s">
        <v>237</v>
      </c>
      <c r="W368">
        <v>5</v>
      </c>
      <c r="X368">
        <v>5</v>
      </c>
      <c r="Y368" t="s">
        <v>2648</v>
      </c>
      <c r="Z368" t="s">
        <v>346</v>
      </c>
      <c r="AA368" t="s">
        <v>340</v>
      </c>
      <c r="AB368" t="s">
        <v>347</v>
      </c>
      <c r="AC368" t="s">
        <v>340</v>
      </c>
      <c r="AD368" t="s">
        <v>3251</v>
      </c>
      <c r="AE368" s="1">
        <v>45811.321597222224</v>
      </c>
      <c r="CI368" t="s">
        <v>337</v>
      </c>
      <c r="CJ368" t="s">
        <v>2431</v>
      </c>
      <c r="CK368">
        <v>45811</v>
      </c>
      <c r="CL368" t="s">
        <v>2430</v>
      </c>
      <c r="CM368" t="s">
        <v>2432</v>
      </c>
      <c r="CN368">
        <v>45811</v>
      </c>
      <c r="CP368" t="s">
        <v>338</v>
      </c>
      <c r="CQ368" t="s">
        <v>2433</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32"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32" customWidth="1"/>
    <col min="27" max="27" width="17.28515625" style="32"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32"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32">
        <f>A!P1</f>
        <v>0</v>
      </c>
      <c r="Q1">
        <f>A!Q1</f>
        <v>0</v>
      </c>
      <c r="R1">
        <f>A!R1</f>
        <v>0</v>
      </c>
      <c r="S1">
        <f>A!S1</f>
        <v>0</v>
      </c>
      <c r="T1">
        <f>A!T1</f>
        <v>0</v>
      </c>
      <c r="U1">
        <f>A!U1</f>
        <v>0</v>
      </c>
      <c r="V1" s="32">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32"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32"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32"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32" t="s">
        <v>714</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32"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32" t="str">
        <f>IF(A!P3="","",INDEX(B!$A$1:$BT$2000,MATCH(A!P3,B!$AX$1:$AX$2000,0),D!$B$5))</f>
        <v/>
      </c>
      <c r="Q3">
        <f>A!Q3</f>
        <v>0</v>
      </c>
      <c r="R3">
        <f>A!R3</f>
        <v>0</v>
      </c>
      <c r="S3">
        <f>A!S3</f>
        <v>0</v>
      </c>
      <c r="T3">
        <f>A!T3</f>
        <v>0</v>
      </c>
      <c r="U3">
        <f>A!U3</f>
        <v>0</v>
      </c>
      <c r="V3" s="32">
        <f>IF(A!V3="&lt;",1,A!V3)</f>
        <v>0</v>
      </c>
      <c r="W3">
        <f>A!W3</f>
        <v>0</v>
      </c>
      <c r="X3">
        <f>A!X3</f>
        <v>0</v>
      </c>
      <c r="Y3">
        <f>A!Y3</f>
        <v>0</v>
      </c>
      <c r="Z3" s="32">
        <f>_xlfn.NUMBERVALUE(MID(Y3,27,3))</f>
        <v>0</v>
      </c>
      <c r="AA3">
        <f>A!Z3</f>
        <v>0</v>
      </c>
      <c r="AB3">
        <f>A!AA3</f>
        <v>0</v>
      </c>
      <c r="AC3">
        <f>A!AB3</f>
        <v>0</v>
      </c>
      <c r="AD3">
        <f>A!AC3</f>
        <v>0</v>
      </c>
      <c r="AE3">
        <f>A!AD3</f>
        <v>0</v>
      </c>
      <c r="AF3">
        <f>A!AE3</f>
        <v>0</v>
      </c>
      <c r="AG3" t="str">
        <f>A!AF3</f>
        <v>_0d250787-4030-4a7c-b726-9b31817eb466</v>
      </c>
      <c r="AH3" t="str">
        <f>A!AG3</f>
        <v>NL.IE.rtd.INFO@sgs.com</v>
      </c>
      <c r="AI3" t="str">
        <f>A!AH3</f>
        <v>+31 (0) 10 416 30 34</v>
      </c>
      <c r="AJ3" t="str">
        <f>A!AI3</f>
        <v>0d250787-4030-4a7c-b726-9b31817eb466</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32"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45811</v>
      </c>
      <c r="CM3" t="str">
        <f>A!CL3</f>
        <v>SGS, Rotterdam</v>
      </c>
      <c r="CN3" t="str">
        <f>A!CM3</f>
        <v>LABRESULTAAT SGS</v>
      </c>
      <c r="CO3">
        <f>A!CN3</f>
        <v>45811</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32" t="str">
        <f>IF(A!P4="","",INDEX(B!$A$1:$BT$2000,MATCH(A!P4,B!$AX$1:$AX$2000,0),D!$B$5))</f>
        <v/>
      </c>
      <c r="Q4">
        <f>A!Q4</f>
        <v>0</v>
      </c>
      <c r="R4">
        <f>A!R4</f>
        <v>0</v>
      </c>
      <c r="S4">
        <f>A!S4</f>
        <v>0</v>
      </c>
      <c r="T4">
        <f>A!T4</f>
        <v>0</v>
      </c>
      <c r="U4">
        <f>A!U4</f>
        <v>0</v>
      </c>
      <c r="V4" s="32">
        <f>IF(A!V4="&lt;",1,A!V4)</f>
        <v>0</v>
      </c>
      <c r="W4">
        <f>A!W4</f>
        <v>0</v>
      </c>
      <c r="X4">
        <f>A!X4</f>
        <v>0</v>
      </c>
      <c r="Y4">
        <f>A!Y4</f>
        <v>0</v>
      </c>
      <c r="Z4" s="32">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32"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_a13c9c27-ac45-4ff5-8e2b-08bc80806939</v>
      </c>
      <c r="BT4" t="str">
        <f>A!BS4</f>
        <v>a13c9c27-ac45-4ff5-8e2b-08bc80806939</v>
      </c>
      <c r="BU4" t="str">
        <f>A!BT4</f>
        <v>SIKB</v>
      </c>
      <c r="BV4" t="str">
        <f>A!BU4</f>
        <v>GOH 09-27, HWA onder baan</v>
      </c>
      <c r="BW4" t="str">
        <f>A!BV4</f>
        <v>T.25.13603</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45811</v>
      </c>
      <c r="CM4" t="str">
        <f>A!CL4</f>
        <v>SGS, Rotterdam</v>
      </c>
      <c r="CN4" t="str">
        <f>A!CM4</f>
        <v>LABRESULTAAT SGS</v>
      </c>
      <c r="CO4">
        <f>A!CN4</f>
        <v>45811</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32" t="str">
        <f>IF(A!P5="","",INDEX(B!$A$1:$BT$2000,MATCH(A!P5,B!$AX$1:$AX$2000,0),D!$B$5))</f>
        <v/>
      </c>
      <c r="Q5">
        <f>A!Q5</f>
        <v>0</v>
      </c>
      <c r="R5">
        <f>A!R5</f>
        <v>0</v>
      </c>
      <c r="S5">
        <f>A!S5</f>
        <v>0</v>
      </c>
      <c r="T5">
        <f>A!T5</f>
        <v>0</v>
      </c>
      <c r="U5">
        <f>A!U5</f>
        <v>0</v>
      </c>
      <c r="V5" s="32">
        <f>IF(A!V5="&lt;",1,A!V5)</f>
        <v>0</v>
      </c>
      <c r="W5">
        <f>A!W5</f>
        <v>0</v>
      </c>
      <c r="X5">
        <f>A!X5</f>
        <v>0</v>
      </c>
      <c r="Y5">
        <f>A!Y5</f>
        <v>0</v>
      </c>
      <c r="Z5" s="32">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_d05a23ee-1009-493d-911d-d09a2d17781c</v>
      </c>
      <c r="AP5" t="str">
        <f>A!AO5</f>
        <v>d05a23ee-1009-493d-911d-d09a2d17781c</v>
      </c>
      <c r="AQ5" t="str">
        <f>A!AP5</f>
        <v>SIKB</v>
      </c>
      <c r="AR5" t="str">
        <f>A!AQ5</f>
        <v>Niels Langeveld</v>
      </c>
      <c r="AS5">
        <f>A!AR5</f>
        <v>0</v>
      </c>
      <c r="AT5">
        <f>A!AS5</f>
        <v>0</v>
      </c>
      <c r="AU5">
        <f>A!AT5</f>
        <v>0</v>
      </c>
      <c r="AV5">
        <f>A!AU5</f>
        <v>0</v>
      </c>
      <c r="AW5" s="32"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45811</v>
      </c>
      <c r="CM5" t="str">
        <f>A!CL5</f>
        <v>SGS, Rotterdam</v>
      </c>
      <c r="CN5" t="str">
        <f>A!CM5</f>
        <v>LABRESULTAAT SGS</v>
      </c>
      <c r="CO5">
        <f>A!CN5</f>
        <v>45811</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32" t="str">
        <f>IF(A!P6="","",INDEX(B!$A$1:$BT$2000,MATCH(A!P6,B!$AX$1:$AX$2000,0),D!$B$5))</f>
        <v/>
      </c>
      <c r="Q6">
        <f>A!Q6</f>
        <v>0</v>
      </c>
      <c r="R6">
        <f>A!R6</f>
        <v>0</v>
      </c>
      <c r="S6">
        <f>A!S6</f>
        <v>0</v>
      </c>
      <c r="T6">
        <f>A!T6</f>
        <v>0</v>
      </c>
      <c r="U6">
        <f>A!U6</f>
        <v>0</v>
      </c>
      <c r="V6" s="32">
        <f>IF(A!V6="&lt;",1,A!V6)</f>
        <v>0</v>
      </c>
      <c r="W6">
        <f>A!W6</f>
        <v>0</v>
      </c>
      <c r="X6">
        <f>A!X6</f>
        <v>0</v>
      </c>
      <c r="Y6">
        <f>A!Y6</f>
        <v>0</v>
      </c>
      <c r="Z6" s="32">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_cb134b3d-e6a0-4e98-8a0f-f566415a229b</v>
      </c>
      <c r="AT6">
        <f>A!AS6</f>
        <v>5</v>
      </c>
      <c r="AU6">
        <f>A!AT6</f>
        <v>5</v>
      </c>
      <c r="AV6" t="str">
        <f>A!AU6</f>
        <v>AG3</v>
      </c>
      <c r="AW6" s="32" t="str">
        <f>IF(A!AV6=0,"",A!AV6)</f>
        <v>MM05 04 (150-200) 05 (150-200)</v>
      </c>
      <c r="AX6" t="str">
        <f>A!AW6</f>
        <v>#_f2f55274-7708-48c8-9f23-34f94e9519db</v>
      </c>
      <c r="AY6" t="str">
        <f>A!AX6</f>
        <v>urn:immeringen:CertificeringsCode:id:5</v>
      </c>
      <c r="AZ6">
        <f>A!AY6</f>
        <v>45811</v>
      </c>
      <c r="BA6">
        <f>A!AZ6</f>
        <v>0</v>
      </c>
      <c r="BB6" t="str">
        <f>A!BA6</f>
        <v>urn:immetingen:LabopdrachtStatus:id:4</v>
      </c>
      <c r="BC6" t="str">
        <f>A!BB6</f>
        <v>#_a13c9c27-ac45-4ff5-8e2b-08bc80806939</v>
      </c>
      <c r="BD6">
        <f>A!BC6</f>
        <v>0</v>
      </c>
      <c r="BE6">
        <f>A!BD6</f>
        <v>14308287</v>
      </c>
      <c r="BF6">
        <f>A!BE6</f>
        <v>14308287</v>
      </c>
      <c r="BG6">
        <f>A!BF6</f>
        <v>103126</v>
      </c>
      <c r="BH6">
        <f>A!BG6</f>
        <v>103126</v>
      </c>
      <c r="BI6">
        <f>A!BH6</f>
        <v>45811.651331018518</v>
      </c>
      <c r="BJ6" t="str">
        <f>A!BI6</f>
        <v>cb134b3d-e6a0-4e98-8a0f-f566415a229b</v>
      </c>
      <c r="BK6" t="str">
        <f>A!BJ6</f>
        <v>www.sikb.nl</v>
      </c>
      <c r="BL6" t="str">
        <f>A!BK6</f>
        <v>urn:immetingen:Meetinstantie:id:7</v>
      </c>
      <c r="BM6" t="str">
        <f>A!BL6</f>
        <v>#_d05a23ee-1009-493d-911d-d09a2d17781c</v>
      </c>
      <c r="BN6" t="str">
        <f>A!BM6</f>
        <v>TERRASCAN LIJNDEN (103126)</v>
      </c>
      <c r="BO6">
        <f>A!BN6</f>
        <v>45810</v>
      </c>
      <c r="BP6">
        <f>A!BO6</f>
        <v>45811</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45811</v>
      </c>
      <c r="CM6" t="str">
        <f>A!CL6</f>
        <v>SGS, Rotterdam</v>
      </c>
      <c r="CN6" t="str">
        <f>A!CM6</f>
        <v>LABRESULTAAT SGS</v>
      </c>
      <c r="CO6">
        <f>A!CN6</f>
        <v>45811</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32" t="str">
        <f>IF(A!P7="","",INDEX(B!$A$1:$BT$2000,MATCH(A!P7,B!$AX$1:$AX$2000,0),D!$B$5))</f>
        <v/>
      </c>
      <c r="Q7">
        <f>A!Q7</f>
        <v>0</v>
      </c>
      <c r="R7">
        <f>A!R7</f>
        <v>0</v>
      </c>
      <c r="S7">
        <f>A!S7</f>
        <v>0</v>
      </c>
      <c r="T7">
        <f>A!T7</f>
        <v>0</v>
      </c>
      <c r="U7">
        <f>A!U7</f>
        <v>0</v>
      </c>
      <c r="V7" s="32">
        <f>IF(A!V7="&lt;",1,A!V7)</f>
        <v>0</v>
      </c>
      <c r="W7">
        <f>A!W7</f>
        <v>0</v>
      </c>
      <c r="X7">
        <f>A!X7</f>
        <v>0</v>
      </c>
      <c r="Y7">
        <f>A!Y7</f>
        <v>0</v>
      </c>
      <c r="Z7" s="32">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_cb134b3d-e6a0-4e98-8a0f-f566415a229b</v>
      </c>
      <c r="AT7">
        <f>A!AS7</f>
        <v>4</v>
      </c>
      <c r="AU7">
        <f>A!AT7</f>
        <v>4</v>
      </c>
      <c r="AV7" t="str">
        <f>A!AU7</f>
        <v>AG3</v>
      </c>
      <c r="AW7" s="32" t="str">
        <f>IF(A!AV7=0,"",A!AV7)</f>
        <v>MM04 04 (100-150) 05 (100-150)</v>
      </c>
      <c r="AX7" t="str">
        <f>A!AW7</f>
        <v>#_4e495d1b-09c8-432b-8c45-258ce8733b11</v>
      </c>
      <c r="AY7" t="str">
        <f>A!AX7</f>
        <v>urn:immeringen:CertificeringsCode:id:5</v>
      </c>
      <c r="AZ7">
        <f>A!AY7</f>
        <v>45811</v>
      </c>
      <c r="BA7">
        <f>A!AZ7</f>
        <v>0</v>
      </c>
      <c r="BB7" t="str">
        <f>A!BA7</f>
        <v>urn:immetingen:LabopdrachtStatus:id:4</v>
      </c>
      <c r="BC7" t="str">
        <f>A!BB7</f>
        <v>#_a13c9c27-ac45-4ff5-8e2b-08bc80806939</v>
      </c>
      <c r="BD7">
        <f>A!BC7</f>
        <v>0</v>
      </c>
      <c r="BE7">
        <f>A!BD7</f>
        <v>14308287</v>
      </c>
      <c r="BF7">
        <f>A!BE7</f>
        <v>0</v>
      </c>
      <c r="BG7">
        <f>A!BF7</f>
        <v>103126</v>
      </c>
      <c r="BH7">
        <f>A!BG7</f>
        <v>0</v>
      </c>
      <c r="BI7">
        <f>A!BH7</f>
        <v>45811.651331018518</v>
      </c>
      <c r="BJ7" t="str">
        <f>A!BI7</f>
        <v>cb134b3d-e6a0-4e98-8a0f-f566415a229b</v>
      </c>
      <c r="BK7" t="str">
        <f>A!BJ7</f>
        <v>www.sikb.nl</v>
      </c>
      <c r="BL7" t="str">
        <f>A!BK7</f>
        <v>urn:immetingen:Meetinstantie:id:7</v>
      </c>
      <c r="BM7" t="str">
        <f>A!BL7</f>
        <v>#_d05a23ee-1009-493d-911d-d09a2d17781c</v>
      </c>
      <c r="BN7" t="str">
        <f>A!BM7</f>
        <v>TERRASCAN LIJNDEN (103126)</v>
      </c>
      <c r="BO7">
        <f>A!BN7</f>
        <v>45810</v>
      </c>
      <c r="BP7">
        <f>A!BO7</f>
        <v>45811</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45811</v>
      </c>
      <c r="CM7" t="str">
        <f>A!CL7</f>
        <v>SGS, Rotterdam</v>
      </c>
      <c r="CN7" t="str">
        <f>A!CM7</f>
        <v>LABRESULTAAT SGS</v>
      </c>
      <c r="CO7">
        <f>A!CN7</f>
        <v>45811</v>
      </c>
      <c r="CP7">
        <f>A!CO7</f>
        <v>0</v>
      </c>
      <c r="CQ7">
        <f>A!CO7</f>
        <v>0</v>
      </c>
      <c r="CR7" t="str">
        <f>A!CP7</f>
        <v>urn:imsikb0101:Leveranciers:id:21</v>
      </c>
      <c r="CS7" t="str">
        <f>A!CQ7</f>
        <v>14.7.0</v>
      </c>
    </row>
    <row r="8" spans="1:97"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32" t="str">
        <f>IF(A!P8="","",INDEX(B!$A$1:$BT$2000,MATCH(A!P8,B!$AX$1:$AX$2000,0),D!$B$5))</f>
        <v/>
      </c>
      <c r="Q8">
        <f>A!Q8</f>
        <v>0</v>
      </c>
      <c r="R8">
        <f>A!R8</f>
        <v>0</v>
      </c>
      <c r="S8">
        <f>A!S8</f>
        <v>0</v>
      </c>
      <c r="T8">
        <f>A!T8</f>
        <v>0</v>
      </c>
      <c r="U8">
        <f>A!U8</f>
        <v>0</v>
      </c>
      <c r="V8" s="32">
        <f>IF(A!V8="&lt;",1,A!V8)</f>
        <v>0</v>
      </c>
      <c r="W8">
        <f>A!W8</f>
        <v>0</v>
      </c>
      <c r="X8">
        <f>A!X8</f>
        <v>0</v>
      </c>
      <c r="Y8">
        <f>A!Y8</f>
        <v>0</v>
      </c>
      <c r="Z8" s="32">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_cb134b3d-e6a0-4e98-8a0f-f566415a229b</v>
      </c>
      <c r="AT8">
        <f>A!AS8</f>
        <v>6</v>
      </c>
      <c r="AU8">
        <f>A!AT8</f>
        <v>6</v>
      </c>
      <c r="AV8" t="str">
        <f>A!AU8</f>
        <v>AG3</v>
      </c>
      <c r="AW8" s="32" t="str">
        <f>IF(A!AV8=0,"",A!AV8)</f>
        <v>MM06 04 (200-250) 04 (250-300) 05 (200-250) 05 (250-300)</v>
      </c>
      <c r="AX8" t="str">
        <f>A!AW8</f>
        <v>#_64cefbfc-c86e-49fa-99bc-0eb47d1104c4</v>
      </c>
      <c r="AY8" t="str">
        <f>A!AX8</f>
        <v>urn:immeringen:CertificeringsCode:id:5</v>
      </c>
      <c r="AZ8">
        <f>A!AY8</f>
        <v>45811</v>
      </c>
      <c r="BA8">
        <f>A!AZ8</f>
        <v>0</v>
      </c>
      <c r="BB8" t="str">
        <f>A!BA8</f>
        <v>urn:immetingen:LabopdrachtStatus:id:4</v>
      </c>
      <c r="BC8" t="str">
        <f>A!BB8</f>
        <v>#_a13c9c27-ac45-4ff5-8e2b-08bc80806939</v>
      </c>
      <c r="BD8">
        <f>A!BC8</f>
        <v>0</v>
      </c>
      <c r="BE8">
        <f>A!BD8</f>
        <v>14308287</v>
      </c>
      <c r="BF8">
        <f>A!BE8</f>
        <v>0</v>
      </c>
      <c r="BG8">
        <f>A!BF8</f>
        <v>103126</v>
      </c>
      <c r="BH8">
        <f>A!BG8</f>
        <v>0</v>
      </c>
      <c r="BI8">
        <f>A!BH8</f>
        <v>45811.651331018518</v>
      </c>
      <c r="BJ8" t="str">
        <f>A!BI8</f>
        <v>cb134b3d-e6a0-4e98-8a0f-f566415a229b</v>
      </c>
      <c r="BK8" t="str">
        <f>A!BJ8</f>
        <v>www.sikb.nl</v>
      </c>
      <c r="BL8" t="str">
        <f>A!BK8</f>
        <v>urn:immetingen:Meetinstantie:id:7</v>
      </c>
      <c r="BM8" t="str">
        <f>A!BL8</f>
        <v>#_d05a23ee-1009-493d-911d-d09a2d17781c</v>
      </c>
      <c r="BN8" t="str">
        <f>A!BM8</f>
        <v>TERRASCAN LIJNDEN (103126)</v>
      </c>
      <c r="BO8">
        <f>A!BN8</f>
        <v>45810</v>
      </c>
      <c r="BP8">
        <f>A!BO8</f>
        <v>45811</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45811</v>
      </c>
      <c r="CM8" t="str">
        <f>A!CL8</f>
        <v>SGS, Rotterdam</v>
      </c>
      <c r="CN8" t="str">
        <f>A!CM8</f>
        <v>LABRESULTAAT SGS</v>
      </c>
      <c r="CO8">
        <f>A!CN8</f>
        <v>45811</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32" t="str">
        <f>IF(A!P9="","",INDEX(B!$A$1:$BT$2000,MATCH(A!P9,B!$AX$1:$AX$2000,0),D!$B$5))</f>
        <v/>
      </c>
      <c r="Q9">
        <f>A!Q9</f>
        <v>0</v>
      </c>
      <c r="R9">
        <f>A!R9</f>
        <v>0</v>
      </c>
      <c r="S9">
        <f>A!S9</f>
        <v>0</v>
      </c>
      <c r="T9">
        <f>A!T9</f>
        <v>0</v>
      </c>
      <c r="U9">
        <f>A!U9</f>
        <v>0</v>
      </c>
      <c r="V9" s="32">
        <f>IF(A!V9="&lt;",1,A!V9)</f>
        <v>0</v>
      </c>
      <c r="W9">
        <f>A!W9</f>
        <v>0</v>
      </c>
      <c r="X9">
        <f>A!X9</f>
        <v>0</v>
      </c>
      <c r="Y9">
        <f>A!Y9</f>
        <v>0</v>
      </c>
      <c r="Z9" s="32">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32"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_4e495d1b-09c8-432b-8c45-258ce8733b11</v>
      </c>
      <c r="BY9" t="str">
        <f>A!BX9</f>
        <v>4e495d1b-09c8-432b-8c45-258ce8733b11</v>
      </c>
      <c r="BZ9" t="str">
        <f>A!BY9</f>
        <v>SIKB</v>
      </c>
      <c r="CA9" t="str">
        <f>A!BZ9</f>
        <v>MM04 04 (100-150) 05 (100-150)</v>
      </c>
      <c r="CB9">
        <f>A!CA9</f>
        <v>45810</v>
      </c>
      <c r="CC9" t="str">
        <f>A!CB9</f>
        <v>#_a13c9c27-ac45-4ff5-8e2b-08bc80806939</v>
      </c>
      <c r="CD9" t="str">
        <f>A!CC9</f>
        <v>#_55f00512-94e3-4b53-8078-4b4792ba6247</v>
      </c>
      <c r="CE9">
        <f>A!CD9</f>
        <v>0</v>
      </c>
      <c r="CF9" t="str">
        <f>A!CE9</f>
        <v>urn:immetingen:compartiment:id:1</v>
      </c>
      <c r="CG9" t="str">
        <f>A!CF9</f>
        <v>_TI-65023565</v>
      </c>
      <c r="CH9">
        <f>A!CG9</f>
        <v>45810</v>
      </c>
      <c r="CI9" t="str">
        <f>A!CH9</f>
        <v>urn:immetingen:monstertype:id:10</v>
      </c>
      <c r="CJ9" t="str">
        <f>A!CI9</f>
        <v>urn:imsikb0101:Applicaties:id:16</v>
      </c>
      <c r="CK9" t="str">
        <f>A!CJ9</f>
        <v>urn:imsikb0101:DatastroomType:id:1</v>
      </c>
      <c r="CL9">
        <f>A!CK9</f>
        <v>45811</v>
      </c>
      <c r="CM9" t="str">
        <f>A!CL9</f>
        <v>SGS, Rotterdam</v>
      </c>
      <c r="CN9" t="str">
        <f>A!CM9</f>
        <v>LABRESULTAAT SGS</v>
      </c>
      <c r="CO9">
        <f>A!CN9</f>
        <v>45811</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32" t="str">
        <f>IF(A!P10="","",INDEX(B!$A$1:$BT$2000,MATCH(A!P10,B!$AX$1:$AX$2000,0),D!$B$5))</f>
        <v/>
      </c>
      <c r="Q10">
        <f>A!Q10</f>
        <v>0</v>
      </c>
      <c r="R10">
        <f>A!R10</f>
        <v>0</v>
      </c>
      <c r="S10">
        <f>A!S10</f>
        <v>0</v>
      </c>
      <c r="T10">
        <f>A!T10</f>
        <v>0</v>
      </c>
      <c r="U10">
        <f>A!U10</f>
        <v>0</v>
      </c>
      <c r="V10" s="32">
        <f>IF(A!V10="&lt;",1,A!V10)</f>
        <v>0</v>
      </c>
      <c r="W10">
        <f>A!W10</f>
        <v>0</v>
      </c>
      <c r="X10">
        <f>A!X10</f>
        <v>0</v>
      </c>
      <c r="Y10">
        <f>A!Y10</f>
        <v>0</v>
      </c>
      <c r="Z10" s="32">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32"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_4e495d1b-09c8-432b-8c45-258ce8733b11</v>
      </c>
      <c r="BY10" t="str">
        <f>A!BX10</f>
        <v>4e495d1b-09c8-432b-8c45-258ce8733b11</v>
      </c>
      <c r="BZ10" t="str">
        <f>A!BY10</f>
        <v>SIKB</v>
      </c>
      <c r="CA10" t="str">
        <f>A!BZ10</f>
        <v>MM04 04 (100-150) 05 (100-150)</v>
      </c>
      <c r="CB10">
        <f>A!CA10</f>
        <v>45810</v>
      </c>
      <c r="CC10" t="str">
        <f>A!CB10</f>
        <v>#_a13c9c27-ac45-4ff5-8e2b-08bc80806939</v>
      </c>
      <c r="CD10" t="str">
        <f>A!CC10</f>
        <v>#_e7dc3946-9714-41e3-80f9-51ad0cd40ebc</v>
      </c>
      <c r="CE10">
        <f>A!CD10</f>
        <v>0</v>
      </c>
      <c r="CF10" t="str">
        <f>A!CE10</f>
        <v>urn:immetingen:compartiment:id:1</v>
      </c>
      <c r="CG10" t="str">
        <f>A!CF10</f>
        <v>_TI-65023565</v>
      </c>
      <c r="CH10">
        <f>A!CG10</f>
        <v>45810</v>
      </c>
      <c r="CI10" t="str">
        <f>A!CH10</f>
        <v>urn:immetingen:monstertype:id:10</v>
      </c>
      <c r="CJ10" t="str">
        <f>A!CI10</f>
        <v>urn:imsikb0101:Applicaties:id:16</v>
      </c>
      <c r="CK10" t="str">
        <f>A!CJ10</f>
        <v>urn:imsikb0101:DatastroomType:id:1</v>
      </c>
      <c r="CL10">
        <f>A!CK10</f>
        <v>45811</v>
      </c>
      <c r="CM10" t="str">
        <f>A!CL10</f>
        <v>SGS, Rotterdam</v>
      </c>
      <c r="CN10" t="str">
        <f>A!CM10</f>
        <v>LABRESULTAAT SGS</v>
      </c>
      <c r="CO10">
        <f>A!CN10</f>
        <v>45811</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32" t="str">
        <f>IF(A!P11="","",INDEX(B!$A$1:$BT$2000,MATCH(A!P11,B!$AX$1:$AX$2000,0),D!$B$5))</f>
        <v/>
      </c>
      <c r="Q11">
        <f>A!Q11</f>
        <v>0</v>
      </c>
      <c r="R11">
        <f>A!R11</f>
        <v>0</v>
      </c>
      <c r="S11">
        <f>A!S11</f>
        <v>0</v>
      </c>
      <c r="T11">
        <f>A!T11</f>
        <v>0</v>
      </c>
      <c r="U11">
        <f>A!U11</f>
        <v>0</v>
      </c>
      <c r="V11" s="32">
        <f>IF(A!V11="&lt;",1,A!V11)</f>
        <v>0</v>
      </c>
      <c r="W11">
        <f>A!W11</f>
        <v>0</v>
      </c>
      <c r="X11">
        <f>A!X11</f>
        <v>0</v>
      </c>
      <c r="Y11">
        <f>A!Y11</f>
        <v>0</v>
      </c>
      <c r="Z11" s="32">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32"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_4e495d1b-09c8-432b-8c45-258ce8733b11</v>
      </c>
      <c r="BY11" t="str">
        <f>A!BX11</f>
        <v>4e495d1b-09c8-432b-8c45-258ce8733b11</v>
      </c>
      <c r="BZ11" t="str">
        <f>A!BY11</f>
        <v>SIKB</v>
      </c>
      <c r="CA11" t="str">
        <f>A!BZ11</f>
        <v>MM04 04 (100-150) 05 (100-150)</v>
      </c>
      <c r="CB11">
        <f>A!CA11</f>
        <v>45810</v>
      </c>
      <c r="CC11" t="str">
        <f>A!CB11</f>
        <v>#_a13c9c27-ac45-4ff5-8e2b-08bc80806939</v>
      </c>
      <c r="CD11" t="str">
        <f>A!CC11</f>
        <v>#_d16e0444-c88b-47c7-90af-a115205c2e0c</v>
      </c>
      <c r="CE11">
        <f>A!CD11</f>
        <v>0</v>
      </c>
      <c r="CF11" t="str">
        <f>A!CE11</f>
        <v>urn:immetingen:compartiment:id:1</v>
      </c>
      <c r="CG11" t="str">
        <f>A!CF11</f>
        <v>_TI-65023565</v>
      </c>
      <c r="CH11">
        <f>A!CG11</f>
        <v>45810</v>
      </c>
      <c r="CI11" t="str">
        <f>A!CH11</f>
        <v>urn:immetingen:monstertype:id:10</v>
      </c>
      <c r="CJ11" t="str">
        <f>A!CI11</f>
        <v>urn:imsikb0101:Applicaties:id:16</v>
      </c>
      <c r="CK11" t="str">
        <f>A!CJ11</f>
        <v>urn:imsikb0101:DatastroomType:id:1</v>
      </c>
      <c r="CL11">
        <f>A!CK11</f>
        <v>45811</v>
      </c>
      <c r="CM11" t="str">
        <f>A!CL11</f>
        <v>SGS, Rotterdam</v>
      </c>
      <c r="CN11" t="str">
        <f>A!CM11</f>
        <v>LABRESULTAAT SGS</v>
      </c>
      <c r="CO11">
        <f>A!CN11</f>
        <v>45811</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32" t="str">
        <f>IF(A!P12="","",INDEX(B!$A$1:$BT$2000,MATCH(A!P12,B!$AX$1:$AX$2000,0),D!$B$5))</f>
        <v/>
      </c>
      <c r="Q12">
        <f>A!Q12</f>
        <v>0</v>
      </c>
      <c r="R12">
        <f>A!R12</f>
        <v>0</v>
      </c>
      <c r="S12">
        <f>A!S12</f>
        <v>0</v>
      </c>
      <c r="T12">
        <f>A!T12</f>
        <v>0</v>
      </c>
      <c r="U12">
        <f>A!U12</f>
        <v>0</v>
      </c>
      <c r="V12" s="32">
        <f>IF(A!V12="&lt;",1,A!V12)</f>
        <v>0</v>
      </c>
      <c r="W12">
        <f>A!W12</f>
        <v>0</v>
      </c>
      <c r="X12">
        <f>A!X12</f>
        <v>0</v>
      </c>
      <c r="Y12">
        <f>A!Y12</f>
        <v>0</v>
      </c>
      <c r="Z12" s="32">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32"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_4e495d1b-09c8-432b-8c45-258ce8733b11</v>
      </c>
      <c r="BY12" t="str">
        <f>A!BX12</f>
        <v>4e495d1b-09c8-432b-8c45-258ce8733b11</v>
      </c>
      <c r="BZ12" t="str">
        <f>A!BY12</f>
        <v>SIKB</v>
      </c>
      <c r="CA12" t="str">
        <f>A!BZ12</f>
        <v>MM04 04 (100-150) 05 (100-150)</v>
      </c>
      <c r="CB12">
        <f>A!CA12</f>
        <v>45810</v>
      </c>
      <c r="CC12" t="str">
        <f>A!CB12</f>
        <v>#_a13c9c27-ac45-4ff5-8e2b-08bc80806939</v>
      </c>
      <c r="CD12" t="str">
        <f>A!CC12</f>
        <v>#_c72f398f-9225-4fe5-a215-22a613464617</v>
      </c>
      <c r="CE12">
        <f>A!CD12</f>
        <v>0</v>
      </c>
      <c r="CF12" t="str">
        <f>A!CE12</f>
        <v>urn:immetingen:compartiment:id:1</v>
      </c>
      <c r="CG12" t="str">
        <f>A!CF12</f>
        <v>_TI-65023565</v>
      </c>
      <c r="CH12">
        <f>A!CG12</f>
        <v>45810</v>
      </c>
      <c r="CI12" t="str">
        <f>A!CH12</f>
        <v>urn:immetingen:monstertype:id:10</v>
      </c>
      <c r="CJ12" t="str">
        <f>A!CI12</f>
        <v>urn:imsikb0101:Applicaties:id:16</v>
      </c>
      <c r="CK12" t="str">
        <f>A!CJ12</f>
        <v>urn:imsikb0101:DatastroomType:id:1</v>
      </c>
      <c r="CL12">
        <f>A!CK12</f>
        <v>45811</v>
      </c>
      <c r="CM12" t="str">
        <f>A!CL12</f>
        <v>SGS, Rotterdam</v>
      </c>
      <c r="CN12" t="str">
        <f>A!CM12</f>
        <v>LABRESULTAAT SGS</v>
      </c>
      <c r="CO12">
        <f>A!CN12</f>
        <v>45811</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32" t="str">
        <f>IF(A!P13="","",INDEX(B!$A$1:$BT$2000,MATCH(A!P13,B!$AX$1:$AX$2000,0),D!$B$5))</f>
        <v/>
      </c>
      <c r="Q13">
        <f>A!Q13</f>
        <v>0</v>
      </c>
      <c r="R13">
        <f>A!R13</f>
        <v>0</v>
      </c>
      <c r="S13">
        <f>A!S13</f>
        <v>0</v>
      </c>
      <c r="T13">
        <f>A!T13</f>
        <v>0</v>
      </c>
      <c r="U13">
        <f>A!U13</f>
        <v>0</v>
      </c>
      <c r="V13" s="32">
        <f>IF(A!V13="&lt;",1,A!V13)</f>
        <v>0</v>
      </c>
      <c r="W13">
        <f>A!W13</f>
        <v>0</v>
      </c>
      <c r="X13">
        <f>A!X13</f>
        <v>0</v>
      </c>
      <c r="Y13">
        <f>A!Y13</f>
        <v>0</v>
      </c>
      <c r="Z13" s="32">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32"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_4e495d1b-09c8-432b-8c45-258ce8733b11</v>
      </c>
      <c r="BY13" t="str">
        <f>A!BX13</f>
        <v>4e495d1b-09c8-432b-8c45-258ce8733b11</v>
      </c>
      <c r="BZ13" t="str">
        <f>A!BY13</f>
        <v>SIKB</v>
      </c>
      <c r="CA13" t="str">
        <f>A!BZ13</f>
        <v>MM04 04 (100-150) 05 (100-150)</v>
      </c>
      <c r="CB13">
        <f>A!CA13</f>
        <v>45810</v>
      </c>
      <c r="CC13" t="str">
        <f>A!CB13</f>
        <v>#_a13c9c27-ac45-4ff5-8e2b-08bc80806939</v>
      </c>
      <c r="CD13" t="str">
        <f>A!CC13</f>
        <v>#_190197eb-62a7-4c1e-87b3-c64eed20d0f5</v>
      </c>
      <c r="CE13">
        <f>A!CD13</f>
        <v>0</v>
      </c>
      <c r="CF13" t="str">
        <f>A!CE13</f>
        <v>urn:immetingen:compartiment:id:1</v>
      </c>
      <c r="CG13" t="str">
        <f>A!CF13</f>
        <v>_TI-65023565</v>
      </c>
      <c r="CH13">
        <f>A!CG13</f>
        <v>45810</v>
      </c>
      <c r="CI13" t="str">
        <f>A!CH13</f>
        <v>urn:immetingen:monstertype:id:10</v>
      </c>
      <c r="CJ13" t="str">
        <f>A!CI13</f>
        <v>urn:imsikb0101:Applicaties:id:16</v>
      </c>
      <c r="CK13" t="str">
        <f>A!CJ13</f>
        <v>urn:imsikb0101:DatastroomType:id:1</v>
      </c>
      <c r="CL13">
        <f>A!CK13</f>
        <v>45811</v>
      </c>
      <c r="CM13" t="str">
        <f>A!CL13</f>
        <v>SGS, Rotterdam</v>
      </c>
      <c r="CN13" t="str">
        <f>A!CM13</f>
        <v>LABRESULTAAT SGS</v>
      </c>
      <c r="CO13">
        <f>A!CN13</f>
        <v>45811</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32" t="str">
        <f>IF(A!P14="","",INDEX(B!$A$1:$BT$2000,MATCH(A!P14,B!$AX$1:$AX$2000,0),D!$B$5))</f>
        <v/>
      </c>
      <c r="Q14">
        <f>A!Q14</f>
        <v>0</v>
      </c>
      <c r="R14">
        <f>A!R14</f>
        <v>0</v>
      </c>
      <c r="S14">
        <f>A!S14</f>
        <v>0</v>
      </c>
      <c r="T14">
        <f>A!T14</f>
        <v>0</v>
      </c>
      <c r="U14">
        <f>A!U14</f>
        <v>0</v>
      </c>
      <c r="V14" s="32">
        <f>IF(A!V14="&lt;",1,A!V14)</f>
        <v>0</v>
      </c>
      <c r="W14">
        <f>A!W14</f>
        <v>0</v>
      </c>
      <c r="X14">
        <f>A!X14</f>
        <v>0</v>
      </c>
      <c r="Y14">
        <f>A!Y14</f>
        <v>0</v>
      </c>
      <c r="Z14" s="32">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32"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_4e495d1b-09c8-432b-8c45-258ce8733b11</v>
      </c>
      <c r="BY14" t="str">
        <f>A!BX14</f>
        <v>4e495d1b-09c8-432b-8c45-258ce8733b11</v>
      </c>
      <c r="BZ14" t="str">
        <f>A!BY14</f>
        <v>SIKB</v>
      </c>
      <c r="CA14" t="str">
        <f>A!BZ14</f>
        <v>MM04 04 (100-150) 05 (100-150)</v>
      </c>
      <c r="CB14">
        <f>A!CA14</f>
        <v>45810</v>
      </c>
      <c r="CC14" t="str">
        <f>A!CB14</f>
        <v>#_a13c9c27-ac45-4ff5-8e2b-08bc80806939</v>
      </c>
      <c r="CD14" t="str">
        <f>A!CC14</f>
        <v>#_149a9ddd-16d6-438d-965b-3eaf92afdc46</v>
      </c>
      <c r="CE14">
        <f>A!CD14</f>
        <v>0</v>
      </c>
      <c r="CF14" t="str">
        <f>A!CE14</f>
        <v>urn:immetingen:compartiment:id:1</v>
      </c>
      <c r="CG14" t="str">
        <f>A!CF14</f>
        <v>_TI-65023565</v>
      </c>
      <c r="CH14">
        <f>A!CG14</f>
        <v>45810</v>
      </c>
      <c r="CI14" t="str">
        <f>A!CH14</f>
        <v>urn:immetingen:monstertype:id:10</v>
      </c>
      <c r="CJ14" t="str">
        <f>A!CI14</f>
        <v>urn:imsikb0101:Applicaties:id:16</v>
      </c>
      <c r="CK14" t="str">
        <f>A!CJ14</f>
        <v>urn:imsikb0101:DatastroomType:id:1</v>
      </c>
      <c r="CL14">
        <f>A!CK14</f>
        <v>45811</v>
      </c>
      <c r="CM14" t="str">
        <f>A!CL14</f>
        <v>SGS, Rotterdam</v>
      </c>
      <c r="CN14" t="str">
        <f>A!CM14</f>
        <v>LABRESULTAAT SGS</v>
      </c>
      <c r="CO14">
        <f>A!CN14</f>
        <v>45811</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32" t="str">
        <f>IF(A!P15="","",INDEX(B!$A$1:$BT$2000,MATCH(A!P15,B!$AX$1:$AX$2000,0),D!$B$5))</f>
        <v/>
      </c>
      <c r="Q15">
        <f>A!Q15</f>
        <v>0</v>
      </c>
      <c r="R15">
        <f>A!R15</f>
        <v>0</v>
      </c>
      <c r="S15">
        <f>A!S15</f>
        <v>0</v>
      </c>
      <c r="T15">
        <f>A!T15</f>
        <v>0</v>
      </c>
      <c r="U15">
        <f>A!U15</f>
        <v>0</v>
      </c>
      <c r="V15" s="32">
        <f>IF(A!V15="&lt;",1,A!V15)</f>
        <v>0</v>
      </c>
      <c r="W15">
        <f>A!W15</f>
        <v>0</v>
      </c>
      <c r="X15">
        <f>A!X15</f>
        <v>0</v>
      </c>
      <c r="Y15">
        <f>A!Y15</f>
        <v>0</v>
      </c>
      <c r="Z15" s="32">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32"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_4e495d1b-09c8-432b-8c45-258ce8733b11</v>
      </c>
      <c r="BY15" t="str">
        <f>A!BX15</f>
        <v>4e495d1b-09c8-432b-8c45-258ce8733b11</v>
      </c>
      <c r="BZ15" t="str">
        <f>A!BY15</f>
        <v>SIKB</v>
      </c>
      <c r="CA15" t="str">
        <f>A!BZ15</f>
        <v>MM04 04 (100-150) 05 (100-150)</v>
      </c>
      <c r="CB15">
        <f>A!CA15</f>
        <v>45810</v>
      </c>
      <c r="CC15" t="str">
        <f>A!CB15</f>
        <v>#_a13c9c27-ac45-4ff5-8e2b-08bc80806939</v>
      </c>
      <c r="CD15" t="str">
        <f>A!CC15</f>
        <v>#_01afd261-22b4-4b08-9ed9-32d4834fa97e</v>
      </c>
      <c r="CE15">
        <f>A!CD15</f>
        <v>0</v>
      </c>
      <c r="CF15" t="str">
        <f>A!CE15</f>
        <v>urn:immetingen:compartiment:id:1</v>
      </c>
      <c r="CG15" t="str">
        <f>A!CF15</f>
        <v>_TI-65023565</v>
      </c>
      <c r="CH15">
        <f>A!CG15</f>
        <v>45810</v>
      </c>
      <c r="CI15" t="str">
        <f>A!CH15</f>
        <v>urn:immetingen:monstertype:id:10</v>
      </c>
      <c r="CJ15" t="str">
        <f>A!CI15</f>
        <v>urn:imsikb0101:Applicaties:id:16</v>
      </c>
      <c r="CK15" t="str">
        <f>A!CJ15</f>
        <v>urn:imsikb0101:DatastroomType:id:1</v>
      </c>
      <c r="CL15">
        <f>A!CK15</f>
        <v>45811</v>
      </c>
      <c r="CM15" t="str">
        <f>A!CL15</f>
        <v>SGS, Rotterdam</v>
      </c>
      <c r="CN15" t="str">
        <f>A!CM15</f>
        <v>LABRESULTAAT SGS</v>
      </c>
      <c r="CO15">
        <f>A!CN15</f>
        <v>45811</v>
      </c>
      <c r="CP15">
        <f>A!CO15</f>
        <v>0</v>
      </c>
      <c r="CQ15">
        <f>A!CO15</f>
        <v>0</v>
      </c>
      <c r="CR15" t="str">
        <f>A!CP15</f>
        <v>urn:imsikb0101:Leveranciers:id:21</v>
      </c>
      <c r="CS15" t="str">
        <f>A!CQ15</f>
        <v>14.7.0</v>
      </c>
    </row>
    <row r="16" spans="1:97"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32" t="str">
        <f>IF(A!P16="","",INDEX(B!$A$1:$BT$2000,MATCH(A!P16,B!$AX$1:$AX$2000,0),D!$B$5))</f>
        <v/>
      </c>
      <c r="Q16">
        <f>A!Q16</f>
        <v>0</v>
      </c>
      <c r="R16">
        <f>A!R16</f>
        <v>0</v>
      </c>
      <c r="S16">
        <f>A!S16</f>
        <v>0</v>
      </c>
      <c r="T16">
        <f>A!T16</f>
        <v>0</v>
      </c>
      <c r="U16">
        <f>A!U16</f>
        <v>0</v>
      </c>
      <c r="V16" s="32">
        <f>IF(A!V16="&lt;",1,A!V16)</f>
        <v>0</v>
      </c>
      <c r="W16">
        <f>A!W16</f>
        <v>0</v>
      </c>
      <c r="X16">
        <f>A!X16</f>
        <v>0</v>
      </c>
      <c r="Y16">
        <f>A!Y16</f>
        <v>0</v>
      </c>
      <c r="Z16" s="32">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32"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_4e495d1b-09c8-432b-8c45-258ce8733b11</v>
      </c>
      <c r="BY16" t="str">
        <f>A!BX16</f>
        <v>4e495d1b-09c8-432b-8c45-258ce8733b11</v>
      </c>
      <c r="BZ16" t="str">
        <f>A!BY16</f>
        <v>SIKB</v>
      </c>
      <c r="CA16" t="str">
        <f>A!BZ16</f>
        <v>MM04 04 (100-150) 05 (100-150)</v>
      </c>
      <c r="CB16">
        <f>A!CA16</f>
        <v>45810</v>
      </c>
      <c r="CC16" t="str">
        <f>A!CB16</f>
        <v>#_a13c9c27-ac45-4ff5-8e2b-08bc80806939</v>
      </c>
      <c r="CD16" t="str">
        <f>A!CC16</f>
        <v>#_5eceeaf7-1c1e-4012-89c3-45473674117f</v>
      </c>
      <c r="CE16">
        <f>A!CD16</f>
        <v>0</v>
      </c>
      <c r="CF16" t="str">
        <f>A!CE16</f>
        <v>urn:immetingen:compartiment:id:1</v>
      </c>
      <c r="CG16" t="str">
        <f>A!CF16</f>
        <v>_TI-65023565</v>
      </c>
      <c r="CH16">
        <f>A!CG16</f>
        <v>45810</v>
      </c>
      <c r="CI16" t="str">
        <f>A!CH16</f>
        <v>urn:immetingen:monstertype:id:10</v>
      </c>
      <c r="CJ16" t="str">
        <f>A!CI16</f>
        <v>urn:imsikb0101:Applicaties:id:16</v>
      </c>
      <c r="CK16" t="str">
        <f>A!CJ16</f>
        <v>urn:imsikb0101:DatastroomType:id:1</v>
      </c>
      <c r="CL16">
        <f>A!CK16</f>
        <v>45811</v>
      </c>
      <c r="CM16" t="str">
        <f>A!CL16</f>
        <v>SGS, Rotterdam</v>
      </c>
      <c r="CN16" t="str">
        <f>A!CM16</f>
        <v>LABRESULTAAT SGS</v>
      </c>
      <c r="CO16">
        <f>A!CN16</f>
        <v>45811</v>
      </c>
      <c r="CP16">
        <f>A!CO16</f>
        <v>0</v>
      </c>
      <c r="CQ16">
        <f>A!CO16</f>
        <v>0</v>
      </c>
      <c r="CR16" t="str">
        <f>A!CP16</f>
        <v>urn:imsikb0101:Leveranciers:id:21</v>
      </c>
      <c r="CS16" t="str">
        <f>A!CQ16</f>
        <v>14.7.0</v>
      </c>
    </row>
    <row r="17" spans="1:97"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32" t="str">
        <f>IF(A!P17="","",INDEX(B!$A$1:$BT$2000,MATCH(A!P17,B!$AX$1:$AX$2000,0),D!$B$5))</f>
        <v/>
      </c>
      <c r="Q17">
        <f>A!Q17</f>
        <v>0</v>
      </c>
      <c r="R17">
        <f>A!R17</f>
        <v>0</v>
      </c>
      <c r="S17">
        <f>A!S17</f>
        <v>0</v>
      </c>
      <c r="T17">
        <f>A!T17</f>
        <v>0</v>
      </c>
      <c r="U17">
        <f>A!U17</f>
        <v>0</v>
      </c>
      <c r="V17" s="32">
        <f>IF(A!V17="&lt;",1,A!V17)</f>
        <v>0</v>
      </c>
      <c r="W17">
        <f>A!W17</f>
        <v>0</v>
      </c>
      <c r="X17">
        <f>A!X17</f>
        <v>0</v>
      </c>
      <c r="Y17">
        <f>A!Y17</f>
        <v>0</v>
      </c>
      <c r="Z17" s="32">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32"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_4e495d1b-09c8-432b-8c45-258ce8733b11</v>
      </c>
      <c r="BY17" t="str">
        <f>A!BX17</f>
        <v>4e495d1b-09c8-432b-8c45-258ce8733b11</v>
      </c>
      <c r="BZ17" t="str">
        <f>A!BY17</f>
        <v>SIKB</v>
      </c>
      <c r="CA17" t="str">
        <f>A!BZ17</f>
        <v>MM04 04 (100-150) 05 (100-150)</v>
      </c>
      <c r="CB17">
        <f>A!CA17</f>
        <v>45810</v>
      </c>
      <c r="CC17" t="str">
        <f>A!CB17</f>
        <v>#_a13c9c27-ac45-4ff5-8e2b-08bc80806939</v>
      </c>
      <c r="CD17" t="str">
        <f>A!CC17</f>
        <v>#_ca9c34d8-cf41-4b81-94f0-2b2d17a9ef49</v>
      </c>
      <c r="CE17">
        <f>A!CD17</f>
        <v>0</v>
      </c>
      <c r="CF17" t="str">
        <f>A!CE17</f>
        <v>urn:immetingen:compartiment:id:1</v>
      </c>
      <c r="CG17" t="str">
        <f>A!CF17</f>
        <v>_TI-65023565</v>
      </c>
      <c r="CH17">
        <f>A!CG17</f>
        <v>45810</v>
      </c>
      <c r="CI17" t="str">
        <f>A!CH17</f>
        <v>urn:immetingen:monstertype:id:10</v>
      </c>
      <c r="CJ17" t="str">
        <f>A!CI17</f>
        <v>urn:imsikb0101:Applicaties:id:16</v>
      </c>
      <c r="CK17" t="str">
        <f>A!CJ17</f>
        <v>urn:imsikb0101:DatastroomType:id:1</v>
      </c>
      <c r="CL17">
        <f>A!CK17</f>
        <v>45811</v>
      </c>
      <c r="CM17" t="str">
        <f>A!CL17</f>
        <v>SGS, Rotterdam</v>
      </c>
      <c r="CN17" t="str">
        <f>A!CM17</f>
        <v>LABRESULTAAT SGS</v>
      </c>
      <c r="CO17">
        <f>A!CN17</f>
        <v>45811</v>
      </c>
      <c r="CP17">
        <f>A!CO17</f>
        <v>0</v>
      </c>
      <c r="CQ17">
        <f>A!CO17</f>
        <v>0</v>
      </c>
      <c r="CR17" t="str">
        <f>A!CP17</f>
        <v>urn:imsikb0101:Leveranciers:id:21</v>
      </c>
      <c r="CS17" t="str">
        <f>A!CQ17</f>
        <v>14.7.0</v>
      </c>
    </row>
    <row r="18" spans="1:97"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32" t="str">
        <f>IF(A!P18="","",INDEX(B!$A$1:$BT$2000,MATCH(A!P18,B!$AX$1:$AX$2000,0),D!$B$5))</f>
        <v/>
      </c>
      <c r="Q18">
        <f>A!Q18</f>
        <v>0</v>
      </c>
      <c r="R18">
        <f>A!R18</f>
        <v>0</v>
      </c>
      <c r="S18">
        <f>A!S18</f>
        <v>0</v>
      </c>
      <c r="T18">
        <f>A!T18</f>
        <v>0</v>
      </c>
      <c r="U18">
        <f>A!U18</f>
        <v>0</v>
      </c>
      <c r="V18" s="32">
        <f>IF(A!V18="&lt;",1,A!V18)</f>
        <v>0</v>
      </c>
      <c r="W18">
        <f>A!W18</f>
        <v>0</v>
      </c>
      <c r="X18">
        <f>A!X18</f>
        <v>0</v>
      </c>
      <c r="Y18">
        <f>A!Y18</f>
        <v>0</v>
      </c>
      <c r="Z18" s="32">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32"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_4e495d1b-09c8-432b-8c45-258ce8733b11</v>
      </c>
      <c r="BY18" t="str">
        <f>A!BX18</f>
        <v>4e495d1b-09c8-432b-8c45-258ce8733b11</v>
      </c>
      <c r="BZ18" t="str">
        <f>A!BY18</f>
        <v>SIKB</v>
      </c>
      <c r="CA18" t="str">
        <f>A!BZ18</f>
        <v>MM04 04 (100-150) 05 (100-150)</v>
      </c>
      <c r="CB18">
        <f>A!CA18</f>
        <v>45810</v>
      </c>
      <c r="CC18" t="str">
        <f>A!CB18</f>
        <v>#_a13c9c27-ac45-4ff5-8e2b-08bc80806939</v>
      </c>
      <c r="CD18" t="str">
        <f>A!CC18</f>
        <v>#_de4ed049-6ba8-4b39-9375-c55135b13228</v>
      </c>
      <c r="CE18">
        <f>A!CD18</f>
        <v>0</v>
      </c>
      <c r="CF18" t="str">
        <f>A!CE18</f>
        <v>urn:immetingen:compartiment:id:1</v>
      </c>
      <c r="CG18" t="str">
        <f>A!CF18</f>
        <v>_TI-65023565</v>
      </c>
      <c r="CH18">
        <f>A!CG18</f>
        <v>45810</v>
      </c>
      <c r="CI18" t="str">
        <f>A!CH18</f>
        <v>urn:immetingen:monstertype:id:10</v>
      </c>
      <c r="CJ18" t="str">
        <f>A!CI18</f>
        <v>urn:imsikb0101:Applicaties:id:16</v>
      </c>
      <c r="CK18" t="str">
        <f>A!CJ18</f>
        <v>urn:imsikb0101:DatastroomType:id:1</v>
      </c>
      <c r="CL18">
        <f>A!CK18</f>
        <v>45811</v>
      </c>
      <c r="CM18" t="str">
        <f>A!CL18</f>
        <v>SGS, Rotterdam</v>
      </c>
      <c r="CN18" t="str">
        <f>A!CM18</f>
        <v>LABRESULTAAT SGS</v>
      </c>
      <c r="CO18">
        <f>A!CN18</f>
        <v>45811</v>
      </c>
      <c r="CP18">
        <f>A!CO18</f>
        <v>0</v>
      </c>
      <c r="CQ18">
        <f>A!CO18</f>
        <v>0</v>
      </c>
      <c r="CR18" t="str">
        <f>A!CP18</f>
        <v>urn:imsikb0101:Leveranciers:id:21</v>
      </c>
      <c r="CS18" t="str">
        <f>A!CQ18</f>
        <v>14.7.0</v>
      </c>
    </row>
    <row r="19" spans="1:97"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32" t="str">
        <f>IF(A!P19="","",INDEX(B!$A$1:$BT$2000,MATCH(A!P19,B!$AX$1:$AX$2000,0),D!$B$5))</f>
        <v/>
      </c>
      <c r="Q19">
        <f>A!Q19</f>
        <v>0</v>
      </c>
      <c r="R19">
        <f>A!R19</f>
        <v>0</v>
      </c>
      <c r="S19">
        <f>A!S19</f>
        <v>0</v>
      </c>
      <c r="T19">
        <f>A!T19</f>
        <v>0</v>
      </c>
      <c r="U19">
        <f>A!U19</f>
        <v>0</v>
      </c>
      <c r="V19" s="32">
        <f>IF(A!V19="&lt;",1,A!V19)</f>
        <v>0</v>
      </c>
      <c r="W19">
        <f>A!W19</f>
        <v>0</v>
      </c>
      <c r="X19">
        <f>A!X19</f>
        <v>0</v>
      </c>
      <c r="Y19">
        <f>A!Y19</f>
        <v>0</v>
      </c>
      <c r="Z19" s="32">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32"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_4e495d1b-09c8-432b-8c45-258ce8733b11</v>
      </c>
      <c r="BY19" t="str">
        <f>A!BX19</f>
        <v>4e495d1b-09c8-432b-8c45-258ce8733b11</v>
      </c>
      <c r="BZ19" t="str">
        <f>A!BY19</f>
        <v>SIKB</v>
      </c>
      <c r="CA19" t="str">
        <f>A!BZ19</f>
        <v>MM04 04 (100-150) 05 (100-150)</v>
      </c>
      <c r="CB19">
        <f>A!CA19</f>
        <v>45810</v>
      </c>
      <c r="CC19" t="str">
        <f>A!CB19</f>
        <v>#_a13c9c27-ac45-4ff5-8e2b-08bc80806939</v>
      </c>
      <c r="CD19" t="str">
        <f>A!CC19</f>
        <v>#_8228180a-a5b6-4e1d-b597-d4dafec17882</v>
      </c>
      <c r="CE19">
        <f>A!CD19</f>
        <v>0</v>
      </c>
      <c r="CF19" t="str">
        <f>A!CE19</f>
        <v>urn:immetingen:compartiment:id:1</v>
      </c>
      <c r="CG19" t="str">
        <f>A!CF19</f>
        <v>_TI-65023565</v>
      </c>
      <c r="CH19">
        <f>A!CG19</f>
        <v>45810</v>
      </c>
      <c r="CI19" t="str">
        <f>A!CH19</f>
        <v>urn:immetingen:monstertype:id:10</v>
      </c>
      <c r="CJ19" t="str">
        <f>A!CI19</f>
        <v>urn:imsikb0101:Applicaties:id:16</v>
      </c>
      <c r="CK19" t="str">
        <f>A!CJ19</f>
        <v>urn:imsikb0101:DatastroomType:id:1</v>
      </c>
      <c r="CL19">
        <f>A!CK19</f>
        <v>45811</v>
      </c>
      <c r="CM19" t="str">
        <f>A!CL19</f>
        <v>SGS, Rotterdam</v>
      </c>
      <c r="CN19" t="str">
        <f>A!CM19</f>
        <v>LABRESULTAAT SGS</v>
      </c>
      <c r="CO19">
        <f>A!CN19</f>
        <v>45811</v>
      </c>
      <c r="CP19">
        <f>A!CO19</f>
        <v>0</v>
      </c>
      <c r="CQ19">
        <f>A!CO19</f>
        <v>0</v>
      </c>
      <c r="CR19" t="str">
        <f>A!CP19</f>
        <v>urn:imsikb0101:Leveranciers:id:21</v>
      </c>
      <c r="CS19" t="str">
        <f>A!CQ19</f>
        <v>14.7.0</v>
      </c>
    </row>
    <row r="20" spans="1:97"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32" t="str">
        <f>IF(A!P20="","",INDEX(B!$A$1:$BT$2000,MATCH(A!P20,B!$AX$1:$AX$2000,0),D!$B$5))</f>
        <v/>
      </c>
      <c r="Q20">
        <f>A!Q20</f>
        <v>0</v>
      </c>
      <c r="R20">
        <f>A!R20</f>
        <v>0</v>
      </c>
      <c r="S20">
        <f>A!S20</f>
        <v>0</v>
      </c>
      <c r="T20">
        <f>A!T20</f>
        <v>0</v>
      </c>
      <c r="U20">
        <f>A!U20</f>
        <v>0</v>
      </c>
      <c r="V20" s="32">
        <f>IF(A!V20="&lt;",1,A!V20)</f>
        <v>0</v>
      </c>
      <c r="W20">
        <f>A!W20</f>
        <v>0</v>
      </c>
      <c r="X20">
        <f>A!X20</f>
        <v>0</v>
      </c>
      <c r="Y20">
        <f>A!Y20</f>
        <v>0</v>
      </c>
      <c r="Z20" s="32">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32"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_4e495d1b-09c8-432b-8c45-258ce8733b11</v>
      </c>
      <c r="BY20" t="str">
        <f>A!BX20</f>
        <v>4e495d1b-09c8-432b-8c45-258ce8733b11</v>
      </c>
      <c r="BZ20" t="str">
        <f>A!BY20</f>
        <v>SIKB</v>
      </c>
      <c r="CA20" t="str">
        <f>A!BZ20</f>
        <v>MM04 04 (100-150) 05 (100-150)</v>
      </c>
      <c r="CB20">
        <f>A!CA20</f>
        <v>45810</v>
      </c>
      <c r="CC20" t="str">
        <f>A!CB20</f>
        <v>#_a13c9c27-ac45-4ff5-8e2b-08bc80806939</v>
      </c>
      <c r="CD20" t="str">
        <f>A!CC20</f>
        <v>#_2bdbfca8-8919-4d7c-beec-3b73765188c3</v>
      </c>
      <c r="CE20">
        <f>A!CD20</f>
        <v>0</v>
      </c>
      <c r="CF20" t="str">
        <f>A!CE20</f>
        <v>urn:immetingen:compartiment:id:1</v>
      </c>
      <c r="CG20" t="str">
        <f>A!CF20</f>
        <v>_TI-65023565</v>
      </c>
      <c r="CH20">
        <f>A!CG20</f>
        <v>45810</v>
      </c>
      <c r="CI20" t="str">
        <f>A!CH20</f>
        <v>urn:immetingen:monstertype:id:10</v>
      </c>
      <c r="CJ20" t="str">
        <f>A!CI20</f>
        <v>urn:imsikb0101:Applicaties:id:16</v>
      </c>
      <c r="CK20" t="str">
        <f>A!CJ20</f>
        <v>urn:imsikb0101:DatastroomType:id:1</v>
      </c>
      <c r="CL20">
        <f>A!CK20</f>
        <v>45811</v>
      </c>
      <c r="CM20" t="str">
        <f>A!CL20</f>
        <v>SGS, Rotterdam</v>
      </c>
      <c r="CN20" t="str">
        <f>A!CM20</f>
        <v>LABRESULTAAT SGS</v>
      </c>
      <c r="CO20">
        <f>A!CN20</f>
        <v>45811</v>
      </c>
      <c r="CP20">
        <f>A!CO20</f>
        <v>0</v>
      </c>
      <c r="CQ20">
        <f>A!CO20</f>
        <v>0</v>
      </c>
      <c r="CR20" t="str">
        <f>A!CP20</f>
        <v>urn:imsikb0101:Leveranciers:id:21</v>
      </c>
      <c r="CS20" t="str">
        <f>A!CQ20</f>
        <v>14.7.0</v>
      </c>
    </row>
    <row r="21" spans="1:97"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32" t="str">
        <f>IF(A!P21="","",INDEX(B!$A$1:$BT$2000,MATCH(A!P21,B!$AX$1:$AX$2000,0),D!$B$5))</f>
        <v/>
      </c>
      <c r="Q21">
        <f>A!Q21</f>
        <v>0</v>
      </c>
      <c r="R21">
        <f>A!R21</f>
        <v>0</v>
      </c>
      <c r="S21">
        <f>A!S21</f>
        <v>0</v>
      </c>
      <c r="T21">
        <f>A!T21</f>
        <v>0</v>
      </c>
      <c r="U21">
        <f>A!U21</f>
        <v>0</v>
      </c>
      <c r="V21" s="32">
        <f>IF(A!V21="&lt;",1,A!V21)</f>
        <v>0</v>
      </c>
      <c r="W21">
        <f>A!W21</f>
        <v>0</v>
      </c>
      <c r="X21">
        <f>A!X21</f>
        <v>0</v>
      </c>
      <c r="Y21">
        <f>A!Y21</f>
        <v>0</v>
      </c>
      <c r="Z21" s="32">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32"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_4e495d1b-09c8-432b-8c45-258ce8733b11</v>
      </c>
      <c r="BY21" t="str">
        <f>A!BX21</f>
        <v>4e495d1b-09c8-432b-8c45-258ce8733b11</v>
      </c>
      <c r="BZ21" t="str">
        <f>A!BY21</f>
        <v>SIKB</v>
      </c>
      <c r="CA21" t="str">
        <f>A!BZ21</f>
        <v>MM04 04 (100-150) 05 (100-150)</v>
      </c>
      <c r="CB21">
        <f>A!CA21</f>
        <v>45810</v>
      </c>
      <c r="CC21" t="str">
        <f>A!CB21</f>
        <v>#_a13c9c27-ac45-4ff5-8e2b-08bc80806939</v>
      </c>
      <c r="CD21" t="str">
        <f>A!CC21</f>
        <v>#_7661c84e-1411-401e-9bea-9e51764ffe00</v>
      </c>
      <c r="CE21">
        <f>A!CD21</f>
        <v>0</v>
      </c>
      <c r="CF21" t="str">
        <f>A!CE21</f>
        <v>urn:immetingen:compartiment:id:1</v>
      </c>
      <c r="CG21" t="str">
        <f>A!CF21</f>
        <v>_TI-65023565</v>
      </c>
      <c r="CH21">
        <f>A!CG21</f>
        <v>45810</v>
      </c>
      <c r="CI21" t="str">
        <f>A!CH21</f>
        <v>urn:immetingen:monstertype:id:10</v>
      </c>
      <c r="CJ21" t="str">
        <f>A!CI21</f>
        <v>urn:imsikb0101:Applicaties:id:16</v>
      </c>
      <c r="CK21" t="str">
        <f>A!CJ21</f>
        <v>urn:imsikb0101:DatastroomType:id:1</v>
      </c>
      <c r="CL21">
        <f>A!CK21</f>
        <v>45811</v>
      </c>
      <c r="CM21" t="str">
        <f>A!CL21</f>
        <v>SGS, Rotterdam</v>
      </c>
      <c r="CN21" t="str">
        <f>A!CM21</f>
        <v>LABRESULTAAT SGS</v>
      </c>
      <c r="CO21">
        <f>A!CN21</f>
        <v>45811</v>
      </c>
      <c r="CP21">
        <f>A!CO21</f>
        <v>0</v>
      </c>
      <c r="CQ21">
        <f>A!CO21</f>
        <v>0</v>
      </c>
      <c r="CR21" t="str">
        <f>A!CP21</f>
        <v>urn:imsikb0101:Leveranciers:id:21</v>
      </c>
      <c r="CS21" t="str">
        <f>A!CQ21</f>
        <v>14.7.0</v>
      </c>
    </row>
    <row r="22" spans="1:97"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32" t="str">
        <f>IF(A!P22="","",INDEX(B!$A$1:$BT$2000,MATCH(A!P22,B!$AX$1:$AX$2000,0),D!$B$5))</f>
        <v/>
      </c>
      <c r="Q22">
        <f>A!Q22</f>
        <v>0</v>
      </c>
      <c r="R22">
        <f>A!R22</f>
        <v>0</v>
      </c>
      <c r="S22">
        <f>A!S22</f>
        <v>0</v>
      </c>
      <c r="T22">
        <f>A!T22</f>
        <v>0</v>
      </c>
      <c r="U22">
        <f>A!U22</f>
        <v>0</v>
      </c>
      <c r="V22" s="32">
        <f>IF(A!V22="&lt;",1,A!V22)</f>
        <v>0</v>
      </c>
      <c r="W22">
        <f>A!W22</f>
        <v>0</v>
      </c>
      <c r="X22">
        <f>A!X22</f>
        <v>0</v>
      </c>
      <c r="Y22">
        <f>A!Y22</f>
        <v>0</v>
      </c>
      <c r="Z22" s="32">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32"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_4e495d1b-09c8-432b-8c45-258ce8733b11</v>
      </c>
      <c r="BY22" t="str">
        <f>A!BX22</f>
        <v>4e495d1b-09c8-432b-8c45-258ce8733b11</v>
      </c>
      <c r="BZ22" t="str">
        <f>A!BY22</f>
        <v>SIKB</v>
      </c>
      <c r="CA22" t="str">
        <f>A!BZ22</f>
        <v>MM04 04 (100-150) 05 (100-150)</v>
      </c>
      <c r="CB22">
        <f>A!CA22</f>
        <v>45810</v>
      </c>
      <c r="CC22" t="str">
        <f>A!CB22</f>
        <v>#_a13c9c27-ac45-4ff5-8e2b-08bc80806939</v>
      </c>
      <c r="CD22" t="str">
        <f>A!CC22</f>
        <v>#_37673803-4f0c-4c91-b263-131c7eea32d6</v>
      </c>
      <c r="CE22">
        <f>A!CD22</f>
        <v>0</v>
      </c>
      <c r="CF22" t="str">
        <f>A!CE22</f>
        <v>urn:immetingen:compartiment:id:1</v>
      </c>
      <c r="CG22" t="str">
        <f>A!CF22</f>
        <v>_TI-65023565</v>
      </c>
      <c r="CH22">
        <f>A!CG22</f>
        <v>45810</v>
      </c>
      <c r="CI22" t="str">
        <f>A!CH22</f>
        <v>urn:immetingen:monstertype:id:10</v>
      </c>
      <c r="CJ22" t="str">
        <f>A!CI22</f>
        <v>urn:imsikb0101:Applicaties:id:16</v>
      </c>
      <c r="CK22" t="str">
        <f>A!CJ22</f>
        <v>urn:imsikb0101:DatastroomType:id:1</v>
      </c>
      <c r="CL22">
        <f>A!CK22</f>
        <v>45811</v>
      </c>
      <c r="CM22" t="str">
        <f>A!CL22</f>
        <v>SGS, Rotterdam</v>
      </c>
      <c r="CN22" t="str">
        <f>A!CM22</f>
        <v>LABRESULTAAT SGS</v>
      </c>
      <c r="CO22">
        <f>A!CN22</f>
        <v>45811</v>
      </c>
      <c r="CP22">
        <f>A!CO22</f>
        <v>0</v>
      </c>
      <c r="CQ22">
        <f>A!CO22</f>
        <v>0</v>
      </c>
      <c r="CR22" t="str">
        <f>A!CP22</f>
        <v>urn:imsikb0101:Leveranciers:id:21</v>
      </c>
      <c r="CS22" t="str">
        <f>A!CQ22</f>
        <v>14.7.0</v>
      </c>
    </row>
    <row r="23" spans="1:97"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32" t="str">
        <f>IF(A!P23="","",INDEX(B!$A$1:$BT$2000,MATCH(A!P23,B!$AX$1:$AX$2000,0),D!$B$5))</f>
        <v/>
      </c>
      <c r="Q23">
        <f>A!Q23</f>
        <v>0</v>
      </c>
      <c r="R23">
        <f>A!R23</f>
        <v>0</v>
      </c>
      <c r="S23">
        <f>A!S23</f>
        <v>0</v>
      </c>
      <c r="T23">
        <f>A!T23</f>
        <v>0</v>
      </c>
      <c r="U23">
        <f>A!U23</f>
        <v>0</v>
      </c>
      <c r="V23" s="32">
        <f>IF(A!V23="&lt;",1,A!V23)</f>
        <v>0</v>
      </c>
      <c r="W23">
        <f>A!W23</f>
        <v>0</v>
      </c>
      <c r="X23">
        <f>A!X23</f>
        <v>0</v>
      </c>
      <c r="Y23">
        <f>A!Y23</f>
        <v>0</v>
      </c>
      <c r="Z23" s="32">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32"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_4e495d1b-09c8-432b-8c45-258ce8733b11</v>
      </c>
      <c r="BY23" t="str">
        <f>A!BX23</f>
        <v>4e495d1b-09c8-432b-8c45-258ce8733b11</v>
      </c>
      <c r="BZ23" t="str">
        <f>A!BY23</f>
        <v>SIKB</v>
      </c>
      <c r="CA23" t="str">
        <f>A!BZ23</f>
        <v>MM04 04 (100-150) 05 (100-150)</v>
      </c>
      <c r="CB23">
        <f>A!CA23</f>
        <v>45810</v>
      </c>
      <c r="CC23" t="str">
        <f>A!CB23</f>
        <v>#_a13c9c27-ac45-4ff5-8e2b-08bc80806939</v>
      </c>
      <c r="CD23" t="str">
        <f>A!CC23</f>
        <v>#_bfee57cd-13d2-4472-8e21-748d1696befb</v>
      </c>
      <c r="CE23">
        <f>A!CD23</f>
        <v>0</v>
      </c>
      <c r="CF23" t="str">
        <f>A!CE23</f>
        <v>urn:immetingen:compartiment:id:1</v>
      </c>
      <c r="CG23" t="str">
        <f>A!CF23</f>
        <v>_TI-65023565</v>
      </c>
      <c r="CH23">
        <f>A!CG23</f>
        <v>45810</v>
      </c>
      <c r="CI23" t="str">
        <f>A!CH23</f>
        <v>urn:immetingen:monstertype:id:10</v>
      </c>
      <c r="CJ23" t="str">
        <f>A!CI23</f>
        <v>urn:imsikb0101:Applicaties:id:16</v>
      </c>
      <c r="CK23" t="str">
        <f>A!CJ23</f>
        <v>urn:imsikb0101:DatastroomType:id:1</v>
      </c>
      <c r="CL23">
        <f>A!CK23</f>
        <v>45811</v>
      </c>
      <c r="CM23" t="str">
        <f>A!CL23</f>
        <v>SGS, Rotterdam</v>
      </c>
      <c r="CN23" t="str">
        <f>A!CM23</f>
        <v>LABRESULTAAT SGS</v>
      </c>
      <c r="CO23">
        <f>A!CN23</f>
        <v>45811</v>
      </c>
      <c r="CP23">
        <f>A!CO23</f>
        <v>0</v>
      </c>
      <c r="CQ23">
        <f>A!CO23</f>
        <v>0</v>
      </c>
      <c r="CR23" t="str">
        <f>A!CP23</f>
        <v>urn:imsikb0101:Leveranciers:id:21</v>
      </c>
      <c r="CS23" t="str">
        <f>A!CQ23</f>
        <v>14.7.0</v>
      </c>
    </row>
    <row r="24" spans="1:97"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32" t="str">
        <f>IF(A!P24="","",INDEX(B!$A$1:$BT$2000,MATCH(A!P24,B!$AX$1:$AX$2000,0),D!$B$5))</f>
        <v/>
      </c>
      <c r="Q24">
        <f>A!Q24</f>
        <v>0</v>
      </c>
      <c r="R24">
        <f>A!R24</f>
        <v>0</v>
      </c>
      <c r="S24">
        <f>A!S24</f>
        <v>0</v>
      </c>
      <c r="T24">
        <f>A!T24</f>
        <v>0</v>
      </c>
      <c r="U24">
        <f>A!U24</f>
        <v>0</v>
      </c>
      <c r="V24" s="32">
        <f>IF(A!V24="&lt;",1,A!V24)</f>
        <v>0</v>
      </c>
      <c r="W24">
        <f>A!W24</f>
        <v>0</v>
      </c>
      <c r="X24">
        <f>A!X24</f>
        <v>0</v>
      </c>
      <c r="Y24">
        <f>A!Y24</f>
        <v>0</v>
      </c>
      <c r="Z24" s="32">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32"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_4e495d1b-09c8-432b-8c45-258ce8733b11</v>
      </c>
      <c r="BY24" t="str">
        <f>A!BX24</f>
        <v>4e495d1b-09c8-432b-8c45-258ce8733b11</v>
      </c>
      <c r="BZ24" t="str">
        <f>A!BY24</f>
        <v>SIKB</v>
      </c>
      <c r="CA24" t="str">
        <f>A!BZ24</f>
        <v>MM04 04 (100-150) 05 (100-150)</v>
      </c>
      <c r="CB24">
        <f>A!CA24</f>
        <v>45810</v>
      </c>
      <c r="CC24" t="str">
        <f>A!CB24</f>
        <v>#_a13c9c27-ac45-4ff5-8e2b-08bc80806939</v>
      </c>
      <c r="CD24" t="str">
        <f>A!CC24</f>
        <v>#_d79fb427-5f8c-4085-b484-9c40bd0cf1f4</v>
      </c>
      <c r="CE24">
        <f>A!CD24</f>
        <v>0</v>
      </c>
      <c r="CF24" t="str">
        <f>A!CE24</f>
        <v>urn:immetingen:compartiment:id:1</v>
      </c>
      <c r="CG24" t="str">
        <f>A!CF24</f>
        <v>_TI-65023565</v>
      </c>
      <c r="CH24">
        <f>A!CG24</f>
        <v>45810</v>
      </c>
      <c r="CI24" t="str">
        <f>A!CH24</f>
        <v>urn:immetingen:monstertype:id:10</v>
      </c>
      <c r="CJ24" t="str">
        <f>A!CI24</f>
        <v>urn:imsikb0101:Applicaties:id:16</v>
      </c>
      <c r="CK24" t="str">
        <f>A!CJ24</f>
        <v>urn:imsikb0101:DatastroomType:id:1</v>
      </c>
      <c r="CL24">
        <f>A!CK24</f>
        <v>45811</v>
      </c>
      <c r="CM24" t="str">
        <f>A!CL24</f>
        <v>SGS, Rotterdam</v>
      </c>
      <c r="CN24" t="str">
        <f>A!CM24</f>
        <v>LABRESULTAAT SGS</v>
      </c>
      <c r="CO24">
        <f>A!CN24</f>
        <v>45811</v>
      </c>
      <c r="CP24">
        <f>A!CO24</f>
        <v>0</v>
      </c>
      <c r="CQ24">
        <f>A!CO24</f>
        <v>0</v>
      </c>
      <c r="CR24" t="str">
        <f>A!CP24</f>
        <v>urn:imsikb0101:Leveranciers:id:21</v>
      </c>
      <c r="CS24" t="str">
        <f>A!CQ24</f>
        <v>14.7.0</v>
      </c>
    </row>
    <row r="25" spans="1:97"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32" t="str">
        <f>IF(A!P25="","",INDEX(B!$A$1:$BT$2000,MATCH(A!P25,B!$AX$1:$AX$2000,0),D!$B$5))</f>
        <v/>
      </c>
      <c r="Q25">
        <f>A!Q25</f>
        <v>0</v>
      </c>
      <c r="R25">
        <f>A!R25</f>
        <v>0</v>
      </c>
      <c r="S25">
        <f>A!S25</f>
        <v>0</v>
      </c>
      <c r="T25">
        <f>A!T25</f>
        <v>0</v>
      </c>
      <c r="U25">
        <f>A!U25</f>
        <v>0</v>
      </c>
      <c r="V25" s="32">
        <f>IF(A!V25="&lt;",1,A!V25)</f>
        <v>0</v>
      </c>
      <c r="W25">
        <f>A!W25</f>
        <v>0</v>
      </c>
      <c r="X25">
        <f>A!X25</f>
        <v>0</v>
      </c>
      <c r="Y25">
        <f>A!Y25</f>
        <v>0</v>
      </c>
      <c r="Z25" s="32">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32"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_4e495d1b-09c8-432b-8c45-258ce8733b11</v>
      </c>
      <c r="BY25" t="str">
        <f>A!BX25</f>
        <v>4e495d1b-09c8-432b-8c45-258ce8733b11</v>
      </c>
      <c r="BZ25" t="str">
        <f>A!BY25</f>
        <v>SIKB</v>
      </c>
      <c r="CA25" t="str">
        <f>A!BZ25</f>
        <v>MM04 04 (100-150) 05 (100-150)</v>
      </c>
      <c r="CB25">
        <f>A!CA25</f>
        <v>45810</v>
      </c>
      <c r="CC25" t="str">
        <f>A!CB25</f>
        <v>#_a13c9c27-ac45-4ff5-8e2b-08bc80806939</v>
      </c>
      <c r="CD25" t="str">
        <f>A!CC25</f>
        <v>#_8a7bfec0-1b24-4999-b648-1baf1fe014ca</v>
      </c>
      <c r="CE25">
        <f>A!CD25</f>
        <v>0</v>
      </c>
      <c r="CF25" t="str">
        <f>A!CE25</f>
        <v>urn:immetingen:compartiment:id:1</v>
      </c>
      <c r="CG25" t="str">
        <f>A!CF25</f>
        <v>_TI-65023565</v>
      </c>
      <c r="CH25">
        <f>A!CG25</f>
        <v>45810</v>
      </c>
      <c r="CI25" t="str">
        <f>A!CH25</f>
        <v>urn:immetingen:monstertype:id:10</v>
      </c>
      <c r="CJ25" t="str">
        <f>A!CI25</f>
        <v>urn:imsikb0101:Applicaties:id:16</v>
      </c>
      <c r="CK25" t="str">
        <f>A!CJ25</f>
        <v>urn:imsikb0101:DatastroomType:id:1</v>
      </c>
      <c r="CL25">
        <f>A!CK25</f>
        <v>45811</v>
      </c>
      <c r="CM25" t="str">
        <f>A!CL25</f>
        <v>SGS, Rotterdam</v>
      </c>
      <c r="CN25" t="str">
        <f>A!CM25</f>
        <v>LABRESULTAAT SGS</v>
      </c>
      <c r="CO25">
        <f>A!CN25</f>
        <v>45811</v>
      </c>
      <c r="CP25">
        <f>A!CO25</f>
        <v>0</v>
      </c>
      <c r="CQ25">
        <f>A!CO25</f>
        <v>0</v>
      </c>
      <c r="CR25" t="str">
        <f>A!CP25</f>
        <v>urn:imsikb0101:Leveranciers:id:21</v>
      </c>
      <c r="CS25" t="str">
        <f>A!CQ25</f>
        <v>14.7.0</v>
      </c>
    </row>
    <row r="26" spans="1:97"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32" t="str">
        <f>IF(A!P26="","",INDEX(B!$A$1:$BT$2000,MATCH(A!P26,B!$AX$1:$AX$2000,0),D!$B$5))</f>
        <v/>
      </c>
      <c r="Q26">
        <f>A!Q26</f>
        <v>0</v>
      </c>
      <c r="R26">
        <f>A!R26</f>
        <v>0</v>
      </c>
      <c r="S26">
        <f>A!S26</f>
        <v>0</v>
      </c>
      <c r="T26">
        <f>A!T26</f>
        <v>0</v>
      </c>
      <c r="U26">
        <f>A!U26</f>
        <v>0</v>
      </c>
      <c r="V26" s="32">
        <f>IF(A!V26="&lt;",1,A!V26)</f>
        <v>0</v>
      </c>
      <c r="W26">
        <f>A!W26</f>
        <v>0</v>
      </c>
      <c r="X26">
        <f>A!X26</f>
        <v>0</v>
      </c>
      <c r="Y26">
        <f>A!Y26</f>
        <v>0</v>
      </c>
      <c r="Z26" s="32">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32"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_4e495d1b-09c8-432b-8c45-258ce8733b11</v>
      </c>
      <c r="BY26" t="str">
        <f>A!BX26</f>
        <v>4e495d1b-09c8-432b-8c45-258ce8733b11</v>
      </c>
      <c r="BZ26" t="str">
        <f>A!BY26</f>
        <v>SIKB</v>
      </c>
      <c r="CA26" t="str">
        <f>A!BZ26</f>
        <v>MM04 04 (100-150) 05 (100-150)</v>
      </c>
      <c r="CB26">
        <f>A!CA26</f>
        <v>45810</v>
      </c>
      <c r="CC26" t="str">
        <f>A!CB26</f>
        <v>#_a13c9c27-ac45-4ff5-8e2b-08bc80806939</v>
      </c>
      <c r="CD26" t="str">
        <f>A!CC26</f>
        <v>#_f36fd916-7354-45eb-8cbd-c29239bcae0c</v>
      </c>
      <c r="CE26">
        <f>A!CD26</f>
        <v>0</v>
      </c>
      <c r="CF26" t="str">
        <f>A!CE26</f>
        <v>urn:immetingen:compartiment:id:1</v>
      </c>
      <c r="CG26" t="str">
        <f>A!CF26</f>
        <v>_TI-65023565</v>
      </c>
      <c r="CH26">
        <f>A!CG26</f>
        <v>45810</v>
      </c>
      <c r="CI26" t="str">
        <f>A!CH26</f>
        <v>urn:immetingen:monstertype:id:10</v>
      </c>
      <c r="CJ26" t="str">
        <f>A!CI26</f>
        <v>urn:imsikb0101:Applicaties:id:16</v>
      </c>
      <c r="CK26" t="str">
        <f>A!CJ26</f>
        <v>urn:imsikb0101:DatastroomType:id:1</v>
      </c>
      <c r="CL26">
        <f>A!CK26</f>
        <v>45811</v>
      </c>
      <c r="CM26" t="str">
        <f>A!CL26</f>
        <v>SGS, Rotterdam</v>
      </c>
      <c r="CN26" t="str">
        <f>A!CM26</f>
        <v>LABRESULTAAT SGS</v>
      </c>
      <c r="CO26">
        <f>A!CN26</f>
        <v>45811</v>
      </c>
      <c r="CP26">
        <f>A!CO26</f>
        <v>0</v>
      </c>
      <c r="CQ26">
        <f>A!CO26</f>
        <v>0</v>
      </c>
      <c r="CR26" t="str">
        <f>A!CP26</f>
        <v>urn:imsikb0101:Leveranciers:id:21</v>
      </c>
      <c r="CS26" t="str">
        <f>A!CQ26</f>
        <v>14.7.0</v>
      </c>
    </row>
    <row r="27" spans="1:97"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32" t="str">
        <f>IF(A!P27="","",INDEX(B!$A$1:$BT$2000,MATCH(A!P27,B!$AX$1:$AX$2000,0),D!$B$5))</f>
        <v/>
      </c>
      <c r="Q27">
        <f>A!Q27</f>
        <v>0</v>
      </c>
      <c r="R27">
        <f>A!R27</f>
        <v>0</v>
      </c>
      <c r="S27">
        <f>A!S27</f>
        <v>0</v>
      </c>
      <c r="T27">
        <f>A!T27</f>
        <v>0</v>
      </c>
      <c r="U27">
        <f>A!U27</f>
        <v>0</v>
      </c>
      <c r="V27" s="32">
        <f>IF(A!V27="&lt;",1,A!V27)</f>
        <v>0</v>
      </c>
      <c r="W27">
        <f>A!W27</f>
        <v>0</v>
      </c>
      <c r="X27">
        <f>A!X27</f>
        <v>0</v>
      </c>
      <c r="Y27">
        <f>A!Y27</f>
        <v>0</v>
      </c>
      <c r="Z27" s="32">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32"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_4e495d1b-09c8-432b-8c45-258ce8733b11</v>
      </c>
      <c r="BY27" t="str">
        <f>A!BX27</f>
        <v>4e495d1b-09c8-432b-8c45-258ce8733b11</v>
      </c>
      <c r="BZ27" t="str">
        <f>A!BY27</f>
        <v>SIKB</v>
      </c>
      <c r="CA27" t="str">
        <f>A!BZ27</f>
        <v>MM04 04 (100-150) 05 (100-150)</v>
      </c>
      <c r="CB27">
        <f>A!CA27</f>
        <v>45810</v>
      </c>
      <c r="CC27" t="str">
        <f>A!CB27</f>
        <v>#_a13c9c27-ac45-4ff5-8e2b-08bc80806939</v>
      </c>
      <c r="CD27" t="str">
        <f>A!CC27</f>
        <v>#_0c5c39f9-b754-4e87-8af2-869c34eec0cf</v>
      </c>
      <c r="CE27">
        <f>A!CD27</f>
        <v>0</v>
      </c>
      <c r="CF27" t="str">
        <f>A!CE27</f>
        <v>urn:immetingen:compartiment:id:1</v>
      </c>
      <c r="CG27" t="str">
        <f>A!CF27</f>
        <v>_TI-65023565</v>
      </c>
      <c r="CH27">
        <f>A!CG27</f>
        <v>45810</v>
      </c>
      <c r="CI27" t="str">
        <f>A!CH27</f>
        <v>urn:immetingen:monstertype:id:10</v>
      </c>
      <c r="CJ27" t="str">
        <f>A!CI27</f>
        <v>urn:imsikb0101:Applicaties:id:16</v>
      </c>
      <c r="CK27" t="str">
        <f>A!CJ27</f>
        <v>urn:imsikb0101:DatastroomType:id:1</v>
      </c>
      <c r="CL27">
        <f>A!CK27</f>
        <v>45811</v>
      </c>
      <c r="CM27" t="str">
        <f>A!CL27</f>
        <v>SGS, Rotterdam</v>
      </c>
      <c r="CN27" t="str">
        <f>A!CM27</f>
        <v>LABRESULTAAT SGS</v>
      </c>
      <c r="CO27">
        <f>A!CN27</f>
        <v>45811</v>
      </c>
      <c r="CP27">
        <f>A!CO27</f>
        <v>0</v>
      </c>
      <c r="CQ27">
        <f>A!CO27</f>
        <v>0</v>
      </c>
      <c r="CR27" t="str">
        <f>A!CP27</f>
        <v>urn:imsikb0101:Leveranciers:id:21</v>
      </c>
      <c r="CS27" t="str">
        <f>A!CQ27</f>
        <v>14.7.0</v>
      </c>
    </row>
    <row r="28" spans="1:97"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32" t="str">
        <f>IF(A!P28="","",INDEX(B!$A$1:$BT$2000,MATCH(A!P28,B!$AX$1:$AX$2000,0),D!$B$5))</f>
        <v/>
      </c>
      <c r="Q28">
        <f>A!Q28</f>
        <v>0</v>
      </c>
      <c r="R28">
        <f>A!R28</f>
        <v>0</v>
      </c>
      <c r="S28">
        <f>A!S28</f>
        <v>0</v>
      </c>
      <c r="T28">
        <f>A!T28</f>
        <v>0</v>
      </c>
      <c r="U28">
        <f>A!U28</f>
        <v>0</v>
      </c>
      <c r="V28" s="32">
        <f>IF(A!V28="&lt;",1,A!V28)</f>
        <v>0</v>
      </c>
      <c r="W28">
        <f>A!W28</f>
        <v>0</v>
      </c>
      <c r="X28">
        <f>A!X28</f>
        <v>0</v>
      </c>
      <c r="Y28">
        <f>A!Y28</f>
        <v>0</v>
      </c>
      <c r="Z28" s="32">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32"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_4e495d1b-09c8-432b-8c45-258ce8733b11</v>
      </c>
      <c r="BY28" t="str">
        <f>A!BX28</f>
        <v>4e495d1b-09c8-432b-8c45-258ce8733b11</v>
      </c>
      <c r="BZ28" t="str">
        <f>A!BY28</f>
        <v>SIKB</v>
      </c>
      <c r="CA28" t="str">
        <f>A!BZ28</f>
        <v>MM04 04 (100-150) 05 (100-150)</v>
      </c>
      <c r="CB28">
        <f>A!CA28</f>
        <v>45810</v>
      </c>
      <c r="CC28" t="str">
        <f>A!CB28</f>
        <v>#_a13c9c27-ac45-4ff5-8e2b-08bc80806939</v>
      </c>
      <c r="CD28" t="str">
        <f>A!CC28</f>
        <v>#_11f4af7f-05a8-4328-82eb-f8f679e4d9bf</v>
      </c>
      <c r="CE28">
        <f>A!CD28</f>
        <v>0</v>
      </c>
      <c r="CF28" t="str">
        <f>A!CE28</f>
        <v>urn:immetingen:compartiment:id:1</v>
      </c>
      <c r="CG28" t="str">
        <f>A!CF28</f>
        <v>_TI-65023565</v>
      </c>
      <c r="CH28">
        <f>A!CG28</f>
        <v>45810</v>
      </c>
      <c r="CI28" t="str">
        <f>A!CH28</f>
        <v>urn:immetingen:monstertype:id:10</v>
      </c>
      <c r="CJ28" t="str">
        <f>A!CI28</f>
        <v>urn:imsikb0101:Applicaties:id:16</v>
      </c>
      <c r="CK28" t="str">
        <f>A!CJ28</f>
        <v>urn:imsikb0101:DatastroomType:id:1</v>
      </c>
      <c r="CL28">
        <f>A!CK28</f>
        <v>45811</v>
      </c>
      <c r="CM28" t="str">
        <f>A!CL28</f>
        <v>SGS, Rotterdam</v>
      </c>
      <c r="CN28" t="str">
        <f>A!CM28</f>
        <v>LABRESULTAAT SGS</v>
      </c>
      <c r="CO28">
        <f>A!CN28</f>
        <v>45811</v>
      </c>
      <c r="CP28">
        <f>A!CO28</f>
        <v>0</v>
      </c>
      <c r="CQ28">
        <f>A!CO28</f>
        <v>0</v>
      </c>
      <c r="CR28" t="str">
        <f>A!CP28</f>
        <v>urn:imsikb0101:Leveranciers:id:21</v>
      </c>
      <c r="CS28" t="str">
        <f>A!CQ28</f>
        <v>14.7.0</v>
      </c>
    </row>
    <row r="29" spans="1:97"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32" t="str">
        <f>IF(A!P29="","",INDEX(B!$A$1:$BT$2000,MATCH(A!P29,B!$AX$1:$AX$2000,0),D!$B$5))</f>
        <v/>
      </c>
      <c r="Q29">
        <f>A!Q29</f>
        <v>0</v>
      </c>
      <c r="R29">
        <f>A!R29</f>
        <v>0</v>
      </c>
      <c r="S29">
        <f>A!S29</f>
        <v>0</v>
      </c>
      <c r="T29">
        <f>A!T29</f>
        <v>0</v>
      </c>
      <c r="U29">
        <f>A!U29</f>
        <v>0</v>
      </c>
      <c r="V29" s="32">
        <f>IF(A!V29="&lt;",1,A!V29)</f>
        <v>0</v>
      </c>
      <c r="W29">
        <f>A!W29</f>
        <v>0</v>
      </c>
      <c r="X29">
        <f>A!X29</f>
        <v>0</v>
      </c>
      <c r="Y29">
        <f>A!Y29</f>
        <v>0</v>
      </c>
      <c r="Z29" s="32">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32"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_4e495d1b-09c8-432b-8c45-258ce8733b11</v>
      </c>
      <c r="BY29" t="str">
        <f>A!BX29</f>
        <v>4e495d1b-09c8-432b-8c45-258ce8733b11</v>
      </c>
      <c r="BZ29" t="str">
        <f>A!BY29</f>
        <v>SIKB</v>
      </c>
      <c r="CA29" t="str">
        <f>A!BZ29</f>
        <v>MM04 04 (100-150) 05 (100-150)</v>
      </c>
      <c r="CB29">
        <f>A!CA29</f>
        <v>45810</v>
      </c>
      <c r="CC29" t="str">
        <f>A!CB29</f>
        <v>#_a13c9c27-ac45-4ff5-8e2b-08bc80806939</v>
      </c>
      <c r="CD29" t="str">
        <f>A!CC29</f>
        <v>#_688e56a5-c371-4791-896a-85ab120fa5f7</v>
      </c>
      <c r="CE29">
        <f>A!CD29</f>
        <v>0</v>
      </c>
      <c r="CF29" t="str">
        <f>A!CE29</f>
        <v>urn:immetingen:compartiment:id:1</v>
      </c>
      <c r="CG29" t="str">
        <f>A!CF29</f>
        <v>_TI-65023565</v>
      </c>
      <c r="CH29">
        <f>A!CG29</f>
        <v>45810</v>
      </c>
      <c r="CI29" t="str">
        <f>A!CH29</f>
        <v>urn:immetingen:monstertype:id:10</v>
      </c>
      <c r="CJ29" t="str">
        <f>A!CI29</f>
        <v>urn:imsikb0101:Applicaties:id:16</v>
      </c>
      <c r="CK29" t="str">
        <f>A!CJ29</f>
        <v>urn:imsikb0101:DatastroomType:id:1</v>
      </c>
      <c r="CL29">
        <f>A!CK29</f>
        <v>45811</v>
      </c>
      <c r="CM29" t="str">
        <f>A!CL29</f>
        <v>SGS, Rotterdam</v>
      </c>
      <c r="CN29" t="str">
        <f>A!CM29</f>
        <v>LABRESULTAAT SGS</v>
      </c>
      <c r="CO29">
        <f>A!CN29</f>
        <v>45811</v>
      </c>
      <c r="CP29">
        <f>A!CO29</f>
        <v>0</v>
      </c>
      <c r="CQ29">
        <f>A!CO29</f>
        <v>0</v>
      </c>
      <c r="CR29" t="str">
        <f>A!CP29</f>
        <v>urn:imsikb0101:Leveranciers:id:21</v>
      </c>
      <c r="CS29" t="str">
        <f>A!CQ29</f>
        <v>14.7.0</v>
      </c>
    </row>
    <row r="30" spans="1:97"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32" t="str">
        <f>IF(A!P30="","",INDEX(B!$A$1:$BT$2000,MATCH(A!P30,B!$AX$1:$AX$2000,0),D!$B$5))</f>
        <v/>
      </c>
      <c r="Q30">
        <f>A!Q30</f>
        <v>0</v>
      </c>
      <c r="R30">
        <f>A!R30</f>
        <v>0</v>
      </c>
      <c r="S30">
        <f>A!S30</f>
        <v>0</v>
      </c>
      <c r="T30">
        <f>A!T30</f>
        <v>0</v>
      </c>
      <c r="U30">
        <f>A!U30</f>
        <v>0</v>
      </c>
      <c r="V30" s="32">
        <f>IF(A!V30="&lt;",1,A!V30)</f>
        <v>0</v>
      </c>
      <c r="W30">
        <f>A!W30</f>
        <v>0</v>
      </c>
      <c r="X30">
        <f>A!X30</f>
        <v>0</v>
      </c>
      <c r="Y30">
        <f>A!Y30</f>
        <v>0</v>
      </c>
      <c r="Z30" s="32">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32"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_4e495d1b-09c8-432b-8c45-258ce8733b11</v>
      </c>
      <c r="BY30" t="str">
        <f>A!BX30</f>
        <v>4e495d1b-09c8-432b-8c45-258ce8733b11</v>
      </c>
      <c r="BZ30" t="str">
        <f>A!BY30</f>
        <v>SIKB</v>
      </c>
      <c r="CA30" t="str">
        <f>A!BZ30</f>
        <v>MM04 04 (100-150) 05 (100-150)</v>
      </c>
      <c r="CB30">
        <f>A!CA30</f>
        <v>45810</v>
      </c>
      <c r="CC30" t="str">
        <f>A!CB30</f>
        <v>#_a13c9c27-ac45-4ff5-8e2b-08bc80806939</v>
      </c>
      <c r="CD30" t="str">
        <f>A!CC30</f>
        <v>#_e6498023-ff51-4f80-a38f-3d7dc79cfc48</v>
      </c>
      <c r="CE30">
        <f>A!CD30</f>
        <v>0</v>
      </c>
      <c r="CF30" t="str">
        <f>A!CE30</f>
        <v>urn:immetingen:compartiment:id:1</v>
      </c>
      <c r="CG30" t="str">
        <f>A!CF30</f>
        <v>_TI-65023565</v>
      </c>
      <c r="CH30">
        <f>A!CG30</f>
        <v>45810</v>
      </c>
      <c r="CI30" t="str">
        <f>A!CH30</f>
        <v>urn:immetingen:monstertype:id:10</v>
      </c>
      <c r="CJ30" t="str">
        <f>A!CI30</f>
        <v>urn:imsikb0101:Applicaties:id:16</v>
      </c>
      <c r="CK30" t="str">
        <f>A!CJ30</f>
        <v>urn:imsikb0101:DatastroomType:id:1</v>
      </c>
      <c r="CL30">
        <f>A!CK30</f>
        <v>45811</v>
      </c>
      <c r="CM30" t="str">
        <f>A!CL30</f>
        <v>SGS, Rotterdam</v>
      </c>
      <c r="CN30" t="str">
        <f>A!CM30</f>
        <v>LABRESULTAAT SGS</v>
      </c>
      <c r="CO30">
        <f>A!CN30</f>
        <v>45811</v>
      </c>
      <c r="CP30">
        <f>A!CO30</f>
        <v>0</v>
      </c>
      <c r="CQ30">
        <f>A!CO30</f>
        <v>0</v>
      </c>
      <c r="CR30" t="str">
        <f>A!CP30</f>
        <v>urn:imsikb0101:Leveranciers:id:21</v>
      </c>
      <c r="CS30" t="str">
        <f>A!CQ30</f>
        <v>14.7.0</v>
      </c>
    </row>
    <row r="31" spans="1:97"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32" t="str">
        <f>IF(A!P31="","",INDEX(B!$A$1:$BT$2000,MATCH(A!P31,B!$AX$1:$AX$2000,0),D!$B$5))</f>
        <v/>
      </c>
      <c r="Q31">
        <f>A!Q31</f>
        <v>0</v>
      </c>
      <c r="R31">
        <f>A!R31</f>
        <v>0</v>
      </c>
      <c r="S31">
        <f>A!S31</f>
        <v>0</v>
      </c>
      <c r="T31">
        <f>A!T31</f>
        <v>0</v>
      </c>
      <c r="U31">
        <f>A!U31</f>
        <v>0</v>
      </c>
      <c r="V31" s="32">
        <f>IF(A!V31="&lt;",1,A!V31)</f>
        <v>0</v>
      </c>
      <c r="W31">
        <f>A!W31</f>
        <v>0</v>
      </c>
      <c r="X31">
        <f>A!X31</f>
        <v>0</v>
      </c>
      <c r="Y31">
        <f>A!Y31</f>
        <v>0</v>
      </c>
      <c r="Z31" s="32">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32"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_4e495d1b-09c8-432b-8c45-258ce8733b11</v>
      </c>
      <c r="BY31" t="str">
        <f>A!BX31</f>
        <v>4e495d1b-09c8-432b-8c45-258ce8733b11</v>
      </c>
      <c r="BZ31" t="str">
        <f>A!BY31</f>
        <v>SIKB</v>
      </c>
      <c r="CA31" t="str">
        <f>A!BZ31</f>
        <v>MM04 04 (100-150) 05 (100-150)</v>
      </c>
      <c r="CB31">
        <f>A!CA31</f>
        <v>45810</v>
      </c>
      <c r="CC31" t="str">
        <f>A!CB31</f>
        <v>#_a13c9c27-ac45-4ff5-8e2b-08bc80806939</v>
      </c>
      <c r="CD31" t="str">
        <f>A!CC31</f>
        <v>#_c4d597b9-b29e-4b9d-b59d-ff100c2a9da5</v>
      </c>
      <c r="CE31">
        <f>A!CD31</f>
        <v>0</v>
      </c>
      <c r="CF31" t="str">
        <f>A!CE31</f>
        <v>urn:immetingen:compartiment:id:1</v>
      </c>
      <c r="CG31" t="str">
        <f>A!CF31</f>
        <v>_TI-65023565</v>
      </c>
      <c r="CH31">
        <f>A!CG31</f>
        <v>45810</v>
      </c>
      <c r="CI31" t="str">
        <f>A!CH31</f>
        <v>urn:immetingen:monstertype:id:10</v>
      </c>
      <c r="CJ31" t="str">
        <f>A!CI31</f>
        <v>urn:imsikb0101:Applicaties:id:16</v>
      </c>
      <c r="CK31" t="str">
        <f>A!CJ31</f>
        <v>urn:imsikb0101:DatastroomType:id:1</v>
      </c>
      <c r="CL31">
        <f>A!CK31</f>
        <v>45811</v>
      </c>
      <c r="CM31" t="str">
        <f>A!CL31</f>
        <v>SGS, Rotterdam</v>
      </c>
      <c r="CN31" t="str">
        <f>A!CM31</f>
        <v>LABRESULTAAT SGS</v>
      </c>
      <c r="CO31">
        <f>A!CN31</f>
        <v>45811</v>
      </c>
      <c r="CP31">
        <f>A!CO31</f>
        <v>0</v>
      </c>
      <c r="CQ31">
        <f>A!CO31</f>
        <v>0</v>
      </c>
      <c r="CR31" t="str">
        <f>A!CP31</f>
        <v>urn:imsikb0101:Leveranciers:id:21</v>
      </c>
      <c r="CS31" t="str">
        <f>A!CQ31</f>
        <v>14.7.0</v>
      </c>
    </row>
    <row r="32" spans="1:97"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32" t="str">
        <f>IF(A!P32="","",INDEX(B!$A$1:$BT$2000,MATCH(A!P32,B!$AX$1:$AX$2000,0),D!$B$5))</f>
        <v/>
      </c>
      <c r="Q32">
        <f>A!Q32</f>
        <v>0</v>
      </c>
      <c r="R32">
        <f>A!R32</f>
        <v>0</v>
      </c>
      <c r="S32">
        <f>A!S32</f>
        <v>0</v>
      </c>
      <c r="T32">
        <f>A!T32</f>
        <v>0</v>
      </c>
      <c r="U32">
        <f>A!U32</f>
        <v>0</v>
      </c>
      <c r="V32" s="32">
        <f>IF(A!V32="&lt;",1,A!V32)</f>
        <v>0</v>
      </c>
      <c r="W32">
        <f>A!W32</f>
        <v>0</v>
      </c>
      <c r="X32">
        <f>A!X32</f>
        <v>0</v>
      </c>
      <c r="Y32">
        <f>A!Y32</f>
        <v>0</v>
      </c>
      <c r="Z32" s="32">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32"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_4e495d1b-09c8-432b-8c45-258ce8733b11</v>
      </c>
      <c r="BY32" t="str">
        <f>A!BX32</f>
        <v>4e495d1b-09c8-432b-8c45-258ce8733b11</v>
      </c>
      <c r="BZ32" t="str">
        <f>A!BY32</f>
        <v>SIKB</v>
      </c>
      <c r="CA32" t="str">
        <f>A!BZ32</f>
        <v>MM04 04 (100-150) 05 (100-150)</v>
      </c>
      <c r="CB32">
        <f>A!CA32</f>
        <v>45810</v>
      </c>
      <c r="CC32" t="str">
        <f>A!CB32</f>
        <v>#_a13c9c27-ac45-4ff5-8e2b-08bc80806939</v>
      </c>
      <c r="CD32" t="str">
        <f>A!CC32</f>
        <v>#_bc325a9e-24c9-4c8a-850d-100872ebb2e1</v>
      </c>
      <c r="CE32">
        <f>A!CD32</f>
        <v>0</v>
      </c>
      <c r="CF32" t="str">
        <f>A!CE32</f>
        <v>urn:immetingen:compartiment:id:1</v>
      </c>
      <c r="CG32" t="str">
        <f>A!CF32</f>
        <v>_TI-65023565</v>
      </c>
      <c r="CH32">
        <f>A!CG32</f>
        <v>45810</v>
      </c>
      <c r="CI32" t="str">
        <f>A!CH32</f>
        <v>urn:immetingen:monstertype:id:10</v>
      </c>
      <c r="CJ32" t="str">
        <f>A!CI32</f>
        <v>urn:imsikb0101:Applicaties:id:16</v>
      </c>
      <c r="CK32" t="str">
        <f>A!CJ32</f>
        <v>urn:imsikb0101:DatastroomType:id:1</v>
      </c>
      <c r="CL32">
        <f>A!CK32</f>
        <v>45811</v>
      </c>
      <c r="CM32" t="str">
        <f>A!CL32</f>
        <v>SGS, Rotterdam</v>
      </c>
      <c r="CN32" t="str">
        <f>A!CM32</f>
        <v>LABRESULTAAT SGS</v>
      </c>
      <c r="CO32">
        <f>A!CN32</f>
        <v>45811</v>
      </c>
      <c r="CP32">
        <f>A!CO32</f>
        <v>0</v>
      </c>
      <c r="CQ32">
        <f>A!CO32</f>
        <v>0</v>
      </c>
      <c r="CR32" t="str">
        <f>A!CP32</f>
        <v>urn:imsikb0101:Leveranciers:id:21</v>
      </c>
      <c r="CS32" t="str">
        <f>A!CQ32</f>
        <v>14.7.0</v>
      </c>
    </row>
    <row r="33" spans="1:97" x14ac:dyDescent="0.2">
      <c r="A33" t="str">
        <f>A!A33</f>
        <v>LABRESULTAAT</v>
      </c>
      <c r="B33">
        <f>A!B33</f>
        <v>5</v>
      </c>
      <c r="C33">
        <f>A!C33</f>
        <v>0</v>
      </c>
      <c r="D33">
        <f>A!D33</f>
        <v>0</v>
      </c>
      <c r="E33">
        <f>A!E33</f>
        <v>0</v>
      </c>
      <c r="F33">
        <f>A!F33</f>
        <v>0</v>
      </c>
      <c r="G33">
        <f>A!G33</f>
        <v>0</v>
      </c>
      <c r="H33">
        <f>A!H33</f>
        <v>0</v>
      </c>
      <c r="I33">
        <f>A!I33</f>
        <v>0</v>
      </c>
      <c r="J33">
        <f>A!J33</f>
        <v>0</v>
      </c>
      <c r="K33">
        <f>A!K33</f>
        <v>0</v>
      </c>
      <c r="L33">
        <f>A!L33</f>
        <v>0</v>
      </c>
      <c r="M33">
        <f>A!M33</f>
        <v>0</v>
      </c>
      <c r="N33">
        <f>A!N33</f>
        <v>0</v>
      </c>
      <c r="O33">
        <f>A!O33</f>
        <v>0</v>
      </c>
      <c r="P33" s="32" t="str">
        <f>IF(A!P33="","",INDEX(B!$A$1:$BT$2000,MATCH(A!P33,B!$AX$1:$AX$2000,0),D!$B$5))</f>
        <v/>
      </c>
      <c r="Q33">
        <f>A!Q33</f>
        <v>0</v>
      </c>
      <c r="R33">
        <f>A!R33</f>
        <v>0</v>
      </c>
      <c r="S33">
        <f>A!S33</f>
        <v>0</v>
      </c>
      <c r="T33">
        <f>A!T33</f>
        <v>0</v>
      </c>
      <c r="U33">
        <f>A!U33</f>
        <v>0</v>
      </c>
      <c r="V33" s="32">
        <f>IF(A!V33="&lt;",1,A!V33)</f>
        <v>0</v>
      </c>
      <c r="W33">
        <f>A!W33</f>
        <v>0</v>
      </c>
      <c r="X33">
        <f>A!X33</f>
        <v>0</v>
      </c>
      <c r="Y33">
        <f>A!Y33</f>
        <v>0</v>
      </c>
      <c r="Z33" s="32">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32"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_4e495d1b-09c8-432b-8c45-258ce8733b11</v>
      </c>
      <c r="BY33" t="str">
        <f>A!BX33</f>
        <v>4e495d1b-09c8-432b-8c45-258ce8733b11</v>
      </c>
      <c r="BZ33" t="str">
        <f>A!BY33</f>
        <v>SIKB</v>
      </c>
      <c r="CA33" t="str">
        <f>A!BZ33</f>
        <v>MM04 04 (100-150) 05 (100-150)</v>
      </c>
      <c r="CB33">
        <f>A!CA33</f>
        <v>45810</v>
      </c>
      <c r="CC33" t="str">
        <f>A!CB33</f>
        <v>#_a13c9c27-ac45-4ff5-8e2b-08bc80806939</v>
      </c>
      <c r="CD33" t="str">
        <f>A!CC33</f>
        <v>#_a1f0a32b-b10d-407a-a6de-61f357694ef3</v>
      </c>
      <c r="CE33">
        <f>A!CD33</f>
        <v>0</v>
      </c>
      <c r="CF33" t="str">
        <f>A!CE33</f>
        <v>urn:immetingen:compartiment:id:1</v>
      </c>
      <c r="CG33" t="str">
        <f>A!CF33</f>
        <v>_TI-65023565</v>
      </c>
      <c r="CH33">
        <f>A!CG33</f>
        <v>45810</v>
      </c>
      <c r="CI33" t="str">
        <f>A!CH33</f>
        <v>urn:immetingen:monstertype:id:10</v>
      </c>
      <c r="CJ33" t="str">
        <f>A!CI33</f>
        <v>urn:imsikb0101:Applicaties:id:16</v>
      </c>
      <c r="CK33" t="str">
        <f>A!CJ33</f>
        <v>urn:imsikb0101:DatastroomType:id:1</v>
      </c>
      <c r="CL33">
        <f>A!CK33</f>
        <v>45811</v>
      </c>
      <c r="CM33" t="str">
        <f>A!CL33</f>
        <v>SGS, Rotterdam</v>
      </c>
      <c r="CN33" t="str">
        <f>A!CM33</f>
        <v>LABRESULTAAT SGS</v>
      </c>
      <c r="CO33">
        <f>A!CN33</f>
        <v>45811</v>
      </c>
      <c r="CP33">
        <f>A!CO33</f>
        <v>0</v>
      </c>
      <c r="CQ33">
        <f>A!CO33</f>
        <v>0</v>
      </c>
      <c r="CR33" t="str">
        <f>A!CP33</f>
        <v>urn:imsikb0101:Leveranciers:id:21</v>
      </c>
      <c r="CS33" t="str">
        <f>A!CQ33</f>
        <v>14.7.0</v>
      </c>
    </row>
    <row r="34" spans="1:97" x14ac:dyDescent="0.2">
      <c r="A34" t="str">
        <f>A!A34</f>
        <v>LABRESULTAAT</v>
      </c>
      <c r="B34">
        <f>A!B34</f>
        <v>5</v>
      </c>
      <c r="C34">
        <f>A!C34</f>
        <v>0</v>
      </c>
      <c r="D34">
        <f>A!D34</f>
        <v>0</v>
      </c>
      <c r="E34">
        <f>A!E34</f>
        <v>0</v>
      </c>
      <c r="F34">
        <f>A!F34</f>
        <v>0</v>
      </c>
      <c r="G34">
        <f>A!G34</f>
        <v>0</v>
      </c>
      <c r="H34">
        <f>A!H34</f>
        <v>0</v>
      </c>
      <c r="I34">
        <f>A!I34</f>
        <v>0</v>
      </c>
      <c r="J34">
        <f>A!J34</f>
        <v>0</v>
      </c>
      <c r="K34">
        <f>A!K34</f>
        <v>0</v>
      </c>
      <c r="L34">
        <f>A!L34</f>
        <v>0</v>
      </c>
      <c r="M34">
        <f>A!M34</f>
        <v>0</v>
      </c>
      <c r="N34">
        <f>A!N34</f>
        <v>0</v>
      </c>
      <c r="O34">
        <f>A!O34</f>
        <v>0</v>
      </c>
      <c r="P34" s="32" t="str">
        <f>IF(A!P34="","",INDEX(B!$A$1:$BT$2000,MATCH(A!P34,B!$AX$1:$AX$2000,0),D!$B$5))</f>
        <v/>
      </c>
      <c r="Q34">
        <f>A!Q34</f>
        <v>0</v>
      </c>
      <c r="R34">
        <f>A!R34</f>
        <v>0</v>
      </c>
      <c r="S34">
        <f>A!S34</f>
        <v>0</v>
      </c>
      <c r="T34">
        <f>A!T34</f>
        <v>0</v>
      </c>
      <c r="U34">
        <f>A!U34</f>
        <v>0</v>
      </c>
      <c r="V34" s="32">
        <f>IF(A!V34="&lt;",1,A!V34)</f>
        <v>0</v>
      </c>
      <c r="W34">
        <f>A!W34</f>
        <v>0</v>
      </c>
      <c r="X34">
        <f>A!X34</f>
        <v>0</v>
      </c>
      <c r="Y34">
        <f>A!Y34</f>
        <v>0</v>
      </c>
      <c r="Z34" s="32">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32"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_4e495d1b-09c8-432b-8c45-258ce8733b11</v>
      </c>
      <c r="BY34" t="str">
        <f>A!BX34</f>
        <v>4e495d1b-09c8-432b-8c45-258ce8733b11</v>
      </c>
      <c r="BZ34" t="str">
        <f>A!BY34</f>
        <v>SIKB</v>
      </c>
      <c r="CA34" t="str">
        <f>A!BZ34</f>
        <v>MM04 04 (100-150) 05 (100-150)</v>
      </c>
      <c r="CB34">
        <f>A!CA34</f>
        <v>45810</v>
      </c>
      <c r="CC34" t="str">
        <f>A!CB34</f>
        <v>#_a13c9c27-ac45-4ff5-8e2b-08bc80806939</v>
      </c>
      <c r="CD34" t="str">
        <f>A!CC34</f>
        <v>#_f3aa6875-f5bb-406c-849c-c8e3b4c6ce61</v>
      </c>
      <c r="CE34">
        <f>A!CD34</f>
        <v>0</v>
      </c>
      <c r="CF34" t="str">
        <f>A!CE34</f>
        <v>urn:immetingen:compartiment:id:1</v>
      </c>
      <c r="CG34" t="str">
        <f>A!CF34</f>
        <v>_TI-65023565</v>
      </c>
      <c r="CH34">
        <f>A!CG34</f>
        <v>45810</v>
      </c>
      <c r="CI34" t="str">
        <f>A!CH34</f>
        <v>urn:immetingen:monstertype:id:10</v>
      </c>
      <c r="CJ34" t="str">
        <f>A!CI34</f>
        <v>urn:imsikb0101:Applicaties:id:16</v>
      </c>
      <c r="CK34" t="str">
        <f>A!CJ34</f>
        <v>urn:imsikb0101:DatastroomType:id:1</v>
      </c>
      <c r="CL34">
        <f>A!CK34</f>
        <v>45811</v>
      </c>
      <c r="CM34" t="str">
        <f>A!CL34</f>
        <v>SGS, Rotterdam</v>
      </c>
      <c r="CN34" t="str">
        <f>A!CM34</f>
        <v>LABRESULTAAT SGS</v>
      </c>
      <c r="CO34">
        <f>A!CN34</f>
        <v>45811</v>
      </c>
      <c r="CP34">
        <f>A!CO34</f>
        <v>0</v>
      </c>
      <c r="CQ34">
        <f>A!CO34</f>
        <v>0</v>
      </c>
      <c r="CR34" t="str">
        <f>A!CP34</f>
        <v>urn:imsikb0101:Leveranciers:id:21</v>
      </c>
      <c r="CS34" t="str">
        <f>A!CQ34</f>
        <v>14.7.0</v>
      </c>
    </row>
    <row r="35" spans="1:97" x14ac:dyDescent="0.2">
      <c r="A35" t="str">
        <f>A!A35</f>
        <v>LABRESULTAAT</v>
      </c>
      <c r="B35">
        <f>A!B35</f>
        <v>5</v>
      </c>
      <c r="C35">
        <f>A!C35</f>
        <v>0</v>
      </c>
      <c r="D35">
        <f>A!D35</f>
        <v>0</v>
      </c>
      <c r="E35">
        <f>A!E35</f>
        <v>0</v>
      </c>
      <c r="F35">
        <f>A!F35</f>
        <v>0</v>
      </c>
      <c r="G35">
        <f>A!G35</f>
        <v>0</v>
      </c>
      <c r="H35">
        <f>A!H35</f>
        <v>0</v>
      </c>
      <c r="I35">
        <f>A!I35</f>
        <v>0</v>
      </c>
      <c r="J35">
        <f>A!J35</f>
        <v>0</v>
      </c>
      <c r="K35">
        <f>A!K35</f>
        <v>0</v>
      </c>
      <c r="L35">
        <f>A!L35</f>
        <v>0</v>
      </c>
      <c r="M35">
        <f>A!M35</f>
        <v>0</v>
      </c>
      <c r="N35">
        <f>A!N35</f>
        <v>0</v>
      </c>
      <c r="O35">
        <f>A!O35</f>
        <v>0</v>
      </c>
      <c r="P35" s="32" t="str">
        <f>IF(A!P35="","",INDEX(B!$A$1:$BT$2000,MATCH(A!P35,B!$AX$1:$AX$2000,0),D!$B$5))</f>
        <v/>
      </c>
      <c r="Q35">
        <f>A!Q35</f>
        <v>0</v>
      </c>
      <c r="R35">
        <f>A!R35</f>
        <v>0</v>
      </c>
      <c r="S35">
        <f>A!S35</f>
        <v>0</v>
      </c>
      <c r="T35">
        <f>A!T35</f>
        <v>0</v>
      </c>
      <c r="U35">
        <f>A!U35</f>
        <v>0</v>
      </c>
      <c r="V35" s="32">
        <f>IF(A!V35="&lt;",1,A!V35)</f>
        <v>0</v>
      </c>
      <c r="W35">
        <f>A!W35</f>
        <v>0</v>
      </c>
      <c r="X35">
        <f>A!X35</f>
        <v>0</v>
      </c>
      <c r="Y35">
        <f>A!Y35</f>
        <v>0</v>
      </c>
      <c r="Z35" s="32">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32"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_4e495d1b-09c8-432b-8c45-258ce8733b11</v>
      </c>
      <c r="BY35" t="str">
        <f>A!BX35</f>
        <v>4e495d1b-09c8-432b-8c45-258ce8733b11</v>
      </c>
      <c r="BZ35" t="str">
        <f>A!BY35</f>
        <v>SIKB</v>
      </c>
      <c r="CA35" t="str">
        <f>A!BZ35</f>
        <v>MM04 04 (100-150) 05 (100-150)</v>
      </c>
      <c r="CB35">
        <f>A!CA35</f>
        <v>45810</v>
      </c>
      <c r="CC35" t="str">
        <f>A!CB35</f>
        <v>#_a13c9c27-ac45-4ff5-8e2b-08bc80806939</v>
      </c>
      <c r="CD35" t="str">
        <f>A!CC35</f>
        <v>#_0aeca438-9716-4bc6-98cd-051fcda2a043</v>
      </c>
      <c r="CE35">
        <f>A!CD35</f>
        <v>0</v>
      </c>
      <c r="CF35" t="str">
        <f>A!CE35</f>
        <v>urn:immetingen:compartiment:id:1</v>
      </c>
      <c r="CG35" t="str">
        <f>A!CF35</f>
        <v>_TI-65023565</v>
      </c>
      <c r="CH35">
        <f>A!CG35</f>
        <v>45810</v>
      </c>
      <c r="CI35" t="str">
        <f>A!CH35</f>
        <v>urn:immetingen:monstertype:id:10</v>
      </c>
      <c r="CJ35" t="str">
        <f>A!CI35</f>
        <v>urn:imsikb0101:Applicaties:id:16</v>
      </c>
      <c r="CK35" t="str">
        <f>A!CJ35</f>
        <v>urn:imsikb0101:DatastroomType:id:1</v>
      </c>
      <c r="CL35">
        <f>A!CK35</f>
        <v>45811</v>
      </c>
      <c r="CM35" t="str">
        <f>A!CL35</f>
        <v>SGS, Rotterdam</v>
      </c>
      <c r="CN35" t="str">
        <f>A!CM35</f>
        <v>LABRESULTAAT SGS</v>
      </c>
      <c r="CO35">
        <f>A!CN35</f>
        <v>45811</v>
      </c>
      <c r="CP35">
        <f>A!CO35</f>
        <v>0</v>
      </c>
      <c r="CQ35">
        <f>A!CO35</f>
        <v>0</v>
      </c>
      <c r="CR35" t="str">
        <f>A!CP35</f>
        <v>urn:imsikb0101:Leveranciers:id:21</v>
      </c>
      <c r="CS35" t="str">
        <f>A!CQ35</f>
        <v>14.7.0</v>
      </c>
    </row>
    <row r="36" spans="1:97" x14ac:dyDescent="0.2">
      <c r="A36" t="str">
        <f>A!A36</f>
        <v>LABRESULTAAT</v>
      </c>
      <c r="B36">
        <f>A!B36</f>
        <v>5</v>
      </c>
      <c r="C36">
        <f>A!C36</f>
        <v>0</v>
      </c>
      <c r="D36">
        <f>A!D36</f>
        <v>0</v>
      </c>
      <c r="E36">
        <f>A!E36</f>
        <v>0</v>
      </c>
      <c r="F36">
        <f>A!F36</f>
        <v>0</v>
      </c>
      <c r="G36">
        <f>A!G36</f>
        <v>0</v>
      </c>
      <c r="H36">
        <f>A!H36</f>
        <v>0</v>
      </c>
      <c r="I36">
        <f>A!I36</f>
        <v>0</v>
      </c>
      <c r="J36">
        <f>A!J36</f>
        <v>0</v>
      </c>
      <c r="K36">
        <f>A!K36</f>
        <v>0</v>
      </c>
      <c r="L36">
        <f>A!L36</f>
        <v>0</v>
      </c>
      <c r="M36">
        <f>A!M36</f>
        <v>0</v>
      </c>
      <c r="N36">
        <f>A!N36</f>
        <v>0</v>
      </c>
      <c r="O36">
        <f>A!O36</f>
        <v>0</v>
      </c>
      <c r="P36" s="32" t="str">
        <f>IF(A!P36="","",INDEX(B!$A$1:$BT$2000,MATCH(A!P36,B!$AX$1:$AX$2000,0),D!$B$5))</f>
        <v/>
      </c>
      <c r="Q36">
        <f>A!Q36</f>
        <v>0</v>
      </c>
      <c r="R36">
        <f>A!R36</f>
        <v>0</v>
      </c>
      <c r="S36">
        <f>A!S36</f>
        <v>0</v>
      </c>
      <c r="T36">
        <f>A!T36</f>
        <v>0</v>
      </c>
      <c r="U36">
        <f>A!U36</f>
        <v>0</v>
      </c>
      <c r="V36" s="32">
        <f>IF(A!V36="&lt;",1,A!V36)</f>
        <v>0</v>
      </c>
      <c r="W36">
        <f>A!W36</f>
        <v>0</v>
      </c>
      <c r="X36">
        <f>A!X36</f>
        <v>0</v>
      </c>
      <c r="Y36">
        <f>A!Y36</f>
        <v>0</v>
      </c>
      <c r="Z36" s="32">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32"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_4e495d1b-09c8-432b-8c45-258ce8733b11</v>
      </c>
      <c r="BY36" t="str">
        <f>A!BX36</f>
        <v>4e495d1b-09c8-432b-8c45-258ce8733b11</v>
      </c>
      <c r="BZ36" t="str">
        <f>A!BY36</f>
        <v>SIKB</v>
      </c>
      <c r="CA36" t="str">
        <f>A!BZ36</f>
        <v>MM04 04 (100-150) 05 (100-150)</v>
      </c>
      <c r="CB36">
        <f>A!CA36</f>
        <v>45810</v>
      </c>
      <c r="CC36" t="str">
        <f>A!CB36</f>
        <v>#_a13c9c27-ac45-4ff5-8e2b-08bc80806939</v>
      </c>
      <c r="CD36" t="str">
        <f>A!CC36</f>
        <v>#_07686c71-855b-4192-8f4b-847f3c87cb24</v>
      </c>
      <c r="CE36">
        <f>A!CD36</f>
        <v>0</v>
      </c>
      <c r="CF36" t="str">
        <f>A!CE36</f>
        <v>urn:immetingen:compartiment:id:1</v>
      </c>
      <c r="CG36" t="str">
        <f>A!CF36</f>
        <v>_TI-65023565</v>
      </c>
      <c r="CH36">
        <f>A!CG36</f>
        <v>45810</v>
      </c>
      <c r="CI36" t="str">
        <f>A!CH36</f>
        <v>urn:immetingen:monstertype:id:10</v>
      </c>
      <c r="CJ36" t="str">
        <f>A!CI36</f>
        <v>urn:imsikb0101:Applicaties:id:16</v>
      </c>
      <c r="CK36" t="str">
        <f>A!CJ36</f>
        <v>urn:imsikb0101:DatastroomType:id:1</v>
      </c>
      <c r="CL36">
        <f>A!CK36</f>
        <v>45811</v>
      </c>
      <c r="CM36" t="str">
        <f>A!CL36</f>
        <v>SGS, Rotterdam</v>
      </c>
      <c r="CN36" t="str">
        <f>A!CM36</f>
        <v>LABRESULTAAT SGS</v>
      </c>
      <c r="CO36">
        <f>A!CN36</f>
        <v>45811</v>
      </c>
      <c r="CP36">
        <f>A!CO36</f>
        <v>0</v>
      </c>
      <c r="CQ36">
        <f>A!CO36</f>
        <v>0</v>
      </c>
      <c r="CR36" t="str">
        <f>A!CP36</f>
        <v>urn:imsikb0101:Leveranciers:id:21</v>
      </c>
      <c r="CS36" t="str">
        <f>A!CQ36</f>
        <v>14.7.0</v>
      </c>
    </row>
    <row r="37" spans="1:97" x14ac:dyDescent="0.2">
      <c r="A37" t="str">
        <f>A!A37</f>
        <v>LABRESULTAAT</v>
      </c>
      <c r="B37">
        <f>A!B37</f>
        <v>5</v>
      </c>
      <c r="C37">
        <f>A!C37</f>
        <v>0</v>
      </c>
      <c r="D37">
        <f>A!D37</f>
        <v>0</v>
      </c>
      <c r="E37">
        <f>A!E37</f>
        <v>0</v>
      </c>
      <c r="F37">
        <f>A!F37</f>
        <v>0</v>
      </c>
      <c r="G37">
        <f>A!G37</f>
        <v>0</v>
      </c>
      <c r="H37">
        <f>A!H37</f>
        <v>0</v>
      </c>
      <c r="I37">
        <f>A!I37</f>
        <v>0</v>
      </c>
      <c r="J37">
        <f>A!J37</f>
        <v>0</v>
      </c>
      <c r="K37">
        <f>A!K37</f>
        <v>0</v>
      </c>
      <c r="L37">
        <f>A!L37</f>
        <v>0</v>
      </c>
      <c r="M37">
        <f>A!M37</f>
        <v>0</v>
      </c>
      <c r="N37">
        <f>A!N37</f>
        <v>0</v>
      </c>
      <c r="O37">
        <f>A!O37</f>
        <v>0</v>
      </c>
      <c r="P37" s="32" t="str">
        <f>IF(A!P37="","",INDEX(B!$A$1:$BT$2000,MATCH(A!P37,B!$AX$1:$AX$2000,0),D!$B$5))</f>
        <v/>
      </c>
      <c r="Q37">
        <f>A!Q37</f>
        <v>0</v>
      </c>
      <c r="R37">
        <f>A!R37</f>
        <v>0</v>
      </c>
      <c r="S37">
        <f>A!S37</f>
        <v>0</v>
      </c>
      <c r="T37">
        <f>A!T37</f>
        <v>0</v>
      </c>
      <c r="U37">
        <f>A!U37</f>
        <v>0</v>
      </c>
      <c r="V37" s="32">
        <f>IF(A!V37="&lt;",1,A!V37)</f>
        <v>0</v>
      </c>
      <c r="W37">
        <f>A!W37</f>
        <v>0</v>
      </c>
      <c r="X37">
        <f>A!X37</f>
        <v>0</v>
      </c>
      <c r="Y37">
        <f>A!Y37</f>
        <v>0</v>
      </c>
      <c r="Z37" s="32">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32"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_4e495d1b-09c8-432b-8c45-258ce8733b11</v>
      </c>
      <c r="BY37" t="str">
        <f>A!BX37</f>
        <v>4e495d1b-09c8-432b-8c45-258ce8733b11</v>
      </c>
      <c r="BZ37" t="str">
        <f>A!BY37</f>
        <v>SIKB</v>
      </c>
      <c r="CA37" t="str">
        <f>A!BZ37</f>
        <v>MM04 04 (100-150) 05 (100-150)</v>
      </c>
      <c r="CB37">
        <f>A!CA37</f>
        <v>45810</v>
      </c>
      <c r="CC37" t="str">
        <f>A!CB37</f>
        <v>#_a13c9c27-ac45-4ff5-8e2b-08bc80806939</v>
      </c>
      <c r="CD37" t="str">
        <f>A!CC37</f>
        <v>#_3ca4f89c-b10f-45ba-81f7-ab67095b8d96</v>
      </c>
      <c r="CE37">
        <f>A!CD37</f>
        <v>0</v>
      </c>
      <c r="CF37" t="str">
        <f>A!CE37</f>
        <v>urn:immetingen:compartiment:id:1</v>
      </c>
      <c r="CG37" t="str">
        <f>A!CF37</f>
        <v>_TI-65023565</v>
      </c>
      <c r="CH37">
        <f>A!CG37</f>
        <v>45810</v>
      </c>
      <c r="CI37" t="str">
        <f>A!CH37</f>
        <v>urn:immetingen:monstertype:id:10</v>
      </c>
      <c r="CJ37" t="str">
        <f>A!CI37</f>
        <v>urn:imsikb0101:Applicaties:id:16</v>
      </c>
      <c r="CK37" t="str">
        <f>A!CJ37</f>
        <v>urn:imsikb0101:DatastroomType:id:1</v>
      </c>
      <c r="CL37">
        <f>A!CK37</f>
        <v>45811</v>
      </c>
      <c r="CM37" t="str">
        <f>A!CL37</f>
        <v>SGS, Rotterdam</v>
      </c>
      <c r="CN37" t="str">
        <f>A!CM37</f>
        <v>LABRESULTAAT SGS</v>
      </c>
      <c r="CO37">
        <f>A!CN37</f>
        <v>45811</v>
      </c>
      <c r="CP37">
        <f>A!CO37</f>
        <v>0</v>
      </c>
      <c r="CQ37">
        <f>A!CO37</f>
        <v>0</v>
      </c>
      <c r="CR37" t="str">
        <f>A!CP37</f>
        <v>urn:imsikb0101:Leveranciers:id:21</v>
      </c>
      <c r="CS37" t="str">
        <f>A!CQ37</f>
        <v>14.7.0</v>
      </c>
    </row>
    <row r="38" spans="1:97" x14ac:dyDescent="0.2">
      <c r="A38" t="str">
        <f>A!A38</f>
        <v>LABRESULTAAT</v>
      </c>
      <c r="B38">
        <f>A!B38</f>
        <v>5</v>
      </c>
      <c r="C38">
        <f>A!C38</f>
        <v>0</v>
      </c>
      <c r="D38">
        <f>A!D38</f>
        <v>0</v>
      </c>
      <c r="E38">
        <f>A!E38</f>
        <v>0</v>
      </c>
      <c r="F38">
        <f>A!F38</f>
        <v>0</v>
      </c>
      <c r="G38">
        <f>A!G38</f>
        <v>0</v>
      </c>
      <c r="H38">
        <f>A!H38</f>
        <v>0</v>
      </c>
      <c r="I38">
        <f>A!I38</f>
        <v>0</v>
      </c>
      <c r="J38">
        <f>A!J38</f>
        <v>0</v>
      </c>
      <c r="K38">
        <f>A!K38</f>
        <v>0</v>
      </c>
      <c r="L38">
        <f>A!L38</f>
        <v>0</v>
      </c>
      <c r="M38">
        <f>A!M38</f>
        <v>0</v>
      </c>
      <c r="N38">
        <f>A!N38</f>
        <v>0</v>
      </c>
      <c r="O38">
        <f>A!O38</f>
        <v>0</v>
      </c>
      <c r="P38" s="32" t="str">
        <f>IF(A!P38="","",INDEX(B!$A$1:$BT$2000,MATCH(A!P38,B!$AX$1:$AX$2000,0),D!$B$5))</f>
        <v/>
      </c>
      <c r="Q38">
        <f>A!Q38</f>
        <v>0</v>
      </c>
      <c r="R38">
        <f>A!R38</f>
        <v>0</v>
      </c>
      <c r="S38">
        <f>A!S38</f>
        <v>0</v>
      </c>
      <c r="T38">
        <f>A!T38</f>
        <v>0</v>
      </c>
      <c r="U38">
        <f>A!U38</f>
        <v>0</v>
      </c>
      <c r="V38" s="32">
        <f>IF(A!V38="&lt;",1,A!V38)</f>
        <v>0</v>
      </c>
      <c r="W38">
        <f>A!W38</f>
        <v>0</v>
      </c>
      <c r="X38">
        <f>A!X38</f>
        <v>0</v>
      </c>
      <c r="Y38">
        <f>A!Y38</f>
        <v>0</v>
      </c>
      <c r="Z38" s="32">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32"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_4e495d1b-09c8-432b-8c45-258ce8733b11</v>
      </c>
      <c r="BY38" t="str">
        <f>A!BX38</f>
        <v>4e495d1b-09c8-432b-8c45-258ce8733b11</v>
      </c>
      <c r="BZ38" t="str">
        <f>A!BY38</f>
        <v>SIKB</v>
      </c>
      <c r="CA38" t="str">
        <f>A!BZ38</f>
        <v>MM04 04 (100-150) 05 (100-150)</v>
      </c>
      <c r="CB38">
        <f>A!CA38</f>
        <v>45810</v>
      </c>
      <c r="CC38" t="str">
        <f>A!CB38</f>
        <v>#_a13c9c27-ac45-4ff5-8e2b-08bc80806939</v>
      </c>
      <c r="CD38" t="str">
        <f>A!CC38</f>
        <v>#_b524d4c3-2e15-4660-964a-b3045bd2313c</v>
      </c>
      <c r="CE38">
        <f>A!CD38</f>
        <v>0</v>
      </c>
      <c r="CF38" t="str">
        <f>A!CE38</f>
        <v>urn:immetingen:compartiment:id:1</v>
      </c>
      <c r="CG38" t="str">
        <f>A!CF38</f>
        <v>_TI-65023565</v>
      </c>
      <c r="CH38">
        <f>A!CG38</f>
        <v>45810</v>
      </c>
      <c r="CI38" t="str">
        <f>A!CH38</f>
        <v>urn:immetingen:monstertype:id:10</v>
      </c>
      <c r="CJ38" t="str">
        <f>A!CI38</f>
        <v>urn:imsikb0101:Applicaties:id:16</v>
      </c>
      <c r="CK38" t="str">
        <f>A!CJ38</f>
        <v>urn:imsikb0101:DatastroomType:id:1</v>
      </c>
      <c r="CL38">
        <f>A!CK38</f>
        <v>45811</v>
      </c>
      <c r="CM38" t="str">
        <f>A!CL38</f>
        <v>SGS, Rotterdam</v>
      </c>
      <c r="CN38" t="str">
        <f>A!CM38</f>
        <v>LABRESULTAAT SGS</v>
      </c>
      <c r="CO38">
        <f>A!CN38</f>
        <v>45811</v>
      </c>
      <c r="CP38">
        <f>A!CO38</f>
        <v>0</v>
      </c>
      <c r="CQ38">
        <f>A!CO38</f>
        <v>0</v>
      </c>
      <c r="CR38" t="str">
        <f>A!CP38</f>
        <v>urn:imsikb0101:Leveranciers:id:21</v>
      </c>
      <c r="CS38" t="str">
        <f>A!CQ38</f>
        <v>14.7.0</v>
      </c>
    </row>
    <row r="39" spans="1:97" x14ac:dyDescent="0.2">
      <c r="A39" t="str">
        <f>A!A39</f>
        <v>LABRESULTAAT</v>
      </c>
      <c r="B39">
        <f>A!B39</f>
        <v>5</v>
      </c>
      <c r="C39">
        <f>A!C39</f>
        <v>0</v>
      </c>
      <c r="D39">
        <f>A!D39</f>
        <v>0</v>
      </c>
      <c r="E39">
        <f>A!E39</f>
        <v>0</v>
      </c>
      <c r="F39">
        <f>A!F39</f>
        <v>0</v>
      </c>
      <c r="G39">
        <f>A!G39</f>
        <v>0</v>
      </c>
      <c r="H39">
        <f>A!H39</f>
        <v>0</v>
      </c>
      <c r="I39">
        <f>A!I39</f>
        <v>0</v>
      </c>
      <c r="J39">
        <f>A!J39</f>
        <v>0</v>
      </c>
      <c r="K39">
        <f>A!K39</f>
        <v>0</v>
      </c>
      <c r="L39">
        <f>A!L39</f>
        <v>0</v>
      </c>
      <c r="M39">
        <f>A!M39</f>
        <v>0</v>
      </c>
      <c r="N39">
        <f>A!N39</f>
        <v>0</v>
      </c>
      <c r="O39">
        <f>A!O39</f>
        <v>0</v>
      </c>
      <c r="P39" s="32" t="str">
        <f>IF(A!P39="","",INDEX(B!$A$1:$BT$2000,MATCH(A!P39,B!$AX$1:$AX$2000,0),D!$B$5))</f>
        <v/>
      </c>
      <c r="Q39">
        <f>A!Q39</f>
        <v>0</v>
      </c>
      <c r="R39">
        <f>A!R39</f>
        <v>0</v>
      </c>
      <c r="S39">
        <f>A!S39</f>
        <v>0</v>
      </c>
      <c r="T39">
        <f>A!T39</f>
        <v>0</v>
      </c>
      <c r="U39">
        <f>A!U39</f>
        <v>0</v>
      </c>
      <c r="V39" s="32">
        <f>IF(A!V39="&lt;",1,A!V39)</f>
        <v>0</v>
      </c>
      <c r="W39">
        <f>A!W39</f>
        <v>0</v>
      </c>
      <c r="X39">
        <f>A!X39</f>
        <v>0</v>
      </c>
      <c r="Y39">
        <f>A!Y39</f>
        <v>0</v>
      </c>
      <c r="Z39" s="32">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32"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_4e495d1b-09c8-432b-8c45-258ce8733b11</v>
      </c>
      <c r="BY39" t="str">
        <f>A!BX39</f>
        <v>4e495d1b-09c8-432b-8c45-258ce8733b11</v>
      </c>
      <c r="BZ39" t="str">
        <f>A!BY39</f>
        <v>SIKB</v>
      </c>
      <c r="CA39" t="str">
        <f>A!BZ39</f>
        <v>MM04 04 (100-150) 05 (100-150)</v>
      </c>
      <c r="CB39">
        <f>A!CA39</f>
        <v>45810</v>
      </c>
      <c r="CC39" t="str">
        <f>A!CB39</f>
        <v>#_a13c9c27-ac45-4ff5-8e2b-08bc80806939</v>
      </c>
      <c r="CD39" t="str">
        <f>A!CC39</f>
        <v>#_500e8805-2516-42ad-9027-f3471bf27b65</v>
      </c>
      <c r="CE39">
        <f>A!CD39</f>
        <v>0</v>
      </c>
      <c r="CF39" t="str">
        <f>A!CE39</f>
        <v>urn:immetingen:compartiment:id:1</v>
      </c>
      <c r="CG39" t="str">
        <f>A!CF39</f>
        <v>_TI-65023565</v>
      </c>
      <c r="CH39">
        <f>A!CG39</f>
        <v>45810</v>
      </c>
      <c r="CI39" t="str">
        <f>A!CH39</f>
        <v>urn:immetingen:monstertype:id:10</v>
      </c>
      <c r="CJ39" t="str">
        <f>A!CI39</f>
        <v>urn:imsikb0101:Applicaties:id:16</v>
      </c>
      <c r="CK39" t="str">
        <f>A!CJ39</f>
        <v>urn:imsikb0101:DatastroomType:id:1</v>
      </c>
      <c r="CL39">
        <f>A!CK39</f>
        <v>45811</v>
      </c>
      <c r="CM39" t="str">
        <f>A!CL39</f>
        <v>SGS, Rotterdam</v>
      </c>
      <c r="CN39" t="str">
        <f>A!CM39</f>
        <v>LABRESULTAAT SGS</v>
      </c>
      <c r="CO39">
        <f>A!CN39</f>
        <v>45811</v>
      </c>
      <c r="CP39">
        <f>A!CO39</f>
        <v>0</v>
      </c>
      <c r="CQ39">
        <f>A!CO39</f>
        <v>0</v>
      </c>
      <c r="CR39" t="str">
        <f>A!CP39</f>
        <v>urn:imsikb0101:Leveranciers:id:21</v>
      </c>
      <c r="CS39" t="str">
        <f>A!CQ39</f>
        <v>14.7.0</v>
      </c>
    </row>
    <row r="40" spans="1:97" x14ac:dyDescent="0.2">
      <c r="A40" t="str">
        <f>A!A40</f>
        <v>LABRESULTAAT</v>
      </c>
      <c r="B40">
        <f>A!B40</f>
        <v>5</v>
      </c>
      <c r="C40">
        <f>A!C40</f>
        <v>0</v>
      </c>
      <c r="D40">
        <f>A!D40</f>
        <v>0</v>
      </c>
      <c r="E40">
        <f>A!E40</f>
        <v>0</v>
      </c>
      <c r="F40">
        <f>A!F40</f>
        <v>0</v>
      </c>
      <c r="G40">
        <f>A!G40</f>
        <v>0</v>
      </c>
      <c r="H40">
        <f>A!H40</f>
        <v>0</v>
      </c>
      <c r="I40">
        <f>A!I40</f>
        <v>0</v>
      </c>
      <c r="J40">
        <f>A!J40</f>
        <v>0</v>
      </c>
      <c r="K40">
        <f>A!K40</f>
        <v>0</v>
      </c>
      <c r="L40">
        <f>A!L40</f>
        <v>0</v>
      </c>
      <c r="M40">
        <f>A!M40</f>
        <v>0</v>
      </c>
      <c r="N40">
        <f>A!N40</f>
        <v>0</v>
      </c>
      <c r="O40">
        <f>A!O40</f>
        <v>0</v>
      </c>
      <c r="P40" s="32" t="str">
        <f>IF(A!P40="","",INDEX(B!$A$1:$BT$2000,MATCH(A!P40,B!$AX$1:$AX$2000,0),D!$B$5))</f>
        <v/>
      </c>
      <c r="Q40">
        <f>A!Q40</f>
        <v>0</v>
      </c>
      <c r="R40">
        <f>A!R40</f>
        <v>0</v>
      </c>
      <c r="S40">
        <f>A!S40</f>
        <v>0</v>
      </c>
      <c r="T40">
        <f>A!T40</f>
        <v>0</v>
      </c>
      <c r="U40">
        <f>A!U40</f>
        <v>0</v>
      </c>
      <c r="V40" s="32">
        <f>IF(A!V40="&lt;",1,A!V40)</f>
        <v>0</v>
      </c>
      <c r="W40">
        <f>A!W40</f>
        <v>0</v>
      </c>
      <c r="X40">
        <f>A!X40</f>
        <v>0</v>
      </c>
      <c r="Y40">
        <f>A!Y40</f>
        <v>0</v>
      </c>
      <c r="Z40" s="32">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32"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_4e495d1b-09c8-432b-8c45-258ce8733b11</v>
      </c>
      <c r="BY40" t="str">
        <f>A!BX40</f>
        <v>4e495d1b-09c8-432b-8c45-258ce8733b11</v>
      </c>
      <c r="BZ40" t="str">
        <f>A!BY40</f>
        <v>SIKB</v>
      </c>
      <c r="CA40" t="str">
        <f>A!BZ40</f>
        <v>MM04 04 (100-150) 05 (100-150)</v>
      </c>
      <c r="CB40">
        <f>A!CA40</f>
        <v>45810</v>
      </c>
      <c r="CC40" t="str">
        <f>A!CB40</f>
        <v>#_a13c9c27-ac45-4ff5-8e2b-08bc80806939</v>
      </c>
      <c r="CD40" t="str">
        <f>A!CC40</f>
        <v>#_8acb7da1-4873-4fa7-b843-e53bbfc7d60f</v>
      </c>
      <c r="CE40">
        <f>A!CD40</f>
        <v>0</v>
      </c>
      <c r="CF40" t="str">
        <f>A!CE40</f>
        <v>urn:immetingen:compartiment:id:1</v>
      </c>
      <c r="CG40" t="str">
        <f>A!CF40</f>
        <v>_TI-65023565</v>
      </c>
      <c r="CH40">
        <f>A!CG40</f>
        <v>45810</v>
      </c>
      <c r="CI40" t="str">
        <f>A!CH40</f>
        <v>urn:immetingen:monstertype:id:10</v>
      </c>
      <c r="CJ40" t="str">
        <f>A!CI40</f>
        <v>urn:imsikb0101:Applicaties:id:16</v>
      </c>
      <c r="CK40" t="str">
        <f>A!CJ40</f>
        <v>urn:imsikb0101:DatastroomType:id:1</v>
      </c>
      <c r="CL40">
        <f>A!CK40</f>
        <v>45811</v>
      </c>
      <c r="CM40" t="str">
        <f>A!CL40</f>
        <v>SGS, Rotterdam</v>
      </c>
      <c r="CN40" t="str">
        <f>A!CM40</f>
        <v>LABRESULTAAT SGS</v>
      </c>
      <c r="CO40">
        <f>A!CN40</f>
        <v>45811</v>
      </c>
      <c r="CP40">
        <f>A!CO40</f>
        <v>0</v>
      </c>
      <c r="CQ40">
        <f>A!CO40</f>
        <v>0</v>
      </c>
      <c r="CR40" t="str">
        <f>A!CP40</f>
        <v>urn:imsikb0101:Leveranciers:id:21</v>
      </c>
      <c r="CS40" t="str">
        <f>A!CQ40</f>
        <v>14.7.0</v>
      </c>
    </row>
    <row r="41" spans="1:97" x14ac:dyDescent="0.2">
      <c r="A41" t="str">
        <f>A!A41</f>
        <v>LABRESULTAAT</v>
      </c>
      <c r="B41">
        <f>A!B41</f>
        <v>5</v>
      </c>
      <c r="C41">
        <f>A!C41</f>
        <v>0</v>
      </c>
      <c r="D41">
        <f>A!D41</f>
        <v>0</v>
      </c>
      <c r="E41">
        <f>A!E41</f>
        <v>0</v>
      </c>
      <c r="F41">
        <f>A!F41</f>
        <v>0</v>
      </c>
      <c r="G41">
        <f>A!G41</f>
        <v>0</v>
      </c>
      <c r="H41">
        <f>A!H41</f>
        <v>0</v>
      </c>
      <c r="I41">
        <f>A!I41</f>
        <v>0</v>
      </c>
      <c r="J41">
        <f>A!J41</f>
        <v>0</v>
      </c>
      <c r="K41">
        <f>A!K41</f>
        <v>0</v>
      </c>
      <c r="L41">
        <f>A!L41</f>
        <v>0</v>
      </c>
      <c r="M41">
        <f>A!M41</f>
        <v>0</v>
      </c>
      <c r="N41">
        <f>A!N41</f>
        <v>0</v>
      </c>
      <c r="O41">
        <f>A!O41</f>
        <v>0</v>
      </c>
      <c r="P41" s="32" t="str">
        <f>IF(A!P41="","",INDEX(B!$A$1:$BT$2000,MATCH(A!P41,B!$AX$1:$AX$2000,0),D!$B$5))</f>
        <v/>
      </c>
      <c r="Q41">
        <f>A!Q41</f>
        <v>0</v>
      </c>
      <c r="R41">
        <f>A!R41</f>
        <v>0</v>
      </c>
      <c r="S41">
        <f>A!S41</f>
        <v>0</v>
      </c>
      <c r="T41">
        <f>A!T41</f>
        <v>0</v>
      </c>
      <c r="U41">
        <f>A!U41</f>
        <v>0</v>
      </c>
      <c r="V41" s="32">
        <f>IF(A!V41="&lt;",1,A!V41)</f>
        <v>0</v>
      </c>
      <c r="W41">
        <f>A!W41</f>
        <v>0</v>
      </c>
      <c r="X41">
        <f>A!X41</f>
        <v>0</v>
      </c>
      <c r="Y41">
        <f>A!Y41</f>
        <v>0</v>
      </c>
      <c r="Z41" s="32">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32"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_4e495d1b-09c8-432b-8c45-258ce8733b11</v>
      </c>
      <c r="BY41" t="str">
        <f>A!BX41</f>
        <v>4e495d1b-09c8-432b-8c45-258ce8733b11</v>
      </c>
      <c r="BZ41" t="str">
        <f>A!BY41</f>
        <v>SIKB</v>
      </c>
      <c r="CA41" t="str">
        <f>A!BZ41</f>
        <v>MM04 04 (100-150) 05 (100-150)</v>
      </c>
      <c r="CB41">
        <f>A!CA41</f>
        <v>45810</v>
      </c>
      <c r="CC41" t="str">
        <f>A!CB41</f>
        <v>#_a13c9c27-ac45-4ff5-8e2b-08bc80806939</v>
      </c>
      <c r="CD41" t="str">
        <f>A!CC41</f>
        <v>#_af73aee8-c200-469d-a315-7c951404b98c</v>
      </c>
      <c r="CE41">
        <f>A!CD41</f>
        <v>0</v>
      </c>
      <c r="CF41" t="str">
        <f>A!CE41</f>
        <v>urn:immetingen:compartiment:id:1</v>
      </c>
      <c r="CG41" t="str">
        <f>A!CF41</f>
        <v>_TI-65023565</v>
      </c>
      <c r="CH41">
        <f>A!CG41</f>
        <v>45810</v>
      </c>
      <c r="CI41" t="str">
        <f>A!CH41</f>
        <v>urn:immetingen:monstertype:id:10</v>
      </c>
      <c r="CJ41" t="str">
        <f>A!CI41</f>
        <v>urn:imsikb0101:Applicaties:id:16</v>
      </c>
      <c r="CK41" t="str">
        <f>A!CJ41</f>
        <v>urn:imsikb0101:DatastroomType:id:1</v>
      </c>
      <c r="CL41">
        <f>A!CK41</f>
        <v>45811</v>
      </c>
      <c r="CM41" t="str">
        <f>A!CL41</f>
        <v>SGS, Rotterdam</v>
      </c>
      <c r="CN41" t="str">
        <f>A!CM41</f>
        <v>LABRESULTAAT SGS</v>
      </c>
      <c r="CO41">
        <f>A!CN41</f>
        <v>45811</v>
      </c>
      <c r="CP41">
        <f>A!CO41</f>
        <v>0</v>
      </c>
      <c r="CQ41">
        <f>A!CO41</f>
        <v>0</v>
      </c>
      <c r="CR41" t="str">
        <f>A!CP41</f>
        <v>urn:imsikb0101:Leveranciers:id:21</v>
      </c>
      <c r="CS41" t="str">
        <f>A!CQ41</f>
        <v>14.7.0</v>
      </c>
    </row>
    <row r="42" spans="1:97" x14ac:dyDescent="0.2">
      <c r="A42" t="str">
        <f>A!A42</f>
        <v>LABRESULTAAT</v>
      </c>
      <c r="B42">
        <f>A!B42</f>
        <v>5</v>
      </c>
      <c r="C42">
        <f>A!C42</f>
        <v>0</v>
      </c>
      <c r="D42">
        <f>A!D42</f>
        <v>0</v>
      </c>
      <c r="E42">
        <f>A!E42</f>
        <v>0</v>
      </c>
      <c r="F42">
        <f>A!F42</f>
        <v>0</v>
      </c>
      <c r="G42">
        <f>A!G42</f>
        <v>0</v>
      </c>
      <c r="H42">
        <f>A!H42</f>
        <v>0</v>
      </c>
      <c r="I42">
        <f>A!I42</f>
        <v>0</v>
      </c>
      <c r="J42">
        <f>A!J42</f>
        <v>0</v>
      </c>
      <c r="K42">
        <f>A!K42</f>
        <v>0</v>
      </c>
      <c r="L42">
        <f>A!L42</f>
        <v>0</v>
      </c>
      <c r="M42">
        <f>A!M42</f>
        <v>0</v>
      </c>
      <c r="N42">
        <f>A!N42</f>
        <v>0</v>
      </c>
      <c r="O42">
        <f>A!O42</f>
        <v>0</v>
      </c>
      <c r="P42" s="32" t="str">
        <f>IF(A!P42="","",INDEX(B!$A$1:$BT$2000,MATCH(A!P42,B!$AX$1:$AX$2000,0),D!$B$5))</f>
        <v/>
      </c>
      <c r="Q42">
        <f>A!Q42</f>
        <v>0</v>
      </c>
      <c r="R42">
        <f>A!R42</f>
        <v>0</v>
      </c>
      <c r="S42">
        <f>A!S42</f>
        <v>0</v>
      </c>
      <c r="T42">
        <f>A!T42</f>
        <v>0</v>
      </c>
      <c r="U42">
        <f>A!U42</f>
        <v>0</v>
      </c>
      <c r="V42" s="32">
        <f>IF(A!V42="&lt;",1,A!V42)</f>
        <v>0</v>
      </c>
      <c r="W42">
        <f>A!W42</f>
        <v>0</v>
      </c>
      <c r="X42">
        <f>A!X42</f>
        <v>0</v>
      </c>
      <c r="Y42">
        <f>A!Y42</f>
        <v>0</v>
      </c>
      <c r="Z42" s="32">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32"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_4e495d1b-09c8-432b-8c45-258ce8733b11</v>
      </c>
      <c r="BY42" t="str">
        <f>A!BX42</f>
        <v>4e495d1b-09c8-432b-8c45-258ce8733b11</v>
      </c>
      <c r="BZ42" t="str">
        <f>A!BY42</f>
        <v>SIKB</v>
      </c>
      <c r="CA42" t="str">
        <f>A!BZ42</f>
        <v>MM04 04 (100-150) 05 (100-150)</v>
      </c>
      <c r="CB42">
        <f>A!CA42</f>
        <v>45810</v>
      </c>
      <c r="CC42" t="str">
        <f>A!CB42</f>
        <v>#_a13c9c27-ac45-4ff5-8e2b-08bc80806939</v>
      </c>
      <c r="CD42" t="str">
        <f>A!CC42</f>
        <v>#_c0dd7985-c65d-42c1-a1fa-fe30e03c4761</v>
      </c>
      <c r="CE42">
        <f>A!CD42</f>
        <v>0</v>
      </c>
      <c r="CF42" t="str">
        <f>A!CE42</f>
        <v>urn:immetingen:compartiment:id:1</v>
      </c>
      <c r="CG42" t="str">
        <f>A!CF42</f>
        <v>_TI-65023565</v>
      </c>
      <c r="CH42">
        <f>A!CG42</f>
        <v>45810</v>
      </c>
      <c r="CI42" t="str">
        <f>A!CH42</f>
        <v>urn:immetingen:monstertype:id:10</v>
      </c>
      <c r="CJ42" t="str">
        <f>A!CI42</f>
        <v>urn:imsikb0101:Applicaties:id:16</v>
      </c>
      <c r="CK42" t="str">
        <f>A!CJ42</f>
        <v>urn:imsikb0101:DatastroomType:id:1</v>
      </c>
      <c r="CL42">
        <f>A!CK42</f>
        <v>45811</v>
      </c>
      <c r="CM42" t="str">
        <f>A!CL42</f>
        <v>SGS, Rotterdam</v>
      </c>
      <c r="CN42" t="str">
        <f>A!CM42</f>
        <v>LABRESULTAAT SGS</v>
      </c>
      <c r="CO42">
        <f>A!CN42</f>
        <v>45811</v>
      </c>
      <c r="CP42">
        <f>A!CO42</f>
        <v>0</v>
      </c>
      <c r="CQ42">
        <f>A!CO42</f>
        <v>0</v>
      </c>
      <c r="CR42" t="str">
        <f>A!CP42</f>
        <v>urn:imsikb0101:Leveranciers:id:21</v>
      </c>
      <c r="CS42" t="str">
        <f>A!CQ42</f>
        <v>14.7.0</v>
      </c>
    </row>
    <row r="43" spans="1:97" x14ac:dyDescent="0.2">
      <c r="A43" t="str">
        <f>A!A43</f>
        <v>LABRESULTAAT</v>
      </c>
      <c r="B43">
        <f>A!B43</f>
        <v>5</v>
      </c>
      <c r="C43">
        <f>A!C43</f>
        <v>0</v>
      </c>
      <c r="D43">
        <f>A!D43</f>
        <v>0</v>
      </c>
      <c r="E43">
        <f>A!E43</f>
        <v>0</v>
      </c>
      <c r="F43">
        <f>A!F43</f>
        <v>0</v>
      </c>
      <c r="G43">
        <f>A!G43</f>
        <v>0</v>
      </c>
      <c r="H43">
        <f>A!H43</f>
        <v>0</v>
      </c>
      <c r="I43">
        <f>A!I43</f>
        <v>0</v>
      </c>
      <c r="J43">
        <f>A!J43</f>
        <v>0</v>
      </c>
      <c r="K43">
        <f>A!K43</f>
        <v>0</v>
      </c>
      <c r="L43">
        <f>A!L43</f>
        <v>0</v>
      </c>
      <c r="M43">
        <f>A!M43</f>
        <v>0</v>
      </c>
      <c r="N43">
        <f>A!N43</f>
        <v>0</v>
      </c>
      <c r="O43">
        <f>A!O43</f>
        <v>0</v>
      </c>
      <c r="P43" s="32" t="str">
        <f>IF(A!P43="","",INDEX(B!$A$1:$BT$2000,MATCH(A!P43,B!$AX$1:$AX$2000,0),D!$B$5))</f>
        <v/>
      </c>
      <c r="Q43">
        <f>A!Q43</f>
        <v>0</v>
      </c>
      <c r="R43">
        <f>A!R43</f>
        <v>0</v>
      </c>
      <c r="S43">
        <f>A!S43</f>
        <v>0</v>
      </c>
      <c r="T43">
        <f>A!T43</f>
        <v>0</v>
      </c>
      <c r="U43">
        <f>A!U43</f>
        <v>0</v>
      </c>
      <c r="V43" s="32">
        <f>IF(A!V43="&lt;",1,A!V43)</f>
        <v>0</v>
      </c>
      <c r="W43">
        <f>A!W43</f>
        <v>0</v>
      </c>
      <c r="X43">
        <f>A!X43</f>
        <v>0</v>
      </c>
      <c r="Y43">
        <f>A!Y43</f>
        <v>0</v>
      </c>
      <c r="Z43" s="32">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32"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_4e495d1b-09c8-432b-8c45-258ce8733b11</v>
      </c>
      <c r="BY43" t="str">
        <f>A!BX43</f>
        <v>4e495d1b-09c8-432b-8c45-258ce8733b11</v>
      </c>
      <c r="BZ43" t="str">
        <f>A!BY43</f>
        <v>SIKB</v>
      </c>
      <c r="CA43" t="str">
        <f>A!BZ43</f>
        <v>MM04 04 (100-150) 05 (100-150)</v>
      </c>
      <c r="CB43">
        <f>A!CA43</f>
        <v>45810</v>
      </c>
      <c r="CC43" t="str">
        <f>A!CB43</f>
        <v>#_a13c9c27-ac45-4ff5-8e2b-08bc80806939</v>
      </c>
      <c r="CD43" t="str">
        <f>A!CC43</f>
        <v>#_578dc420-1101-4baa-ab6a-bf98902b3c08</v>
      </c>
      <c r="CE43">
        <f>A!CD43</f>
        <v>0</v>
      </c>
      <c r="CF43" t="str">
        <f>A!CE43</f>
        <v>urn:immetingen:compartiment:id:1</v>
      </c>
      <c r="CG43" t="str">
        <f>A!CF43</f>
        <v>_TI-65023565</v>
      </c>
      <c r="CH43">
        <f>A!CG43</f>
        <v>45810</v>
      </c>
      <c r="CI43" t="str">
        <f>A!CH43</f>
        <v>urn:immetingen:monstertype:id:10</v>
      </c>
      <c r="CJ43" t="str">
        <f>A!CI43</f>
        <v>urn:imsikb0101:Applicaties:id:16</v>
      </c>
      <c r="CK43" t="str">
        <f>A!CJ43</f>
        <v>urn:imsikb0101:DatastroomType:id:1</v>
      </c>
      <c r="CL43">
        <f>A!CK43</f>
        <v>45811</v>
      </c>
      <c r="CM43" t="str">
        <f>A!CL43</f>
        <v>SGS, Rotterdam</v>
      </c>
      <c r="CN43" t="str">
        <f>A!CM43</f>
        <v>LABRESULTAAT SGS</v>
      </c>
      <c r="CO43">
        <f>A!CN43</f>
        <v>45811</v>
      </c>
      <c r="CP43">
        <f>A!CO43</f>
        <v>0</v>
      </c>
      <c r="CQ43">
        <f>A!CO43</f>
        <v>0</v>
      </c>
      <c r="CR43" t="str">
        <f>A!CP43</f>
        <v>urn:imsikb0101:Leveranciers:id:21</v>
      </c>
      <c r="CS43" t="str">
        <f>A!CQ43</f>
        <v>14.7.0</v>
      </c>
    </row>
    <row r="44" spans="1:97" x14ac:dyDescent="0.2">
      <c r="A44" t="str">
        <f>A!A44</f>
        <v>LABRESULTAAT</v>
      </c>
      <c r="B44">
        <f>A!B44</f>
        <v>5</v>
      </c>
      <c r="C44">
        <f>A!C44</f>
        <v>0</v>
      </c>
      <c r="D44">
        <f>A!D44</f>
        <v>0</v>
      </c>
      <c r="E44">
        <f>A!E44</f>
        <v>0</v>
      </c>
      <c r="F44">
        <f>A!F44</f>
        <v>0</v>
      </c>
      <c r="G44">
        <f>A!G44</f>
        <v>0</v>
      </c>
      <c r="H44">
        <f>A!H44</f>
        <v>0</v>
      </c>
      <c r="I44">
        <f>A!I44</f>
        <v>0</v>
      </c>
      <c r="J44">
        <f>A!J44</f>
        <v>0</v>
      </c>
      <c r="K44">
        <f>A!K44</f>
        <v>0</v>
      </c>
      <c r="L44">
        <f>A!L44</f>
        <v>0</v>
      </c>
      <c r="M44">
        <f>A!M44</f>
        <v>0</v>
      </c>
      <c r="N44">
        <f>A!N44</f>
        <v>0</v>
      </c>
      <c r="O44">
        <f>A!O44</f>
        <v>0</v>
      </c>
      <c r="P44" s="32" t="str">
        <f>IF(A!P44="","",INDEX(B!$A$1:$BT$2000,MATCH(A!P44,B!$AX$1:$AX$2000,0),D!$B$5))</f>
        <v/>
      </c>
      <c r="Q44">
        <f>A!Q44</f>
        <v>0</v>
      </c>
      <c r="R44">
        <f>A!R44</f>
        <v>0</v>
      </c>
      <c r="S44">
        <f>A!S44</f>
        <v>0</v>
      </c>
      <c r="T44">
        <f>A!T44</f>
        <v>0</v>
      </c>
      <c r="U44">
        <f>A!U44</f>
        <v>0</v>
      </c>
      <c r="V44" s="32">
        <f>IF(A!V44="&lt;",1,A!V44)</f>
        <v>0</v>
      </c>
      <c r="W44">
        <f>A!W44</f>
        <v>0</v>
      </c>
      <c r="X44">
        <f>A!X44</f>
        <v>0</v>
      </c>
      <c r="Y44">
        <f>A!Y44</f>
        <v>0</v>
      </c>
      <c r="Z44" s="32">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32"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_4e495d1b-09c8-432b-8c45-258ce8733b11</v>
      </c>
      <c r="BY44" t="str">
        <f>A!BX44</f>
        <v>4e495d1b-09c8-432b-8c45-258ce8733b11</v>
      </c>
      <c r="BZ44" t="str">
        <f>A!BY44</f>
        <v>SIKB</v>
      </c>
      <c r="CA44" t="str">
        <f>A!BZ44</f>
        <v>MM04 04 (100-150) 05 (100-150)</v>
      </c>
      <c r="CB44">
        <f>A!CA44</f>
        <v>45810</v>
      </c>
      <c r="CC44" t="str">
        <f>A!CB44</f>
        <v>#_a13c9c27-ac45-4ff5-8e2b-08bc80806939</v>
      </c>
      <c r="CD44" t="str">
        <f>A!CC44</f>
        <v>#_58ced516-4b70-47ff-8972-5257068d3772</v>
      </c>
      <c r="CE44">
        <f>A!CD44</f>
        <v>0</v>
      </c>
      <c r="CF44" t="str">
        <f>A!CE44</f>
        <v>urn:immetingen:compartiment:id:1</v>
      </c>
      <c r="CG44" t="str">
        <f>A!CF44</f>
        <v>_TI-65023565</v>
      </c>
      <c r="CH44">
        <f>A!CG44</f>
        <v>45810</v>
      </c>
      <c r="CI44" t="str">
        <f>A!CH44</f>
        <v>urn:immetingen:monstertype:id:10</v>
      </c>
      <c r="CJ44" t="str">
        <f>A!CI44</f>
        <v>urn:imsikb0101:Applicaties:id:16</v>
      </c>
      <c r="CK44" t="str">
        <f>A!CJ44</f>
        <v>urn:imsikb0101:DatastroomType:id:1</v>
      </c>
      <c r="CL44">
        <f>A!CK44</f>
        <v>45811</v>
      </c>
      <c r="CM44" t="str">
        <f>A!CL44</f>
        <v>SGS, Rotterdam</v>
      </c>
      <c r="CN44" t="str">
        <f>A!CM44</f>
        <v>LABRESULTAAT SGS</v>
      </c>
      <c r="CO44">
        <f>A!CN44</f>
        <v>45811</v>
      </c>
      <c r="CP44">
        <f>A!CO44</f>
        <v>0</v>
      </c>
      <c r="CQ44">
        <f>A!CO44</f>
        <v>0</v>
      </c>
      <c r="CR44" t="str">
        <f>A!CP44</f>
        <v>urn:imsikb0101:Leveranciers:id:21</v>
      </c>
      <c r="CS44" t="str">
        <f>A!CQ44</f>
        <v>14.7.0</v>
      </c>
    </row>
    <row r="45" spans="1:97" x14ac:dyDescent="0.2">
      <c r="A45" t="str">
        <f>A!A45</f>
        <v>LABRESULTAAT</v>
      </c>
      <c r="B45">
        <f>A!B45</f>
        <v>5</v>
      </c>
      <c r="C45">
        <f>A!C45</f>
        <v>0</v>
      </c>
      <c r="D45">
        <f>A!D45</f>
        <v>0</v>
      </c>
      <c r="E45">
        <f>A!E45</f>
        <v>0</v>
      </c>
      <c r="F45">
        <f>A!F45</f>
        <v>0</v>
      </c>
      <c r="G45">
        <f>A!G45</f>
        <v>0</v>
      </c>
      <c r="H45">
        <f>A!H45</f>
        <v>0</v>
      </c>
      <c r="I45">
        <f>A!I45</f>
        <v>0</v>
      </c>
      <c r="J45">
        <f>A!J45</f>
        <v>0</v>
      </c>
      <c r="K45">
        <f>A!K45</f>
        <v>0</v>
      </c>
      <c r="L45">
        <f>A!L45</f>
        <v>0</v>
      </c>
      <c r="M45">
        <f>A!M45</f>
        <v>0</v>
      </c>
      <c r="N45">
        <f>A!N45</f>
        <v>0</v>
      </c>
      <c r="O45">
        <f>A!O45</f>
        <v>0</v>
      </c>
      <c r="P45" s="32" t="str">
        <f>IF(A!P45="","",INDEX(B!$A$1:$BT$2000,MATCH(A!P45,B!$AX$1:$AX$2000,0),D!$B$5))</f>
        <v/>
      </c>
      <c r="Q45">
        <f>A!Q45</f>
        <v>0</v>
      </c>
      <c r="R45">
        <f>A!R45</f>
        <v>0</v>
      </c>
      <c r="S45">
        <f>A!S45</f>
        <v>0</v>
      </c>
      <c r="T45">
        <f>A!T45</f>
        <v>0</v>
      </c>
      <c r="U45">
        <f>A!U45</f>
        <v>0</v>
      </c>
      <c r="V45" s="32">
        <f>IF(A!V45="&lt;",1,A!V45)</f>
        <v>0</v>
      </c>
      <c r="W45">
        <f>A!W45</f>
        <v>0</v>
      </c>
      <c r="X45">
        <f>A!X45</f>
        <v>0</v>
      </c>
      <c r="Y45">
        <f>A!Y45</f>
        <v>0</v>
      </c>
      <c r="Z45" s="32">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32"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_4e495d1b-09c8-432b-8c45-258ce8733b11</v>
      </c>
      <c r="BY45" t="str">
        <f>A!BX45</f>
        <v>4e495d1b-09c8-432b-8c45-258ce8733b11</v>
      </c>
      <c r="BZ45" t="str">
        <f>A!BY45</f>
        <v>SIKB</v>
      </c>
      <c r="CA45" t="str">
        <f>A!BZ45</f>
        <v>MM04 04 (100-150) 05 (100-150)</v>
      </c>
      <c r="CB45">
        <f>A!CA45</f>
        <v>45810</v>
      </c>
      <c r="CC45" t="str">
        <f>A!CB45</f>
        <v>#_a13c9c27-ac45-4ff5-8e2b-08bc80806939</v>
      </c>
      <c r="CD45" t="str">
        <f>A!CC45</f>
        <v>#_431b5931-46e3-41b2-aea8-421004d4e773</v>
      </c>
      <c r="CE45">
        <f>A!CD45</f>
        <v>0</v>
      </c>
      <c r="CF45" t="str">
        <f>A!CE45</f>
        <v>urn:immetingen:compartiment:id:1</v>
      </c>
      <c r="CG45" t="str">
        <f>A!CF45</f>
        <v>_TI-65023565</v>
      </c>
      <c r="CH45">
        <f>A!CG45</f>
        <v>45810</v>
      </c>
      <c r="CI45" t="str">
        <f>A!CH45</f>
        <v>urn:immetingen:monstertype:id:10</v>
      </c>
      <c r="CJ45" t="str">
        <f>A!CI45</f>
        <v>urn:imsikb0101:Applicaties:id:16</v>
      </c>
      <c r="CK45" t="str">
        <f>A!CJ45</f>
        <v>urn:imsikb0101:DatastroomType:id:1</v>
      </c>
      <c r="CL45">
        <f>A!CK45</f>
        <v>45811</v>
      </c>
      <c r="CM45" t="str">
        <f>A!CL45</f>
        <v>SGS, Rotterdam</v>
      </c>
      <c r="CN45" t="str">
        <f>A!CM45</f>
        <v>LABRESULTAAT SGS</v>
      </c>
      <c r="CO45">
        <f>A!CN45</f>
        <v>45811</v>
      </c>
      <c r="CP45">
        <f>A!CO45</f>
        <v>0</v>
      </c>
      <c r="CQ45">
        <f>A!CO45</f>
        <v>0</v>
      </c>
      <c r="CR45" t="str">
        <f>A!CP45</f>
        <v>urn:imsikb0101:Leveranciers:id:21</v>
      </c>
      <c r="CS45" t="str">
        <f>A!CQ45</f>
        <v>14.7.0</v>
      </c>
    </row>
    <row r="46" spans="1:97" x14ac:dyDescent="0.2">
      <c r="A46" t="str">
        <f>A!A46</f>
        <v>LABRESULTAAT</v>
      </c>
      <c r="B46">
        <f>A!B46</f>
        <v>5</v>
      </c>
      <c r="C46">
        <f>A!C46</f>
        <v>0</v>
      </c>
      <c r="D46">
        <f>A!D46</f>
        <v>0</v>
      </c>
      <c r="E46">
        <f>A!E46</f>
        <v>0</v>
      </c>
      <c r="F46">
        <f>A!F46</f>
        <v>0</v>
      </c>
      <c r="G46">
        <f>A!G46</f>
        <v>0</v>
      </c>
      <c r="H46">
        <f>A!H46</f>
        <v>0</v>
      </c>
      <c r="I46">
        <f>A!I46</f>
        <v>0</v>
      </c>
      <c r="J46">
        <f>A!J46</f>
        <v>0</v>
      </c>
      <c r="K46">
        <f>A!K46</f>
        <v>0</v>
      </c>
      <c r="L46">
        <f>A!L46</f>
        <v>0</v>
      </c>
      <c r="M46">
        <f>A!M46</f>
        <v>0</v>
      </c>
      <c r="N46">
        <f>A!N46</f>
        <v>0</v>
      </c>
      <c r="O46">
        <f>A!O46</f>
        <v>0</v>
      </c>
      <c r="P46" s="32" t="str">
        <f>IF(A!P46="","",INDEX(B!$A$1:$BT$2000,MATCH(A!P46,B!$AX$1:$AX$2000,0),D!$B$5))</f>
        <v/>
      </c>
      <c r="Q46">
        <f>A!Q46</f>
        <v>0</v>
      </c>
      <c r="R46">
        <f>A!R46</f>
        <v>0</v>
      </c>
      <c r="S46">
        <f>A!S46</f>
        <v>0</v>
      </c>
      <c r="T46">
        <f>A!T46</f>
        <v>0</v>
      </c>
      <c r="U46">
        <f>A!U46</f>
        <v>0</v>
      </c>
      <c r="V46" s="32">
        <f>IF(A!V46="&lt;",1,A!V46)</f>
        <v>0</v>
      </c>
      <c r="W46">
        <f>A!W46</f>
        <v>0</v>
      </c>
      <c r="X46">
        <f>A!X46</f>
        <v>0</v>
      </c>
      <c r="Y46">
        <f>A!Y46</f>
        <v>0</v>
      </c>
      <c r="Z46" s="32">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32"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_4e495d1b-09c8-432b-8c45-258ce8733b11</v>
      </c>
      <c r="BY46" t="str">
        <f>A!BX46</f>
        <v>4e495d1b-09c8-432b-8c45-258ce8733b11</v>
      </c>
      <c r="BZ46" t="str">
        <f>A!BY46</f>
        <v>SIKB</v>
      </c>
      <c r="CA46" t="str">
        <f>A!BZ46</f>
        <v>MM04 04 (100-150) 05 (100-150)</v>
      </c>
      <c r="CB46">
        <f>A!CA46</f>
        <v>45810</v>
      </c>
      <c r="CC46" t="str">
        <f>A!CB46</f>
        <v>#_a13c9c27-ac45-4ff5-8e2b-08bc80806939</v>
      </c>
      <c r="CD46" t="str">
        <f>A!CC46</f>
        <v>#_aef769a7-623f-4ec3-aac4-217c86d77b47</v>
      </c>
      <c r="CE46">
        <f>A!CD46</f>
        <v>0</v>
      </c>
      <c r="CF46" t="str">
        <f>A!CE46</f>
        <v>urn:immetingen:compartiment:id:1</v>
      </c>
      <c r="CG46" t="str">
        <f>A!CF46</f>
        <v>_TI-65023565</v>
      </c>
      <c r="CH46">
        <f>A!CG46</f>
        <v>45810</v>
      </c>
      <c r="CI46" t="str">
        <f>A!CH46</f>
        <v>urn:immetingen:monstertype:id:10</v>
      </c>
      <c r="CJ46" t="str">
        <f>A!CI46</f>
        <v>urn:imsikb0101:Applicaties:id:16</v>
      </c>
      <c r="CK46" t="str">
        <f>A!CJ46</f>
        <v>urn:imsikb0101:DatastroomType:id:1</v>
      </c>
      <c r="CL46">
        <f>A!CK46</f>
        <v>45811</v>
      </c>
      <c r="CM46" t="str">
        <f>A!CL46</f>
        <v>SGS, Rotterdam</v>
      </c>
      <c r="CN46" t="str">
        <f>A!CM46</f>
        <v>LABRESULTAAT SGS</v>
      </c>
      <c r="CO46">
        <f>A!CN46</f>
        <v>45811</v>
      </c>
      <c r="CP46">
        <f>A!CO46</f>
        <v>0</v>
      </c>
      <c r="CQ46">
        <f>A!CO46</f>
        <v>0</v>
      </c>
      <c r="CR46" t="str">
        <f>A!CP46</f>
        <v>urn:imsikb0101:Leveranciers:id:21</v>
      </c>
      <c r="CS46" t="str">
        <f>A!CQ46</f>
        <v>14.7.0</v>
      </c>
    </row>
    <row r="47" spans="1:97" x14ac:dyDescent="0.2">
      <c r="A47" t="str">
        <f>A!A47</f>
        <v>LABRESULTAAT</v>
      </c>
      <c r="B47">
        <f>A!B47</f>
        <v>5</v>
      </c>
      <c r="C47">
        <f>A!C47</f>
        <v>0</v>
      </c>
      <c r="D47">
        <f>A!D47</f>
        <v>0</v>
      </c>
      <c r="E47">
        <f>A!E47</f>
        <v>0</v>
      </c>
      <c r="F47">
        <f>A!F47</f>
        <v>0</v>
      </c>
      <c r="G47">
        <f>A!G47</f>
        <v>0</v>
      </c>
      <c r="H47">
        <f>A!H47</f>
        <v>0</v>
      </c>
      <c r="I47">
        <f>A!I47</f>
        <v>0</v>
      </c>
      <c r="J47">
        <f>A!J47</f>
        <v>0</v>
      </c>
      <c r="K47">
        <f>A!K47</f>
        <v>0</v>
      </c>
      <c r="L47">
        <f>A!L47</f>
        <v>0</v>
      </c>
      <c r="M47">
        <f>A!M47</f>
        <v>0</v>
      </c>
      <c r="N47">
        <f>A!N47</f>
        <v>0</v>
      </c>
      <c r="O47">
        <f>A!O47</f>
        <v>0</v>
      </c>
      <c r="P47" s="32" t="str">
        <f>IF(A!P47="","",INDEX(B!$A$1:$BT$2000,MATCH(A!P47,B!$AX$1:$AX$2000,0),D!$B$5))</f>
        <v/>
      </c>
      <c r="Q47">
        <f>A!Q47</f>
        <v>0</v>
      </c>
      <c r="R47">
        <f>A!R47</f>
        <v>0</v>
      </c>
      <c r="S47">
        <f>A!S47</f>
        <v>0</v>
      </c>
      <c r="T47">
        <f>A!T47</f>
        <v>0</v>
      </c>
      <c r="U47">
        <f>A!U47</f>
        <v>0</v>
      </c>
      <c r="V47" s="32">
        <f>IF(A!V47="&lt;",1,A!V47)</f>
        <v>0</v>
      </c>
      <c r="W47">
        <f>A!W47</f>
        <v>0</v>
      </c>
      <c r="X47">
        <f>A!X47</f>
        <v>0</v>
      </c>
      <c r="Y47">
        <f>A!Y47</f>
        <v>0</v>
      </c>
      <c r="Z47" s="32">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32"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_4e495d1b-09c8-432b-8c45-258ce8733b11</v>
      </c>
      <c r="BY47" t="str">
        <f>A!BX47</f>
        <v>4e495d1b-09c8-432b-8c45-258ce8733b11</v>
      </c>
      <c r="BZ47" t="str">
        <f>A!BY47</f>
        <v>SIKB</v>
      </c>
      <c r="CA47" t="str">
        <f>A!BZ47</f>
        <v>MM04 04 (100-150) 05 (100-150)</v>
      </c>
      <c r="CB47">
        <f>A!CA47</f>
        <v>45810</v>
      </c>
      <c r="CC47" t="str">
        <f>A!CB47</f>
        <v>#_a13c9c27-ac45-4ff5-8e2b-08bc80806939</v>
      </c>
      <c r="CD47" t="str">
        <f>A!CC47</f>
        <v>#_b1ee9bed-32c5-4976-b806-605148b2e615</v>
      </c>
      <c r="CE47">
        <f>A!CD47</f>
        <v>0</v>
      </c>
      <c r="CF47" t="str">
        <f>A!CE47</f>
        <v>urn:immetingen:compartiment:id:1</v>
      </c>
      <c r="CG47" t="str">
        <f>A!CF47</f>
        <v>_TI-65023565</v>
      </c>
      <c r="CH47">
        <f>A!CG47</f>
        <v>45810</v>
      </c>
      <c r="CI47" t="str">
        <f>A!CH47</f>
        <v>urn:immetingen:monstertype:id:10</v>
      </c>
      <c r="CJ47" t="str">
        <f>A!CI47</f>
        <v>urn:imsikb0101:Applicaties:id:16</v>
      </c>
      <c r="CK47" t="str">
        <f>A!CJ47</f>
        <v>urn:imsikb0101:DatastroomType:id:1</v>
      </c>
      <c r="CL47">
        <f>A!CK47</f>
        <v>45811</v>
      </c>
      <c r="CM47" t="str">
        <f>A!CL47</f>
        <v>SGS, Rotterdam</v>
      </c>
      <c r="CN47" t="str">
        <f>A!CM47</f>
        <v>LABRESULTAAT SGS</v>
      </c>
      <c r="CO47">
        <f>A!CN47</f>
        <v>45811</v>
      </c>
      <c r="CP47">
        <f>A!CO47</f>
        <v>0</v>
      </c>
      <c r="CQ47">
        <f>A!CO47</f>
        <v>0</v>
      </c>
      <c r="CR47" t="str">
        <f>A!CP47</f>
        <v>urn:imsikb0101:Leveranciers:id:21</v>
      </c>
      <c r="CS47" t="str">
        <f>A!CQ47</f>
        <v>14.7.0</v>
      </c>
    </row>
    <row r="48" spans="1:97" x14ac:dyDescent="0.2">
      <c r="A48" t="str">
        <f>A!A48</f>
        <v>LABRESULTAAT</v>
      </c>
      <c r="B48">
        <f>A!B48</f>
        <v>5</v>
      </c>
      <c r="C48">
        <f>A!C48</f>
        <v>0</v>
      </c>
      <c r="D48">
        <f>A!D48</f>
        <v>0</v>
      </c>
      <c r="E48">
        <f>A!E48</f>
        <v>0</v>
      </c>
      <c r="F48">
        <f>A!F48</f>
        <v>0</v>
      </c>
      <c r="G48">
        <f>A!G48</f>
        <v>0</v>
      </c>
      <c r="H48">
        <f>A!H48</f>
        <v>0</v>
      </c>
      <c r="I48">
        <f>A!I48</f>
        <v>0</v>
      </c>
      <c r="J48">
        <f>A!J48</f>
        <v>0</v>
      </c>
      <c r="K48">
        <f>A!K48</f>
        <v>0</v>
      </c>
      <c r="L48">
        <f>A!L48</f>
        <v>0</v>
      </c>
      <c r="M48">
        <f>A!M48</f>
        <v>0</v>
      </c>
      <c r="N48">
        <f>A!N48</f>
        <v>0</v>
      </c>
      <c r="O48">
        <f>A!O48</f>
        <v>0</v>
      </c>
      <c r="P48" s="32" t="str">
        <f>IF(A!P48="","",INDEX(B!$A$1:$BT$2000,MATCH(A!P48,B!$AX$1:$AX$2000,0),D!$B$5))</f>
        <v/>
      </c>
      <c r="Q48">
        <f>A!Q48</f>
        <v>0</v>
      </c>
      <c r="R48">
        <f>A!R48</f>
        <v>0</v>
      </c>
      <c r="S48">
        <f>A!S48</f>
        <v>0</v>
      </c>
      <c r="T48">
        <f>A!T48</f>
        <v>0</v>
      </c>
      <c r="U48">
        <f>A!U48</f>
        <v>0</v>
      </c>
      <c r="V48" s="32">
        <f>IF(A!V48="&lt;",1,A!V48)</f>
        <v>0</v>
      </c>
      <c r="W48">
        <f>A!W48</f>
        <v>0</v>
      </c>
      <c r="X48">
        <f>A!X48</f>
        <v>0</v>
      </c>
      <c r="Y48">
        <f>A!Y48</f>
        <v>0</v>
      </c>
      <c r="Z48" s="32">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32"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_4e495d1b-09c8-432b-8c45-258ce8733b11</v>
      </c>
      <c r="BY48" t="str">
        <f>A!BX48</f>
        <v>4e495d1b-09c8-432b-8c45-258ce8733b11</v>
      </c>
      <c r="BZ48" t="str">
        <f>A!BY48</f>
        <v>SIKB</v>
      </c>
      <c r="CA48" t="str">
        <f>A!BZ48</f>
        <v>MM04 04 (100-150) 05 (100-150)</v>
      </c>
      <c r="CB48">
        <f>A!CA48</f>
        <v>45810</v>
      </c>
      <c r="CC48" t="str">
        <f>A!CB48</f>
        <v>#_a13c9c27-ac45-4ff5-8e2b-08bc80806939</v>
      </c>
      <c r="CD48" t="str">
        <f>A!CC48</f>
        <v>#_a92fe417-f34a-4864-8a5d-b04d0c2c462a</v>
      </c>
      <c r="CE48">
        <f>A!CD48</f>
        <v>0</v>
      </c>
      <c r="CF48" t="str">
        <f>A!CE48</f>
        <v>urn:immetingen:compartiment:id:1</v>
      </c>
      <c r="CG48" t="str">
        <f>A!CF48</f>
        <v>_TI-65023565</v>
      </c>
      <c r="CH48">
        <f>A!CG48</f>
        <v>45810</v>
      </c>
      <c r="CI48" t="str">
        <f>A!CH48</f>
        <v>urn:immetingen:monstertype:id:10</v>
      </c>
      <c r="CJ48" t="str">
        <f>A!CI48</f>
        <v>urn:imsikb0101:Applicaties:id:16</v>
      </c>
      <c r="CK48" t="str">
        <f>A!CJ48</f>
        <v>urn:imsikb0101:DatastroomType:id:1</v>
      </c>
      <c r="CL48">
        <f>A!CK48</f>
        <v>45811</v>
      </c>
      <c r="CM48" t="str">
        <f>A!CL48</f>
        <v>SGS, Rotterdam</v>
      </c>
      <c r="CN48" t="str">
        <f>A!CM48</f>
        <v>LABRESULTAAT SGS</v>
      </c>
      <c r="CO48">
        <f>A!CN48</f>
        <v>45811</v>
      </c>
      <c r="CP48">
        <f>A!CO48</f>
        <v>0</v>
      </c>
      <c r="CQ48">
        <f>A!CO48</f>
        <v>0</v>
      </c>
      <c r="CR48" t="str">
        <f>A!CP48</f>
        <v>urn:imsikb0101:Leveranciers:id:21</v>
      </c>
      <c r="CS48" t="str">
        <f>A!CQ48</f>
        <v>14.7.0</v>
      </c>
    </row>
    <row r="49" spans="1:97" x14ac:dyDescent="0.2">
      <c r="A49" t="str">
        <f>A!A49</f>
        <v>LABRESULTAAT</v>
      </c>
      <c r="B49">
        <f>A!B49</f>
        <v>5</v>
      </c>
      <c r="C49">
        <f>A!C49</f>
        <v>0</v>
      </c>
      <c r="D49">
        <f>A!D49</f>
        <v>0</v>
      </c>
      <c r="E49">
        <f>A!E49</f>
        <v>0</v>
      </c>
      <c r="F49">
        <f>A!F49</f>
        <v>0</v>
      </c>
      <c r="G49">
        <f>A!G49</f>
        <v>0</v>
      </c>
      <c r="H49">
        <f>A!H49</f>
        <v>0</v>
      </c>
      <c r="I49">
        <f>A!I49</f>
        <v>0</v>
      </c>
      <c r="J49">
        <f>A!J49</f>
        <v>0</v>
      </c>
      <c r="K49">
        <f>A!K49</f>
        <v>0</v>
      </c>
      <c r="L49">
        <f>A!L49</f>
        <v>0</v>
      </c>
      <c r="M49">
        <f>A!M49</f>
        <v>0</v>
      </c>
      <c r="N49">
        <f>A!N49</f>
        <v>0</v>
      </c>
      <c r="O49">
        <f>A!O49</f>
        <v>0</v>
      </c>
      <c r="P49" s="32" t="str">
        <f>IF(A!P49="","",INDEX(B!$A$1:$BT$2000,MATCH(A!P49,B!$AX$1:$AX$2000,0),D!$B$5))</f>
        <v/>
      </c>
      <c r="Q49">
        <f>A!Q49</f>
        <v>0</v>
      </c>
      <c r="R49">
        <f>A!R49</f>
        <v>0</v>
      </c>
      <c r="S49">
        <f>A!S49</f>
        <v>0</v>
      </c>
      <c r="T49">
        <f>A!T49</f>
        <v>0</v>
      </c>
      <c r="U49">
        <f>A!U49</f>
        <v>0</v>
      </c>
      <c r="V49" s="32">
        <f>IF(A!V49="&lt;",1,A!V49)</f>
        <v>0</v>
      </c>
      <c r="W49">
        <f>A!W49</f>
        <v>0</v>
      </c>
      <c r="X49">
        <f>A!X49</f>
        <v>0</v>
      </c>
      <c r="Y49">
        <f>A!Y49</f>
        <v>0</v>
      </c>
      <c r="Z49" s="32">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32"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_4e495d1b-09c8-432b-8c45-258ce8733b11</v>
      </c>
      <c r="BY49" t="str">
        <f>A!BX49</f>
        <v>4e495d1b-09c8-432b-8c45-258ce8733b11</v>
      </c>
      <c r="BZ49" t="str">
        <f>A!BY49</f>
        <v>SIKB</v>
      </c>
      <c r="CA49" t="str">
        <f>A!BZ49</f>
        <v>MM04 04 (100-150) 05 (100-150)</v>
      </c>
      <c r="CB49">
        <f>A!CA49</f>
        <v>45810</v>
      </c>
      <c r="CC49" t="str">
        <f>A!CB49</f>
        <v>#_a13c9c27-ac45-4ff5-8e2b-08bc80806939</v>
      </c>
      <c r="CD49" t="str">
        <f>A!CC49</f>
        <v>#_4216c467-1c5e-4c2f-acd7-7ff484ec87ef</v>
      </c>
      <c r="CE49">
        <f>A!CD49</f>
        <v>0</v>
      </c>
      <c r="CF49" t="str">
        <f>A!CE49</f>
        <v>urn:immetingen:compartiment:id:1</v>
      </c>
      <c r="CG49" t="str">
        <f>A!CF49</f>
        <v>_TI-65023565</v>
      </c>
      <c r="CH49">
        <f>A!CG49</f>
        <v>45810</v>
      </c>
      <c r="CI49" t="str">
        <f>A!CH49</f>
        <v>urn:immetingen:monstertype:id:10</v>
      </c>
      <c r="CJ49" t="str">
        <f>A!CI49</f>
        <v>urn:imsikb0101:Applicaties:id:16</v>
      </c>
      <c r="CK49" t="str">
        <f>A!CJ49</f>
        <v>urn:imsikb0101:DatastroomType:id:1</v>
      </c>
      <c r="CL49">
        <f>A!CK49</f>
        <v>45811</v>
      </c>
      <c r="CM49" t="str">
        <f>A!CL49</f>
        <v>SGS, Rotterdam</v>
      </c>
      <c r="CN49" t="str">
        <f>A!CM49</f>
        <v>LABRESULTAAT SGS</v>
      </c>
      <c r="CO49">
        <f>A!CN49</f>
        <v>45811</v>
      </c>
      <c r="CP49">
        <f>A!CO49</f>
        <v>0</v>
      </c>
      <c r="CQ49">
        <f>A!CO49</f>
        <v>0</v>
      </c>
      <c r="CR49" t="str">
        <f>A!CP49</f>
        <v>urn:imsikb0101:Leveranciers:id:21</v>
      </c>
      <c r="CS49" t="str">
        <f>A!CQ49</f>
        <v>14.7.0</v>
      </c>
    </row>
    <row r="50" spans="1:97" x14ac:dyDescent="0.2">
      <c r="A50" t="str">
        <f>A!A50</f>
        <v>LABRESULTAAT</v>
      </c>
      <c r="B50">
        <f>A!B50</f>
        <v>5</v>
      </c>
      <c r="C50">
        <f>A!C50</f>
        <v>0</v>
      </c>
      <c r="D50">
        <f>A!D50</f>
        <v>0</v>
      </c>
      <c r="E50">
        <f>A!E50</f>
        <v>0</v>
      </c>
      <c r="F50">
        <f>A!F50</f>
        <v>0</v>
      </c>
      <c r="G50">
        <f>A!G50</f>
        <v>0</v>
      </c>
      <c r="H50">
        <f>A!H50</f>
        <v>0</v>
      </c>
      <c r="I50">
        <f>A!I50</f>
        <v>0</v>
      </c>
      <c r="J50">
        <f>A!J50</f>
        <v>0</v>
      </c>
      <c r="K50">
        <f>A!K50</f>
        <v>0</v>
      </c>
      <c r="L50">
        <f>A!L50</f>
        <v>0</v>
      </c>
      <c r="M50">
        <f>A!M50</f>
        <v>0</v>
      </c>
      <c r="N50">
        <f>A!N50</f>
        <v>0</v>
      </c>
      <c r="O50">
        <f>A!O50</f>
        <v>0</v>
      </c>
      <c r="P50" s="32" t="str">
        <f>IF(A!P50="","",INDEX(B!$A$1:$BT$2000,MATCH(A!P50,B!$AX$1:$AX$2000,0),D!$B$5))</f>
        <v/>
      </c>
      <c r="Q50">
        <f>A!Q50</f>
        <v>0</v>
      </c>
      <c r="R50">
        <f>A!R50</f>
        <v>0</v>
      </c>
      <c r="S50">
        <f>A!S50</f>
        <v>0</v>
      </c>
      <c r="T50">
        <f>A!T50</f>
        <v>0</v>
      </c>
      <c r="U50">
        <f>A!U50</f>
        <v>0</v>
      </c>
      <c r="V50" s="32">
        <f>IF(A!V50="&lt;",1,A!V50)</f>
        <v>0</v>
      </c>
      <c r="W50">
        <f>A!W50</f>
        <v>0</v>
      </c>
      <c r="X50">
        <f>A!X50</f>
        <v>0</v>
      </c>
      <c r="Y50">
        <f>A!Y50</f>
        <v>0</v>
      </c>
      <c r="Z50" s="32">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32"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_4e495d1b-09c8-432b-8c45-258ce8733b11</v>
      </c>
      <c r="BY50" t="str">
        <f>A!BX50</f>
        <v>4e495d1b-09c8-432b-8c45-258ce8733b11</v>
      </c>
      <c r="BZ50" t="str">
        <f>A!BY50</f>
        <v>SIKB</v>
      </c>
      <c r="CA50" t="str">
        <f>A!BZ50</f>
        <v>MM04 04 (100-150) 05 (100-150)</v>
      </c>
      <c r="CB50">
        <f>A!CA50</f>
        <v>45810</v>
      </c>
      <c r="CC50" t="str">
        <f>A!CB50</f>
        <v>#_a13c9c27-ac45-4ff5-8e2b-08bc80806939</v>
      </c>
      <c r="CD50" t="str">
        <f>A!CC50</f>
        <v>#_a2fd2c1d-6647-4fa1-9999-51b8d30082a8</v>
      </c>
      <c r="CE50">
        <f>A!CD50</f>
        <v>0</v>
      </c>
      <c r="CF50" t="str">
        <f>A!CE50</f>
        <v>urn:immetingen:compartiment:id:1</v>
      </c>
      <c r="CG50" t="str">
        <f>A!CF50</f>
        <v>_TI-65023565</v>
      </c>
      <c r="CH50">
        <f>A!CG50</f>
        <v>45810</v>
      </c>
      <c r="CI50" t="str">
        <f>A!CH50</f>
        <v>urn:immetingen:monstertype:id:10</v>
      </c>
      <c r="CJ50" t="str">
        <f>A!CI50</f>
        <v>urn:imsikb0101:Applicaties:id:16</v>
      </c>
      <c r="CK50" t="str">
        <f>A!CJ50</f>
        <v>urn:imsikb0101:DatastroomType:id:1</v>
      </c>
      <c r="CL50">
        <f>A!CK50</f>
        <v>45811</v>
      </c>
      <c r="CM50" t="str">
        <f>A!CL50</f>
        <v>SGS, Rotterdam</v>
      </c>
      <c r="CN50" t="str">
        <f>A!CM50</f>
        <v>LABRESULTAAT SGS</v>
      </c>
      <c r="CO50">
        <f>A!CN50</f>
        <v>45811</v>
      </c>
      <c r="CP50">
        <f>A!CO50</f>
        <v>0</v>
      </c>
      <c r="CQ50">
        <f>A!CO50</f>
        <v>0</v>
      </c>
      <c r="CR50" t="str">
        <f>A!CP50</f>
        <v>urn:imsikb0101:Leveranciers:id:21</v>
      </c>
      <c r="CS50" t="str">
        <f>A!CQ50</f>
        <v>14.7.0</v>
      </c>
    </row>
    <row r="51" spans="1:97" x14ac:dyDescent="0.2">
      <c r="A51" t="str">
        <f>A!A51</f>
        <v>LABRESULTAAT</v>
      </c>
      <c r="B51">
        <f>A!B51</f>
        <v>5</v>
      </c>
      <c r="C51">
        <f>A!C51</f>
        <v>0</v>
      </c>
      <c r="D51">
        <f>A!D51</f>
        <v>0</v>
      </c>
      <c r="E51">
        <f>A!E51</f>
        <v>0</v>
      </c>
      <c r="F51">
        <f>A!F51</f>
        <v>0</v>
      </c>
      <c r="G51">
        <f>A!G51</f>
        <v>0</v>
      </c>
      <c r="H51">
        <f>A!H51</f>
        <v>0</v>
      </c>
      <c r="I51">
        <f>A!I51</f>
        <v>0</v>
      </c>
      <c r="J51">
        <f>A!J51</f>
        <v>0</v>
      </c>
      <c r="K51">
        <f>A!K51</f>
        <v>0</v>
      </c>
      <c r="L51">
        <f>A!L51</f>
        <v>0</v>
      </c>
      <c r="M51">
        <f>A!M51</f>
        <v>0</v>
      </c>
      <c r="N51">
        <f>A!N51</f>
        <v>0</v>
      </c>
      <c r="O51">
        <f>A!O51</f>
        <v>0</v>
      </c>
      <c r="P51" s="32" t="str">
        <f>IF(A!P51="","",INDEX(B!$A$1:$BT$2000,MATCH(A!P51,B!$AX$1:$AX$2000,0),D!$B$5))</f>
        <v/>
      </c>
      <c r="Q51">
        <f>A!Q51</f>
        <v>0</v>
      </c>
      <c r="R51">
        <f>A!R51</f>
        <v>0</v>
      </c>
      <c r="S51">
        <f>A!S51</f>
        <v>0</v>
      </c>
      <c r="T51">
        <f>A!T51</f>
        <v>0</v>
      </c>
      <c r="U51">
        <f>A!U51</f>
        <v>0</v>
      </c>
      <c r="V51" s="32">
        <f>IF(A!V51="&lt;",1,A!V51)</f>
        <v>0</v>
      </c>
      <c r="W51">
        <f>A!W51</f>
        <v>0</v>
      </c>
      <c r="X51">
        <f>A!X51</f>
        <v>0</v>
      </c>
      <c r="Y51">
        <f>A!Y51</f>
        <v>0</v>
      </c>
      <c r="Z51" s="32">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32"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_4e495d1b-09c8-432b-8c45-258ce8733b11</v>
      </c>
      <c r="BY51" t="str">
        <f>A!BX51</f>
        <v>4e495d1b-09c8-432b-8c45-258ce8733b11</v>
      </c>
      <c r="BZ51" t="str">
        <f>A!BY51</f>
        <v>SIKB</v>
      </c>
      <c r="CA51" t="str">
        <f>A!BZ51</f>
        <v>MM04 04 (100-150) 05 (100-150)</v>
      </c>
      <c r="CB51">
        <f>A!CA51</f>
        <v>45810</v>
      </c>
      <c r="CC51" t="str">
        <f>A!CB51</f>
        <v>#_a13c9c27-ac45-4ff5-8e2b-08bc80806939</v>
      </c>
      <c r="CD51" t="str">
        <f>A!CC51</f>
        <v>#_62574a8e-be16-4b4c-8e1b-5443990fb2a3</v>
      </c>
      <c r="CE51">
        <f>A!CD51</f>
        <v>0</v>
      </c>
      <c r="CF51" t="str">
        <f>A!CE51</f>
        <v>urn:immetingen:compartiment:id:1</v>
      </c>
      <c r="CG51" t="str">
        <f>A!CF51</f>
        <v>_TI-65023565</v>
      </c>
      <c r="CH51">
        <f>A!CG51</f>
        <v>45810</v>
      </c>
      <c r="CI51" t="str">
        <f>A!CH51</f>
        <v>urn:immetingen:monstertype:id:10</v>
      </c>
      <c r="CJ51" t="str">
        <f>A!CI51</f>
        <v>urn:imsikb0101:Applicaties:id:16</v>
      </c>
      <c r="CK51" t="str">
        <f>A!CJ51</f>
        <v>urn:imsikb0101:DatastroomType:id:1</v>
      </c>
      <c r="CL51">
        <f>A!CK51</f>
        <v>45811</v>
      </c>
      <c r="CM51" t="str">
        <f>A!CL51</f>
        <v>SGS, Rotterdam</v>
      </c>
      <c r="CN51" t="str">
        <f>A!CM51</f>
        <v>LABRESULTAAT SGS</v>
      </c>
      <c r="CO51">
        <f>A!CN51</f>
        <v>45811</v>
      </c>
      <c r="CP51">
        <f>A!CO51</f>
        <v>0</v>
      </c>
      <c r="CQ51">
        <f>A!CO51</f>
        <v>0</v>
      </c>
      <c r="CR51" t="str">
        <f>A!CP51</f>
        <v>urn:imsikb0101:Leveranciers:id:21</v>
      </c>
      <c r="CS51" t="str">
        <f>A!CQ51</f>
        <v>14.7.0</v>
      </c>
    </row>
    <row r="52" spans="1:97" x14ac:dyDescent="0.2">
      <c r="A52" t="str">
        <f>A!A52</f>
        <v>LABRESULTAAT</v>
      </c>
      <c r="B52">
        <f>A!B52</f>
        <v>5</v>
      </c>
      <c r="C52">
        <f>A!C52</f>
        <v>0</v>
      </c>
      <c r="D52">
        <f>A!D52</f>
        <v>0</v>
      </c>
      <c r="E52">
        <f>A!E52</f>
        <v>0</v>
      </c>
      <c r="F52">
        <f>A!F52</f>
        <v>0</v>
      </c>
      <c r="G52">
        <f>A!G52</f>
        <v>0</v>
      </c>
      <c r="H52">
        <f>A!H52</f>
        <v>0</v>
      </c>
      <c r="I52">
        <f>A!I52</f>
        <v>0</v>
      </c>
      <c r="J52">
        <f>A!J52</f>
        <v>0</v>
      </c>
      <c r="K52">
        <f>A!K52</f>
        <v>0</v>
      </c>
      <c r="L52">
        <f>A!L52</f>
        <v>0</v>
      </c>
      <c r="M52">
        <f>A!M52</f>
        <v>0</v>
      </c>
      <c r="N52">
        <f>A!N52</f>
        <v>0</v>
      </c>
      <c r="O52">
        <f>A!O52</f>
        <v>0</v>
      </c>
      <c r="P52" s="32" t="str">
        <f>IF(A!P52="","",INDEX(B!$A$1:$BT$2000,MATCH(A!P52,B!$AX$1:$AX$2000,0),D!$B$5))</f>
        <v/>
      </c>
      <c r="Q52">
        <f>A!Q52</f>
        <v>0</v>
      </c>
      <c r="R52">
        <f>A!R52</f>
        <v>0</v>
      </c>
      <c r="S52">
        <f>A!S52</f>
        <v>0</v>
      </c>
      <c r="T52">
        <f>A!T52</f>
        <v>0</v>
      </c>
      <c r="U52">
        <f>A!U52</f>
        <v>0</v>
      </c>
      <c r="V52" s="32">
        <f>IF(A!V52="&lt;",1,A!V52)</f>
        <v>0</v>
      </c>
      <c r="W52">
        <f>A!W52</f>
        <v>0</v>
      </c>
      <c r="X52">
        <f>A!X52</f>
        <v>0</v>
      </c>
      <c r="Y52">
        <f>A!Y52</f>
        <v>0</v>
      </c>
      <c r="Z52" s="32">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32"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_4e495d1b-09c8-432b-8c45-258ce8733b11</v>
      </c>
      <c r="BY52" t="str">
        <f>A!BX52</f>
        <v>4e495d1b-09c8-432b-8c45-258ce8733b11</v>
      </c>
      <c r="BZ52" t="str">
        <f>A!BY52</f>
        <v>SIKB</v>
      </c>
      <c r="CA52" t="str">
        <f>A!BZ52</f>
        <v>MM04 04 (100-150) 05 (100-150)</v>
      </c>
      <c r="CB52">
        <f>A!CA52</f>
        <v>45810</v>
      </c>
      <c r="CC52" t="str">
        <f>A!CB52</f>
        <v>#_a13c9c27-ac45-4ff5-8e2b-08bc80806939</v>
      </c>
      <c r="CD52" t="str">
        <f>A!CC52</f>
        <v>#_f79b7f13-bfcb-494a-9520-63bfcc5fa736</v>
      </c>
      <c r="CE52">
        <f>A!CD52</f>
        <v>0</v>
      </c>
      <c r="CF52" t="str">
        <f>A!CE52</f>
        <v>urn:immetingen:compartiment:id:1</v>
      </c>
      <c r="CG52" t="str">
        <f>A!CF52</f>
        <v>_TI-65023565</v>
      </c>
      <c r="CH52">
        <f>A!CG52</f>
        <v>45810</v>
      </c>
      <c r="CI52" t="str">
        <f>A!CH52</f>
        <v>urn:immetingen:monstertype:id:10</v>
      </c>
      <c r="CJ52" t="str">
        <f>A!CI52</f>
        <v>urn:imsikb0101:Applicaties:id:16</v>
      </c>
      <c r="CK52" t="str">
        <f>A!CJ52</f>
        <v>urn:imsikb0101:DatastroomType:id:1</v>
      </c>
      <c r="CL52">
        <f>A!CK52</f>
        <v>45811</v>
      </c>
      <c r="CM52" t="str">
        <f>A!CL52</f>
        <v>SGS, Rotterdam</v>
      </c>
      <c r="CN52" t="str">
        <f>A!CM52</f>
        <v>LABRESULTAAT SGS</v>
      </c>
      <c r="CO52">
        <f>A!CN52</f>
        <v>45811</v>
      </c>
      <c r="CP52">
        <f>A!CO52</f>
        <v>0</v>
      </c>
      <c r="CQ52">
        <f>A!CO52</f>
        <v>0</v>
      </c>
      <c r="CR52" t="str">
        <f>A!CP52</f>
        <v>urn:imsikb0101:Leveranciers:id:21</v>
      </c>
      <c r="CS52" t="str">
        <f>A!CQ52</f>
        <v>14.7.0</v>
      </c>
    </row>
    <row r="53" spans="1:97" x14ac:dyDescent="0.2">
      <c r="A53" t="str">
        <f>A!A53</f>
        <v>LABRESULTAAT</v>
      </c>
      <c r="B53">
        <f>A!B53</f>
        <v>5</v>
      </c>
      <c r="C53">
        <f>A!C53</f>
        <v>0</v>
      </c>
      <c r="D53">
        <f>A!D53</f>
        <v>0</v>
      </c>
      <c r="E53">
        <f>A!E53</f>
        <v>0</v>
      </c>
      <c r="F53">
        <f>A!F53</f>
        <v>0</v>
      </c>
      <c r="G53">
        <f>A!G53</f>
        <v>0</v>
      </c>
      <c r="H53">
        <f>A!H53</f>
        <v>0</v>
      </c>
      <c r="I53">
        <f>A!I53</f>
        <v>0</v>
      </c>
      <c r="J53">
        <f>A!J53</f>
        <v>0</v>
      </c>
      <c r="K53">
        <f>A!K53</f>
        <v>0</v>
      </c>
      <c r="L53">
        <f>A!L53</f>
        <v>0</v>
      </c>
      <c r="M53">
        <f>A!M53</f>
        <v>0</v>
      </c>
      <c r="N53">
        <f>A!N53</f>
        <v>0</v>
      </c>
      <c r="O53">
        <f>A!O53</f>
        <v>0</v>
      </c>
      <c r="P53" s="32" t="str">
        <f>IF(A!P53="","",INDEX(B!$A$1:$BT$2000,MATCH(A!P53,B!$AX$1:$AX$2000,0),D!$B$5))</f>
        <v/>
      </c>
      <c r="Q53">
        <f>A!Q53</f>
        <v>0</v>
      </c>
      <c r="R53">
        <f>A!R53</f>
        <v>0</v>
      </c>
      <c r="S53">
        <f>A!S53</f>
        <v>0</v>
      </c>
      <c r="T53">
        <f>A!T53</f>
        <v>0</v>
      </c>
      <c r="U53">
        <f>A!U53</f>
        <v>0</v>
      </c>
      <c r="V53" s="32">
        <f>IF(A!V53="&lt;",1,A!V53)</f>
        <v>0</v>
      </c>
      <c r="W53">
        <f>A!W53</f>
        <v>0</v>
      </c>
      <c r="X53">
        <f>A!X53</f>
        <v>0</v>
      </c>
      <c r="Y53">
        <f>A!Y53</f>
        <v>0</v>
      </c>
      <c r="Z53" s="32">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32"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_4e495d1b-09c8-432b-8c45-258ce8733b11</v>
      </c>
      <c r="BY53" t="str">
        <f>A!BX53</f>
        <v>4e495d1b-09c8-432b-8c45-258ce8733b11</v>
      </c>
      <c r="BZ53" t="str">
        <f>A!BY53</f>
        <v>SIKB</v>
      </c>
      <c r="CA53" t="str">
        <f>A!BZ53</f>
        <v>MM04 04 (100-150) 05 (100-150)</v>
      </c>
      <c r="CB53">
        <f>A!CA53</f>
        <v>45810</v>
      </c>
      <c r="CC53" t="str">
        <f>A!CB53</f>
        <v>#_a13c9c27-ac45-4ff5-8e2b-08bc80806939</v>
      </c>
      <c r="CD53" t="str">
        <f>A!CC53</f>
        <v>#_ad4b9e65-6c14-4fa9-a475-91816a2541a1</v>
      </c>
      <c r="CE53">
        <f>A!CD53</f>
        <v>0</v>
      </c>
      <c r="CF53" t="str">
        <f>A!CE53</f>
        <v>urn:immetingen:compartiment:id:1</v>
      </c>
      <c r="CG53" t="str">
        <f>A!CF53</f>
        <v>_TI-65023565</v>
      </c>
      <c r="CH53">
        <f>A!CG53</f>
        <v>45810</v>
      </c>
      <c r="CI53" t="str">
        <f>A!CH53</f>
        <v>urn:immetingen:monstertype:id:10</v>
      </c>
      <c r="CJ53" t="str">
        <f>A!CI53</f>
        <v>urn:imsikb0101:Applicaties:id:16</v>
      </c>
      <c r="CK53" t="str">
        <f>A!CJ53</f>
        <v>urn:imsikb0101:DatastroomType:id:1</v>
      </c>
      <c r="CL53">
        <f>A!CK53</f>
        <v>45811</v>
      </c>
      <c r="CM53" t="str">
        <f>A!CL53</f>
        <v>SGS, Rotterdam</v>
      </c>
      <c r="CN53" t="str">
        <f>A!CM53</f>
        <v>LABRESULTAAT SGS</v>
      </c>
      <c r="CO53">
        <f>A!CN53</f>
        <v>45811</v>
      </c>
      <c r="CP53">
        <f>A!CO53</f>
        <v>0</v>
      </c>
      <c r="CQ53">
        <f>A!CO53</f>
        <v>0</v>
      </c>
      <c r="CR53" t="str">
        <f>A!CP53</f>
        <v>urn:imsikb0101:Leveranciers:id:21</v>
      </c>
      <c r="CS53" t="str">
        <f>A!CQ53</f>
        <v>14.7.0</v>
      </c>
    </row>
    <row r="54" spans="1:97" x14ac:dyDescent="0.2">
      <c r="A54" t="str">
        <f>A!A54</f>
        <v>LABRESULTAAT</v>
      </c>
      <c r="B54">
        <f>A!B54</f>
        <v>5</v>
      </c>
      <c r="C54">
        <f>A!C54</f>
        <v>0</v>
      </c>
      <c r="D54">
        <f>A!D54</f>
        <v>0</v>
      </c>
      <c r="E54">
        <f>A!E54</f>
        <v>0</v>
      </c>
      <c r="F54">
        <f>A!F54</f>
        <v>0</v>
      </c>
      <c r="G54">
        <f>A!G54</f>
        <v>0</v>
      </c>
      <c r="H54">
        <f>A!H54</f>
        <v>0</v>
      </c>
      <c r="I54">
        <f>A!I54</f>
        <v>0</v>
      </c>
      <c r="J54">
        <f>A!J54</f>
        <v>0</v>
      </c>
      <c r="K54">
        <f>A!K54</f>
        <v>0</v>
      </c>
      <c r="L54">
        <f>A!L54</f>
        <v>0</v>
      </c>
      <c r="M54">
        <f>A!M54</f>
        <v>0</v>
      </c>
      <c r="N54">
        <f>A!N54</f>
        <v>0</v>
      </c>
      <c r="O54">
        <f>A!O54</f>
        <v>0</v>
      </c>
      <c r="P54" s="32" t="str">
        <f>IF(A!P54="","",INDEX(B!$A$1:$BT$2000,MATCH(A!P54,B!$AX$1:$AX$2000,0),D!$B$5))</f>
        <v/>
      </c>
      <c r="Q54">
        <f>A!Q54</f>
        <v>0</v>
      </c>
      <c r="R54">
        <f>A!R54</f>
        <v>0</v>
      </c>
      <c r="S54">
        <f>A!S54</f>
        <v>0</v>
      </c>
      <c r="T54">
        <f>A!T54</f>
        <v>0</v>
      </c>
      <c r="U54">
        <f>A!U54</f>
        <v>0</v>
      </c>
      <c r="V54" s="32">
        <f>IF(A!V54="&lt;",1,A!V54)</f>
        <v>0</v>
      </c>
      <c r="W54">
        <f>A!W54</f>
        <v>0</v>
      </c>
      <c r="X54">
        <f>A!X54</f>
        <v>0</v>
      </c>
      <c r="Y54">
        <f>A!Y54</f>
        <v>0</v>
      </c>
      <c r="Z54" s="32">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32"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_4e495d1b-09c8-432b-8c45-258ce8733b11</v>
      </c>
      <c r="BY54" t="str">
        <f>A!BX54</f>
        <v>4e495d1b-09c8-432b-8c45-258ce8733b11</v>
      </c>
      <c r="BZ54" t="str">
        <f>A!BY54</f>
        <v>SIKB</v>
      </c>
      <c r="CA54" t="str">
        <f>A!BZ54</f>
        <v>MM04 04 (100-150) 05 (100-150)</v>
      </c>
      <c r="CB54">
        <f>A!CA54</f>
        <v>45810</v>
      </c>
      <c r="CC54" t="str">
        <f>A!CB54</f>
        <v>#_a13c9c27-ac45-4ff5-8e2b-08bc80806939</v>
      </c>
      <c r="CD54" t="str">
        <f>A!CC54</f>
        <v>#_5906e8ee-cd8e-419e-9200-7044702102da</v>
      </c>
      <c r="CE54">
        <f>A!CD54</f>
        <v>0</v>
      </c>
      <c r="CF54" t="str">
        <f>A!CE54</f>
        <v>urn:immetingen:compartiment:id:1</v>
      </c>
      <c r="CG54" t="str">
        <f>A!CF54</f>
        <v>_TI-65023565</v>
      </c>
      <c r="CH54">
        <f>A!CG54</f>
        <v>45810</v>
      </c>
      <c r="CI54" t="str">
        <f>A!CH54</f>
        <v>urn:immetingen:monstertype:id:10</v>
      </c>
      <c r="CJ54" t="str">
        <f>A!CI54</f>
        <v>urn:imsikb0101:Applicaties:id:16</v>
      </c>
      <c r="CK54" t="str">
        <f>A!CJ54</f>
        <v>urn:imsikb0101:DatastroomType:id:1</v>
      </c>
      <c r="CL54">
        <f>A!CK54</f>
        <v>45811</v>
      </c>
      <c r="CM54" t="str">
        <f>A!CL54</f>
        <v>SGS, Rotterdam</v>
      </c>
      <c r="CN54" t="str">
        <f>A!CM54</f>
        <v>LABRESULTAAT SGS</v>
      </c>
      <c r="CO54">
        <f>A!CN54</f>
        <v>45811</v>
      </c>
      <c r="CP54">
        <f>A!CO54</f>
        <v>0</v>
      </c>
      <c r="CQ54">
        <f>A!CO54</f>
        <v>0</v>
      </c>
      <c r="CR54" t="str">
        <f>A!CP54</f>
        <v>urn:imsikb0101:Leveranciers:id:21</v>
      </c>
      <c r="CS54" t="str">
        <f>A!CQ54</f>
        <v>14.7.0</v>
      </c>
    </row>
    <row r="55" spans="1:97" x14ac:dyDescent="0.2">
      <c r="A55" t="str">
        <f>A!A55</f>
        <v>LABRESULTAAT</v>
      </c>
      <c r="B55">
        <f>A!B55</f>
        <v>5</v>
      </c>
      <c r="C55">
        <f>A!C55</f>
        <v>0</v>
      </c>
      <c r="D55">
        <f>A!D55</f>
        <v>0</v>
      </c>
      <c r="E55">
        <f>A!E55</f>
        <v>0</v>
      </c>
      <c r="F55">
        <f>A!F55</f>
        <v>0</v>
      </c>
      <c r="G55">
        <f>A!G55</f>
        <v>0</v>
      </c>
      <c r="H55">
        <f>A!H55</f>
        <v>0</v>
      </c>
      <c r="I55">
        <f>A!I55</f>
        <v>0</v>
      </c>
      <c r="J55">
        <f>A!J55</f>
        <v>0</v>
      </c>
      <c r="K55">
        <f>A!K55</f>
        <v>0</v>
      </c>
      <c r="L55">
        <f>A!L55</f>
        <v>0</v>
      </c>
      <c r="M55">
        <f>A!M55</f>
        <v>0</v>
      </c>
      <c r="N55">
        <f>A!N55</f>
        <v>0</v>
      </c>
      <c r="O55">
        <f>A!O55</f>
        <v>0</v>
      </c>
      <c r="P55" s="32" t="str">
        <f>IF(A!P55="","",INDEX(B!$A$1:$BT$2000,MATCH(A!P55,B!$AX$1:$AX$2000,0),D!$B$5))</f>
        <v/>
      </c>
      <c r="Q55">
        <f>A!Q55</f>
        <v>0</v>
      </c>
      <c r="R55">
        <f>A!R55</f>
        <v>0</v>
      </c>
      <c r="S55">
        <f>A!S55</f>
        <v>0</v>
      </c>
      <c r="T55">
        <f>A!T55</f>
        <v>0</v>
      </c>
      <c r="U55">
        <f>A!U55</f>
        <v>0</v>
      </c>
      <c r="V55" s="32">
        <f>IF(A!V55="&lt;",1,A!V55)</f>
        <v>0</v>
      </c>
      <c r="W55">
        <f>A!W55</f>
        <v>0</v>
      </c>
      <c r="X55">
        <f>A!X55</f>
        <v>0</v>
      </c>
      <c r="Y55">
        <f>A!Y55</f>
        <v>0</v>
      </c>
      <c r="Z55" s="32">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32"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_4e495d1b-09c8-432b-8c45-258ce8733b11</v>
      </c>
      <c r="BY55" t="str">
        <f>A!BX55</f>
        <v>4e495d1b-09c8-432b-8c45-258ce8733b11</v>
      </c>
      <c r="BZ55" t="str">
        <f>A!BY55</f>
        <v>SIKB</v>
      </c>
      <c r="CA55" t="str">
        <f>A!BZ55</f>
        <v>MM04 04 (100-150) 05 (100-150)</v>
      </c>
      <c r="CB55">
        <f>A!CA55</f>
        <v>45810</v>
      </c>
      <c r="CC55" t="str">
        <f>A!CB55</f>
        <v>#_a13c9c27-ac45-4ff5-8e2b-08bc80806939</v>
      </c>
      <c r="CD55" t="str">
        <f>A!CC55</f>
        <v>#_a70bf477-042d-40a6-a0ea-4e27796f4772</v>
      </c>
      <c r="CE55">
        <f>A!CD55</f>
        <v>0</v>
      </c>
      <c r="CF55" t="str">
        <f>A!CE55</f>
        <v>urn:immetingen:compartiment:id:1</v>
      </c>
      <c r="CG55" t="str">
        <f>A!CF55</f>
        <v>_TI-65023565</v>
      </c>
      <c r="CH55">
        <f>A!CG55</f>
        <v>45810</v>
      </c>
      <c r="CI55" t="str">
        <f>A!CH55</f>
        <v>urn:immetingen:monstertype:id:10</v>
      </c>
      <c r="CJ55" t="str">
        <f>A!CI55</f>
        <v>urn:imsikb0101:Applicaties:id:16</v>
      </c>
      <c r="CK55" t="str">
        <f>A!CJ55</f>
        <v>urn:imsikb0101:DatastroomType:id:1</v>
      </c>
      <c r="CL55">
        <f>A!CK55</f>
        <v>45811</v>
      </c>
      <c r="CM55" t="str">
        <f>A!CL55</f>
        <v>SGS, Rotterdam</v>
      </c>
      <c r="CN55" t="str">
        <f>A!CM55</f>
        <v>LABRESULTAAT SGS</v>
      </c>
      <c r="CO55">
        <f>A!CN55</f>
        <v>45811</v>
      </c>
      <c r="CP55">
        <f>A!CO55</f>
        <v>0</v>
      </c>
      <c r="CQ55">
        <f>A!CO55</f>
        <v>0</v>
      </c>
      <c r="CR55" t="str">
        <f>A!CP55</f>
        <v>urn:imsikb0101:Leveranciers:id:21</v>
      </c>
      <c r="CS55" t="str">
        <f>A!CQ55</f>
        <v>14.7.0</v>
      </c>
    </row>
    <row r="56" spans="1:97" x14ac:dyDescent="0.2">
      <c r="A56" t="str">
        <f>A!A56</f>
        <v>LABRESULTAAT</v>
      </c>
      <c r="B56">
        <f>A!B56</f>
        <v>5</v>
      </c>
      <c r="C56">
        <f>A!C56</f>
        <v>0</v>
      </c>
      <c r="D56">
        <f>A!D56</f>
        <v>0</v>
      </c>
      <c r="E56">
        <f>A!E56</f>
        <v>0</v>
      </c>
      <c r="F56">
        <f>A!F56</f>
        <v>0</v>
      </c>
      <c r="G56">
        <f>A!G56</f>
        <v>0</v>
      </c>
      <c r="H56">
        <f>A!H56</f>
        <v>0</v>
      </c>
      <c r="I56">
        <f>A!I56</f>
        <v>0</v>
      </c>
      <c r="J56">
        <f>A!J56</f>
        <v>0</v>
      </c>
      <c r="K56">
        <f>A!K56</f>
        <v>0</v>
      </c>
      <c r="L56">
        <f>A!L56</f>
        <v>0</v>
      </c>
      <c r="M56">
        <f>A!M56</f>
        <v>0</v>
      </c>
      <c r="N56">
        <f>A!N56</f>
        <v>0</v>
      </c>
      <c r="O56">
        <f>A!O56</f>
        <v>0</v>
      </c>
      <c r="P56" s="32" t="str">
        <f>IF(A!P56="","",INDEX(B!$A$1:$BT$2000,MATCH(A!P56,B!$AX$1:$AX$2000,0),D!$B$5))</f>
        <v/>
      </c>
      <c r="Q56">
        <f>A!Q56</f>
        <v>0</v>
      </c>
      <c r="R56">
        <f>A!R56</f>
        <v>0</v>
      </c>
      <c r="S56">
        <f>A!S56</f>
        <v>0</v>
      </c>
      <c r="T56">
        <f>A!T56</f>
        <v>0</v>
      </c>
      <c r="U56">
        <f>A!U56</f>
        <v>0</v>
      </c>
      <c r="V56" s="32">
        <f>IF(A!V56="&lt;",1,A!V56)</f>
        <v>0</v>
      </c>
      <c r="W56">
        <f>A!W56</f>
        <v>0</v>
      </c>
      <c r="X56">
        <f>A!X56</f>
        <v>0</v>
      </c>
      <c r="Y56">
        <f>A!Y56</f>
        <v>0</v>
      </c>
      <c r="Z56" s="32">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32"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_4e495d1b-09c8-432b-8c45-258ce8733b11</v>
      </c>
      <c r="BY56" t="str">
        <f>A!BX56</f>
        <v>4e495d1b-09c8-432b-8c45-258ce8733b11</v>
      </c>
      <c r="BZ56" t="str">
        <f>A!BY56</f>
        <v>SIKB</v>
      </c>
      <c r="CA56" t="str">
        <f>A!BZ56</f>
        <v>MM04 04 (100-150) 05 (100-150)</v>
      </c>
      <c r="CB56">
        <f>A!CA56</f>
        <v>45810</v>
      </c>
      <c r="CC56" t="str">
        <f>A!CB56</f>
        <v>#_a13c9c27-ac45-4ff5-8e2b-08bc80806939</v>
      </c>
      <c r="CD56" t="str">
        <f>A!CC56</f>
        <v>#_e01b8628-48d6-4ac3-b9bc-e815c0cbdd43</v>
      </c>
      <c r="CE56">
        <f>A!CD56</f>
        <v>0</v>
      </c>
      <c r="CF56" t="str">
        <f>A!CE56</f>
        <v>urn:immetingen:compartiment:id:1</v>
      </c>
      <c r="CG56" t="str">
        <f>A!CF56</f>
        <v>_TI-65023565</v>
      </c>
      <c r="CH56">
        <f>A!CG56</f>
        <v>45810</v>
      </c>
      <c r="CI56" t="str">
        <f>A!CH56</f>
        <v>urn:immetingen:monstertype:id:10</v>
      </c>
      <c r="CJ56" t="str">
        <f>A!CI56</f>
        <v>urn:imsikb0101:Applicaties:id:16</v>
      </c>
      <c r="CK56" t="str">
        <f>A!CJ56</f>
        <v>urn:imsikb0101:DatastroomType:id:1</v>
      </c>
      <c r="CL56">
        <f>A!CK56</f>
        <v>45811</v>
      </c>
      <c r="CM56" t="str">
        <f>A!CL56</f>
        <v>SGS, Rotterdam</v>
      </c>
      <c r="CN56" t="str">
        <f>A!CM56</f>
        <v>LABRESULTAAT SGS</v>
      </c>
      <c r="CO56">
        <f>A!CN56</f>
        <v>45811</v>
      </c>
      <c r="CP56">
        <f>A!CO56</f>
        <v>0</v>
      </c>
      <c r="CQ56">
        <f>A!CO56</f>
        <v>0</v>
      </c>
      <c r="CR56" t="str">
        <f>A!CP56</f>
        <v>urn:imsikb0101:Leveranciers:id:21</v>
      </c>
      <c r="CS56" t="str">
        <f>A!CQ56</f>
        <v>14.7.0</v>
      </c>
    </row>
    <row r="57" spans="1:97" x14ac:dyDescent="0.2">
      <c r="A57" t="str">
        <f>A!A57</f>
        <v>LABRESULTAAT</v>
      </c>
      <c r="B57">
        <f>A!B57</f>
        <v>5</v>
      </c>
      <c r="C57">
        <f>A!C57</f>
        <v>0</v>
      </c>
      <c r="D57">
        <f>A!D57</f>
        <v>0</v>
      </c>
      <c r="E57">
        <f>A!E57</f>
        <v>0</v>
      </c>
      <c r="F57">
        <f>A!F57</f>
        <v>0</v>
      </c>
      <c r="G57">
        <f>A!G57</f>
        <v>0</v>
      </c>
      <c r="H57">
        <f>A!H57</f>
        <v>0</v>
      </c>
      <c r="I57">
        <f>A!I57</f>
        <v>0</v>
      </c>
      <c r="J57">
        <f>A!J57</f>
        <v>0</v>
      </c>
      <c r="K57">
        <f>A!K57</f>
        <v>0</v>
      </c>
      <c r="L57">
        <f>A!L57</f>
        <v>0</v>
      </c>
      <c r="M57">
        <f>A!M57</f>
        <v>0</v>
      </c>
      <c r="N57">
        <f>A!N57</f>
        <v>0</v>
      </c>
      <c r="O57">
        <f>A!O57</f>
        <v>0</v>
      </c>
      <c r="P57" s="32" t="str">
        <f>IF(A!P57="","",INDEX(B!$A$1:$BT$2000,MATCH(A!P57,B!$AX$1:$AX$2000,0),D!$B$5))</f>
        <v/>
      </c>
      <c r="Q57">
        <f>A!Q57</f>
        <v>0</v>
      </c>
      <c r="R57">
        <f>A!R57</f>
        <v>0</v>
      </c>
      <c r="S57">
        <f>A!S57</f>
        <v>0</v>
      </c>
      <c r="T57">
        <f>A!T57</f>
        <v>0</v>
      </c>
      <c r="U57">
        <f>A!U57</f>
        <v>0</v>
      </c>
      <c r="V57" s="32">
        <f>IF(A!V57="&lt;",1,A!V57)</f>
        <v>0</v>
      </c>
      <c r="W57">
        <f>A!W57</f>
        <v>0</v>
      </c>
      <c r="X57">
        <f>A!X57</f>
        <v>0</v>
      </c>
      <c r="Y57">
        <f>A!Y57</f>
        <v>0</v>
      </c>
      <c r="Z57" s="32">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32"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_4e495d1b-09c8-432b-8c45-258ce8733b11</v>
      </c>
      <c r="BY57" t="str">
        <f>A!BX57</f>
        <v>4e495d1b-09c8-432b-8c45-258ce8733b11</v>
      </c>
      <c r="BZ57" t="str">
        <f>A!BY57</f>
        <v>SIKB</v>
      </c>
      <c r="CA57" t="str">
        <f>A!BZ57</f>
        <v>MM04 04 (100-150) 05 (100-150)</v>
      </c>
      <c r="CB57">
        <f>A!CA57</f>
        <v>45810</v>
      </c>
      <c r="CC57" t="str">
        <f>A!CB57</f>
        <v>#_a13c9c27-ac45-4ff5-8e2b-08bc80806939</v>
      </c>
      <c r="CD57" t="str">
        <f>A!CC57</f>
        <v>#_abfa3d5f-4d2c-42a7-9341-32358b539494</v>
      </c>
      <c r="CE57">
        <f>A!CD57</f>
        <v>0</v>
      </c>
      <c r="CF57" t="str">
        <f>A!CE57</f>
        <v>urn:immetingen:compartiment:id:1</v>
      </c>
      <c r="CG57" t="str">
        <f>A!CF57</f>
        <v>_TI-65023565</v>
      </c>
      <c r="CH57">
        <f>A!CG57</f>
        <v>45810</v>
      </c>
      <c r="CI57" t="str">
        <f>A!CH57</f>
        <v>urn:immetingen:monstertype:id:10</v>
      </c>
      <c r="CJ57" t="str">
        <f>A!CI57</f>
        <v>urn:imsikb0101:Applicaties:id:16</v>
      </c>
      <c r="CK57" t="str">
        <f>A!CJ57</f>
        <v>urn:imsikb0101:DatastroomType:id:1</v>
      </c>
      <c r="CL57">
        <f>A!CK57</f>
        <v>45811</v>
      </c>
      <c r="CM57" t="str">
        <f>A!CL57</f>
        <v>SGS, Rotterdam</v>
      </c>
      <c r="CN57" t="str">
        <f>A!CM57</f>
        <v>LABRESULTAAT SGS</v>
      </c>
      <c r="CO57">
        <f>A!CN57</f>
        <v>45811</v>
      </c>
      <c r="CP57">
        <f>A!CO57</f>
        <v>0</v>
      </c>
      <c r="CQ57">
        <f>A!CO57</f>
        <v>0</v>
      </c>
      <c r="CR57" t="str">
        <f>A!CP57</f>
        <v>urn:imsikb0101:Leveranciers:id:21</v>
      </c>
      <c r="CS57" t="str">
        <f>A!CQ57</f>
        <v>14.7.0</v>
      </c>
    </row>
    <row r="58" spans="1:97" x14ac:dyDescent="0.2">
      <c r="A58" t="str">
        <f>A!A58</f>
        <v>LABRESULTAAT</v>
      </c>
      <c r="B58">
        <f>A!B58</f>
        <v>5</v>
      </c>
      <c r="C58">
        <f>A!C58</f>
        <v>0</v>
      </c>
      <c r="D58">
        <f>A!D58</f>
        <v>0</v>
      </c>
      <c r="E58">
        <f>A!E58</f>
        <v>0</v>
      </c>
      <c r="F58">
        <f>A!F58</f>
        <v>0</v>
      </c>
      <c r="G58">
        <f>A!G58</f>
        <v>0</v>
      </c>
      <c r="H58">
        <f>A!H58</f>
        <v>0</v>
      </c>
      <c r="I58">
        <f>A!I58</f>
        <v>0</v>
      </c>
      <c r="J58">
        <f>A!J58</f>
        <v>0</v>
      </c>
      <c r="K58">
        <f>A!K58</f>
        <v>0</v>
      </c>
      <c r="L58">
        <f>A!L58</f>
        <v>0</v>
      </c>
      <c r="M58">
        <f>A!M58</f>
        <v>0</v>
      </c>
      <c r="N58">
        <f>A!N58</f>
        <v>0</v>
      </c>
      <c r="O58">
        <f>A!O58</f>
        <v>0</v>
      </c>
      <c r="P58" s="32" t="str">
        <f>IF(A!P58="","",INDEX(B!$A$1:$BT$2000,MATCH(A!P58,B!$AX$1:$AX$2000,0),D!$B$5))</f>
        <v/>
      </c>
      <c r="Q58">
        <f>A!Q58</f>
        <v>0</v>
      </c>
      <c r="R58">
        <f>A!R58</f>
        <v>0</v>
      </c>
      <c r="S58">
        <f>A!S58</f>
        <v>0</v>
      </c>
      <c r="T58">
        <f>A!T58</f>
        <v>0</v>
      </c>
      <c r="U58">
        <f>A!U58</f>
        <v>0</v>
      </c>
      <c r="V58" s="32">
        <f>IF(A!V58="&lt;",1,A!V58)</f>
        <v>0</v>
      </c>
      <c r="W58">
        <f>A!W58</f>
        <v>0</v>
      </c>
      <c r="X58">
        <f>A!X58</f>
        <v>0</v>
      </c>
      <c r="Y58">
        <f>A!Y58</f>
        <v>0</v>
      </c>
      <c r="Z58" s="32">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32"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_4e495d1b-09c8-432b-8c45-258ce8733b11</v>
      </c>
      <c r="BY58" t="str">
        <f>A!BX58</f>
        <v>4e495d1b-09c8-432b-8c45-258ce8733b11</v>
      </c>
      <c r="BZ58" t="str">
        <f>A!BY58</f>
        <v>SIKB</v>
      </c>
      <c r="CA58" t="str">
        <f>A!BZ58</f>
        <v>MM04 04 (100-150) 05 (100-150)</v>
      </c>
      <c r="CB58">
        <f>A!CA58</f>
        <v>45810</v>
      </c>
      <c r="CC58" t="str">
        <f>A!CB58</f>
        <v>#_a13c9c27-ac45-4ff5-8e2b-08bc80806939</v>
      </c>
      <c r="CD58" t="str">
        <f>A!CC58</f>
        <v>#_be2e0c96-5ad5-4e50-a8da-0b07059a23b3</v>
      </c>
      <c r="CE58">
        <f>A!CD58</f>
        <v>0</v>
      </c>
      <c r="CF58" t="str">
        <f>A!CE58</f>
        <v>urn:immetingen:compartiment:id:1</v>
      </c>
      <c r="CG58" t="str">
        <f>A!CF58</f>
        <v>_TI-65023565</v>
      </c>
      <c r="CH58">
        <f>A!CG58</f>
        <v>45810</v>
      </c>
      <c r="CI58" t="str">
        <f>A!CH58</f>
        <v>urn:immetingen:monstertype:id:10</v>
      </c>
      <c r="CJ58" t="str">
        <f>A!CI58</f>
        <v>urn:imsikb0101:Applicaties:id:16</v>
      </c>
      <c r="CK58" t="str">
        <f>A!CJ58</f>
        <v>urn:imsikb0101:DatastroomType:id:1</v>
      </c>
      <c r="CL58">
        <f>A!CK58</f>
        <v>45811</v>
      </c>
      <c r="CM58" t="str">
        <f>A!CL58</f>
        <v>SGS, Rotterdam</v>
      </c>
      <c r="CN58" t="str">
        <f>A!CM58</f>
        <v>LABRESULTAAT SGS</v>
      </c>
      <c r="CO58">
        <f>A!CN58</f>
        <v>45811</v>
      </c>
      <c r="CP58">
        <f>A!CO58</f>
        <v>0</v>
      </c>
      <c r="CQ58">
        <f>A!CO368</f>
        <v>0</v>
      </c>
      <c r="CR58" t="e">
        <f>A!#REF!</f>
        <v>#REF!</v>
      </c>
      <c r="CS58" t="e">
        <f>A!#REF!</f>
        <v>#REF!</v>
      </c>
    </row>
    <row r="59" spans="1:97" x14ac:dyDescent="0.2">
      <c r="A59" t="str">
        <f>A!A59</f>
        <v>LABRESULTAAT</v>
      </c>
      <c r="B59">
        <f>A!B59</f>
        <v>5</v>
      </c>
      <c r="C59">
        <f>A!C59</f>
        <v>0</v>
      </c>
      <c r="D59">
        <f>A!D59</f>
        <v>0</v>
      </c>
      <c r="E59">
        <f>A!E59</f>
        <v>0</v>
      </c>
      <c r="F59">
        <f>A!F59</f>
        <v>0</v>
      </c>
      <c r="G59">
        <f>A!G59</f>
        <v>0</v>
      </c>
      <c r="H59">
        <f>A!H59</f>
        <v>0</v>
      </c>
      <c r="I59">
        <f>A!I59</f>
        <v>0</v>
      </c>
      <c r="J59">
        <f>A!J59</f>
        <v>0</v>
      </c>
      <c r="K59">
        <f>A!K59</f>
        <v>0</v>
      </c>
      <c r="L59">
        <f>A!L59</f>
        <v>0</v>
      </c>
      <c r="M59">
        <f>A!M59</f>
        <v>0</v>
      </c>
      <c r="N59">
        <f>A!N59</f>
        <v>0</v>
      </c>
      <c r="O59">
        <f>A!O59</f>
        <v>0</v>
      </c>
      <c r="P59" s="32" t="str">
        <f>IF(A!P59="","",INDEX(B!$A$1:$BT$2000,MATCH(A!P59,B!$AX$1:$AX$2000,0),D!$B$5))</f>
        <v/>
      </c>
      <c r="Q59">
        <f>A!Q59</f>
        <v>0</v>
      </c>
      <c r="R59">
        <f>A!R59</f>
        <v>0</v>
      </c>
      <c r="S59">
        <f>A!S59</f>
        <v>0</v>
      </c>
      <c r="T59">
        <f>A!T59</f>
        <v>0</v>
      </c>
      <c r="U59">
        <f>A!U59</f>
        <v>0</v>
      </c>
      <c r="V59" s="32">
        <f>IF(A!V59="&lt;",1,A!V59)</f>
        <v>0</v>
      </c>
      <c r="W59">
        <f>A!W59</f>
        <v>0</v>
      </c>
      <c r="X59">
        <f>A!X59</f>
        <v>0</v>
      </c>
      <c r="Y59">
        <f>A!Y59</f>
        <v>0</v>
      </c>
      <c r="Z59" s="32">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32"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_4e495d1b-09c8-432b-8c45-258ce8733b11</v>
      </c>
      <c r="BY59" t="str">
        <f>A!BX59</f>
        <v>4e495d1b-09c8-432b-8c45-258ce8733b11</v>
      </c>
      <c r="BZ59" t="str">
        <f>A!BY59</f>
        <v>SIKB</v>
      </c>
      <c r="CA59" t="str">
        <f>A!BZ59</f>
        <v>MM04 04 (100-150) 05 (100-150)</v>
      </c>
      <c r="CB59">
        <f>A!CA59</f>
        <v>45810</v>
      </c>
      <c r="CC59" t="str">
        <f>A!CB59</f>
        <v>#_a13c9c27-ac45-4ff5-8e2b-08bc80806939</v>
      </c>
      <c r="CD59" t="str">
        <f>A!CC59</f>
        <v>#_50a049e6-0c4c-4551-9d3f-d04da20e7852</v>
      </c>
      <c r="CE59">
        <f>A!CD59</f>
        <v>0</v>
      </c>
      <c r="CF59" t="str">
        <f>A!CE59</f>
        <v>urn:immetingen:compartiment:id:1</v>
      </c>
      <c r="CG59" t="str">
        <f>A!CF59</f>
        <v>_TI-65023565</v>
      </c>
      <c r="CH59">
        <f>A!CG59</f>
        <v>45810</v>
      </c>
      <c r="CI59" t="str">
        <f>A!CH59</f>
        <v>urn:immetingen:monstertype:id:10</v>
      </c>
      <c r="CJ59" t="str">
        <f>A!CI59</f>
        <v>urn:imsikb0101:Applicaties:id:16</v>
      </c>
      <c r="CK59" t="str">
        <f>A!CJ59</f>
        <v>urn:imsikb0101:DatastroomType:id:1</v>
      </c>
      <c r="CL59">
        <f>A!CK59</f>
        <v>45811</v>
      </c>
      <c r="CM59" t="str">
        <f>A!CL59</f>
        <v>SGS, Rotterdam</v>
      </c>
      <c r="CN59" t="str">
        <f>A!CM59</f>
        <v>LABRESULTAAT SGS</v>
      </c>
      <c r="CO59">
        <f>A!CN59</f>
        <v>45811</v>
      </c>
      <c r="CP59">
        <f>A!CO59</f>
        <v>0</v>
      </c>
      <c r="CQ59">
        <f>A!CO369</f>
        <v>0</v>
      </c>
      <c r="CR59" t="e">
        <f>A!#REF!</f>
        <v>#REF!</v>
      </c>
      <c r="CS59" t="e">
        <f>A!#REF!</f>
        <v>#REF!</v>
      </c>
    </row>
    <row r="60" spans="1:97" x14ac:dyDescent="0.2">
      <c r="A60" t="str">
        <f>A!A60</f>
        <v>LABRESULTAAT</v>
      </c>
      <c r="B60">
        <f>A!B60</f>
        <v>5</v>
      </c>
      <c r="C60">
        <f>A!C60</f>
        <v>0</v>
      </c>
      <c r="D60">
        <f>A!D60</f>
        <v>0</v>
      </c>
      <c r="E60">
        <f>A!E60</f>
        <v>0</v>
      </c>
      <c r="F60">
        <f>A!F60</f>
        <v>0</v>
      </c>
      <c r="G60">
        <f>A!G60</f>
        <v>0</v>
      </c>
      <c r="H60">
        <f>A!H60</f>
        <v>0</v>
      </c>
      <c r="I60">
        <f>A!I60</f>
        <v>0</v>
      </c>
      <c r="J60">
        <f>A!J60</f>
        <v>0</v>
      </c>
      <c r="K60">
        <f>A!K60</f>
        <v>0</v>
      </c>
      <c r="L60">
        <f>A!L60</f>
        <v>0</v>
      </c>
      <c r="M60">
        <f>A!M60</f>
        <v>0</v>
      </c>
      <c r="N60">
        <f>A!N60</f>
        <v>0</v>
      </c>
      <c r="O60">
        <f>A!O60</f>
        <v>0</v>
      </c>
      <c r="P60" s="32" t="str">
        <f>IF(A!P60="","",INDEX(B!$A$1:$BT$2000,MATCH(A!P60,B!$AX$1:$AX$2000,0),D!$B$5))</f>
        <v/>
      </c>
      <c r="Q60">
        <f>A!Q60</f>
        <v>0</v>
      </c>
      <c r="R60">
        <f>A!R60</f>
        <v>0</v>
      </c>
      <c r="S60">
        <f>A!S60</f>
        <v>0</v>
      </c>
      <c r="T60">
        <f>A!T60</f>
        <v>0</v>
      </c>
      <c r="U60">
        <f>A!U60</f>
        <v>0</v>
      </c>
      <c r="V60" s="32">
        <f>IF(A!V60="&lt;",1,A!V60)</f>
        <v>0</v>
      </c>
      <c r="W60">
        <f>A!W60</f>
        <v>0</v>
      </c>
      <c r="X60">
        <f>A!X60</f>
        <v>0</v>
      </c>
      <c r="Y60">
        <f>A!Y60</f>
        <v>0</v>
      </c>
      <c r="Z60" s="32">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32"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_4e495d1b-09c8-432b-8c45-258ce8733b11</v>
      </c>
      <c r="BY60" t="str">
        <f>A!BX60</f>
        <v>4e495d1b-09c8-432b-8c45-258ce8733b11</v>
      </c>
      <c r="BZ60" t="str">
        <f>A!BY60</f>
        <v>SIKB</v>
      </c>
      <c r="CA60" t="str">
        <f>A!BZ60</f>
        <v>MM04 04 (100-150) 05 (100-150)</v>
      </c>
      <c r="CB60">
        <f>A!CA60</f>
        <v>45810</v>
      </c>
      <c r="CC60" t="str">
        <f>A!CB60</f>
        <v>#_a13c9c27-ac45-4ff5-8e2b-08bc80806939</v>
      </c>
      <c r="CD60" t="str">
        <f>A!CC60</f>
        <v>#_74347084-0a52-43c2-896c-6f6254292acf</v>
      </c>
      <c r="CE60">
        <f>A!CD60</f>
        <v>0</v>
      </c>
      <c r="CF60" t="str">
        <f>A!CE60</f>
        <v>urn:immetingen:compartiment:id:1</v>
      </c>
      <c r="CG60" t="str">
        <f>A!CF60</f>
        <v>_TI-65023565</v>
      </c>
      <c r="CH60">
        <f>A!CG60</f>
        <v>45810</v>
      </c>
      <c r="CI60" t="str">
        <f>A!CH60</f>
        <v>urn:immetingen:monstertype:id:10</v>
      </c>
      <c r="CJ60" t="str">
        <f>A!CI60</f>
        <v>urn:imsikb0101:Applicaties:id:16</v>
      </c>
      <c r="CK60" t="str">
        <f>A!CJ60</f>
        <v>urn:imsikb0101:DatastroomType:id:1</v>
      </c>
      <c r="CL60">
        <f>A!CK60</f>
        <v>45811</v>
      </c>
      <c r="CM60" t="str">
        <f>A!CL60</f>
        <v>SGS, Rotterdam</v>
      </c>
      <c r="CN60" t="str">
        <f>A!CM60</f>
        <v>LABRESULTAAT SGS</v>
      </c>
      <c r="CO60">
        <f>A!CN60</f>
        <v>45811</v>
      </c>
      <c r="CP60">
        <f>A!CO60</f>
        <v>0</v>
      </c>
      <c r="CQ60">
        <f>A!CO370</f>
        <v>0</v>
      </c>
      <c r="CR60" t="e">
        <f>A!#REF!</f>
        <v>#REF!</v>
      </c>
      <c r="CS60" t="e">
        <f>A!#REF!</f>
        <v>#REF!</v>
      </c>
    </row>
    <row r="61" spans="1:97" x14ac:dyDescent="0.2">
      <c r="A61" t="str">
        <f>A!A61</f>
        <v>LABRESULTAAT</v>
      </c>
      <c r="B61">
        <f>A!B61</f>
        <v>5</v>
      </c>
      <c r="C61">
        <f>A!C61</f>
        <v>0</v>
      </c>
      <c r="D61">
        <f>A!D61</f>
        <v>0</v>
      </c>
      <c r="E61">
        <f>A!E61</f>
        <v>0</v>
      </c>
      <c r="F61">
        <f>A!F61</f>
        <v>0</v>
      </c>
      <c r="G61">
        <f>A!G61</f>
        <v>0</v>
      </c>
      <c r="H61">
        <f>A!H61</f>
        <v>0</v>
      </c>
      <c r="I61">
        <f>A!I61</f>
        <v>0</v>
      </c>
      <c r="J61">
        <f>A!J61</f>
        <v>0</v>
      </c>
      <c r="K61">
        <f>A!K61</f>
        <v>0</v>
      </c>
      <c r="L61">
        <f>A!L61</f>
        <v>0</v>
      </c>
      <c r="M61">
        <f>A!M61</f>
        <v>0</v>
      </c>
      <c r="N61">
        <f>A!N61</f>
        <v>0</v>
      </c>
      <c r="O61">
        <f>A!O61</f>
        <v>0</v>
      </c>
      <c r="P61" s="32" t="str">
        <f>IF(A!P61="","",INDEX(B!$A$1:$BT$2000,MATCH(A!P61,B!$AX$1:$AX$2000,0),D!$B$5))</f>
        <v/>
      </c>
      <c r="Q61">
        <f>A!Q61</f>
        <v>0</v>
      </c>
      <c r="R61">
        <f>A!R61</f>
        <v>0</v>
      </c>
      <c r="S61">
        <f>A!S61</f>
        <v>0</v>
      </c>
      <c r="T61">
        <f>A!T61</f>
        <v>0</v>
      </c>
      <c r="U61">
        <f>A!U61</f>
        <v>0</v>
      </c>
      <c r="V61" s="32">
        <f>IF(A!V61="&lt;",1,A!V61)</f>
        <v>0</v>
      </c>
      <c r="W61">
        <f>A!W61</f>
        <v>0</v>
      </c>
      <c r="X61">
        <f>A!X61</f>
        <v>0</v>
      </c>
      <c r="Y61">
        <f>A!Y61</f>
        <v>0</v>
      </c>
      <c r="Z61" s="32">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32"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_4e495d1b-09c8-432b-8c45-258ce8733b11</v>
      </c>
      <c r="BY61" t="str">
        <f>A!BX61</f>
        <v>4e495d1b-09c8-432b-8c45-258ce8733b11</v>
      </c>
      <c r="BZ61" t="str">
        <f>A!BY61</f>
        <v>SIKB</v>
      </c>
      <c r="CA61" t="str">
        <f>A!BZ61</f>
        <v>MM04 04 (100-150) 05 (100-150)</v>
      </c>
      <c r="CB61">
        <f>A!CA61</f>
        <v>45810</v>
      </c>
      <c r="CC61" t="str">
        <f>A!CB61</f>
        <v>#_a13c9c27-ac45-4ff5-8e2b-08bc80806939</v>
      </c>
      <c r="CD61" t="str">
        <f>A!CC61</f>
        <v>#_18996d1c-741a-4b32-b36c-8ac4ea7530eb</v>
      </c>
      <c r="CE61">
        <f>A!CD61</f>
        <v>0</v>
      </c>
      <c r="CF61" t="str">
        <f>A!CE61</f>
        <v>urn:immetingen:compartiment:id:1</v>
      </c>
      <c r="CG61" t="str">
        <f>A!CF61</f>
        <v>_TI-65023565</v>
      </c>
      <c r="CH61">
        <f>A!CG61</f>
        <v>45810</v>
      </c>
      <c r="CI61" t="str">
        <f>A!CH61</f>
        <v>urn:immetingen:monstertype:id:10</v>
      </c>
      <c r="CJ61" t="str">
        <f>A!CI61</f>
        <v>urn:imsikb0101:Applicaties:id:16</v>
      </c>
      <c r="CK61" t="str">
        <f>A!CJ61</f>
        <v>urn:imsikb0101:DatastroomType:id:1</v>
      </c>
      <c r="CL61">
        <f>A!CK61</f>
        <v>45811</v>
      </c>
      <c r="CM61" t="str">
        <f>A!CL61</f>
        <v>SGS, Rotterdam</v>
      </c>
      <c r="CN61" t="str">
        <f>A!CM61</f>
        <v>LABRESULTAAT SGS</v>
      </c>
      <c r="CO61">
        <f>A!CN61</f>
        <v>45811</v>
      </c>
      <c r="CP61">
        <f>A!CO61</f>
        <v>0</v>
      </c>
      <c r="CQ61">
        <f>A!CO371</f>
        <v>0</v>
      </c>
      <c r="CR61" t="e">
        <f>A!#REF!</f>
        <v>#REF!</v>
      </c>
      <c r="CS61" t="e">
        <f>A!#REF!</f>
        <v>#REF!</v>
      </c>
    </row>
    <row r="62" spans="1:97" x14ac:dyDescent="0.2">
      <c r="A62" t="str">
        <f>A!A62</f>
        <v>LABRESULTAAT</v>
      </c>
      <c r="B62">
        <f>A!B62</f>
        <v>5</v>
      </c>
      <c r="C62">
        <f>A!C62</f>
        <v>0</v>
      </c>
      <c r="D62">
        <f>A!D62</f>
        <v>0</v>
      </c>
      <c r="E62">
        <f>A!E62</f>
        <v>0</v>
      </c>
      <c r="F62">
        <f>A!F62</f>
        <v>0</v>
      </c>
      <c r="G62">
        <f>A!G62</f>
        <v>0</v>
      </c>
      <c r="H62">
        <f>A!H62</f>
        <v>0</v>
      </c>
      <c r="I62">
        <f>A!I62</f>
        <v>0</v>
      </c>
      <c r="J62">
        <f>A!J62</f>
        <v>0</v>
      </c>
      <c r="K62">
        <f>A!K62</f>
        <v>0</v>
      </c>
      <c r="L62">
        <f>A!L62</f>
        <v>0</v>
      </c>
      <c r="M62">
        <f>A!M62</f>
        <v>0</v>
      </c>
      <c r="N62">
        <f>A!N62</f>
        <v>0</v>
      </c>
      <c r="O62">
        <f>A!O62</f>
        <v>0</v>
      </c>
      <c r="P62" s="32" t="str">
        <f>IF(A!P62="","",INDEX(B!$A$1:$BT$2000,MATCH(A!P62,B!$AX$1:$AX$2000,0),D!$B$5))</f>
        <v/>
      </c>
      <c r="Q62">
        <f>A!Q62</f>
        <v>0</v>
      </c>
      <c r="R62">
        <f>A!R62</f>
        <v>0</v>
      </c>
      <c r="S62">
        <f>A!S62</f>
        <v>0</v>
      </c>
      <c r="T62">
        <f>A!T62</f>
        <v>0</v>
      </c>
      <c r="U62">
        <f>A!U62</f>
        <v>0</v>
      </c>
      <c r="V62" s="32">
        <f>IF(A!V62="&lt;",1,A!V62)</f>
        <v>0</v>
      </c>
      <c r="W62">
        <f>A!W62</f>
        <v>0</v>
      </c>
      <c r="X62">
        <f>A!X62</f>
        <v>0</v>
      </c>
      <c r="Y62">
        <f>A!Y62</f>
        <v>0</v>
      </c>
      <c r="Z62" s="32">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32"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_4e495d1b-09c8-432b-8c45-258ce8733b11</v>
      </c>
      <c r="BY62" t="str">
        <f>A!BX62</f>
        <v>4e495d1b-09c8-432b-8c45-258ce8733b11</v>
      </c>
      <c r="BZ62" t="str">
        <f>A!BY62</f>
        <v>SIKB</v>
      </c>
      <c r="CA62" t="str">
        <f>A!BZ62</f>
        <v>MM04 04 (100-150) 05 (100-150)</v>
      </c>
      <c r="CB62">
        <f>A!CA62</f>
        <v>45810</v>
      </c>
      <c r="CC62" t="str">
        <f>A!CB62</f>
        <v>#_a13c9c27-ac45-4ff5-8e2b-08bc80806939</v>
      </c>
      <c r="CD62" t="str">
        <f>A!CC62</f>
        <v>#_29551302-dccb-4050-aa49-6d2987fa1fa2</v>
      </c>
      <c r="CE62">
        <f>A!CD62</f>
        <v>0</v>
      </c>
      <c r="CF62" t="str">
        <f>A!CE62</f>
        <v>urn:immetingen:compartiment:id:1</v>
      </c>
      <c r="CG62" t="str">
        <f>A!CF62</f>
        <v>_TI-65023565</v>
      </c>
      <c r="CH62">
        <f>A!CG62</f>
        <v>45810</v>
      </c>
      <c r="CI62" t="str">
        <f>A!CH62</f>
        <v>urn:immetingen:monstertype:id:10</v>
      </c>
      <c r="CJ62" t="str">
        <f>A!CI62</f>
        <v>urn:imsikb0101:Applicaties:id:16</v>
      </c>
      <c r="CK62" t="str">
        <f>A!CJ62</f>
        <v>urn:imsikb0101:DatastroomType:id:1</v>
      </c>
      <c r="CL62">
        <f>A!CK62</f>
        <v>45811</v>
      </c>
      <c r="CM62" t="str">
        <f>A!CL62</f>
        <v>SGS, Rotterdam</v>
      </c>
      <c r="CN62" t="str">
        <f>A!CM62</f>
        <v>LABRESULTAAT SGS</v>
      </c>
      <c r="CO62">
        <f>A!CN62</f>
        <v>45811</v>
      </c>
      <c r="CP62">
        <f>A!CO62</f>
        <v>0</v>
      </c>
      <c r="CQ62">
        <f>A!CO372</f>
        <v>0</v>
      </c>
      <c r="CR62" t="e">
        <f>A!#REF!</f>
        <v>#REF!</v>
      </c>
      <c r="CS62" t="e">
        <f>A!#REF!</f>
        <v>#REF!</v>
      </c>
    </row>
    <row r="63" spans="1:97" x14ac:dyDescent="0.2">
      <c r="A63" t="str">
        <f>A!A63</f>
        <v>LABRESULTAAT</v>
      </c>
      <c r="B63">
        <f>A!B63</f>
        <v>5</v>
      </c>
      <c r="C63">
        <f>A!C63</f>
        <v>0</v>
      </c>
      <c r="D63">
        <f>A!D63</f>
        <v>0</v>
      </c>
      <c r="E63">
        <f>A!E63</f>
        <v>0</v>
      </c>
      <c r="F63">
        <f>A!F63</f>
        <v>0</v>
      </c>
      <c r="G63">
        <f>A!G63</f>
        <v>0</v>
      </c>
      <c r="H63">
        <f>A!H63</f>
        <v>0</v>
      </c>
      <c r="I63">
        <f>A!I63</f>
        <v>0</v>
      </c>
      <c r="J63">
        <f>A!J63</f>
        <v>0</v>
      </c>
      <c r="K63">
        <f>A!K63</f>
        <v>0</v>
      </c>
      <c r="L63">
        <f>A!L63</f>
        <v>0</v>
      </c>
      <c r="M63">
        <f>A!M63</f>
        <v>0</v>
      </c>
      <c r="N63">
        <f>A!N63</f>
        <v>0</v>
      </c>
      <c r="O63">
        <f>A!O63</f>
        <v>0</v>
      </c>
      <c r="P63" s="32" t="str">
        <f>IF(A!P63="","",INDEX(B!$A$1:$BT$2000,MATCH(A!P63,B!$AX$1:$AX$2000,0),D!$B$5))</f>
        <v/>
      </c>
      <c r="Q63">
        <f>A!Q63</f>
        <v>0</v>
      </c>
      <c r="R63">
        <f>A!R63</f>
        <v>0</v>
      </c>
      <c r="S63">
        <f>A!S63</f>
        <v>0</v>
      </c>
      <c r="T63">
        <f>A!T63</f>
        <v>0</v>
      </c>
      <c r="U63">
        <f>A!U63</f>
        <v>0</v>
      </c>
      <c r="V63" s="32">
        <f>IF(A!V63="&lt;",1,A!V63)</f>
        <v>0</v>
      </c>
      <c r="W63">
        <f>A!W63</f>
        <v>0</v>
      </c>
      <c r="X63">
        <f>A!X63</f>
        <v>0</v>
      </c>
      <c r="Y63">
        <f>A!Y63</f>
        <v>0</v>
      </c>
      <c r="Z63" s="32">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32"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_4e495d1b-09c8-432b-8c45-258ce8733b11</v>
      </c>
      <c r="BY63" t="str">
        <f>A!BX63</f>
        <v>4e495d1b-09c8-432b-8c45-258ce8733b11</v>
      </c>
      <c r="BZ63" t="str">
        <f>A!BY63</f>
        <v>SIKB</v>
      </c>
      <c r="CA63" t="str">
        <f>A!BZ63</f>
        <v>MM04 04 (100-150) 05 (100-150)</v>
      </c>
      <c r="CB63">
        <f>A!CA63</f>
        <v>45810</v>
      </c>
      <c r="CC63" t="str">
        <f>A!CB63</f>
        <v>#_a13c9c27-ac45-4ff5-8e2b-08bc80806939</v>
      </c>
      <c r="CD63" t="str">
        <f>A!CC63</f>
        <v>#_2ec74f11-7339-4472-9da9-bf6d001f1962</v>
      </c>
      <c r="CE63">
        <f>A!CD63</f>
        <v>0</v>
      </c>
      <c r="CF63" t="str">
        <f>A!CE63</f>
        <v>urn:immetingen:compartiment:id:1</v>
      </c>
      <c r="CG63" t="str">
        <f>A!CF63</f>
        <v>_TI-65023565</v>
      </c>
      <c r="CH63">
        <f>A!CG63</f>
        <v>45810</v>
      </c>
      <c r="CI63" t="str">
        <f>A!CH63</f>
        <v>urn:immetingen:monstertype:id:10</v>
      </c>
      <c r="CJ63" t="str">
        <f>A!CI63</f>
        <v>urn:imsikb0101:Applicaties:id:16</v>
      </c>
      <c r="CK63" t="str">
        <f>A!CJ63</f>
        <v>urn:imsikb0101:DatastroomType:id:1</v>
      </c>
      <c r="CL63">
        <f>A!CK63</f>
        <v>45811</v>
      </c>
      <c r="CM63" t="str">
        <f>A!CL63</f>
        <v>SGS, Rotterdam</v>
      </c>
      <c r="CN63" t="str">
        <f>A!CM63</f>
        <v>LABRESULTAAT SGS</v>
      </c>
      <c r="CO63">
        <f>A!CN63</f>
        <v>45811</v>
      </c>
      <c r="CP63">
        <f>A!CO63</f>
        <v>0</v>
      </c>
      <c r="CQ63">
        <f>A!CO373</f>
        <v>0</v>
      </c>
      <c r="CR63" t="e">
        <f>A!#REF!</f>
        <v>#REF!</v>
      </c>
      <c r="CS63" t="e">
        <f>A!#REF!</f>
        <v>#REF!</v>
      </c>
    </row>
    <row r="64" spans="1:97" x14ac:dyDescent="0.2">
      <c r="A64" t="str">
        <f>A!A64</f>
        <v>LABRESULTAAT</v>
      </c>
      <c r="B64">
        <f>A!B64</f>
        <v>5</v>
      </c>
      <c r="C64">
        <f>A!C64</f>
        <v>0</v>
      </c>
      <c r="D64">
        <f>A!D64</f>
        <v>0</v>
      </c>
      <c r="E64">
        <f>A!E64</f>
        <v>0</v>
      </c>
      <c r="F64">
        <f>A!F64</f>
        <v>0</v>
      </c>
      <c r="G64">
        <f>A!G64</f>
        <v>0</v>
      </c>
      <c r="H64">
        <f>A!H64</f>
        <v>0</v>
      </c>
      <c r="I64">
        <f>A!I64</f>
        <v>0</v>
      </c>
      <c r="J64">
        <f>A!J64</f>
        <v>0</v>
      </c>
      <c r="K64">
        <f>A!K64</f>
        <v>0</v>
      </c>
      <c r="L64">
        <f>A!L64</f>
        <v>0</v>
      </c>
      <c r="M64">
        <f>A!M64</f>
        <v>0</v>
      </c>
      <c r="N64">
        <f>A!N64</f>
        <v>0</v>
      </c>
      <c r="O64">
        <f>A!O64</f>
        <v>0</v>
      </c>
      <c r="P64" s="32" t="str">
        <f>IF(A!P64="","",INDEX(B!$A$1:$BT$2000,MATCH(A!P64,B!$AX$1:$AX$2000,0),D!$B$5))</f>
        <v/>
      </c>
      <c r="Q64">
        <f>A!Q64</f>
        <v>0</v>
      </c>
      <c r="R64">
        <f>A!R64</f>
        <v>0</v>
      </c>
      <c r="S64">
        <f>A!S64</f>
        <v>0</v>
      </c>
      <c r="T64">
        <f>A!T64</f>
        <v>0</v>
      </c>
      <c r="U64">
        <f>A!U64</f>
        <v>0</v>
      </c>
      <c r="V64" s="32">
        <f>IF(A!V64="&lt;",1,A!V64)</f>
        <v>0</v>
      </c>
      <c r="W64">
        <f>A!W64</f>
        <v>0</v>
      </c>
      <c r="X64">
        <f>A!X64</f>
        <v>0</v>
      </c>
      <c r="Y64">
        <f>A!Y64</f>
        <v>0</v>
      </c>
      <c r="Z64" s="32">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32"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_4e495d1b-09c8-432b-8c45-258ce8733b11</v>
      </c>
      <c r="BY64" t="str">
        <f>A!BX64</f>
        <v>4e495d1b-09c8-432b-8c45-258ce8733b11</v>
      </c>
      <c r="BZ64" t="str">
        <f>A!BY64</f>
        <v>SIKB</v>
      </c>
      <c r="CA64" t="str">
        <f>A!BZ64</f>
        <v>MM04 04 (100-150) 05 (100-150)</v>
      </c>
      <c r="CB64">
        <f>A!CA64</f>
        <v>45810</v>
      </c>
      <c r="CC64" t="str">
        <f>A!CB64</f>
        <v>#_a13c9c27-ac45-4ff5-8e2b-08bc80806939</v>
      </c>
      <c r="CD64" t="str">
        <f>A!CC64</f>
        <v>#_40770099-88c8-4da0-b564-f563c08f6342</v>
      </c>
      <c r="CE64">
        <f>A!CD64</f>
        <v>0</v>
      </c>
      <c r="CF64" t="str">
        <f>A!CE64</f>
        <v>urn:immetingen:compartiment:id:1</v>
      </c>
      <c r="CG64" t="str">
        <f>A!CF64</f>
        <v>_TI-65023565</v>
      </c>
      <c r="CH64">
        <f>A!CG64</f>
        <v>45810</v>
      </c>
      <c r="CI64" t="str">
        <f>A!CH64</f>
        <v>urn:immetingen:monstertype:id:10</v>
      </c>
      <c r="CJ64" t="str">
        <f>A!CI64</f>
        <v>urn:imsikb0101:Applicaties:id:16</v>
      </c>
      <c r="CK64" t="str">
        <f>A!CJ64</f>
        <v>urn:imsikb0101:DatastroomType:id:1</v>
      </c>
      <c r="CL64">
        <f>A!CK64</f>
        <v>45811</v>
      </c>
      <c r="CM64" t="str">
        <f>A!CL64</f>
        <v>SGS, Rotterdam</v>
      </c>
      <c r="CN64" t="str">
        <f>A!CM64</f>
        <v>LABRESULTAAT SGS</v>
      </c>
      <c r="CO64">
        <f>A!CN64</f>
        <v>45811</v>
      </c>
      <c r="CP64">
        <f>A!CO64</f>
        <v>0</v>
      </c>
      <c r="CQ64">
        <f>A!CO374</f>
        <v>0</v>
      </c>
      <c r="CR64" t="e">
        <f>A!#REF!</f>
        <v>#REF!</v>
      </c>
      <c r="CS64" t="e">
        <f>A!#REF!</f>
        <v>#REF!</v>
      </c>
    </row>
    <row r="65" spans="1:97" x14ac:dyDescent="0.2">
      <c r="A65" t="str">
        <f>A!A65</f>
        <v>LABRESULTAAT</v>
      </c>
      <c r="B65">
        <f>A!B65</f>
        <v>5</v>
      </c>
      <c r="C65">
        <f>A!C65</f>
        <v>0</v>
      </c>
      <c r="D65">
        <f>A!D65</f>
        <v>0</v>
      </c>
      <c r="E65">
        <f>A!E65</f>
        <v>0</v>
      </c>
      <c r="F65">
        <f>A!F65</f>
        <v>0</v>
      </c>
      <c r="G65">
        <f>A!G65</f>
        <v>0</v>
      </c>
      <c r="H65">
        <f>A!H65</f>
        <v>0</v>
      </c>
      <c r="I65">
        <f>A!I65</f>
        <v>0</v>
      </c>
      <c r="J65">
        <f>A!J65</f>
        <v>0</v>
      </c>
      <c r="K65">
        <f>A!K65</f>
        <v>0</v>
      </c>
      <c r="L65">
        <f>A!L65</f>
        <v>0</v>
      </c>
      <c r="M65">
        <f>A!M65</f>
        <v>0</v>
      </c>
      <c r="N65">
        <f>A!N65</f>
        <v>0</v>
      </c>
      <c r="O65">
        <f>A!O65</f>
        <v>0</v>
      </c>
      <c r="P65" s="32" t="str">
        <f>IF(A!P65="","",INDEX(B!$A$1:$BT$2000,MATCH(A!P65,B!$AX$1:$AX$2000,0),D!$B$5))</f>
        <v/>
      </c>
      <c r="Q65">
        <f>A!Q65</f>
        <v>0</v>
      </c>
      <c r="R65">
        <f>A!R65</f>
        <v>0</v>
      </c>
      <c r="S65">
        <f>A!S65</f>
        <v>0</v>
      </c>
      <c r="T65">
        <f>A!T65</f>
        <v>0</v>
      </c>
      <c r="U65">
        <f>A!U65</f>
        <v>0</v>
      </c>
      <c r="V65" s="32">
        <f>IF(A!V65="&lt;",1,A!V65)</f>
        <v>0</v>
      </c>
      <c r="W65">
        <f>A!W65</f>
        <v>0</v>
      </c>
      <c r="X65">
        <f>A!X65</f>
        <v>0</v>
      </c>
      <c r="Y65">
        <f>A!Y65</f>
        <v>0</v>
      </c>
      <c r="Z65" s="32">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32"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_4e495d1b-09c8-432b-8c45-258ce8733b11</v>
      </c>
      <c r="BY65" t="str">
        <f>A!BX65</f>
        <v>4e495d1b-09c8-432b-8c45-258ce8733b11</v>
      </c>
      <c r="BZ65" t="str">
        <f>A!BY65</f>
        <v>SIKB</v>
      </c>
      <c r="CA65" t="str">
        <f>A!BZ65</f>
        <v>MM04 04 (100-150) 05 (100-150)</v>
      </c>
      <c r="CB65">
        <f>A!CA65</f>
        <v>45810</v>
      </c>
      <c r="CC65" t="str">
        <f>A!CB65</f>
        <v>#_a13c9c27-ac45-4ff5-8e2b-08bc80806939</v>
      </c>
      <c r="CD65" t="str">
        <f>A!CC65</f>
        <v>#_2a1dab39-e292-4a23-bdb0-d539550a68dd</v>
      </c>
      <c r="CE65">
        <f>A!CD65</f>
        <v>0</v>
      </c>
      <c r="CF65" t="str">
        <f>A!CE65</f>
        <v>urn:immetingen:compartiment:id:1</v>
      </c>
      <c r="CG65" t="str">
        <f>A!CF65</f>
        <v>_TI-65023565</v>
      </c>
      <c r="CH65">
        <f>A!CG65</f>
        <v>45810</v>
      </c>
      <c r="CI65" t="str">
        <f>A!CH65</f>
        <v>urn:immetingen:monstertype:id:10</v>
      </c>
      <c r="CJ65" t="str">
        <f>A!CI65</f>
        <v>urn:imsikb0101:Applicaties:id:16</v>
      </c>
      <c r="CK65" t="str">
        <f>A!CJ65</f>
        <v>urn:imsikb0101:DatastroomType:id:1</v>
      </c>
      <c r="CL65">
        <f>A!CK65</f>
        <v>45811</v>
      </c>
      <c r="CM65" t="str">
        <f>A!CL65</f>
        <v>SGS, Rotterdam</v>
      </c>
      <c r="CN65" t="str">
        <f>A!CM65</f>
        <v>LABRESULTAAT SGS</v>
      </c>
      <c r="CO65">
        <f>A!CN65</f>
        <v>45811</v>
      </c>
      <c r="CP65">
        <f>A!CO65</f>
        <v>0</v>
      </c>
      <c r="CQ65">
        <f>A!CO375</f>
        <v>0</v>
      </c>
      <c r="CR65" t="e">
        <f>A!#REF!</f>
        <v>#REF!</v>
      </c>
      <c r="CS65" t="e">
        <f>A!#REF!</f>
        <v>#REF!</v>
      </c>
    </row>
    <row r="66" spans="1:97" x14ac:dyDescent="0.2">
      <c r="A66" t="str">
        <f>A!A66</f>
        <v>LABRESULTAAT</v>
      </c>
      <c r="B66">
        <f>A!B66</f>
        <v>5</v>
      </c>
      <c r="C66">
        <f>A!C66</f>
        <v>0</v>
      </c>
      <c r="D66">
        <f>A!D66</f>
        <v>0</v>
      </c>
      <c r="E66">
        <f>A!E66</f>
        <v>0</v>
      </c>
      <c r="F66">
        <f>A!F66</f>
        <v>0</v>
      </c>
      <c r="G66">
        <f>A!G66</f>
        <v>0</v>
      </c>
      <c r="H66">
        <f>A!H66</f>
        <v>0</v>
      </c>
      <c r="I66">
        <f>A!I66</f>
        <v>0</v>
      </c>
      <c r="J66">
        <f>A!J66</f>
        <v>0</v>
      </c>
      <c r="K66">
        <f>A!K66</f>
        <v>0</v>
      </c>
      <c r="L66">
        <f>A!L66</f>
        <v>0</v>
      </c>
      <c r="M66">
        <f>A!M66</f>
        <v>0</v>
      </c>
      <c r="N66">
        <f>A!N66</f>
        <v>0</v>
      </c>
      <c r="O66">
        <f>A!O66</f>
        <v>0</v>
      </c>
      <c r="P66" s="32" t="str">
        <f>IF(A!P66="","",INDEX(B!$A$1:$BT$2000,MATCH(A!P66,B!$AX$1:$AX$2000,0),D!$B$5))</f>
        <v/>
      </c>
      <c r="Q66">
        <f>A!Q66</f>
        <v>0</v>
      </c>
      <c r="R66">
        <f>A!R66</f>
        <v>0</v>
      </c>
      <c r="S66">
        <f>A!S66</f>
        <v>0</v>
      </c>
      <c r="T66">
        <f>A!T66</f>
        <v>0</v>
      </c>
      <c r="U66">
        <f>A!U66</f>
        <v>0</v>
      </c>
      <c r="V66" s="32">
        <f>IF(A!V66="&lt;",1,A!V66)</f>
        <v>0</v>
      </c>
      <c r="W66">
        <f>A!W66</f>
        <v>0</v>
      </c>
      <c r="X66">
        <f>A!X66</f>
        <v>0</v>
      </c>
      <c r="Y66">
        <f>A!Y66</f>
        <v>0</v>
      </c>
      <c r="Z66" s="32">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32"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_4e495d1b-09c8-432b-8c45-258ce8733b11</v>
      </c>
      <c r="BY66" t="str">
        <f>A!BX66</f>
        <v>4e495d1b-09c8-432b-8c45-258ce8733b11</v>
      </c>
      <c r="BZ66" t="str">
        <f>A!BY66</f>
        <v>SIKB</v>
      </c>
      <c r="CA66" t="str">
        <f>A!BZ66</f>
        <v>MM04 04 (100-150) 05 (100-150)</v>
      </c>
      <c r="CB66">
        <f>A!CA66</f>
        <v>45810</v>
      </c>
      <c r="CC66" t="str">
        <f>A!CB66</f>
        <v>#_a13c9c27-ac45-4ff5-8e2b-08bc80806939</v>
      </c>
      <c r="CD66" t="str">
        <f>A!CC66</f>
        <v>#_fcc3fb75-9f46-4cf9-abd3-5ceee96b5764</v>
      </c>
      <c r="CE66">
        <f>A!CD66</f>
        <v>0</v>
      </c>
      <c r="CF66" t="str">
        <f>A!CE66</f>
        <v>urn:immetingen:compartiment:id:1</v>
      </c>
      <c r="CG66" t="str">
        <f>A!CF66</f>
        <v>_TI-65023565</v>
      </c>
      <c r="CH66">
        <f>A!CG66</f>
        <v>45810</v>
      </c>
      <c r="CI66" t="str">
        <f>A!CH66</f>
        <v>urn:immetingen:monstertype:id:10</v>
      </c>
      <c r="CJ66" t="str">
        <f>A!CI66</f>
        <v>urn:imsikb0101:Applicaties:id:16</v>
      </c>
      <c r="CK66" t="str">
        <f>A!CJ66</f>
        <v>urn:imsikb0101:DatastroomType:id:1</v>
      </c>
      <c r="CL66">
        <f>A!CK66</f>
        <v>45811</v>
      </c>
      <c r="CM66" t="str">
        <f>A!CL66</f>
        <v>SGS, Rotterdam</v>
      </c>
      <c r="CN66" t="str">
        <f>A!CM66</f>
        <v>LABRESULTAAT SGS</v>
      </c>
      <c r="CO66">
        <f>A!CN66</f>
        <v>45811</v>
      </c>
      <c r="CP66">
        <f>A!CO66</f>
        <v>0</v>
      </c>
      <c r="CQ66">
        <f>A!CO376</f>
        <v>0</v>
      </c>
      <c r="CR66" t="e">
        <f>A!#REF!</f>
        <v>#REF!</v>
      </c>
      <c r="CS66" t="e">
        <f>A!#REF!</f>
        <v>#REF!</v>
      </c>
    </row>
    <row r="67" spans="1:97" x14ac:dyDescent="0.2">
      <c r="A67" t="str">
        <f>A!A67</f>
        <v>LABRESULTAAT</v>
      </c>
      <c r="B67">
        <f>A!B67</f>
        <v>5</v>
      </c>
      <c r="C67">
        <f>A!C67</f>
        <v>0</v>
      </c>
      <c r="D67">
        <f>A!D67</f>
        <v>0</v>
      </c>
      <c r="E67">
        <f>A!E67</f>
        <v>0</v>
      </c>
      <c r="F67">
        <f>A!F67</f>
        <v>0</v>
      </c>
      <c r="G67">
        <f>A!G67</f>
        <v>0</v>
      </c>
      <c r="H67">
        <f>A!H67</f>
        <v>0</v>
      </c>
      <c r="I67">
        <f>A!I67</f>
        <v>0</v>
      </c>
      <c r="J67">
        <f>A!J67</f>
        <v>0</v>
      </c>
      <c r="K67">
        <f>A!K67</f>
        <v>0</v>
      </c>
      <c r="L67">
        <f>A!L67</f>
        <v>0</v>
      </c>
      <c r="M67">
        <f>A!M67</f>
        <v>0</v>
      </c>
      <c r="N67">
        <f>A!N67</f>
        <v>0</v>
      </c>
      <c r="O67">
        <f>A!O67</f>
        <v>0</v>
      </c>
      <c r="P67" s="32" t="str">
        <f>IF(A!P67="","",INDEX(B!$A$1:$BT$2000,MATCH(A!P67,B!$AX$1:$AX$2000,0),D!$B$5))</f>
        <v/>
      </c>
      <c r="Q67">
        <f>A!Q67</f>
        <v>0</v>
      </c>
      <c r="R67">
        <f>A!R67</f>
        <v>0</v>
      </c>
      <c r="S67">
        <f>A!S67</f>
        <v>0</v>
      </c>
      <c r="T67">
        <f>A!T67</f>
        <v>0</v>
      </c>
      <c r="U67">
        <f>A!U67</f>
        <v>0</v>
      </c>
      <c r="V67" s="32">
        <f>IF(A!V67="&lt;",1,A!V67)</f>
        <v>0</v>
      </c>
      <c r="W67">
        <f>A!W67</f>
        <v>0</v>
      </c>
      <c r="X67">
        <f>A!X67</f>
        <v>0</v>
      </c>
      <c r="Y67">
        <f>A!Y67</f>
        <v>0</v>
      </c>
      <c r="Z67" s="32">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32"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_4e495d1b-09c8-432b-8c45-258ce8733b11</v>
      </c>
      <c r="BY67" t="str">
        <f>A!BX67</f>
        <v>4e495d1b-09c8-432b-8c45-258ce8733b11</v>
      </c>
      <c r="BZ67" t="str">
        <f>A!BY67</f>
        <v>SIKB</v>
      </c>
      <c r="CA67" t="str">
        <f>A!BZ67</f>
        <v>MM04 04 (100-150) 05 (100-150)</v>
      </c>
      <c r="CB67">
        <f>A!CA67</f>
        <v>45810</v>
      </c>
      <c r="CC67" t="str">
        <f>A!CB67</f>
        <v>#_a13c9c27-ac45-4ff5-8e2b-08bc80806939</v>
      </c>
      <c r="CD67" t="str">
        <f>A!CC67</f>
        <v>#_2459a3cb-4c7d-4d41-b71b-716d19819a1d</v>
      </c>
      <c r="CE67">
        <f>A!CD67</f>
        <v>0</v>
      </c>
      <c r="CF67" t="str">
        <f>A!CE67</f>
        <v>urn:immetingen:compartiment:id:1</v>
      </c>
      <c r="CG67" t="str">
        <f>A!CF67</f>
        <v>_TI-65023565</v>
      </c>
      <c r="CH67">
        <f>A!CG67</f>
        <v>45810</v>
      </c>
      <c r="CI67" t="str">
        <f>A!CH67</f>
        <v>urn:immetingen:monstertype:id:10</v>
      </c>
      <c r="CJ67" t="str">
        <f>A!CI67</f>
        <v>urn:imsikb0101:Applicaties:id:16</v>
      </c>
      <c r="CK67" t="str">
        <f>A!CJ67</f>
        <v>urn:imsikb0101:DatastroomType:id:1</v>
      </c>
      <c r="CL67">
        <f>A!CK67</f>
        <v>45811</v>
      </c>
      <c r="CM67" t="str">
        <f>A!CL67</f>
        <v>SGS, Rotterdam</v>
      </c>
      <c r="CN67" t="str">
        <f>A!CM67</f>
        <v>LABRESULTAAT SGS</v>
      </c>
      <c r="CO67">
        <f>A!CN67</f>
        <v>45811</v>
      </c>
      <c r="CP67">
        <f>A!CO67</f>
        <v>0</v>
      </c>
      <c r="CQ67">
        <f>A!CO377</f>
        <v>0</v>
      </c>
      <c r="CR67" t="e">
        <f>A!#REF!</f>
        <v>#REF!</v>
      </c>
      <c r="CS67" t="e">
        <f>A!#REF!</f>
        <v>#REF!</v>
      </c>
    </row>
    <row r="68" spans="1:97" x14ac:dyDescent="0.2">
      <c r="A68" t="str">
        <f>A!A68</f>
        <v>LABRESULTAAT</v>
      </c>
      <c r="B68">
        <f>A!B68</f>
        <v>5</v>
      </c>
      <c r="C68">
        <f>A!C68</f>
        <v>0</v>
      </c>
      <c r="D68">
        <f>A!D68</f>
        <v>0</v>
      </c>
      <c r="E68">
        <f>A!E68</f>
        <v>0</v>
      </c>
      <c r="F68">
        <f>A!F68</f>
        <v>0</v>
      </c>
      <c r="G68">
        <f>A!G68</f>
        <v>0</v>
      </c>
      <c r="H68">
        <f>A!H68</f>
        <v>0</v>
      </c>
      <c r="I68">
        <f>A!I68</f>
        <v>0</v>
      </c>
      <c r="J68">
        <f>A!J68</f>
        <v>0</v>
      </c>
      <c r="K68">
        <f>A!K68</f>
        <v>0</v>
      </c>
      <c r="L68">
        <f>A!L68</f>
        <v>0</v>
      </c>
      <c r="M68">
        <f>A!M68</f>
        <v>0</v>
      </c>
      <c r="N68">
        <f>A!N68</f>
        <v>0</v>
      </c>
      <c r="O68">
        <f>A!O68</f>
        <v>0</v>
      </c>
      <c r="P68" s="32" t="str">
        <f>IF(A!P68="","",INDEX(B!$A$1:$BT$2000,MATCH(A!P68,B!$AX$1:$AX$2000,0),D!$B$5))</f>
        <v/>
      </c>
      <c r="Q68">
        <f>A!Q68</f>
        <v>0</v>
      </c>
      <c r="R68">
        <f>A!R68</f>
        <v>0</v>
      </c>
      <c r="S68">
        <f>A!S68</f>
        <v>0</v>
      </c>
      <c r="T68">
        <f>A!T68</f>
        <v>0</v>
      </c>
      <c r="U68">
        <f>A!U68</f>
        <v>0</v>
      </c>
      <c r="V68" s="32">
        <f>IF(A!V68="&lt;",1,A!V68)</f>
        <v>0</v>
      </c>
      <c r="W68">
        <f>A!W68</f>
        <v>0</v>
      </c>
      <c r="X68">
        <f>A!X68</f>
        <v>0</v>
      </c>
      <c r="Y68">
        <f>A!Y68</f>
        <v>0</v>
      </c>
      <c r="Z68" s="32">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32"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_4e495d1b-09c8-432b-8c45-258ce8733b11</v>
      </c>
      <c r="BY68" t="str">
        <f>A!BX68</f>
        <v>4e495d1b-09c8-432b-8c45-258ce8733b11</v>
      </c>
      <c r="BZ68" t="str">
        <f>A!BY68</f>
        <v>SIKB</v>
      </c>
      <c r="CA68" t="str">
        <f>A!BZ68</f>
        <v>MM04 04 (100-150) 05 (100-150)</v>
      </c>
      <c r="CB68">
        <f>A!CA68</f>
        <v>45810</v>
      </c>
      <c r="CC68" t="str">
        <f>A!CB68</f>
        <v>#_a13c9c27-ac45-4ff5-8e2b-08bc80806939</v>
      </c>
      <c r="CD68" t="str">
        <f>A!CC68</f>
        <v>#_aaa669fb-6afe-4d07-be1a-50cef23d252b</v>
      </c>
      <c r="CE68">
        <f>A!CD68</f>
        <v>0</v>
      </c>
      <c r="CF68" t="str">
        <f>A!CE68</f>
        <v>urn:immetingen:compartiment:id:1</v>
      </c>
      <c r="CG68" t="str">
        <f>A!CF68</f>
        <v>_TI-65023565</v>
      </c>
      <c r="CH68">
        <f>A!CG68</f>
        <v>45810</v>
      </c>
      <c r="CI68" t="str">
        <f>A!CH68</f>
        <v>urn:immetingen:monstertype:id:10</v>
      </c>
      <c r="CJ68" t="str">
        <f>A!CI68</f>
        <v>urn:imsikb0101:Applicaties:id:16</v>
      </c>
      <c r="CK68" t="str">
        <f>A!CJ68</f>
        <v>urn:imsikb0101:DatastroomType:id:1</v>
      </c>
      <c r="CL68">
        <f>A!CK68</f>
        <v>45811</v>
      </c>
      <c r="CM68" t="str">
        <f>A!CL68</f>
        <v>SGS, Rotterdam</v>
      </c>
      <c r="CN68" t="str">
        <f>A!CM68</f>
        <v>LABRESULTAAT SGS</v>
      </c>
      <c r="CO68">
        <f>A!CN68</f>
        <v>45811</v>
      </c>
      <c r="CP68">
        <f>A!CO68</f>
        <v>0</v>
      </c>
      <c r="CQ68">
        <f>A!CO378</f>
        <v>0</v>
      </c>
      <c r="CR68" t="e">
        <f>A!#REF!</f>
        <v>#REF!</v>
      </c>
      <c r="CS68" t="e">
        <f>A!#REF!</f>
        <v>#REF!</v>
      </c>
    </row>
    <row r="69" spans="1:97" x14ac:dyDescent="0.2">
      <c r="A69" t="str">
        <f>A!A69</f>
        <v>LABRESULTAAT</v>
      </c>
      <c r="B69">
        <f>A!B69</f>
        <v>6</v>
      </c>
      <c r="C69">
        <f>A!C69</f>
        <v>0</v>
      </c>
      <c r="D69">
        <f>A!D69</f>
        <v>0</v>
      </c>
      <c r="E69">
        <f>A!E69</f>
        <v>0</v>
      </c>
      <c r="F69">
        <f>A!F69</f>
        <v>0</v>
      </c>
      <c r="G69">
        <f>A!G69</f>
        <v>0</v>
      </c>
      <c r="H69">
        <f>A!H69</f>
        <v>0</v>
      </c>
      <c r="I69">
        <f>A!I69</f>
        <v>0</v>
      </c>
      <c r="J69">
        <f>A!J69</f>
        <v>0</v>
      </c>
      <c r="K69">
        <f>A!K69</f>
        <v>0</v>
      </c>
      <c r="L69">
        <f>A!L69</f>
        <v>0</v>
      </c>
      <c r="M69">
        <f>A!M69</f>
        <v>0</v>
      </c>
      <c r="N69">
        <f>A!N69</f>
        <v>0</v>
      </c>
      <c r="O69">
        <f>A!O69</f>
        <v>0</v>
      </c>
      <c r="P69" s="32" t="str">
        <f>IF(A!P69="","",INDEX(B!$A$1:$BT$2000,MATCH(A!P69,B!$AX$1:$AX$2000,0),D!$B$5))</f>
        <v/>
      </c>
      <c r="Q69">
        <f>A!Q69</f>
        <v>0</v>
      </c>
      <c r="R69">
        <f>A!R69</f>
        <v>0</v>
      </c>
      <c r="S69">
        <f>A!S69</f>
        <v>0</v>
      </c>
      <c r="T69">
        <f>A!T69</f>
        <v>0</v>
      </c>
      <c r="U69">
        <f>A!U69</f>
        <v>0</v>
      </c>
      <c r="V69" s="32">
        <f>IF(A!V69="&lt;",1,A!V69)</f>
        <v>0</v>
      </c>
      <c r="W69">
        <f>A!W69</f>
        <v>0</v>
      </c>
      <c r="X69">
        <f>A!X69</f>
        <v>0</v>
      </c>
      <c r="Y69">
        <f>A!Y69</f>
        <v>0</v>
      </c>
      <c r="Z69" s="32">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32"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_f2f55274-7708-48c8-9f23-34f94e9519db</v>
      </c>
      <c r="BY69" t="str">
        <f>A!BX69</f>
        <v>f2f55274-7708-48c8-9f23-34f94e9519db</v>
      </c>
      <c r="BZ69" t="str">
        <f>A!BY69</f>
        <v>SIKB</v>
      </c>
      <c r="CA69" t="str">
        <f>A!BZ69</f>
        <v>MM05 04 (150-200) 05 (150-200)</v>
      </c>
      <c r="CB69">
        <f>A!CA69</f>
        <v>45810</v>
      </c>
      <c r="CC69" t="str">
        <f>A!CB69</f>
        <v>#_a13c9c27-ac45-4ff5-8e2b-08bc80806939</v>
      </c>
      <c r="CD69" t="str">
        <f>A!CC69</f>
        <v>#_ce6dc2cd-6ee7-44d2-8613-e70d54c7d312</v>
      </c>
      <c r="CE69">
        <f>A!CD69</f>
        <v>0</v>
      </c>
      <c r="CF69" t="str">
        <f>A!CE69</f>
        <v>urn:immetingen:compartiment:id:1</v>
      </c>
      <c r="CG69" t="str">
        <f>A!CF69</f>
        <v>_TI-65023564</v>
      </c>
      <c r="CH69">
        <f>A!CG69</f>
        <v>45810</v>
      </c>
      <c r="CI69" t="str">
        <f>A!CH69</f>
        <v>urn:immetingen:monstertype:id:10</v>
      </c>
      <c r="CJ69" t="str">
        <f>A!CI69</f>
        <v>urn:imsikb0101:Applicaties:id:16</v>
      </c>
      <c r="CK69" t="str">
        <f>A!CJ69</f>
        <v>urn:imsikb0101:DatastroomType:id:1</v>
      </c>
      <c r="CL69">
        <f>A!CK69</f>
        <v>45811</v>
      </c>
      <c r="CM69" t="str">
        <f>A!CL69</f>
        <v>SGS, Rotterdam</v>
      </c>
      <c r="CN69" t="str">
        <f>A!CM69</f>
        <v>LABRESULTAAT SGS</v>
      </c>
      <c r="CO69">
        <f>A!CN69</f>
        <v>45811</v>
      </c>
      <c r="CP69">
        <f>A!CO69</f>
        <v>0</v>
      </c>
      <c r="CQ69">
        <f>A!CO379</f>
        <v>0</v>
      </c>
      <c r="CR69" t="e">
        <f>A!#REF!</f>
        <v>#REF!</v>
      </c>
      <c r="CS69" t="e">
        <f>A!#REF!</f>
        <v>#REF!</v>
      </c>
    </row>
    <row r="70" spans="1:97" x14ac:dyDescent="0.2">
      <c r="A70" t="str">
        <f>A!A70</f>
        <v>LABRESULTAAT</v>
      </c>
      <c r="B70">
        <f>A!B70</f>
        <v>6</v>
      </c>
      <c r="C70">
        <f>A!C70</f>
        <v>0</v>
      </c>
      <c r="D70">
        <f>A!D70</f>
        <v>0</v>
      </c>
      <c r="E70">
        <f>A!E70</f>
        <v>0</v>
      </c>
      <c r="F70">
        <f>A!F70</f>
        <v>0</v>
      </c>
      <c r="G70">
        <f>A!G70</f>
        <v>0</v>
      </c>
      <c r="H70">
        <f>A!H70</f>
        <v>0</v>
      </c>
      <c r="I70">
        <f>A!I70</f>
        <v>0</v>
      </c>
      <c r="J70">
        <f>A!J70</f>
        <v>0</v>
      </c>
      <c r="K70">
        <f>A!K70</f>
        <v>0</v>
      </c>
      <c r="L70">
        <f>A!L70</f>
        <v>0</v>
      </c>
      <c r="M70">
        <f>A!M70</f>
        <v>0</v>
      </c>
      <c r="N70">
        <f>A!N70</f>
        <v>0</v>
      </c>
      <c r="O70">
        <f>A!O70</f>
        <v>0</v>
      </c>
      <c r="P70" s="32" t="str">
        <f>IF(A!P70="","",INDEX(B!$A$1:$BT$2000,MATCH(A!P70,B!$AX$1:$AX$2000,0),D!$B$5))</f>
        <v/>
      </c>
      <c r="Q70">
        <f>A!Q70</f>
        <v>0</v>
      </c>
      <c r="R70">
        <f>A!R70</f>
        <v>0</v>
      </c>
      <c r="S70">
        <f>A!S70</f>
        <v>0</v>
      </c>
      <c r="T70">
        <f>A!T70</f>
        <v>0</v>
      </c>
      <c r="U70">
        <f>A!U70</f>
        <v>0</v>
      </c>
      <c r="V70" s="32">
        <f>IF(A!V70="&lt;",1,A!V70)</f>
        <v>0</v>
      </c>
      <c r="W70">
        <f>A!W70</f>
        <v>0</v>
      </c>
      <c r="X70">
        <f>A!X70</f>
        <v>0</v>
      </c>
      <c r="Y70">
        <f>A!Y70</f>
        <v>0</v>
      </c>
      <c r="Z70" s="32">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32"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_f2f55274-7708-48c8-9f23-34f94e9519db</v>
      </c>
      <c r="BY70" t="str">
        <f>A!BX70</f>
        <v>f2f55274-7708-48c8-9f23-34f94e9519db</v>
      </c>
      <c r="BZ70" t="str">
        <f>A!BY70</f>
        <v>SIKB</v>
      </c>
      <c r="CA70" t="str">
        <f>A!BZ70</f>
        <v>MM05 04 (150-200) 05 (150-200)</v>
      </c>
      <c r="CB70">
        <f>A!CA70</f>
        <v>45810</v>
      </c>
      <c r="CC70" t="str">
        <f>A!CB70</f>
        <v>#_a13c9c27-ac45-4ff5-8e2b-08bc80806939</v>
      </c>
      <c r="CD70" t="str">
        <f>A!CC70</f>
        <v>#_de7b390d-6d29-4fc2-ae5d-45bc8c119c1b</v>
      </c>
      <c r="CE70">
        <f>A!CD70</f>
        <v>0</v>
      </c>
      <c r="CF70" t="str">
        <f>A!CE70</f>
        <v>urn:immetingen:compartiment:id:1</v>
      </c>
      <c r="CG70" t="str">
        <f>A!CF70</f>
        <v>_TI-65023564</v>
      </c>
      <c r="CH70">
        <f>A!CG70</f>
        <v>45810</v>
      </c>
      <c r="CI70" t="str">
        <f>A!CH70</f>
        <v>urn:immetingen:monstertype:id:10</v>
      </c>
      <c r="CJ70" t="str">
        <f>A!CI70</f>
        <v>urn:imsikb0101:Applicaties:id:16</v>
      </c>
      <c r="CK70" t="str">
        <f>A!CJ70</f>
        <v>urn:imsikb0101:DatastroomType:id:1</v>
      </c>
      <c r="CL70">
        <f>A!CK70</f>
        <v>45811</v>
      </c>
      <c r="CM70" t="str">
        <f>A!CL70</f>
        <v>SGS, Rotterdam</v>
      </c>
      <c r="CN70" t="str">
        <f>A!CM70</f>
        <v>LABRESULTAAT SGS</v>
      </c>
      <c r="CO70">
        <f>A!CN70</f>
        <v>45811</v>
      </c>
      <c r="CP70">
        <f>A!CO70</f>
        <v>0</v>
      </c>
      <c r="CQ70">
        <f>A!CO380</f>
        <v>0</v>
      </c>
      <c r="CR70" t="e">
        <f>A!#REF!</f>
        <v>#REF!</v>
      </c>
      <c r="CS70" t="e">
        <f>A!#REF!</f>
        <v>#REF!</v>
      </c>
    </row>
    <row r="71" spans="1:97" x14ac:dyDescent="0.2">
      <c r="A71" t="str">
        <f>A!A71</f>
        <v>LABRESULTAAT</v>
      </c>
      <c r="B71">
        <f>A!B71</f>
        <v>6</v>
      </c>
      <c r="C71">
        <f>A!C71</f>
        <v>0</v>
      </c>
      <c r="D71">
        <f>A!D71</f>
        <v>0</v>
      </c>
      <c r="E71">
        <f>A!E71</f>
        <v>0</v>
      </c>
      <c r="F71">
        <f>A!F71</f>
        <v>0</v>
      </c>
      <c r="G71">
        <f>A!G71</f>
        <v>0</v>
      </c>
      <c r="H71">
        <f>A!H71</f>
        <v>0</v>
      </c>
      <c r="I71">
        <f>A!I71</f>
        <v>0</v>
      </c>
      <c r="J71">
        <f>A!J71</f>
        <v>0</v>
      </c>
      <c r="K71">
        <f>A!K71</f>
        <v>0</v>
      </c>
      <c r="L71">
        <f>A!L71</f>
        <v>0</v>
      </c>
      <c r="M71">
        <f>A!M71</f>
        <v>0</v>
      </c>
      <c r="N71">
        <f>A!N71</f>
        <v>0</v>
      </c>
      <c r="O71">
        <f>A!O71</f>
        <v>0</v>
      </c>
      <c r="P71" s="32" t="str">
        <f>IF(A!P71="","",INDEX(B!$A$1:$BT$2000,MATCH(A!P71,B!$AX$1:$AX$2000,0),D!$B$5))</f>
        <v/>
      </c>
      <c r="Q71">
        <f>A!Q71</f>
        <v>0</v>
      </c>
      <c r="R71">
        <f>A!R71</f>
        <v>0</v>
      </c>
      <c r="S71">
        <f>A!S71</f>
        <v>0</v>
      </c>
      <c r="T71">
        <f>A!T71</f>
        <v>0</v>
      </c>
      <c r="U71">
        <f>A!U71</f>
        <v>0</v>
      </c>
      <c r="V71" s="32">
        <f>IF(A!V71="&lt;",1,A!V71)</f>
        <v>0</v>
      </c>
      <c r="W71">
        <f>A!W71</f>
        <v>0</v>
      </c>
      <c r="X71">
        <f>A!X71</f>
        <v>0</v>
      </c>
      <c r="Y71">
        <f>A!Y71</f>
        <v>0</v>
      </c>
      <c r="Z71" s="32">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32"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_f2f55274-7708-48c8-9f23-34f94e9519db</v>
      </c>
      <c r="BY71" t="str">
        <f>A!BX71</f>
        <v>f2f55274-7708-48c8-9f23-34f94e9519db</v>
      </c>
      <c r="BZ71" t="str">
        <f>A!BY71</f>
        <v>SIKB</v>
      </c>
      <c r="CA71" t="str">
        <f>A!BZ71</f>
        <v>MM05 04 (150-200) 05 (150-200)</v>
      </c>
      <c r="CB71">
        <f>A!CA71</f>
        <v>45810</v>
      </c>
      <c r="CC71" t="str">
        <f>A!CB71</f>
        <v>#_a13c9c27-ac45-4ff5-8e2b-08bc80806939</v>
      </c>
      <c r="CD71" t="str">
        <f>A!CC71</f>
        <v>#_0323cbaf-7e57-463d-a589-b2f3f76f065f</v>
      </c>
      <c r="CE71">
        <f>A!CD71</f>
        <v>0</v>
      </c>
      <c r="CF71" t="str">
        <f>A!CE71</f>
        <v>urn:immetingen:compartiment:id:1</v>
      </c>
      <c r="CG71" t="str">
        <f>A!CF71</f>
        <v>_TI-65023564</v>
      </c>
      <c r="CH71">
        <f>A!CG71</f>
        <v>45810</v>
      </c>
      <c r="CI71" t="str">
        <f>A!CH71</f>
        <v>urn:immetingen:monstertype:id:10</v>
      </c>
      <c r="CJ71" t="str">
        <f>A!CI71</f>
        <v>urn:imsikb0101:Applicaties:id:16</v>
      </c>
      <c r="CK71" t="str">
        <f>A!CJ71</f>
        <v>urn:imsikb0101:DatastroomType:id:1</v>
      </c>
      <c r="CL71">
        <f>A!CK71</f>
        <v>45811</v>
      </c>
      <c r="CM71" t="str">
        <f>A!CL71</f>
        <v>SGS, Rotterdam</v>
      </c>
      <c r="CN71" t="str">
        <f>A!CM71</f>
        <v>LABRESULTAAT SGS</v>
      </c>
      <c r="CO71">
        <f>A!CN71</f>
        <v>45811</v>
      </c>
      <c r="CP71">
        <f>A!CO71</f>
        <v>0</v>
      </c>
      <c r="CQ71">
        <f>A!CO381</f>
        <v>0</v>
      </c>
      <c r="CR71" t="e">
        <f>A!#REF!</f>
        <v>#REF!</v>
      </c>
      <c r="CS71" t="e">
        <f>A!#REF!</f>
        <v>#REF!</v>
      </c>
    </row>
    <row r="72" spans="1:97" x14ac:dyDescent="0.2">
      <c r="A72" t="str">
        <f>A!A72</f>
        <v>LABRESULTAAT</v>
      </c>
      <c r="B72">
        <f>A!B72</f>
        <v>6</v>
      </c>
      <c r="C72">
        <f>A!C72</f>
        <v>0</v>
      </c>
      <c r="D72">
        <f>A!D72</f>
        <v>0</v>
      </c>
      <c r="E72">
        <f>A!E72</f>
        <v>0</v>
      </c>
      <c r="F72">
        <f>A!F72</f>
        <v>0</v>
      </c>
      <c r="G72">
        <f>A!G72</f>
        <v>0</v>
      </c>
      <c r="H72">
        <f>A!H72</f>
        <v>0</v>
      </c>
      <c r="I72">
        <f>A!I72</f>
        <v>0</v>
      </c>
      <c r="J72">
        <f>A!J72</f>
        <v>0</v>
      </c>
      <c r="K72">
        <f>A!K72</f>
        <v>0</v>
      </c>
      <c r="L72">
        <f>A!L72</f>
        <v>0</v>
      </c>
      <c r="M72">
        <f>A!M72</f>
        <v>0</v>
      </c>
      <c r="N72">
        <f>A!N72</f>
        <v>0</v>
      </c>
      <c r="O72">
        <f>A!O72</f>
        <v>0</v>
      </c>
      <c r="P72" s="32" t="str">
        <f>IF(A!P72="","",INDEX(B!$A$1:$BT$2000,MATCH(A!P72,B!$AX$1:$AX$2000,0),D!$B$5))</f>
        <v/>
      </c>
      <c r="Q72">
        <f>A!Q72</f>
        <v>0</v>
      </c>
      <c r="R72">
        <f>A!R72</f>
        <v>0</v>
      </c>
      <c r="S72">
        <f>A!S72</f>
        <v>0</v>
      </c>
      <c r="T72">
        <f>A!T72</f>
        <v>0</v>
      </c>
      <c r="U72">
        <f>A!U72</f>
        <v>0</v>
      </c>
      <c r="V72" s="32">
        <f>IF(A!V72="&lt;",1,A!V72)</f>
        <v>0</v>
      </c>
      <c r="W72">
        <f>A!W72</f>
        <v>0</v>
      </c>
      <c r="X72">
        <f>A!X72</f>
        <v>0</v>
      </c>
      <c r="Y72">
        <f>A!Y72</f>
        <v>0</v>
      </c>
      <c r="Z72" s="32">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32"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_f2f55274-7708-48c8-9f23-34f94e9519db</v>
      </c>
      <c r="BY72" t="str">
        <f>A!BX72</f>
        <v>f2f55274-7708-48c8-9f23-34f94e9519db</v>
      </c>
      <c r="BZ72" t="str">
        <f>A!BY72</f>
        <v>SIKB</v>
      </c>
      <c r="CA72" t="str">
        <f>A!BZ72</f>
        <v>MM05 04 (150-200) 05 (150-200)</v>
      </c>
      <c r="CB72">
        <f>A!CA72</f>
        <v>45810</v>
      </c>
      <c r="CC72" t="str">
        <f>A!CB72</f>
        <v>#_a13c9c27-ac45-4ff5-8e2b-08bc80806939</v>
      </c>
      <c r="CD72" t="str">
        <f>A!CC72</f>
        <v>#_8b1913ce-8f10-4a84-89b3-2fdf32cc79aa</v>
      </c>
      <c r="CE72">
        <f>A!CD72</f>
        <v>0</v>
      </c>
      <c r="CF72" t="str">
        <f>A!CE72</f>
        <v>urn:immetingen:compartiment:id:1</v>
      </c>
      <c r="CG72" t="str">
        <f>A!CF72</f>
        <v>_TI-65023564</v>
      </c>
      <c r="CH72">
        <f>A!CG72</f>
        <v>45810</v>
      </c>
      <c r="CI72" t="str">
        <f>A!CH72</f>
        <v>urn:immetingen:monstertype:id:10</v>
      </c>
      <c r="CJ72" t="str">
        <f>A!CI72</f>
        <v>urn:imsikb0101:Applicaties:id:16</v>
      </c>
      <c r="CK72" t="str">
        <f>A!CJ72</f>
        <v>urn:imsikb0101:DatastroomType:id:1</v>
      </c>
      <c r="CL72">
        <f>A!CK72</f>
        <v>45811</v>
      </c>
      <c r="CM72" t="str">
        <f>A!CL72</f>
        <v>SGS, Rotterdam</v>
      </c>
      <c r="CN72" t="str">
        <f>A!CM72</f>
        <v>LABRESULTAAT SGS</v>
      </c>
      <c r="CO72">
        <f>A!CN72</f>
        <v>45811</v>
      </c>
      <c r="CP72">
        <f>A!CO72</f>
        <v>0</v>
      </c>
      <c r="CQ72">
        <f>A!CO382</f>
        <v>0</v>
      </c>
      <c r="CR72" t="e">
        <f>A!#REF!</f>
        <v>#REF!</v>
      </c>
      <c r="CS72" t="e">
        <f>A!#REF!</f>
        <v>#REF!</v>
      </c>
    </row>
    <row r="73" spans="1:97" x14ac:dyDescent="0.2">
      <c r="A73" t="str">
        <f>A!A73</f>
        <v>LABRESULTAAT</v>
      </c>
      <c r="B73">
        <f>A!B73</f>
        <v>6</v>
      </c>
      <c r="C73">
        <f>A!C73</f>
        <v>0</v>
      </c>
      <c r="D73">
        <f>A!D73</f>
        <v>0</v>
      </c>
      <c r="E73">
        <f>A!E73</f>
        <v>0</v>
      </c>
      <c r="F73">
        <f>A!F73</f>
        <v>0</v>
      </c>
      <c r="G73">
        <f>A!G73</f>
        <v>0</v>
      </c>
      <c r="H73">
        <f>A!H73</f>
        <v>0</v>
      </c>
      <c r="I73">
        <f>A!I73</f>
        <v>0</v>
      </c>
      <c r="J73">
        <f>A!J73</f>
        <v>0</v>
      </c>
      <c r="K73">
        <f>A!K73</f>
        <v>0</v>
      </c>
      <c r="L73">
        <f>A!L73</f>
        <v>0</v>
      </c>
      <c r="M73">
        <f>A!M73</f>
        <v>0</v>
      </c>
      <c r="N73">
        <f>A!N73</f>
        <v>0</v>
      </c>
      <c r="O73">
        <f>A!O73</f>
        <v>0</v>
      </c>
      <c r="P73" s="32" t="str">
        <f>IF(A!P73="","",INDEX(B!$A$1:$BT$2000,MATCH(A!P73,B!$AX$1:$AX$2000,0),D!$B$5))</f>
        <v/>
      </c>
      <c r="Q73">
        <f>A!Q73</f>
        <v>0</v>
      </c>
      <c r="R73">
        <f>A!R73</f>
        <v>0</v>
      </c>
      <c r="S73">
        <f>A!S73</f>
        <v>0</v>
      </c>
      <c r="T73">
        <f>A!T73</f>
        <v>0</v>
      </c>
      <c r="U73">
        <f>A!U73</f>
        <v>0</v>
      </c>
      <c r="V73" s="32">
        <f>IF(A!V73="&lt;",1,A!V73)</f>
        <v>0</v>
      </c>
      <c r="W73">
        <f>A!W73</f>
        <v>0</v>
      </c>
      <c r="X73">
        <f>A!X73</f>
        <v>0</v>
      </c>
      <c r="Y73">
        <f>A!Y73</f>
        <v>0</v>
      </c>
      <c r="Z73" s="32">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32"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_f2f55274-7708-48c8-9f23-34f94e9519db</v>
      </c>
      <c r="BY73" t="str">
        <f>A!BX73</f>
        <v>f2f55274-7708-48c8-9f23-34f94e9519db</v>
      </c>
      <c r="BZ73" t="str">
        <f>A!BY73</f>
        <v>SIKB</v>
      </c>
      <c r="CA73" t="str">
        <f>A!BZ73</f>
        <v>MM05 04 (150-200) 05 (150-200)</v>
      </c>
      <c r="CB73">
        <f>A!CA73</f>
        <v>45810</v>
      </c>
      <c r="CC73" t="str">
        <f>A!CB73</f>
        <v>#_a13c9c27-ac45-4ff5-8e2b-08bc80806939</v>
      </c>
      <c r="CD73" t="str">
        <f>A!CC73</f>
        <v>#_cd4f2f6f-af97-43b8-a900-06e243f718af</v>
      </c>
      <c r="CE73">
        <f>A!CD73</f>
        <v>0</v>
      </c>
      <c r="CF73" t="str">
        <f>A!CE73</f>
        <v>urn:immetingen:compartiment:id:1</v>
      </c>
      <c r="CG73" t="str">
        <f>A!CF73</f>
        <v>_TI-65023564</v>
      </c>
      <c r="CH73">
        <f>A!CG73</f>
        <v>45810</v>
      </c>
      <c r="CI73" t="str">
        <f>A!CH73</f>
        <v>urn:immetingen:monstertype:id:10</v>
      </c>
      <c r="CJ73" t="str">
        <f>A!CI73</f>
        <v>urn:imsikb0101:Applicaties:id:16</v>
      </c>
      <c r="CK73" t="str">
        <f>A!CJ73</f>
        <v>urn:imsikb0101:DatastroomType:id:1</v>
      </c>
      <c r="CL73">
        <f>A!CK73</f>
        <v>45811</v>
      </c>
      <c r="CM73" t="str">
        <f>A!CL73</f>
        <v>SGS, Rotterdam</v>
      </c>
      <c r="CN73" t="str">
        <f>A!CM73</f>
        <v>LABRESULTAAT SGS</v>
      </c>
      <c r="CO73">
        <f>A!CN73</f>
        <v>45811</v>
      </c>
      <c r="CP73">
        <f>A!CO73</f>
        <v>0</v>
      </c>
      <c r="CQ73">
        <f>A!CO383</f>
        <v>0</v>
      </c>
      <c r="CR73" t="e">
        <f>A!#REF!</f>
        <v>#REF!</v>
      </c>
      <c r="CS73" t="e">
        <f>A!#REF!</f>
        <v>#REF!</v>
      </c>
    </row>
    <row r="74" spans="1:97" x14ac:dyDescent="0.2">
      <c r="A74" t="str">
        <f>A!A74</f>
        <v>LABRESULTAAT</v>
      </c>
      <c r="B74">
        <f>A!B74</f>
        <v>6</v>
      </c>
      <c r="C74">
        <f>A!C74</f>
        <v>0</v>
      </c>
      <c r="D74">
        <f>A!D74</f>
        <v>0</v>
      </c>
      <c r="E74">
        <f>A!E74</f>
        <v>0</v>
      </c>
      <c r="F74">
        <f>A!F74</f>
        <v>0</v>
      </c>
      <c r="G74">
        <f>A!G74</f>
        <v>0</v>
      </c>
      <c r="H74">
        <f>A!H74</f>
        <v>0</v>
      </c>
      <c r="I74">
        <f>A!I74</f>
        <v>0</v>
      </c>
      <c r="J74">
        <f>A!J74</f>
        <v>0</v>
      </c>
      <c r="K74">
        <f>A!K74</f>
        <v>0</v>
      </c>
      <c r="L74">
        <f>A!L74</f>
        <v>0</v>
      </c>
      <c r="M74">
        <f>A!M74</f>
        <v>0</v>
      </c>
      <c r="N74">
        <f>A!N74</f>
        <v>0</v>
      </c>
      <c r="O74">
        <f>A!O74</f>
        <v>0</v>
      </c>
      <c r="P74" s="32" t="str">
        <f>IF(A!P74="","",INDEX(B!$A$1:$BT$2000,MATCH(A!P74,B!$AX$1:$AX$2000,0),D!$B$5))</f>
        <v/>
      </c>
      <c r="Q74">
        <f>A!Q74</f>
        <v>0</v>
      </c>
      <c r="R74">
        <f>A!R74</f>
        <v>0</v>
      </c>
      <c r="S74">
        <f>A!S74</f>
        <v>0</v>
      </c>
      <c r="T74">
        <f>A!T74</f>
        <v>0</v>
      </c>
      <c r="U74">
        <f>A!U74</f>
        <v>0</v>
      </c>
      <c r="V74" s="32">
        <f>IF(A!V74="&lt;",1,A!V74)</f>
        <v>0</v>
      </c>
      <c r="W74">
        <f>A!W74</f>
        <v>0</v>
      </c>
      <c r="X74">
        <f>A!X74</f>
        <v>0</v>
      </c>
      <c r="Y74">
        <f>A!Y74</f>
        <v>0</v>
      </c>
      <c r="Z74" s="32">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32"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_f2f55274-7708-48c8-9f23-34f94e9519db</v>
      </c>
      <c r="BY74" t="str">
        <f>A!BX74</f>
        <v>f2f55274-7708-48c8-9f23-34f94e9519db</v>
      </c>
      <c r="BZ74" t="str">
        <f>A!BY74</f>
        <v>SIKB</v>
      </c>
      <c r="CA74" t="str">
        <f>A!BZ74</f>
        <v>MM05 04 (150-200) 05 (150-200)</v>
      </c>
      <c r="CB74">
        <f>A!CA74</f>
        <v>45810</v>
      </c>
      <c r="CC74" t="str">
        <f>A!CB74</f>
        <v>#_a13c9c27-ac45-4ff5-8e2b-08bc80806939</v>
      </c>
      <c r="CD74" t="str">
        <f>A!CC74</f>
        <v>#_49fbdf4b-7d4f-4d6a-b5b9-cd9201410a78</v>
      </c>
      <c r="CE74">
        <f>A!CD74</f>
        <v>0</v>
      </c>
      <c r="CF74" t="str">
        <f>A!CE74</f>
        <v>urn:immetingen:compartiment:id:1</v>
      </c>
      <c r="CG74" t="str">
        <f>A!CF74</f>
        <v>_TI-65023564</v>
      </c>
      <c r="CH74">
        <f>A!CG74</f>
        <v>45810</v>
      </c>
      <c r="CI74" t="str">
        <f>A!CH74</f>
        <v>urn:immetingen:monstertype:id:10</v>
      </c>
      <c r="CJ74" t="str">
        <f>A!CI74</f>
        <v>urn:imsikb0101:Applicaties:id:16</v>
      </c>
      <c r="CK74" t="str">
        <f>A!CJ74</f>
        <v>urn:imsikb0101:DatastroomType:id:1</v>
      </c>
      <c r="CL74">
        <f>A!CK74</f>
        <v>45811</v>
      </c>
      <c r="CM74" t="str">
        <f>A!CL74</f>
        <v>SGS, Rotterdam</v>
      </c>
      <c r="CN74" t="str">
        <f>A!CM74</f>
        <v>LABRESULTAAT SGS</v>
      </c>
      <c r="CO74">
        <f>A!CN74</f>
        <v>45811</v>
      </c>
      <c r="CP74">
        <f>A!CO74</f>
        <v>0</v>
      </c>
      <c r="CQ74">
        <f>A!CO384</f>
        <v>0</v>
      </c>
      <c r="CR74" t="e">
        <f>A!#REF!</f>
        <v>#REF!</v>
      </c>
      <c r="CS74" t="e">
        <f>A!#REF!</f>
        <v>#REF!</v>
      </c>
    </row>
    <row r="75" spans="1:97" x14ac:dyDescent="0.2">
      <c r="A75" t="str">
        <f>A!A75</f>
        <v>LABRESULTAAT</v>
      </c>
      <c r="B75">
        <f>A!B75</f>
        <v>6</v>
      </c>
      <c r="C75">
        <f>A!C75</f>
        <v>0</v>
      </c>
      <c r="D75">
        <f>A!D75</f>
        <v>0</v>
      </c>
      <c r="E75">
        <f>A!E75</f>
        <v>0</v>
      </c>
      <c r="F75">
        <f>A!F75</f>
        <v>0</v>
      </c>
      <c r="G75">
        <f>A!G75</f>
        <v>0</v>
      </c>
      <c r="H75">
        <f>A!H75</f>
        <v>0</v>
      </c>
      <c r="I75">
        <f>A!I75</f>
        <v>0</v>
      </c>
      <c r="J75">
        <f>A!J75</f>
        <v>0</v>
      </c>
      <c r="K75">
        <f>A!K75</f>
        <v>0</v>
      </c>
      <c r="L75">
        <f>A!L75</f>
        <v>0</v>
      </c>
      <c r="M75">
        <f>A!M75</f>
        <v>0</v>
      </c>
      <c r="N75">
        <f>A!N75</f>
        <v>0</v>
      </c>
      <c r="O75">
        <f>A!O75</f>
        <v>0</v>
      </c>
      <c r="P75" s="32" t="str">
        <f>IF(A!P75="","",INDEX(B!$A$1:$BT$2000,MATCH(A!P75,B!$AX$1:$AX$2000,0),D!$B$5))</f>
        <v/>
      </c>
      <c r="Q75">
        <f>A!Q75</f>
        <v>0</v>
      </c>
      <c r="R75">
        <f>A!R75</f>
        <v>0</v>
      </c>
      <c r="S75">
        <f>A!S75</f>
        <v>0</v>
      </c>
      <c r="T75">
        <f>A!T75</f>
        <v>0</v>
      </c>
      <c r="U75">
        <f>A!U75</f>
        <v>0</v>
      </c>
      <c r="V75" s="32">
        <f>IF(A!V75="&lt;",1,A!V75)</f>
        <v>0</v>
      </c>
      <c r="W75">
        <f>A!W75</f>
        <v>0</v>
      </c>
      <c r="X75">
        <f>A!X75</f>
        <v>0</v>
      </c>
      <c r="Y75">
        <f>A!Y75</f>
        <v>0</v>
      </c>
      <c r="Z75" s="32">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32"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_f2f55274-7708-48c8-9f23-34f94e9519db</v>
      </c>
      <c r="BY75" t="str">
        <f>A!BX75</f>
        <v>f2f55274-7708-48c8-9f23-34f94e9519db</v>
      </c>
      <c r="BZ75" t="str">
        <f>A!BY75</f>
        <v>SIKB</v>
      </c>
      <c r="CA75" t="str">
        <f>A!BZ75</f>
        <v>MM05 04 (150-200) 05 (150-200)</v>
      </c>
      <c r="CB75">
        <f>A!CA75</f>
        <v>45810</v>
      </c>
      <c r="CC75" t="str">
        <f>A!CB75</f>
        <v>#_a13c9c27-ac45-4ff5-8e2b-08bc80806939</v>
      </c>
      <c r="CD75" t="str">
        <f>A!CC75</f>
        <v>#_00ed5e89-e1b5-41b5-a9d1-1352c22544e7</v>
      </c>
      <c r="CE75">
        <f>A!CD75</f>
        <v>0</v>
      </c>
      <c r="CF75" t="str">
        <f>A!CE75</f>
        <v>urn:immetingen:compartiment:id:1</v>
      </c>
      <c r="CG75" t="str">
        <f>A!CF75</f>
        <v>_TI-65023564</v>
      </c>
      <c r="CH75">
        <f>A!CG75</f>
        <v>45810</v>
      </c>
      <c r="CI75" t="str">
        <f>A!CH75</f>
        <v>urn:immetingen:monstertype:id:10</v>
      </c>
      <c r="CJ75" t="str">
        <f>A!CI75</f>
        <v>urn:imsikb0101:Applicaties:id:16</v>
      </c>
      <c r="CK75" t="str">
        <f>A!CJ75</f>
        <v>urn:imsikb0101:DatastroomType:id:1</v>
      </c>
      <c r="CL75">
        <f>A!CK75</f>
        <v>45811</v>
      </c>
      <c r="CM75" t="str">
        <f>A!CL75</f>
        <v>SGS, Rotterdam</v>
      </c>
      <c r="CN75" t="str">
        <f>A!CM75</f>
        <v>LABRESULTAAT SGS</v>
      </c>
      <c r="CO75">
        <f>A!CN75</f>
        <v>45811</v>
      </c>
      <c r="CP75">
        <f>A!CO75</f>
        <v>0</v>
      </c>
      <c r="CQ75">
        <f>A!CO385</f>
        <v>0</v>
      </c>
      <c r="CR75" t="e">
        <f>A!#REF!</f>
        <v>#REF!</v>
      </c>
      <c r="CS75" t="e">
        <f>A!#REF!</f>
        <v>#REF!</v>
      </c>
    </row>
    <row r="76" spans="1:97" x14ac:dyDescent="0.2">
      <c r="A76" t="str">
        <f>A!A76</f>
        <v>LABRESULTAAT</v>
      </c>
      <c r="B76">
        <f>A!B76</f>
        <v>6</v>
      </c>
      <c r="C76">
        <f>A!C76</f>
        <v>0</v>
      </c>
      <c r="D76">
        <f>A!D76</f>
        <v>0</v>
      </c>
      <c r="E76">
        <f>A!E76</f>
        <v>0</v>
      </c>
      <c r="F76">
        <f>A!F76</f>
        <v>0</v>
      </c>
      <c r="G76">
        <f>A!G76</f>
        <v>0</v>
      </c>
      <c r="H76">
        <f>A!H76</f>
        <v>0</v>
      </c>
      <c r="I76">
        <f>A!I76</f>
        <v>0</v>
      </c>
      <c r="J76">
        <f>A!J76</f>
        <v>0</v>
      </c>
      <c r="K76">
        <f>A!K76</f>
        <v>0</v>
      </c>
      <c r="L76">
        <f>A!L76</f>
        <v>0</v>
      </c>
      <c r="M76">
        <f>A!M76</f>
        <v>0</v>
      </c>
      <c r="N76">
        <f>A!N76</f>
        <v>0</v>
      </c>
      <c r="O76">
        <f>A!O76</f>
        <v>0</v>
      </c>
      <c r="P76" s="32" t="str">
        <f>IF(A!P76="","",INDEX(B!$A$1:$BT$2000,MATCH(A!P76,B!$AX$1:$AX$2000,0),D!$B$5))</f>
        <v/>
      </c>
      <c r="Q76">
        <f>A!Q76</f>
        <v>0</v>
      </c>
      <c r="R76">
        <f>A!R76</f>
        <v>0</v>
      </c>
      <c r="S76">
        <f>A!S76</f>
        <v>0</v>
      </c>
      <c r="T76">
        <f>A!T76</f>
        <v>0</v>
      </c>
      <c r="U76">
        <f>A!U76</f>
        <v>0</v>
      </c>
      <c r="V76" s="32">
        <f>IF(A!V76="&lt;",1,A!V76)</f>
        <v>0</v>
      </c>
      <c r="W76">
        <f>A!W76</f>
        <v>0</v>
      </c>
      <c r="X76">
        <f>A!X76</f>
        <v>0</v>
      </c>
      <c r="Y76">
        <f>A!Y76</f>
        <v>0</v>
      </c>
      <c r="Z76" s="32">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32"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_f2f55274-7708-48c8-9f23-34f94e9519db</v>
      </c>
      <c r="BY76" t="str">
        <f>A!BX76</f>
        <v>f2f55274-7708-48c8-9f23-34f94e9519db</v>
      </c>
      <c r="BZ76" t="str">
        <f>A!BY76</f>
        <v>SIKB</v>
      </c>
      <c r="CA76" t="str">
        <f>A!BZ76</f>
        <v>MM05 04 (150-200) 05 (150-200)</v>
      </c>
      <c r="CB76">
        <f>A!CA76</f>
        <v>45810</v>
      </c>
      <c r="CC76" t="str">
        <f>A!CB76</f>
        <v>#_a13c9c27-ac45-4ff5-8e2b-08bc80806939</v>
      </c>
      <c r="CD76" t="str">
        <f>A!CC76</f>
        <v>#_6d2ba0c1-41bf-4d3b-aa93-d81905a08550</v>
      </c>
      <c r="CE76">
        <f>A!CD76</f>
        <v>0</v>
      </c>
      <c r="CF76" t="str">
        <f>A!CE76</f>
        <v>urn:immetingen:compartiment:id:1</v>
      </c>
      <c r="CG76" t="str">
        <f>A!CF76</f>
        <v>_TI-65023564</v>
      </c>
      <c r="CH76">
        <f>A!CG76</f>
        <v>45810</v>
      </c>
      <c r="CI76" t="str">
        <f>A!CH76</f>
        <v>urn:immetingen:monstertype:id:10</v>
      </c>
      <c r="CJ76" t="str">
        <f>A!CI76</f>
        <v>urn:imsikb0101:Applicaties:id:16</v>
      </c>
      <c r="CK76" t="str">
        <f>A!CJ76</f>
        <v>urn:imsikb0101:DatastroomType:id:1</v>
      </c>
      <c r="CL76">
        <f>A!CK76</f>
        <v>45811</v>
      </c>
      <c r="CM76" t="str">
        <f>A!CL76</f>
        <v>SGS, Rotterdam</v>
      </c>
      <c r="CN76" t="str">
        <f>A!CM76</f>
        <v>LABRESULTAAT SGS</v>
      </c>
      <c r="CO76">
        <f>A!CN76</f>
        <v>45811</v>
      </c>
      <c r="CP76">
        <f>A!CO76</f>
        <v>0</v>
      </c>
      <c r="CQ76">
        <f>A!CO386</f>
        <v>0</v>
      </c>
      <c r="CR76" t="e">
        <f>A!#REF!</f>
        <v>#REF!</v>
      </c>
      <c r="CS76" t="e">
        <f>A!#REF!</f>
        <v>#REF!</v>
      </c>
    </row>
    <row r="77" spans="1:97" x14ac:dyDescent="0.2">
      <c r="A77" t="str">
        <f>A!A77</f>
        <v>LABRESULTAAT</v>
      </c>
      <c r="B77">
        <f>A!B77</f>
        <v>6</v>
      </c>
      <c r="C77">
        <f>A!C77</f>
        <v>0</v>
      </c>
      <c r="D77">
        <f>A!D77</f>
        <v>0</v>
      </c>
      <c r="E77">
        <f>A!E77</f>
        <v>0</v>
      </c>
      <c r="F77">
        <f>A!F77</f>
        <v>0</v>
      </c>
      <c r="G77">
        <f>A!G77</f>
        <v>0</v>
      </c>
      <c r="H77">
        <f>A!H77</f>
        <v>0</v>
      </c>
      <c r="I77">
        <f>A!I77</f>
        <v>0</v>
      </c>
      <c r="J77">
        <f>A!J77</f>
        <v>0</v>
      </c>
      <c r="K77">
        <f>A!K77</f>
        <v>0</v>
      </c>
      <c r="L77">
        <f>A!L77</f>
        <v>0</v>
      </c>
      <c r="M77">
        <f>A!M77</f>
        <v>0</v>
      </c>
      <c r="N77">
        <f>A!N77</f>
        <v>0</v>
      </c>
      <c r="O77">
        <f>A!O77</f>
        <v>0</v>
      </c>
      <c r="P77" s="32" t="str">
        <f>IF(A!P77="","",INDEX(B!$A$1:$BT$2000,MATCH(A!P77,B!$AX$1:$AX$2000,0),D!$B$5))</f>
        <v/>
      </c>
      <c r="Q77">
        <f>A!Q77</f>
        <v>0</v>
      </c>
      <c r="R77">
        <f>A!R77</f>
        <v>0</v>
      </c>
      <c r="S77">
        <f>A!S77</f>
        <v>0</v>
      </c>
      <c r="T77">
        <f>A!T77</f>
        <v>0</v>
      </c>
      <c r="U77">
        <f>A!U77</f>
        <v>0</v>
      </c>
      <c r="V77" s="32">
        <f>IF(A!V77="&lt;",1,A!V77)</f>
        <v>0</v>
      </c>
      <c r="W77">
        <f>A!W77</f>
        <v>0</v>
      </c>
      <c r="X77">
        <f>A!X77</f>
        <v>0</v>
      </c>
      <c r="Y77">
        <f>A!Y77</f>
        <v>0</v>
      </c>
      <c r="Z77" s="32">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32"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_f2f55274-7708-48c8-9f23-34f94e9519db</v>
      </c>
      <c r="BY77" t="str">
        <f>A!BX77</f>
        <v>f2f55274-7708-48c8-9f23-34f94e9519db</v>
      </c>
      <c r="BZ77" t="str">
        <f>A!BY77</f>
        <v>SIKB</v>
      </c>
      <c r="CA77" t="str">
        <f>A!BZ77</f>
        <v>MM05 04 (150-200) 05 (150-200)</v>
      </c>
      <c r="CB77">
        <f>A!CA77</f>
        <v>45810</v>
      </c>
      <c r="CC77" t="str">
        <f>A!CB77</f>
        <v>#_a13c9c27-ac45-4ff5-8e2b-08bc80806939</v>
      </c>
      <c r="CD77" t="str">
        <f>A!CC77</f>
        <v>#_fdd61583-13f6-43bb-96f7-ce86abd7b6be</v>
      </c>
      <c r="CE77">
        <f>A!CD77</f>
        <v>0</v>
      </c>
      <c r="CF77" t="str">
        <f>A!CE77</f>
        <v>urn:immetingen:compartiment:id:1</v>
      </c>
      <c r="CG77" t="str">
        <f>A!CF77</f>
        <v>_TI-65023564</v>
      </c>
      <c r="CH77">
        <f>A!CG77</f>
        <v>45810</v>
      </c>
      <c r="CI77" t="str">
        <f>A!CH77</f>
        <v>urn:immetingen:monstertype:id:10</v>
      </c>
      <c r="CJ77" t="str">
        <f>A!CI77</f>
        <v>urn:imsikb0101:Applicaties:id:16</v>
      </c>
      <c r="CK77" t="str">
        <f>A!CJ77</f>
        <v>urn:imsikb0101:DatastroomType:id:1</v>
      </c>
      <c r="CL77">
        <f>A!CK77</f>
        <v>45811</v>
      </c>
      <c r="CM77" t="str">
        <f>A!CL77</f>
        <v>SGS, Rotterdam</v>
      </c>
      <c r="CN77" t="str">
        <f>A!CM77</f>
        <v>LABRESULTAAT SGS</v>
      </c>
      <c r="CO77">
        <f>A!CN77</f>
        <v>45811</v>
      </c>
      <c r="CP77">
        <f>A!CO77</f>
        <v>0</v>
      </c>
      <c r="CQ77">
        <f>A!CO387</f>
        <v>0</v>
      </c>
      <c r="CR77" t="e">
        <f>A!#REF!</f>
        <v>#REF!</v>
      </c>
      <c r="CS77" t="e">
        <f>A!#REF!</f>
        <v>#REF!</v>
      </c>
    </row>
    <row r="78" spans="1:97" x14ac:dyDescent="0.2">
      <c r="A78" t="str">
        <f>A!A78</f>
        <v>LABRESULTAAT</v>
      </c>
      <c r="B78">
        <f>A!B78</f>
        <v>6</v>
      </c>
      <c r="C78">
        <f>A!C78</f>
        <v>0</v>
      </c>
      <c r="D78">
        <f>A!D78</f>
        <v>0</v>
      </c>
      <c r="E78">
        <f>A!E78</f>
        <v>0</v>
      </c>
      <c r="F78">
        <f>A!F78</f>
        <v>0</v>
      </c>
      <c r="G78">
        <f>A!G78</f>
        <v>0</v>
      </c>
      <c r="H78">
        <f>A!H78</f>
        <v>0</v>
      </c>
      <c r="I78">
        <f>A!I78</f>
        <v>0</v>
      </c>
      <c r="J78">
        <f>A!J78</f>
        <v>0</v>
      </c>
      <c r="K78">
        <f>A!K78</f>
        <v>0</v>
      </c>
      <c r="L78">
        <f>A!L78</f>
        <v>0</v>
      </c>
      <c r="M78">
        <f>A!M78</f>
        <v>0</v>
      </c>
      <c r="N78">
        <f>A!N78</f>
        <v>0</v>
      </c>
      <c r="O78">
        <f>A!O78</f>
        <v>0</v>
      </c>
      <c r="P78" s="32" t="str">
        <f>IF(A!P78="","",INDEX(B!$A$1:$BT$2000,MATCH(A!P78,B!$AX$1:$AX$2000,0),D!$B$5))</f>
        <v/>
      </c>
      <c r="Q78">
        <f>A!Q78</f>
        <v>0</v>
      </c>
      <c r="R78">
        <f>A!R78</f>
        <v>0</v>
      </c>
      <c r="S78">
        <f>A!S78</f>
        <v>0</v>
      </c>
      <c r="T78">
        <f>A!T78</f>
        <v>0</v>
      </c>
      <c r="U78">
        <f>A!U78</f>
        <v>0</v>
      </c>
      <c r="V78" s="32">
        <f>IF(A!V78="&lt;",1,A!V78)</f>
        <v>0</v>
      </c>
      <c r="W78">
        <f>A!W78</f>
        <v>0</v>
      </c>
      <c r="X78">
        <f>A!X78</f>
        <v>0</v>
      </c>
      <c r="Y78">
        <f>A!Y78</f>
        <v>0</v>
      </c>
      <c r="Z78" s="32">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32"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_f2f55274-7708-48c8-9f23-34f94e9519db</v>
      </c>
      <c r="BY78" t="str">
        <f>A!BX78</f>
        <v>f2f55274-7708-48c8-9f23-34f94e9519db</v>
      </c>
      <c r="BZ78" t="str">
        <f>A!BY78</f>
        <v>SIKB</v>
      </c>
      <c r="CA78" t="str">
        <f>A!BZ78</f>
        <v>MM05 04 (150-200) 05 (150-200)</v>
      </c>
      <c r="CB78">
        <f>A!CA78</f>
        <v>45810</v>
      </c>
      <c r="CC78" t="str">
        <f>A!CB78</f>
        <v>#_a13c9c27-ac45-4ff5-8e2b-08bc80806939</v>
      </c>
      <c r="CD78" t="str">
        <f>A!CC78</f>
        <v>#_9504ce1c-1f54-413e-99a9-6c967b89da0e</v>
      </c>
      <c r="CE78">
        <f>A!CD78</f>
        <v>0</v>
      </c>
      <c r="CF78" t="str">
        <f>A!CE78</f>
        <v>urn:immetingen:compartiment:id:1</v>
      </c>
      <c r="CG78" t="str">
        <f>A!CF78</f>
        <v>_TI-65023564</v>
      </c>
      <c r="CH78">
        <f>A!CG78</f>
        <v>45810</v>
      </c>
      <c r="CI78" t="str">
        <f>A!CH78</f>
        <v>urn:immetingen:monstertype:id:10</v>
      </c>
      <c r="CJ78" t="str">
        <f>A!CI78</f>
        <v>urn:imsikb0101:Applicaties:id:16</v>
      </c>
      <c r="CK78" t="str">
        <f>A!CJ78</f>
        <v>urn:imsikb0101:DatastroomType:id:1</v>
      </c>
      <c r="CL78">
        <f>A!CK78</f>
        <v>45811</v>
      </c>
      <c r="CM78" t="str">
        <f>A!CL78</f>
        <v>SGS, Rotterdam</v>
      </c>
      <c r="CN78" t="str">
        <f>A!CM78</f>
        <v>LABRESULTAAT SGS</v>
      </c>
      <c r="CO78">
        <f>A!CN78</f>
        <v>45811</v>
      </c>
      <c r="CP78">
        <f>A!CO78</f>
        <v>0</v>
      </c>
      <c r="CQ78">
        <f>A!CO388</f>
        <v>0</v>
      </c>
      <c r="CR78" t="e">
        <f>A!#REF!</f>
        <v>#REF!</v>
      </c>
      <c r="CS78" t="e">
        <f>A!#REF!</f>
        <v>#REF!</v>
      </c>
    </row>
    <row r="79" spans="1:97" x14ac:dyDescent="0.2">
      <c r="A79" t="str">
        <f>A!A79</f>
        <v>LABRESULTAAT</v>
      </c>
      <c r="B79">
        <f>A!B79</f>
        <v>6</v>
      </c>
      <c r="C79">
        <f>A!C79</f>
        <v>0</v>
      </c>
      <c r="D79">
        <f>A!D79</f>
        <v>0</v>
      </c>
      <c r="E79">
        <f>A!E79</f>
        <v>0</v>
      </c>
      <c r="F79">
        <f>A!F79</f>
        <v>0</v>
      </c>
      <c r="G79">
        <f>A!G79</f>
        <v>0</v>
      </c>
      <c r="H79">
        <f>A!H79</f>
        <v>0</v>
      </c>
      <c r="I79">
        <f>A!I79</f>
        <v>0</v>
      </c>
      <c r="J79">
        <f>A!J79</f>
        <v>0</v>
      </c>
      <c r="K79">
        <f>A!K79</f>
        <v>0</v>
      </c>
      <c r="L79">
        <f>A!L79</f>
        <v>0</v>
      </c>
      <c r="M79">
        <f>A!M79</f>
        <v>0</v>
      </c>
      <c r="N79">
        <f>A!N79</f>
        <v>0</v>
      </c>
      <c r="O79">
        <f>A!O79</f>
        <v>0</v>
      </c>
      <c r="P79" s="32" t="str">
        <f>IF(A!P79="","",INDEX(B!$A$1:$BT$2000,MATCH(A!P79,B!$AX$1:$AX$2000,0),D!$B$5))</f>
        <v/>
      </c>
      <c r="Q79">
        <f>A!Q79</f>
        <v>0</v>
      </c>
      <c r="R79">
        <f>A!R79</f>
        <v>0</v>
      </c>
      <c r="S79">
        <f>A!S79</f>
        <v>0</v>
      </c>
      <c r="T79">
        <f>A!T79</f>
        <v>0</v>
      </c>
      <c r="U79">
        <f>A!U79</f>
        <v>0</v>
      </c>
      <c r="V79" s="32">
        <f>IF(A!V79="&lt;",1,A!V79)</f>
        <v>0</v>
      </c>
      <c r="W79">
        <f>A!W79</f>
        <v>0</v>
      </c>
      <c r="X79">
        <f>A!X79</f>
        <v>0</v>
      </c>
      <c r="Y79">
        <f>A!Y79</f>
        <v>0</v>
      </c>
      <c r="Z79" s="32">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32"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_f2f55274-7708-48c8-9f23-34f94e9519db</v>
      </c>
      <c r="BY79" t="str">
        <f>A!BX79</f>
        <v>f2f55274-7708-48c8-9f23-34f94e9519db</v>
      </c>
      <c r="BZ79" t="str">
        <f>A!BY79</f>
        <v>SIKB</v>
      </c>
      <c r="CA79" t="str">
        <f>A!BZ79</f>
        <v>MM05 04 (150-200) 05 (150-200)</v>
      </c>
      <c r="CB79">
        <f>A!CA79</f>
        <v>45810</v>
      </c>
      <c r="CC79" t="str">
        <f>A!CB79</f>
        <v>#_a13c9c27-ac45-4ff5-8e2b-08bc80806939</v>
      </c>
      <c r="CD79" t="str">
        <f>A!CC79</f>
        <v>#_7eece9ad-ef92-4d11-a85a-4c45ab863d15</v>
      </c>
      <c r="CE79">
        <f>A!CD79</f>
        <v>0</v>
      </c>
      <c r="CF79" t="str">
        <f>A!CE79</f>
        <v>urn:immetingen:compartiment:id:1</v>
      </c>
      <c r="CG79" t="str">
        <f>A!CF79</f>
        <v>_TI-65023564</v>
      </c>
      <c r="CH79">
        <f>A!CG79</f>
        <v>45810</v>
      </c>
      <c r="CI79" t="str">
        <f>A!CH79</f>
        <v>urn:immetingen:monstertype:id:10</v>
      </c>
      <c r="CJ79" t="str">
        <f>A!CI79</f>
        <v>urn:imsikb0101:Applicaties:id:16</v>
      </c>
      <c r="CK79" t="str">
        <f>A!CJ79</f>
        <v>urn:imsikb0101:DatastroomType:id:1</v>
      </c>
      <c r="CL79">
        <f>A!CK79</f>
        <v>45811</v>
      </c>
      <c r="CM79" t="str">
        <f>A!CL79</f>
        <v>SGS, Rotterdam</v>
      </c>
      <c r="CN79" t="str">
        <f>A!CM79</f>
        <v>LABRESULTAAT SGS</v>
      </c>
      <c r="CO79">
        <f>A!CN79</f>
        <v>45811</v>
      </c>
      <c r="CP79">
        <f>A!CO79</f>
        <v>0</v>
      </c>
      <c r="CQ79">
        <f>A!CO389</f>
        <v>0</v>
      </c>
      <c r="CR79" t="e">
        <f>A!#REF!</f>
        <v>#REF!</v>
      </c>
      <c r="CS79" t="e">
        <f>A!#REF!</f>
        <v>#REF!</v>
      </c>
    </row>
    <row r="80" spans="1:97" x14ac:dyDescent="0.2">
      <c r="A80" t="str">
        <f>A!A80</f>
        <v>LABRESULTAAT</v>
      </c>
      <c r="B80">
        <f>A!B80</f>
        <v>6</v>
      </c>
      <c r="C80">
        <f>A!C80</f>
        <v>0</v>
      </c>
      <c r="D80">
        <f>A!D80</f>
        <v>0</v>
      </c>
      <c r="E80">
        <f>A!E80</f>
        <v>0</v>
      </c>
      <c r="F80">
        <f>A!F80</f>
        <v>0</v>
      </c>
      <c r="G80">
        <f>A!G80</f>
        <v>0</v>
      </c>
      <c r="H80">
        <f>A!H80</f>
        <v>0</v>
      </c>
      <c r="I80">
        <f>A!I80</f>
        <v>0</v>
      </c>
      <c r="J80">
        <f>A!J80</f>
        <v>0</v>
      </c>
      <c r="K80">
        <f>A!K80</f>
        <v>0</v>
      </c>
      <c r="L80">
        <f>A!L80</f>
        <v>0</v>
      </c>
      <c r="M80">
        <f>A!M80</f>
        <v>0</v>
      </c>
      <c r="N80">
        <f>A!N80</f>
        <v>0</v>
      </c>
      <c r="O80">
        <f>A!O80</f>
        <v>0</v>
      </c>
      <c r="P80" s="32" t="str">
        <f>IF(A!P80="","",INDEX(B!$A$1:$BT$2000,MATCH(A!P80,B!$AX$1:$AX$2000,0),D!$B$5))</f>
        <v/>
      </c>
      <c r="Q80">
        <f>A!Q80</f>
        <v>0</v>
      </c>
      <c r="R80">
        <f>A!R80</f>
        <v>0</v>
      </c>
      <c r="S80">
        <f>A!S80</f>
        <v>0</v>
      </c>
      <c r="T80">
        <f>A!T80</f>
        <v>0</v>
      </c>
      <c r="U80">
        <f>A!U80</f>
        <v>0</v>
      </c>
      <c r="V80" s="32">
        <f>IF(A!V80="&lt;",1,A!V80)</f>
        <v>0</v>
      </c>
      <c r="W80">
        <f>A!W80</f>
        <v>0</v>
      </c>
      <c r="X80">
        <f>A!X80</f>
        <v>0</v>
      </c>
      <c r="Y80">
        <f>A!Y80</f>
        <v>0</v>
      </c>
      <c r="Z80" s="32">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32"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_f2f55274-7708-48c8-9f23-34f94e9519db</v>
      </c>
      <c r="BY80" t="str">
        <f>A!BX80</f>
        <v>f2f55274-7708-48c8-9f23-34f94e9519db</v>
      </c>
      <c r="BZ80" t="str">
        <f>A!BY80</f>
        <v>SIKB</v>
      </c>
      <c r="CA80" t="str">
        <f>A!BZ80</f>
        <v>MM05 04 (150-200) 05 (150-200)</v>
      </c>
      <c r="CB80">
        <f>A!CA80</f>
        <v>45810</v>
      </c>
      <c r="CC80" t="str">
        <f>A!CB80</f>
        <v>#_a13c9c27-ac45-4ff5-8e2b-08bc80806939</v>
      </c>
      <c r="CD80" t="str">
        <f>A!CC80</f>
        <v>#_3b4c4e3b-bec9-43ce-9959-459b0e537dd9</v>
      </c>
      <c r="CE80">
        <f>A!CD80</f>
        <v>0</v>
      </c>
      <c r="CF80" t="str">
        <f>A!CE80</f>
        <v>urn:immetingen:compartiment:id:1</v>
      </c>
      <c r="CG80" t="str">
        <f>A!CF80</f>
        <v>_TI-65023564</v>
      </c>
      <c r="CH80">
        <f>A!CG80</f>
        <v>45810</v>
      </c>
      <c r="CI80" t="str">
        <f>A!CH80</f>
        <v>urn:immetingen:monstertype:id:10</v>
      </c>
      <c r="CJ80" t="str">
        <f>A!CI80</f>
        <v>urn:imsikb0101:Applicaties:id:16</v>
      </c>
      <c r="CK80" t="str">
        <f>A!CJ80</f>
        <v>urn:imsikb0101:DatastroomType:id:1</v>
      </c>
      <c r="CL80">
        <f>A!CK80</f>
        <v>45811</v>
      </c>
      <c r="CM80" t="str">
        <f>A!CL80</f>
        <v>SGS, Rotterdam</v>
      </c>
      <c r="CN80" t="str">
        <f>A!CM80</f>
        <v>LABRESULTAAT SGS</v>
      </c>
      <c r="CO80">
        <f>A!CN80</f>
        <v>45811</v>
      </c>
      <c r="CP80">
        <f>A!CO80</f>
        <v>0</v>
      </c>
      <c r="CQ80">
        <f>A!CO390</f>
        <v>0</v>
      </c>
      <c r="CR80" t="e">
        <f>A!#REF!</f>
        <v>#REF!</v>
      </c>
      <c r="CS80" t="e">
        <f>A!#REF!</f>
        <v>#REF!</v>
      </c>
    </row>
    <row r="81" spans="1:97" x14ac:dyDescent="0.2">
      <c r="A81" t="str">
        <f>A!A81</f>
        <v>LABRESULTAAT</v>
      </c>
      <c r="B81">
        <f>A!B81</f>
        <v>6</v>
      </c>
      <c r="C81">
        <f>A!C81</f>
        <v>0</v>
      </c>
      <c r="D81">
        <f>A!D81</f>
        <v>0</v>
      </c>
      <c r="E81">
        <f>A!E81</f>
        <v>0</v>
      </c>
      <c r="F81">
        <f>A!F81</f>
        <v>0</v>
      </c>
      <c r="G81">
        <f>A!G81</f>
        <v>0</v>
      </c>
      <c r="H81">
        <f>A!H81</f>
        <v>0</v>
      </c>
      <c r="I81">
        <f>A!I81</f>
        <v>0</v>
      </c>
      <c r="J81">
        <f>A!J81</f>
        <v>0</v>
      </c>
      <c r="K81">
        <f>A!K81</f>
        <v>0</v>
      </c>
      <c r="L81">
        <f>A!L81</f>
        <v>0</v>
      </c>
      <c r="M81">
        <f>A!M81</f>
        <v>0</v>
      </c>
      <c r="N81">
        <f>A!N81</f>
        <v>0</v>
      </c>
      <c r="O81">
        <f>A!O81</f>
        <v>0</v>
      </c>
      <c r="P81" s="32" t="str">
        <f>IF(A!P81="","",INDEX(B!$A$1:$BT$2000,MATCH(A!P81,B!$AX$1:$AX$2000,0),D!$B$5))</f>
        <v/>
      </c>
      <c r="Q81">
        <f>A!Q81</f>
        <v>0</v>
      </c>
      <c r="R81">
        <f>A!R81</f>
        <v>0</v>
      </c>
      <c r="S81">
        <f>A!S81</f>
        <v>0</v>
      </c>
      <c r="T81">
        <f>A!T81</f>
        <v>0</v>
      </c>
      <c r="U81">
        <f>A!U81</f>
        <v>0</v>
      </c>
      <c r="V81" s="32">
        <f>IF(A!V81="&lt;",1,A!V81)</f>
        <v>0</v>
      </c>
      <c r="W81">
        <f>A!W81</f>
        <v>0</v>
      </c>
      <c r="X81">
        <f>A!X81</f>
        <v>0</v>
      </c>
      <c r="Y81">
        <f>A!Y81</f>
        <v>0</v>
      </c>
      <c r="Z81" s="32">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32"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_f2f55274-7708-48c8-9f23-34f94e9519db</v>
      </c>
      <c r="BY81" t="str">
        <f>A!BX81</f>
        <v>f2f55274-7708-48c8-9f23-34f94e9519db</v>
      </c>
      <c r="BZ81" t="str">
        <f>A!BY81</f>
        <v>SIKB</v>
      </c>
      <c r="CA81" t="str">
        <f>A!BZ81</f>
        <v>MM05 04 (150-200) 05 (150-200)</v>
      </c>
      <c r="CB81">
        <f>A!CA81</f>
        <v>45810</v>
      </c>
      <c r="CC81" t="str">
        <f>A!CB81</f>
        <v>#_a13c9c27-ac45-4ff5-8e2b-08bc80806939</v>
      </c>
      <c r="CD81" t="str">
        <f>A!CC81</f>
        <v>#_66ff6ae2-1c35-4cd3-93a8-7d44ea9a4ad3</v>
      </c>
      <c r="CE81">
        <f>A!CD81</f>
        <v>0</v>
      </c>
      <c r="CF81" t="str">
        <f>A!CE81</f>
        <v>urn:immetingen:compartiment:id:1</v>
      </c>
      <c r="CG81" t="str">
        <f>A!CF81</f>
        <v>_TI-65023564</v>
      </c>
      <c r="CH81">
        <f>A!CG81</f>
        <v>45810</v>
      </c>
      <c r="CI81" t="str">
        <f>A!CH81</f>
        <v>urn:immetingen:monstertype:id:10</v>
      </c>
      <c r="CJ81" t="str">
        <f>A!CI81</f>
        <v>urn:imsikb0101:Applicaties:id:16</v>
      </c>
      <c r="CK81" t="str">
        <f>A!CJ81</f>
        <v>urn:imsikb0101:DatastroomType:id:1</v>
      </c>
      <c r="CL81">
        <f>A!CK81</f>
        <v>45811</v>
      </c>
      <c r="CM81" t="str">
        <f>A!CL81</f>
        <v>SGS, Rotterdam</v>
      </c>
      <c r="CN81" t="str">
        <f>A!CM81</f>
        <v>LABRESULTAAT SGS</v>
      </c>
      <c r="CO81">
        <f>A!CN81</f>
        <v>45811</v>
      </c>
      <c r="CP81">
        <f>A!CO81</f>
        <v>0</v>
      </c>
      <c r="CQ81">
        <f>A!CO391</f>
        <v>0</v>
      </c>
      <c r="CR81" t="e">
        <f>A!#REF!</f>
        <v>#REF!</v>
      </c>
      <c r="CS81" t="e">
        <f>A!#REF!</f>
        <v>#REF!</v>
      </c>
    </row>
    <row r="82" spans="1:97" x14ac:dyDescent="0.2">
      <c r="A82" t="str">
        <f>A!A82</f>
        <v>LABRESULTAAT</v>
      </c>
      <c r="B82">
        <f>A!B82</f>
        <v>6</v>
      </c>
      <c r="C82">
        <f>A!C82</f>
        <v>0</v>
      </c>
      <c r="D82">
        <f>A!D82</f>
        <v>0</v>
      </c>
      <c r="E82">
        <f>A!E82</f>
        <v>0</v>
      </c>
      <c r="F82">
        <f>A!F82</f>
        <v>0</v>
      </c>
      <c r="G82">
        <f>A!G82</f>
        <v>0</v>
      </c>
      <c r="H82">
        <f>A!H82</f>
        <v>0</v>
      </c>
      <c r="I82">
        <f>A!I82</f>
        <v>0</v>
      </c>
      <c r="J82">
        <f>A!J82</f>
        <v>0</v>
      </c>
      <c r="K82">
        <f>A!K82</f>
        <v>0</v>
      </c>
      <c r="L82">
        <f>A!L82</f>
        <v>0</v>
      </c>
      <c r="M82">
        <f>A!M82</f>
        <v>0</v>
      </c>
      <c r="N82">
        <f>A!N82</f>
        <v>0</v>
      </c>
      <c r="O82">
        <f>A!O82</f>
        <v>0</v>
      </c>
      <c r="P82" s="32" t="str">
        <f>IF(A!P82="","",INDEX(B!$A$1:$BT$2000,MATCH(A!P82,B!$AX$1:$AX$2000,0),D!$B$5))</f>
        <v/>
      </c>
      <c r="Q82">
        <f>A!Q82</f>
        <v>0</v>
      </c>
      <c r="R82">
        <f>A!R82</f>
        <v>0</v>
      </c>
      <c r="S82">
        <f>A!S82</f>
        <v>0</v>
      </c>
      <c r="T82">
        <f>A!T82</f>
        <v>0</v>
      </c>
      <c r="U82">
        <f>A!U82</f>
        <v>0</v>
      </c>
      <c r="V82" s="32">
        <f>IF(A!V82="&lt;",1,A!V82)</f>
        <v>0</v>
      </c>
      <c r="W82">
        <f>A!W82</f>
        <v>0</v>
      </c>
      <c r="X82">
        <f>A!X82</f>
        <v>0</v>
      </c>
      <c r="Y82">
        <f>A!Y82</f>
        <v>0</v>
      </c>
      <c r="Z82" s="32">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32"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_f2f55274-7708-48c8-9f23-34f94e9519db</v>
      </c>
      <c r="BY82" t="str">
        <f>A!BX82</f>
        <v>f2f55274-7708-48c8-9f23-34f94e9519db</v>
      </c>
      <c r="BZ82" t="str">
        <f>A!BY82</f>
        <v>SIKB</v>
      </c>
      <c r="CA82" t="str">
        <f>A!BZ82</f>
        <v>MM05 04 (150-200) 05 (150-200)</v>
      </c>
      <c r="CB82">
        <f>A!CA82</f>
        <v>45810</v>
      </c>
      <c r="CC82" t="str">
        <f>A!CB82</f>
        <v>#_a13c9c27-ac45-4ff5-8e2b-08bc80806939</v>
      </c>
      <c r="CD82" t="str">
        <f>A!CC82</f>
        <v>#_59a56961-26c4-4d14-b10c-98967fd759f6</v>
      </c>
      <c r="CE82">
        <f>A!CD82</f>
        <v>0</v>
      </c>
      <c r="CF82" t="str">
        <f>A!CE82</f>
        <v>urn:immetingen:compartiment:id:1</v>
      </c>
      <c r="CG82" t="str">
        <f>A!CF82</f>
        <v>_TI-65023564</v>
      </c>
      <c r="CH82">
        <f>A!CG82</f>
        <v>45810</v>
      </c>
      <c r="CI82" t="str">
        <f>A!CH82</f>
        <v>urn:immetingen:monstertype:id:10</v>
      </c>
      <c r="CJ82" t="str">
        <f>A!CI82</f>
        <v>urn:imsikb0101:Applicaties:id:16</v>
      </c>
      <c r="CK82" t="str">
        <f>A!CJ82</f>
        <v>urn:imsikb0101:DatastroomType:id:1</v>
      </c>
      <c r="CL82">
        <f>A!CK82</f>
        <v>45811</v>
      </c>
      <c r="CM82" t="str">
        <f>A!CL82</f>
        <v>SGS, Rotterdam</v>
      </c>
      <c r="CN82" t="str">
        <f>A!CM82</f>
        <v>LABRESULTAAT SGS</v>
      </c>
      <c r="CO82">
        <f>A!CN82</f>
        <v>45811</v>
      </c>
      <c r="CP82">
        <f>A!CO82</f>
        <v>0</v>
      </c>
      <c r="CQ82">
        <f>A!CO392</f>
        <v>0</v>
      </c>
      <c r="CR82" t="e">
        <f>A!#REF!</f>
        <v>#REF!</v>
      </c>
      <c r="CS82" t="e">
        <f>A!#REF!</f>
        <v>#REF!</v>
      </c>
    </row>
    <row r="83" spans="1:97" x14ac:dyDescent="0.2">
      <c r="A83" t="str">
        <f>A!A83</f>
        <v>LABRESULTAAT</v>
      </c>
      <c r="B83">
        <f>A!B83</f>
        <v>6</v>
      </c>
      <c r="C83">
        <f>A!C83</f>
        <v>0</v>
      </c>
      <c r="D83">
        <f>A!D83</f>
        <v>0</v>
      </c>
      <c r="E83">
        <f>A!E83</f>
        <v>0</v>
      </c>
      <c r="F83">
        <f>A!F83</f>
        <v>0</v>
      </c>
      <c r="G83">
        <f>A!G83</f>
        <v>0</v>
      </c>
      <c r="H83">
        <f>A!H83</f>
        <v>0</v>
      </c>
      <c r="I83">
        <f>A!I83</f>
        <v>0</v>
      </c>
      <c r="J83">
        <f>A!J83</f>
        <v>0</v>
      </c>
      <c r="K83">
        <f>A!K83</f>
        <v>0</v>
      </c>
      <c r="L83">
        <f>A!L83</f>
        <v>0</v>
      </c>
      <c r="M83">
        <f>A!M83</f>
        <v>0</v>
      </c>
      <c r="N83">
        <f>A!N83</f>
        <v>0</v>
      </c>
      <c r="O83">
        <f>A!O83</f>
        <v>0</v>
      </c>
      <c r="P83" s="32" t="str">
        <f>IF(A!P83="","",INDEX(B!$A$1:$BT$2000,MATCH(A!P83,B!$AX$1:$AX$2000,0),D!$B$5))</f>
        <v/>
      </c>
      <c r="Q83">
        <f>A!Q83</f>
        <v>0</v>
      </c>
      <c r="R83">
        <f>A!R83</f>
        <v>0</v>
      </c>
      <c r="S83">
        <f>A!S83</f>
        <v>0</v>
      </c>
      <c r="T83">
        <f>A!T83</f>
        <v>0</v>
      </c>
      <c r="U83">
        <f>A!U83</f>
        <v>0</v>
      </c>
      <c r="V83" s="32">
        <f>IF(A!V83="&lt;",1,A!V83)</f>
        <v>0</v>
      </c>
      <c r="W83">
        <f>A!W83</f>
        <v>0</v>
      </c>
      <c r="X83">
        <f>A!X83</f>
        <v>0</v>
      </c>
      <c r="Y83">
        <f>A!Y83</f>
        <v>0</v>
      </c>
      <c r="Z83" s="32">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32"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_f2f55274-7708-48c8-9f23-34f94e9519db</v>
      </c>
      <c r="BY83" t="str">
        <f>A!BX83</f>
        <v>f2f55274-7708-48c8-9f23-34f94e9519db</v>
      </c>
      <c r="BZ83" t="str">
        <f>A!BY83</f>
        <v>SIKB</v>
      </c>
      <c r="CA83" t="str">
        <f>A!BZ83</f>
        <v>MM05 04 (150-200) 05 (150-200)</v>
      </c>
      <c r="CB83">
        <f>A!CA83</f>
        <v>45810</v>
      </c>
      <c r="CC83" t="str">
        <f>A!CB83</f>
        <v>#_a13c9c27-ac45-4ff5-8e2b-08bc80806939</v>
      </c>
      <c r="CD83" t="str">
        <f>A!CC83</f>
        <v>#_182504d9-ab1c-4795-8408-cdc6d62fa196</v>
      </c>
      <c r="CE83">
        <f>A!CD83</f>
        <v>0</v>
      </c>
      <c r="CF83" t="str">
        <f>A!CE83</f>
        <v>urn:immetingen:compartiment:id:1</v>
      </c>
      <c r="CG83" t="str">
        <f>A!CF83</f>
        <v>_TI-65023564</v>
      </c>
      <c r="CH83">
        <f>A!CG83</f>
        <v>45810</v>
      </c>
      <c r="CI83" t="str">
        <f>A!CH83</f>
        <v>urn:immetingen:monstertype:id:10</v>
      </c>
      <c r="CJ83" t="str">
        <f>A!CI83</f>
        <v>urn:imsikb0101:Applicaties:id:16</v>
      </c>
      <c r="CK83" t="str">
        <f>A!CJ83</f>
        <v>urn:imsikb0101:DatastroomType:id:1</v>
      </c>
      <c r="CL83">
        <f>A!CK83</f>
        <v>45811</v>
      </c>
      <c r="CM83" t="str">
        <f>A!CL83</f>
        <v>SGS, Rotterdam</v>
      </c>
      <c r="CN83" t="str">
        <f>A!CM83</f>
        <v>LABRESULTAAT SGS</v>
      </c>
      <c r="CO83">
        <f>A!CN83</f>
        <v>45811</v>
      </c>
      <c r="CP83">
        <f>A!CO83</f>
        <v>0</v>
      </c>
      <c r="CQ83">
        <f>A!CO393</f>
        <v>0</v>
      </c>
      <c r="CR83" t="e">
        <f>A!#REF!</f>
        <v>#REF!</v>
      </c>
      <c r="CS83" t="e">
        <f>A!#REF!</f>
        <v>#REF!</v>
      </c>
    </row>
    <row r="84" spans="1:97" x14ac:dyDescent="0.2">
      <c r="A84" t="str">
        <f>A!A84</f>
        <v>LABRESULTAAT</v>
      </c>
      <c r="B84">
        <f>A!B84</f>
        <v>6</v>
      </c>
      <c r="C84">
        <f>A!C84</f>
        <v>0</v>
      </c>
      <c r="D84">
        <f>A!D84</f>
        <v>0</v>
      </c>
      <c r="E84">
        <f>A!E84</f>
        <v>0</v>
      </c>
      <c r="F84">
        <f>A!F84</f>
        <v>0</v>
      </c>
      <c r="G84">
        <f>A!G84</f>
        <v>0</v>
      </c>
      <c r="H84">
        <f>A!H84</f>
        <v>0</v>
      </c>
      <c r="I84">
        <f>A!I84</f>
        <v>0</v>
      </c>
      <c r="J84">
        <f>A!J84</f>
        <v>0</v>
      </c>
      <c r="K84">
        <f>A!K84</f>
        <v>0</v>
      </c>
      <c r="L84">
        <f>A!L84</f>
        <v>0</v>
      </c>
      <c r="M84">
        <f>A!M84</f>
        <v>0</v>
      </c>
      <c r="N84">
        <f>A!N84</f>
        <v>0</v>
      </c>
      <c r="O84">
        <f>A!O84</f>
        <v>0</v>
      </c>
      <c r="P84" s="32" t="str">
        <f>IF(A!P84="","",INDEX(B!$A$1:$BT$2000,MATCH(A!P84,B!$AX$1:$AX$2000,0),D!$B$5))</f>
        <v/>
      </c>
      <c r="Q84">
        <f>A!Q84</f>
        <v>0</v>
      </c>
      <c r="R84">
        <f>A!R84</f>
        <v>0</v>
      </c>
      <c r="S84">
        <f>A!S84</f>
        <v>0</v>
      </c>
      <c r="T84">
        <f>A!T84</f>
        <v>0</v>
      </c>
      <c r="U84">
        <f>A!U84</f>
        <v>0</v>
      </c>
      <c r="V84" s="32">
        <f>IF(A!V84="&lt;",1,A!V84)</f>
        <v>0</v>
      </c>
      <c r="W84">
        <f>A!W84</f>
        <v>0</v>
      </c>
      <c r="X84">
        <f>A!X84</f>
        <v>0</v>
      </c>
      <c r="Y84">
        <f>A!Y84</f>
        <v>0</v>
      </c>
      <c r="Z84" s="32">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32"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_f2f55274-7708-48c8-9f23-34f94e9519db</v>
      </c>
      <c r="BY84" t="str">
        <f>A!BX84</f>
        <v>f2f55274-7708-48c8-9f23-34f94e9519db</v>
      </c>
      <c r="BZ84" t="str">
        <f>A!BY84</f>
        <v>SIKB</v>
      </c>
      <c r="CA84" t="str">
        <f>A!BZ84</f>
        <v>MM05 04 (150-200) 05 (150-200)</v>
      </c>
      <c r="CB84">
        <f>A!CA84</f>
        <v>45810</v>
      </c>
      <c r="CC84" t="str">
        <f>A!CB84</f>
        <v>#_a13c9c27-ac45-4ff5-8e2b-08bc80806939</v>
      </c>
      <c r="CD84" t="str">
        <f>A!CC84</f>
        <v>#_59362024-007e-4562-aa9e-f4b60e2ee4e6</v>
      </c>
      <c r="CE84">
        <f>A!CD84</f>
        <v>0</v>
      </c>
      <c r="CF84" t="str">
        <f>A!CE84</f>
        <v>urn:immetingen:compartiment:id:1</v>
      </c>
      <c r="CG84" t="str">
        <f>A!CF84</f>
        <v>_TI-65023564</v>
      </c>
      <c r="CH84">
        <f>A!CG84</f>
        <v>45810</v>
      </c>
      <c r="CI84" t="str">
        <f>A!CH84</f>
        <v>urn:immetingen:monstertype:id:10</v>
      </c>
      <c r="CJ84" t="str">
        <f>A!CI84</f>
        <v>urn:imsikb0101:Applicaties:id:16</v>
      </c>
      <c r="CK84" t="str">
        <f>A!CJ84</f>
        <v>urn:imsikb0101:DatastroomType:id:1</v>
      </c>
      <c r="CL84">
        <f>A!CK84</f>
        <v>45811</v>
      </c>
      <c r="CM84" t="str">
        <f>A!CL84</f>
        <v>SGS, Rotterdam</v>
      </c>
      <c r="CN84" t="str">
        <f>A!CM84</f>
        <v>LABRESULTAAT SGS</v>
      </c>
      <c r="CO84">
        <f>A!CN84</f>
        <v>45811</v>
      </c>
      <c r="CP84">
        <f>A!CO84</f>
        <v>0</v>
      </c>
      <c r="CQ84">
        <f>A!CO394</f>
        <v>0</v>
      </c>
      <c r="CR84" t="e">
        <f>A!#REF!</f>
        <v>#REF!</v>
      </c>
      <c r="CS84" t="e">
        <f>A!#REF!</f>
        <v>#REF!</v>
      </c>
    </row>
    <row r="85" spans="1:97" x14ac:dyDescent="0.2">
      <c r="A85" t="str">
        <f>A!A85</f>
        <v>LABRESULTAAT</v>
      </c>
      <c r="B85">
        <f>A!B85</f>
        <v>6</v>
      </c>
      <c r="C85">
        <f>A!C85</f>
        <v>0</v>
      </c>
      <c r="D85">
        <f>A!D85</f>
        <v>0</v>
      </c>
      <c r="E85">
        <f>A!E85</f>
        <v>0</v>
      </c>
      <c r="F85">
        <f>A!F85</f>
        <v>0</v>
      </c>
      <c r="G85">
        <f>A!G85</f>
        <v>0</v>
      </c>
      <c r="H85">
        <f>A!H85</f>
        <v>0</v>
      </c>
      <c r="I85">
        <f>A!I85</f>
        <v>0</v>
      </c>
      <c r="J85">
        <f>A!J85</f>
        <v>0</v>
      </c>
      <c r="K85">
        <f>A!K85</f>
        <v>0</v>
      </c>
      <c r="L85">
        <f>A!L85</f>
        <v>0</v>
      </c>
      <c r="M85">
        <f>A!M85</f>
        <v>0</v>
      </c>
      <c r="N85">
        <f>A!N85</f>
        <v>0</v>
      </c>
      <c r="O85">
        <f>A!O85</f>
        <v>0</v>
      </c>
      <c r="P85" s="32" t="str">
        <f>IF(A!P85="","",INDEX(B!$A$1:$BT$2000,MATCH(A!P85,B!$AX$1:$AX$2000,0),D!$B$5))</f>
        <v/>
      </c>
      <c r="Q85">
        <f>A!Q85</f>
        <v>0</v>
      </c>
      <c r="R85">
        <f>A!R85</f>
        <v>0</v>
      </c>
      <c r="S85">
        <f>A!S85</f>
        <v>0</v>
      </c>
      <c r="T85">
        <f>A!T85</f>
        <v>0</v>
      </c>
      <c r="U85">
        <f>A!U85</f>
        <v>0</v>
      </c>
      <c r="V85" s="32">
        <f>IF(A!V85="&lt;",1,A!V85)</f>
        <v>0</v>
      </c>
      <c r="W85">
        <f>A!W85</f>
        <v>0</v>
      </c>
      <c r="X85">
        <f>A!X85</f>
        <v>0</v>
      </c>
      <c r="Y85">
        <f>A!Y85</f>
        <v>0</v>
      </c>
      <c r="Z85" s="32">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32"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_f2f55274-7708-48c8-9f23-34f94e9519db</v>
      </c>
      <c r="BY85" t="str">
        <f>A!BX85</f>
        <v>f2f55274-7708-48c8-9f23-34f94e9519db</v>
      </c>
      <c r="BZ85" t="str">
        <f>A!BY85</f>
        <v>SIKB</v>
      </c>
      <c r="CA85" t="str">
        <f>A!BZ85</f>
        <v>MM05 04 (150-200) 05 (150-200)</v>
      </c>
      <c r="CB85">
        <f>A!CA85</f>
        <v>45810</v>
      </c>
      <c r="CC85" t="str">
        <f>A!CB85</f>
        <v>#_a13c9c27-ac45-4ff5-8e2b-08bc80806939</v>
      </c>
      <c r="CD85" t="str">
        <f>A!CC85</f>
        <v>#_f31f0918-d287-4020-bfad-7172da6385e3</v>
      </c>
      <c r="CE85">
        <f>A!CD85</f>
        <v>0</v>
      </c>
      <c r="CF85" t="str">
        <f>A!CE85</f>
        <v>urn:immetingen:compartiment:id:1</v>
      </c>
      <c r="CG85" t="str">
        <f>A!CF85</f>
        <v>_TI-65023564</v>
      </c>
      <c r="CH85">
        <f>A!CG85</f>
        <v>45810</v>
      </c>
      <c r="CI85" t="str">
        <f>A!CH85</f>
        <v>urn:immetingen:monstertype:id:10</v>
      </c>
      <c r="CJ85" t="str">
        <f>A!CI85</f>
        <v>urn:imsikb0101:Applicaties:id:16</v>
      </c>
      <c r="CK85" t="str">
        <f>A!CJ85</f>
        <v>urn:imsikb0101:DatastroomType:id:1</v>
      </c>
      <c r="CL85">
        <f>A!CK85</f>
        <v>45811</v>
      </c>
      <c r="CM85" t="str">
        <f>A!CL85</f>
        <v>SGS, Rotterdam</v>
      </c>
      <c r="CN85" t="str">
        <f>A!CM85</f>
        <v>LABRESULTAAT SGS</v>
      </c>
      <c r="CO85">
        <f>A!CN85</f>
        <v>45811</v>
      </c>
      <c r="CP85">
        <f>A!CO85</f>
        <v>0</v>
      </c>
      <c r="CQ85">
        <f>A!CO395</f>
        <v>0</v>
      </c>
      <c r="CR85" t="e">
        <f>A!#REF!</f>
        <v>#REF!</v>
      </c>
      <c r="CS85" t="e">
        <f>A!#REF!</f>
        <v>#REF!</v>
      </c>
    </row>
    <row r="86" spans="1:97" x14ac:dyDescent="0.2">
      <c r="A86" t="str">
        <f>A!A86</f>
        <v>LABRESULTAAT</v>
      </c>
      <c r="B86">
        <f>A!B86</f>
        <v>6</v>
      </c>
      <c r="C86">
        <f>A!C86</f>
        <v>0</v>
      </c>
      <c r="D86">
        <f>A!D86</f>
        <v>0</v>
      </c>
      <c r="E86">
        <f>A!E86</f>
        <v>0</v>
      </c>
      <c r="F86">
        <f>A!F86</f>
        <v>0</v>
      </c>
      <c r="G86">
        <f>A!G86</f>
        <v>0</v>
      </c>
      <c r="H86">
        <f>A!H86</f>
        <v>0</v>
      </c>
      <c r="I86">
        <f>A!I86</f>
        <v>0</v>
      </c>
      <c r="J86">
        <f>A!J86</f>
        <v>0</v>
      </c>
      <c r="K86">
        <f>A!K86</f>
        <v>0</v>
      </c>
      <c r="L86">
        <f>A!L86</f>
        <v>0</v>
      </c>
      <c r="M86">
        <f>A!M86</f>
        <v>0</v>
      </c>
      <c r="N86">
        <f>A!N86</f>
        <v>0</v>
      </c>
      <c r="O86">
        <f>A!O86</f>
        <v>0</v>
      </c>
      <c r="P86" s="32" t="str">
        <f>IF(A!P86="","",INDEX(B!$A$1:$BT$2000,MATCH(A!P86,B!$AX$1:$AX$2000,0),D!$B$5))</f>
        <v/>
      </c>
      <c r="Q86">
        <f>A!Q86</f>
        <v>0</v>
      </c>
      <c r="R86">
        <f>A!R86</f>
        <v>0</v>
      </c>
      <c r="S86">
        <f>A!S86</f>
        <v>0</v>
      </c>
      <c r="T86">
        <f>A!T86</f>
        <v>0</v>
      </c>
      <c r="U86">
        <f>A!U86</f>
        <v>0</v>
      </c>
      <c r="V86" s="32">
        <f>IF(A!V86="&lt;",1,A!V86)</f>
        <v>0</v>
      </c>
      <c r="W86">
        <f>A!W86</f>
        <v>0</v>
      </c>
      <c r="X86">
        <f>A!X86</f>
        <v>0</v>
      </c>
      <c r="Y86">
        <f>A!Y86</f>
        <v>0</v>
      </c>
      <c r="Z86" s="32">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32"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_f2f55274-7708-48c8-9f23-34f94e9519db</v>
      </c>
      <c r="BY86" t="str">
        <f>A!BX86</f>
        <v>f2f55274-7708-48c8-9f23-34f94e9519db</v>
      </c>
      <c r="BZ86" t="str">
        <f>A!BY86</f>
        <v>SIKB</v>
      </c>
      <c r="CA86" t="str">
        <f>A!BZ86</f>
        <v>MM05 04 (150-200) 05 (150-200)</v>
      </c>
      <c r="CB86">
        <f>A!CA86</f>
        <v>45810</v>
      </c>
      <c r="CC86" t="str">
        <f>A!CB86</f>
        <v>#_a13c9c27-ac45-4ff5-8e2b-08bc80806939</v>
      </c>
      <c r="CD86" t="str">
        <f>A!CC86</f>
        <v>#_c21b1980-6e25-487c-8479-6260e3a2e7c8</v>
      </c>
      <c r="CE86">
        <f>A!CD86</f>
        <v>0</v>
      </c>
      <c r="CF86" t="str">
        <f>A!CE86</f>
        <v>urn:immetingen:compartiment:id:1</v>
      </c>
      <c r="CG86" t="str">
        <f>A!CF86</f>
        <v>_TI-65023564</v>
      </c>
      <c r="CH86">
        <f>A!CG86</f>
        <v>45810</v>
      </c>
      <c r="CI86" t="str">
        <f>A!CH86</f>
        <v>urn:immetingen:monstertype:id:10</v>
      </c>
      <c r="CJ86" t="str">
        <f>A!CI86</f>
        <v>urn:imsikb0101:Applicaties:id:16</v>
      </c>
      <c r="CK86" t="str">
        <f>A!CJ86</f>
        <v>urn:imsikb0101:DatastroomType:id:1</v>
      </c>
      <c r="CL86">
        <f>A!CK86</f>
        <v>45811</v>
      </c>
      <c r="CM86" t="str">
        <f>A!CL86</f>
        <v>SGS, Rotterdam</v>
      </c>
      <c r="CN86" t="str">
        <f>A!CM86</f>
        <v>LABRESULTAAT SGS</v>
      </c>
      <c r="CO86">
        <f>A!CN86</f>
        <v>45811</v>
      </c>
      <c r="CP86">
        <f>A!CO86</f>
        <v>0</v>
      </c>
      <c r="CQ86">
        <f>A!CO396</f>
        <v>0</v>
      </c>
      <c r="CR86" t="e">
        <f>A!#REF!</f>
        <v>#REF!</v>
      </c>
      <c r="CS86" t="e">
        <f>A!#REF!</f>
        <v>#REF!</v>
      </c>
    </row>
    <row r="87" spans="1:97" x14ac:dyDescent="0.2">
      <c r="A87" t="str">
        <f>A!A87</f>
        <v>LABRESULTAAT</v>
      </c>
      <c r="B87">
        <f>A!B87</f>
        <v>6</v>
      </c>
      <c r="C87">
        <f>A!C87</f>
        <v>0</v>
      </c>
      <c r="D87">
        <f>A!D87</f>
        <v>0</v>
      </c>
      <c r="E87">
        <f>A!E87</f>
        <v>0</v>
      </c>
      <c r="F87">
        <f>A!F87</f>
        <v>0</v>
      </c>
      <c r="G87">
        <f>A!G87</f>
        <v>0</v>
      </c>
      <c r="H87">
        <f>A!H87</f>
        <v>0</v>
      </c>
      <c r="I87">
        <f>A!I87</f>
        <v>0</v>
      </c>
      <c r="J87">
        <f>A!J87</f>
        <v>0</v>
      </c>
      <c r="K87">
        <f>A!K87</f>
        <v>0</v>
      </c>
      <c r="L87">
        <f>A!L87</f>
        <v>0</v>
      </c>
      <c r="M87">
        <f>A!M87</f>
        <v>0</v>
      </c>
      <c r="N87">
        <f>A!N87</f>
        <v>0</v>
      </c>
      <c r="O87">
        <f>A!O87</f>
        <v>0</v>
      </c>
      <c r="P87" s="32" t="str">
        <f>IF(A!P87="","",INDEX(B!$A$1:$BT$2000,MATCH(A!P87,B!$AX$1:$AX$2000,0),D!$B$5))</f>
        <v/>
      </c>
      <c r="Q87">
        <f>A!Q87</f>
        <v>0</v>
      </c>
      <c r="R87">
        <f>A!R87</f>
        <v>0</v>
      </c>
      <c r="S87">
        <f>A!S87</f>
        <v>0</v>
      </c>
      <c r="T87">
        <f>A!T87</f>
        <v>0</v>
      </c>
      <c r="U87">
        <f>A!U87</f>
        <v>0</v>
      </c>
      <c r="V87" s="32">
        <f>IF(A!V87="&lt;",1,A!V87)</f>
        <v>0</v>
      </c>
      <c r="W87">
        <f>A!W87</f>
        <v>0</v>
      </c>
      <c r="X87">
        <f>A!X87</f>
        <v>0</v>
      </c>
      <c r="Y87">
        <f>A!Y87</f>
        <v>0</v>
      </c>
      <c r="Z87" s="32">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32"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_f2f55274-7708-48c8-9f23-34f94e9519db</v>
      </c>
      <c r="BY87" t="str">
        <f>A!BX87</f>
        <v>f2f55274-7708-48c8-9f23-34f94e9519db</v>
      </c>
      <c r="BZ87" t="str">
        <f>A!BY87</f>
        <v>SIKB</v>
      </c>
      <c r="CA87" t="str">
        <f>A!BZ87</f>
        <v>MM05 04 (150-200) 05 (150-200)</v>
      </c>
      <c r="CB87">
        <f>A!CA87</f>
        <v>45810</v>
      </c>
      <c r="CC87" t="str">
        <f>A!CB87</f>
        <v>#_a13c9c27-ac45-4ff5-8e2b-08bc80806939</v>
      </c>
      <c r="CD87" t="str">
        <f>A!CC87</f>
        <v>#_5ce8240e-7c40-44a0-a8b6-8194c2934572</v>
      </c>
      <c r="CE87">
        <f>A!CD87</f>
        <v>0</v>
      </c>
      <c r="CF87" t="str">
        <f>A!CE87</f>
        <v>urn:immetingen:compartiment:id:1</v>
      </c>
      <c r="CG87" t="str">
        <f>A!CF87</f>
        <v>_TI-65023564</v>
      </c>
      <c r="CH87">
        <f>A!CG87</f>
        <v>45810</v>
      </c>
      <c r="CI87" t="str">
        <f>A!CH87</f>
        <v>urn:immetingen:monstertype:id:10</v>
      </c>
      <c r="CJ87" t="str">
        <f>A!CI87</f>
        <v>urn:imsikb0101:Applicaties:id:16</v>
      </c>
      <c r="CK87" t="str">
        <f>A!CJ87</f>
        <v>urn:imsikb0101:DatastroomType:id:1</v>
      </c>
      <c r="CL87">
        <f>A!CK87</f>
        <v>45811</v>
      </c>
      <c r="CM87" t="str">
        <f>A!CL87</f>
        <v>SGS, Rotterdam</v>
      </c>
      <c r="CN87" t="str">
        <f>A!CM87</f>
        <v>LABRESULTAAT SGS</v>
      </c>
      <c r="CO87">
        <f>A!CN87</f>
        <v>45811</v>
      </c>
      <c r="CP87">
        <f>A!CO87</f>
        <v>0</v>
      </c>
      <c r="CQ87">
        <f>A!CO397</f>
        <v>0</v>
      </c>
      <c r="CR87" t="e">
        <f>A!#REF!</f>
        <v>#REF!</v>
      </c>
      <c r="CS87" t="e">
        <f>A!#REF!</f>
        <v>#REF!</v>
      </c>
    </row>
    <row r="88" spans="1:97" x14ac:dyDescent="0.2">
      <c r="A88" t="str">
        <f>A!A88</f>
        <v>LABRESULTAAT</v>
      </c>
      <c r="B88">
        <f>A!B88</f>
        <v>6</v>
      </c>
      <c r="C88">
        <f>A!C88</f>
        <v>0</v>
      </c>
      <c r="D88">
        <f>A!D88</f>
        <v>0</v>
      </c>
      <c r="E88">
        <f>A!E88</f>
        <v>0</v>
      </c>
      <c r="F88">
        <f>A!F88</f>
        <v>0</v>
      </c>
      <c r="G88">
        <f>A!G88</f>
        <v>0</v>
      </c>
      <c r="H88">
        <f>A!H88</f>
        <v>0</v>
      </c>
      <c r="I88">
        <f>A!I88</f>
        <v>0</v>
      </c>
      <c r="J88">
        <f>A!J88</f>
        <v>0</v>
      </c>
      <c r="K88">
        <f>A!K88</f>
        <v>0</v>
      </c>
      <c r="L88">
        <f>A!L88</f>
        <v>0</v>
      </c>
      <c r="M88">
        <f>A!M88</f>
        <v>0</v>
      </c>
      <c r="N88">
        <f>A!N88</f>
        <v>0</v>
      </c>
      <c r="O88">
        <f>A!O88</f>
        <v>0</v>
      </c>
      <c r="P88" s="32" t="str">
        <f>IF(A!P88="","",INDEX(B!$A$1:$BT$2000,MATCH(A!P88,B!$AX$1:$AX$2000,0),D!$B$5))</f>
        <v/>
      </c>
      <c r="Q88">
        <f>A!Q88</f>
        <v>0</v>
      </c>
      <c r="R88">
        <f>A!R88</f>
        <v>0</v>
      </c>
      <c r="S88">
        <f>A!S88</f>
        <v>0</v>
      </c>
      <c r="T88">
        <f>A!T88</f>
        <v>0</v>
      </c>
      <c r="U88">
        <f>A!U88</f>
        <v>0</v>
      </c>
      <c r="V88" s="32">
        <f>IF(A!V88="&lt;",1,A!V88)</f>
        <v>0</v>
      </c>
      <c r="W88">
        <f>A!W88</f>
        <v>0</v>
      </c>
      <c r="X88">
        <f>A!X88</f>
        <v>0</v>
      </c>
      <c r="Y88">
        <f>A!Y88</f>
        <v>0</v>
      </c>
      <c r="Z88" s="32">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32"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_f2f55274-7708-48c8-9f23-34f94e9519db</v>
      </c>
      <c r="BY88" t="str">
        <f>A!BX88</f>
        <v>f2f55274-7708-48c8-9f23-34f94e9519db</v>
      </c>
      <c r="BZ88" t="str">
        <f>A!BY88</f>
        <v>SIKB</v>
      </c>
      <c r="CA88" t="str">
        <f>A!BZ88</f>
        <v>MM05 04 (150-200) 05 (150-200)</v>
      </c>
      <c r="CB88">
        <f>A!CA88</f>
        <v>45810</v>
      </c>
      <c r="CC88" t="str">
        <f>A!CB88</f>
        <v>#_a13c9c27-ac45-4ff5-8e2b-08bc80806939</v>
      </c>
      <c r="CD88" t="str">
        <f>A!CC88</f>
        <v>#_0af4a9bb-d3db-4b54-829b-cdfd6e7e2cb0</v>
      </c>
      <c r="CE88">
        <f>A!CD88</f>
        <v>0</v>
      </c>
      <c r="CF88" t="str">
        <f>A!CE88</f>
        <v>urn:immetingen:compartiment:id:1</v>
      </c>
      <c r="CG88" t="str">
        <f>A!CF88</f>
        <v>_TI-65023564</v>
      </c>
      <c r="CH88">
        <f>A!CG88</f>
        <v>45810</v>
      </c>
      <c r="CI88" t="str">
        <f>A!CH88</f>
        <v>urn:immetingen:monstertype:id:10</v>
      </c>
      <c r="CJ88" t="str">
        <f>A!CI88</f>
        <v>urn:imsikb0101:Applicaties:id:16</v>
      </c>
      <c r="CK88" t="str">
        <f>A!CJ88</f>
        <v>urn:imsikb0101:DatastroomType:id:1</v>
      </c>
      <c r="CL88">
        <f>A!CK88</f>
        <v>45811</v>
      </c>
      <c r="CM88" t="str">
        <f>A!CL88</f>
        <v>SGS, Rotterdam</v>
      </c>
      <c r="CN88" t="str">
        <f>A!CM88</f>
        <v>LABRESULTAAT SGS</v>
      </c>
      <c r="CO88">
        <f>A!CN88</f>
        <v>45811</v>
      </c>
      <c r="CP88">
        <f>A!CO88</f>
        <v>0</v>
      </c>
      <c r="CQ88">
        <f>A!CO398</f>
        <v>0</v>
      </c>
      <c r="CR88" t="e">
        <f>A!#REF!</f>
        <v>#REF!</v>
      </c>
      <c r="CS88" t="e">
        <f>A!#REF!</f>
        <v>#REF!</v>
      </c>
    </row>
    <row r="89" spans="1:97" x14ac:dyDescent="0.2">
      <c r="A89" t="str">
        <f>A!A89</f>
        <v>LABRESULTAAT</v>
      </c>
      <c r="B89">
        <f>A!B89</f>
        <v>6</v>
      </c>
      <c r="C89">
        <f>A!C89</f>
        <v>0</v>
      </c>
      <c r="D89">
        <f>A!D89</f>
        <v>0</v>
      </c>
      <c r="E89">
        <f>A!E89</f>
        <v>0</v>
      </c>
      <c r="F89">
        <f>A!F89</f>
        <v>0</v>
      </c>
      <c r="G89">
        <f>A!G89</f>
        <v>0</v>
      </c>
      <c r="H89">
        <f>A!H89</f>
        <v>0</v>
      </c>
      <c r="I89">
        <f>A!I89</f>
        <v>0</v>
      </c>
      <c r="J89">
        <f>A!J89</f>
        <v>0</v>
      </c>
      <c r="K89">
        <f>A!K89</f>
        <v>0</v>
      </c>
      <c r="L89">
        <f>A!L89</f>
        <v>0</v>
      </c>
      <c r="M89">
        <f>A!M89</f>
        <v>0</v>
      </c>
      <c r="N89">
        <f>A!N89</f>
        <v>0</v>
      </c>
      <c r="O89">
        <f>A!O89</f>
        <v>0</v>
      </c>
      <c r="P89" s="32" t="str">
        <f>IF(A!P89="","",INDEX(B!$A$1:$BT$2000,MATCH(A!P89,B!$AX$1:$AX$2000,0),D!$B$5))</f>
        <v/>
      </c>
      <c r="Q89">
        <f>A!Q89</f>
        <v>0</v>
      </c>
      <c r="R89">
        <f>A!R89</f>
        <v>0</v>
      </c>
      <c r="S89">
        <f>A!S89</f>
        <v>0</v>
      </c>
      <c r="T89">
        <f>A!T89</f>
        <v>0</v>
      </c>
      <c r="U89">
        <f>A!U89</f>
        <v>0</v>
      </c>
      <c r="V89" s="32">
        <f>IF(A!V89="&lt;",1,A!V89)</f>
        <v>0</v>
      </c>
      <c r="W89">
        <f>A!W89</f>
        <v>0</v>
      </c>
      <c r="X89">
        <f>A!X89</f>
        <v>0</v>
      </c>
      <c r="Y89">
        <f>A!Y89</f>
        <v>0</v>
      </c>
      <c r="Z89" s="32">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32"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_f2f55274-7708-48c8-9f23-34f94e9519db</v>
      </c>
      <c r="BY89" t="str">
        <f>A!BX89</f>
        <v>f2f55274-7708-48c8-9f23-34f94e9519db</v>
      </c>
      <c r="BZ89" t="str">
        <f>A!BY89</f>
        <v>SIKB</v>
      </c>
      <c r="CA89" t="str">
        <f>A!BZ89</f>
        <v>MM05 04 (150-200) 05 (150-200)</v>
      </c>
      <c r="CB89">
        <f>A!CA89</f>
        <v>45810</v>
      </c>
      <c r="CC89" t="str">
        <f>A!CB89</f>
        <v>#_a13c9c27-ac45-4ff5-8e2b-08bc80806939</v>
      </c>
      <c r="CD89" t="str">
        <f>A!CC89</f>
        <v>#_1477bbba-4016-4797-a87a-7a2a8838812b</v>
      </c>
      <c r="CE89">
        <f>A!CD89</f>
        <v>0</v>
      </c>
      <c r="CF89" t="str">
        <f>A!CE89</f>
        <v>urn:immetingen:compartiment:id:1</v>
      </c>
      <c r="CG89" t="str">
        <f>A!CF89</f>
        <v>_TI-65023564</v>
      </c>
      <c r="CH89">
        <f>A!CG89</f>
        <v>45810</v>
      </c>
      <c r="CI89" t="str">
        <f>A!CH89</f>
        <v>urn:immetingen:monstertype:id:10</v>
      </c>
      <c r="CJ89" t="str">
        <f>A!CI89</f>
        <v>urn:imsikb0101:Applicaties:id:16</v>
      </c>
      <c r="CK89" t="str">
        <f>A!CJ89</f>
        <v>urn:imsikb0101:DatastroomType:id:1</v>
      </c>
      <c r="CL89">
        <f>A!CK89</f>
        <v>45811</v>
      </c>
      <c r="CM89" t="str">
        <f>A!CL89</f>
        <v>SGS, Rotterdam</v>
      </c>
      <c r="CN89" t="str">
        <f>A!CM89</f>
        <v>LABRESULTAAT SGS</v>
      </c>
      <c r="CO89">
        <f>A!CN89</f>
        <v>45811</v>
      </c>
      <c r="CP89">
        <f>A!CO89</f>
        <v>0</v>
      </c>
      <c r="CQ89">
        <f>A!CO399</f>
        <v>0</v>
      </c>
      <c r="CR89" t="e">
        <f>A!#REF!</f>
        <v>#REF!</v>
      </c>
      <c r="CS89" t="e">
        <f>A!#REF!</f>
        <v>#REF!</v>
      </c>
    </row>
    <row r="90" spans="1:97" x14ac:dyDescent="0.2">
      <c r="A90" t="str">
        <f>A!A90</f>
        <v>LABRESULTAAT</v>
      </c>
      <c r="B90">
        <f>A!B90</f>
        <v>6</v>
      </c>
      <c r="C90">
        <f>A!C90</f>
        <v>0</v>
      </c>
      <c r="D90">
        <f>A!D90</f>
        <v>0</v>
      </c>
      <c r="E90">
        <f>A!E90</f>
        <v>0</v>
      </c>
      <c r="F90">
        <f>A!F90</f>
        <v>0</v>
      </c>
      <c r="G90">
        <f>A!G90</f>
        <v>0</v>
      </c>
      <c r="H90">
        <f>A!H90</f>
        <v>0</v>
      </c>
      <c r="I90">
        <f>A!I90</f>
        <v>0</v>
      </c>
      <c r="J90">
        <f>A!J90</f>
        <v>0</v>
      </c>
      <c r="K90">
        <f>A!K90</f>
        <v>0</v>
      </c>
      <c r="L90">
        <f>A!L90</f>
        <v>0</v>
      </c>
      <c r="M90">
        <f>A!M90</f>
        <v>0</v>
      </c>
      <c r="N90">
        <f>A!N90</f>
        <v>0</v>
      </c>
      <c r="O90">
        <f>A!O90</f>
        <v>0</v>
      </c>
      <c r="P90" s="32" t="str">
        <f>IF(A!P90="","",INDEX(B!$A$1:$BT$2000,MATCH(A!P90,B!$AX$1:$AX$2000,0),D!$B$5))</f>
        <v/>
      </c>
      <c r="Q90">
        <f>A!Q90</f>
        <v>0</v>
      </c>
      <c r="R90">
        <f>A!R90</f>
        <v>0</v>
      </c>
      <c r="S90">
        <f>A!S90</f>
        <v>0</v>
      </c>
      <c r="T90">
        <f>A!T90</f>
        <v>0</v>
      </c>
      <c r="U90">
        <f>A!U90</f>
        <v>0</v>
      </c>
      <c r="V90" s="32">
        <f>IF(A!V90="&lt;",1,A!V90)</f>
        <v>0</v>
      </c>
      <c r="W90">
        <f>A!W90</f>
        <v>0</v>
      </c>
      <c r="X90">
        <f>A!X90</f>
        <v>0</v>
      </c>
      <c r="Y90">
        <f>A!Y90</f>
        <v>0</v>
      </c>
      <c r="Z90" s="32">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32"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_f2f55274-7708-48c8-9f23-34f94e9519db</v>
      </c>
      <c r="BY90" t="str">
        <f>A!BX90</f>
        <v>f2f55274-7708-48c8-9f23-34f94e9519db</v>
      </c>
      <c r="BZ90" t="str">
        <f>A!BY90</f>
        <v>SIKB</v>
      </c>
      <c r="CA90" t="str">
        <f>A!BZ90</f>
        <v>MM05 04 (150-200) 05 (150-200)</v>
      </c>
      <c r="CB90">
        <f>A!CA90</f>
        <v>45810</v>
      </c>
      <c r="CC90" t="str">
        <f>A!CB90</f>
        <v>#_a13c9c27-ac45-4ff5-8e2b-08bc80806939</v>
      </c>
      <c r="CD90" t="str">
        <f>A!CC90</f>
        <v>#_0cb2a81d-2581-4d4d-934d-8982d55bba8a</v>
      </c>
      <c r="CE90">
        <f>A!CD90</f>
        <v>0</v>
      </c>
      <c r="CF90" t="str">
        <f>A!CE90</f>
        <v>urn:immetingen:compartiment:id:1</v>
      </c>
      <c r="CG90" t="str">
        <f>A!CF90</f>
        <v>_TI-65023564</v>
      </c>
      <c r="CH90">
        <f>A!CG90</f>
        <v>45810</v>
      </c>
      <c r="CI90" t="str">
        <f>A!CH90</f>
        <v>urn:immetingen:monstertype:id:10</v>
      </c>
      <c r="CJ90" t="str">
        <f>A!CI90</f>
        <v>urn:imsikb0101:Applicaties:id:16</v>
      </c>
      <c r="CK90" t="str">
        <f>A!CJ90</f>
        <v>urn:imsikb0101:DatastroomType:id:1</v>
      </c>
      <c r="CL90">
        <f>A!CK90</f>
        <v>45811</v>
      </c>
      <c r="CM90" t="str">
        <f>A!CL90</f>
        <v>SGS, Rotterdam</v>
      </c>
      <c r="CN90" t="str">
        <f>A!CM90</f>
        <v>LABRESULTAAT SGS</v>
      </c>
      <c r="CO90">
        <f>A!CN90</f>
        <v>45811</v>
      </c>
      <c r="CP90">
        <f>A!CO90</f>
        <v>0</v>
      </c>
      <c r="CQ90">
        <f>A!CO400</f>
        <v>0</v>
      </c>
      <c r="CR90" t="e">
        <f>A!#REF!</f>
        <v>#REF!</v>
      </c>
      <c r="CS90" t="e">
        <f>A!#REF!</f>
        <v>#REF!</v>
      </c>
    </row>
    <row r="91" spans="1:97" x14ac:dyDescent="0.2">
      <c r="A91" t="str">
        <f>A!A91</f>
        <v>LABRESULTAAT</v>
      </c>
      <c r="B91">
        <f>A!B91</f>
        <v>6</v>
      </c>
      <c r="C91">
        <f>A!C91</f>
        <v>0</v>
      </c>
      <c r="D91">
        <f>A!D91</f>
        <v>0</v>
      </c>
      <c r="E91">
        <f>A!E91</f>
        <v>0</v>
      </c>
      <c r="F91">
        <f>A!F91</f>
        <v>0</v>
      </c>
      <c r="G91">
        <f>A!G91</f>
        <v>0</v>
      </c>
      <c r="H91">
        <f>A!H91</f>
        <v>0</v>
      </c>
      <c r="I91">
        <f>A!I91</f>
        <v>0</v>
      </c>
      <c r="J91">
        <f>A!J91</f>
        <v>0</v>
      </c>
      <c r="K91">
        <f>A!K91</f>
        <v>0</v>
      </c>
      <c r="L91">
        <f>A!L91</f>
        <v>0</v>
      </c>
      <c r="M91">
        <f>A!M91</f>
        <v>0</v>
      </c>
      <c r="N91">
        <f>A!N91</f>
        <v>0</v>
      </c>
      <c r="O91">
        <f>A!O91</f>
        <v>0</v>
      </c>
      <c r="P91" s="32" t="str">
        <f>IF(A!P91="","",INDEX(B!$A$1:$BT$2000,MATCH(A!P91,B!$AX$1:$AX$2000,0),D!$B$5))</f>
        <v/>
      </c>
      <c r="Q91">
        <f>A!Q91</f>
        <v>0</v>
      </c>
      <c r="R91">
        <f>A!R91</f>
        <v>0</v>
      </c>
      <c r="S91">
        <f>A!S91</f>
        <v>0</v>
      </c>
      <c r="T91">
        <f>A!T91</f>
        <v>0</v>
      </c>
      <c r="U91">
        <f>A!U91</f>
        <v>0</v>
      </c>
      <c r="V91" s="32">
        <f>IF(A!V91="&lt;",1,A!V91)</f>
        <v>0</v>
      </c>
      <c r="W91">
        <f>A!W91</f>
        <v>0</v>
      </c>
      <c r="X91">
        <f>A!X91</f>
        <v>0</v>
      </c>
      <c r="Y91">
        <f>A!Y91</f>
        <v>0</v>
      </c>
      <c r="Z91" s="32">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32"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t="str">
        <f>A!BW91</f>
        <v>_f2f55274-7708-48c8-9f23-34f94e9519db</v>
      </c>
      <c r="BY91" t="str">
        <f>A!BX91</f>
        <v>f2f55274-7708-48c8-9f23-34f94e9519db</v>
      </c>
      <c r="BZ91" t="str">
        <f>A!BY91</f>
        <v>SIKB</v>
      </c>
      <c r="CA91" t="str">
        <f>A!BZ91</f>
        <v>MM05 04 (150-200) 05 (150-200)</v>
      </c>
      <c r="CB91">
        <f>A!CA91</f>
        <v>45810</v>
      </c>
      <c r="CC91" t="str">
        <f>A!CB91</f>
        <v>#_a13c9c27-ac45-4ff5-8e2b-08bc80806939</v>
      </c>
      <c r="CD91" t="str">
        <f>A!CC91</f>
        <v>#_89aa348b-a066-4b4b-802c-71429ac832df</v>
      </c>
      <c r="CE91">
        <f>A!CD91</f>
        <v>0</v>
      </c>
      <c r="CF91" t="str">
        <f>A!CE91</f>
        <v>urn:immetingen:compartiment:id:1</v>
      </c>
      <c r="CG91" t="str">
        <f>A!CF91</f>
        <v>_TI-65023564</v>
      </c>
      <c r="CH91">
        <f>A!CG91</f>
        <v>45810</v>
      </c>
      <c r="CI91" t="str">
        <f>A!CH91</f>
        <v>urn:immetingen:monstertype:id:10</v>
      </c>
      <c r="CJ91" t="str">
        <f>A!CI91</f>
        <v>urn:imsikb0101:Applicaties:id:16</v>
      </c>
      <c r="CK91" t="str">
        <f>A!CJ91</f>
        <v>urn:imsikb0101:DatastroomType:id:1</v>
      </c>
      <c r="CL91">
        <f>A!CK91</f>
        <v>45811</v>
      </c>
      <c r="CM91" t="str">
        <f>A!CL91</f>
        <v>SGS, Rotterdam</v>
      </c>
      <c r="CN91" t="str">
        <f>A!CM91</f>
        <v>LABRESULTAAT SGS</v>
      </c>
      <c r="CO91">
        <f>A!CN91</f>
        <v>45811</v>
      </c>
      <c r="CP91">
        <f>A!CO91</f>
        <v>0</v>
      </c>
      <c r="CQ91">
        <f>A!CO401</f>
        <v>0</v>
      </c>
      <c r="CR91" t="e">
        <f>A!#REF!</f>
        <v>#REF!</v>
      </c>
      <c r="CS91" t="e">
        <f>A!#REF!</f>
        <v>#REF!</v>
      </c>
    </row>
    <row r="92" spans="1:97" x14ac:dyDescent="0.2">
      <c r="A92" t="str">
        <f>A!A92</f>
        <v>LABRESULTAAT</v>
      </c>
      <c r="B92">
        <f>A!B92</f>
        <v>6</v>
      </c>
      <c r="C92">
        <f>A!C92</f>
        <v>0</v>
      </c>
      <c r="D92">
        <f>A!D92</f>
        <v>0</v>
      </c>
      <c r="E92">
        <f>A!E92</f>
        <v>0</v>
      </c>
      <c r="F92">
        <f>A!F92</f>
        <v>0</v>
      </c>
      <c r="G92">
        <f>A!G92</f>
        <v>0</v>
      </c>
      <c r="H92">
        <f>A!H92</f>
        <v>0</v>
      </c>
      <c r="I92">
        <f>A!I92</f>
        <v>0</v>
      </c>
      <c r="J92">
        <f>A!J92</f>
        <v>0</v>
      </c>
      <c r="K92">
        <f>A!K92</f>
        <v>0</v>
      </c>
      <c r="L92">
        <f>A!L92</f>
        <v>0</v>
      </c>
      <c r="M92">
        <f>A!M92</f>
        <v>0</v>
      </c>
      <c r="N92">
        <f>A!N92</f>
        <v>0</v>
      </c>
      <c r="O92">
        <f>A!O92</f>
        <v>0</v>
      </c>
      <c r="P92" s="32" t="str">
        <f>IF(A!P92="","",INDEX(B!$A$1:$BT$2000,MATCH(A!P92,B!$AX$1:$AX$2000,0),D!$B$5))</f>
        <v/>
      </c>
      <c r="Q92">
        <f>A!Q92</f>
        <v>0</v>
      </c>
      <c r="R92">
        <f>A!R92</f>
        <v>0</v>
      </c>
      <c r="S92">
        <f>A!S92</f>
        <v>0</v>
      </c>
      <c r="T92">
        <f>A!T92</f>
        <v>0</v>
      </c>
      <c r="U92">
        <f>A!U92</f>
        <v>0</v>
      </c>
      <c r="V92" s="32">
        <f>IF(A!V92="&lt;",1,A!V92)</f>
        <v>0</v>
      </c>
      <c r="W92">
        <f>A!W92</f>
        <v>0</v>
      </c>
      <c r="X92">
        <f>A!X92</f>
        <v>0</v>
      </c>
      <c r="Y92">
        <f>A!Y92</f>
        <v>0</v>
      </c>
      <c r="Z92" s="32">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32"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t="str">
        <f>A!BW92</f>
        <v>_f2f55274-7708-48c8-9f23-34f94e9519db</v>
      </c>
      <c r="BY92" t="str">
        <f>A!BX92</f>
        <v>f2f55274-7708-48c8-9f23-34f94e9519db</v>
      </c>
      <c r="BZ92" t="str">
        <f>A!BY92</f>
        <v>SIKB</v>
      </c>
      <c r="CA92" t="str">
        <f>A!BZ92</f>
        <v>MM05 04 (150-200) 05 (150-200)</v>
      </c>
      <c r="CB92">
        <f>A!CA92</f>
        <v>45810</v>
      </c>
      <c r="CC92" t="str">
        <f>A!CB92</f>
        <v>#_a13c9c27-ac45-4ff5-8e2b-08bc80806939</v>
      </c>
      <c r="CD92" t="str">
        <f>A!CC92</f>
        <v>#_c7a8c7e9-2021-4261-a093-e9594eb98839</v>
      </c>
      <c r="CE92">
        <f>A!CD92</f>
        <v>0</v>
      </c>
      <c r="CF92" t="str">
        <f>A!CE92</f>
        <v>urn:immetingen:compartiment:id:1</v>
      </c>
      <c r="CG92" t="str">
        <f>A!CF92</f>
        <v>_TI-65023564</v>
      </c>
      <c r="CH92">
        <f>A!CG92</f>
        <v>45810</v>
      </c>
      <c r="CI92" t="str">
        <f>A!CH92</f>
        <v>urn:immetingen:monstertype:id:10</v>
      </c>
      <c r="CJ92" t="str">
        <f>A!CI92</f>
        <v>urn:imsikb0101:Applicaties:id:16</v>
      </c>
      <c r="CK92" t="str">
        <f>A!CJ92</f>
        <v>urn:imsikb0101:DatastroomType:id:1</v>
      </c>
      <c r="CL92">
        <f>A!CK92</f>
        <v>45811</v>
      </c>
      <c r="CM92" t="str">
        <f>A!CL92</f>
        <v>SGS, Rotterdam</v>
      </c>
      <c r="CN92" t="str">
        <f>A!CM92</f>
        <v>LABRESULTAAT SGS</v>
      </c>
      <c r="CO92">
        <f>A!CN92</f>
        <v>45811</v>
      </c>
      <c r="CP92">
        <f>A!CO92</f>
        <v>0</v>
      </c>
      <c r="CQ92">
        <f>A!CO402</f>
        <v>0</v>
      </c>
      <c r="CR92" t="e">
        <f>A!#REF!</f>
        <v>#REF!</v>
      </c>
      <c r="CS92" t="e">
        <f>A!#REF!</f>
        <v>#REF!</v>
      </c>
    </row>
    <row r="93" spans="1:97" x14ac:dyDescent="0.2">
      <c r="A93" t="str">
        <f>A!A93</f>
        <v>LABRESULTAAT</v>
      </c>
      <c r="B93">
        <f>A!B93</f>
        <v>6</v>
      </c>
      <c r="C93">
        <f>A!C93</f>
        <v>0</v>
      </c>
      <c r="D93">
        <f>A!D93</f>
        <v>0</v>
      </c>
      <c r="E93">
        <f>A!E93</f>
        <v>0</v>
      </c>
      <c r="F93">
        <f>A!F93</f>
        <v>0</v>
      </c>
      <c r="G93">
        <f>A!G93</f>
        <v>0</v>
      </c>
      <c r="H93">
        <f>A!H93</f>
        <v>0</v>
      </c>
      <c r="I93">
        <f>A!I93</f>
        <v>0</v>
      </c>
      <c r="J93">
        <f>A!J93</f>
        <v>0</v>
      </c>
      <c r="K93">
        <f>A!K93</f>
        <v>0</v>
      </c>
      <c r="L93">
        <f>A!L93</f>
        <v>0</v>
      </c>
      <c r="M93">
        <f>A!M93</f>
        <v>0</v>
      </c>
      <c r="N93">
        <f>A!N93</f>
        <v>0</v>
      </c>
      <c r="O93">
        <f>A!O93</f>
        <v>0</v>
      </c>
      <c r="P93" s="32" t="str">
        <f>IF(A!P93="","",INDEX(B!$A$1:$BT$2000,MATCH(A!P93,B!$AX$1:$AX$2000,0),D!$B$5))</f>
        <v/>
      </c>
      <c r="Q93">
        <f>A!Q93</f>
        <v>0</v>
      </c>
      <c r="R93">
        <f>A!R93</f>
        <v>0</v>
      </c>
      <c r="S93">
        <f>A!S93</f>
        <v>0</v>
      </c>
      <c r="T93">
        <f>A!T93</f>
        <v>0</v>
      </c>
      <c r="U93">
        <f>A!U93</f>
        <v>0</v>
      </c>
      <c r="V93" s="32">
        <f>IF(A!V93="&lt;",1,A!V93)</f>
        <v>0</v>
      </c>
      <c r="W93">
        <f>A!W93</f>
        <v>0</v>
      </c>
      <c r="X93">
        <f>A!X93</f>
        <v>0</v>
      </c>
      <c r="Y93">
        <f>A!Y93</f>
        <v>0</v>
      </c>
      <c r="Z93" s="32">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32"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t="str">
        <f>A!BW93</f>
        <v>_f2f55274-7708-48c8-9f23-34f94e9519db</v>
      </c>
      <c r="BY93" t="str">
        <f>A!BX93</f>
        <v>f2f55274-7708-48c8-9f23-34f94e9519db</v>
      </c>
      <c r="BZ93" t="str">
        <f>A!BY93</f>
        <v>SIKB</v>
      </c>
      <c r="CA93" t="str">
        <f>A!BZ93</f>
        <v>MM05 04 (150-200) 05 (150-200)</v>
      </c>
      <c r="CB93">
        <f>A!CA93</f>
        <v>45810</v>
      </c>
      <c r="CC93" t="str">
        <f>A!CB93</f>
        <v>#_a13c9c27-ac45-4ff5-8e2b-08bc80806939</v>
      </c>
      <c r="CD93" t="str">
        <f>A!CC93</f>
        <v>#_83ed301e-6add-473f-9804-6e0be0720fa8</v>
      </c>
      <c r="CE93">
        <f>A!CD93</f>
        <v>0</v>
      </c>
      <c r="CF93" t="str">
        <f>A!CE93</f>
        <v>urn:immetingen:compartiment:id:1</v>
      </c>
      <c r="CG93" t="str">
        <f>A!CF93</f>
        <v>_TI-65023564</v>
      </c>
      <c r="CH93">
        <f>A!CG93</f>
        <v>45810</v>
      </c>
      <c r="CI93" t="str">
        <f>A!CH93</f>
        <v>urn:immetingen:monstertype:id:10</v>
      </c>
      <c r="CJ93" t="str">
        <f>A!CI93</f>
        <v>urn:imsikb0101:Applicaties:id:16</v>
      </c>
      <c r="CK93" t="str">
        <f>A!CJ93</f>
        <v>urn:imsikb0101:DatastroomType:id:1</v>
      </c>
      <c r="CL93">
        <f>A!CK93</f>
        <v>45811</v>
      </c>
      <c r="CM93" t="str">
        <f>A!CL93</f>
        <v>SGS, Rotterdam</v>
      </c>
      <c r="CN93" t="str">
        <f>A!CM93</f>
        <v>LABRESULTAAT SGS</v>
      </c>
      <c r="CO93">
        <f>A!CN93</f>
        <v>45811</v>
      </c>
      <c r="CP93">
        <f>A!CO93</f>
        <v>0</v>
      </c>
      <c r="CQ93">
        <f>A!CO403</f>
        <v>0</v>
      </c>
      <c r="CR93" t="e">
        <f>A!#REF!</f>
        <v>#REF!</v>
      </c>
      <c r="CS93" t="e">
        <f>A!#REF!</f>
        <v>#REF!</v>
      </c>
    </row>
    <row r="94" spans="1:97" x14ac:dyDescent="0.2">
      <c r="A94" t="str">
        <f>A!A94</f>
        <v>LABRESULTAAT</v>
      </c>
      <c r="B94">
        <f>A!B94</f>
        <v>6</v>
      </c>
      <c r="C94">
        <f>A!C94</f>
        <v>0</v>
      </c>
      <c r="D94">
        <f>A!D94</f>
        <v>0</v>
      </c>
      <c r="E94">
        <f>A!E94</f>
        <v>0</v>
      </c>
      <c r="F94">
        <f>A!F94</f>
        <v>0</v>
      </c>
      <c r="G94">
        <f>A!G94</f>
        <v>0</v>
      </c>
      <c r="H94">
        <f>A!H94</f>
        <v>0</v>
      </c>
      <c r="I94">
        <f>A!I94</f>
        <v>0</v>
      </c>
      <c r="J94">
        <f>A!J94</f>
        <v>0</v>
      </c>
      <c r="K94">
        <f>A!K94</f>
        <v>0</v>
      </c>
      <c r="L94">
        <f>A!L94</f>
        <v>0</v>
      </c>
      <c r="M94">
        <f>A!M94</f>
        <v>0</v>
      </c>
      <c r="N94">
        <f>A!N94</f>
        <v>0</v>
      </c>
      <c r="O94">
        <f>A!O94</f>
        <v>0</v>
      </c>
      <c r="P94" s="32" t="str">
        <f>IF(A!P94="","",INDEX(B!$A$1:$BT$2000,MATCH(A!P94,B!$AX$1:$AX$2000,0),D!$B$5))</f>
        <v/>
      </c>
      <c r="Q94">
        <f>A!Q94</f>
        <v>0</v>
      </c>
      <c r="R94">
        <f>A!R94</f>
        <v>0</v>
      </c>
      <c r="S94">
        <f>A!S94</f>
        <v>0</v>
      </c>
      <c r="T94">
        <f>A!T94</f>
        <v>0</v>
      </c>
      <c r="U94">
        <f>A!U94</f>
        <v>0</v>
      </c>
      <c r="V94" s="32">
        <f>IF(A!V94="&lt;",1,A!V94)</f>
        <v>0</v>
      </c>
      <c r="W94">
        <f>A!W94</f>
        <v>0</v>
      </c>
      <c r="X94">
        <f>A!X94</f>
        <v>0</v>
      </c>
      <c r="Y94">
        <f>A!Y94</f>
        <v>0</v>
      </c>
      <c r="Z94" s="32">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32"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t="str">
        <f>A!BW94</f>
        <v>_f2f55274-7708-48c8-9f23-34f94e9519db</v>
      </c>
      <c r="BY94" t="str">
        <f>A!BX94</f>
        <v>f2f55274-7708-48c8-9f23-34f94e9519db</v>
      </c>
      <c r="BZ94" t="str">
        <f>A!BY94</f>
        <v>SIKB</v>
      </c>
      <c r="CA94" t="str">
        <f>A!BZ94</f>
        <v>MM05 04 (150-200) 05 (150-200)</v>
      </c>
      <c r="CB94">
        <f>A!CA94</f>
        <v>45810</v>
      </c>
      <c r="CC94" t="str">
        <f>A!CB94</f>
        <v>#_a13c9c27-ac45-4ff5-8e2b-08bc80806939</v>
      </c>
      <c r="CD94" t="str">
        <f>A!CC94</f>
        <v>#_e411bc2d-c0be-4e60-955f-ca7629e4ca98</v>
      </c>
      <c r="CE94">
        <f>A!CD94</f>
        <v>0</v>
      </c>
      <c r="CF94" t="str">
        <f>A!CE94</f>
        <v>urn:immetingen:compartiment:id:1</v>
      </c>
      <c r="CG94" t="str">
        <f>A!CF94</f>
        <v>_TI-65023564</v>
      </c>
      <c r="CH94">
        <f>A!CG94</f>
        <v>45810</v>
      </c>
      <c r="CI94" t="str">
        <f>A!CH94</f>
        <v>urn:immetingen:monstertype:id:10</v>
      </c>
      <c r="CJ94" t="str">
        <f>A!CI94</f>
        <v>urn:imsikb0101:Applicaties:id:16</v>
      </c>
      <c r="CK94" t="str">
        <f>A!CJ94</f>
        <v>urn:imsikb0101:DatastroomType:id:1</v>
      </c>
      <c r="CL94">
        <f>A!CK94</f>
        <v>45811</v>
      </c>
      <c r="CM94" t="str">
        <f>A!CL94</f>
        <v>SGS, Rotterdam</v>
      </c>
      <c r="CN94" t="str">
        <f>A!CM94</f>
        <v>LABRESULTAAT SGS</v>
      </c>
      <c r="CO94">
        <f>A!CN94</f>
        <v>45811</v>
      </c>
      <c r="CP94">
        <f>A!CO94</f>
        <v>0</v>
      </c>
      <c r="CQ94">
        <f>A!CO404</f>
        <v>0</v>
      </c>
      <c r="CR94" t="e">
        <f>A!#REF!</f>
        <v>#REF!</v>
      </c>
      <c r="CS94" t="e">
        <f>A!#REF!</f>
        <v>#REF!</v>
      </c>
    </row>
    <row r="95" spans="1:97" x14ac:dyDescent="0.2">
      <c r="A95" t="str">
        <f>A!A95</f>
        <v>LABRESULTAAT</v>
      </c>
      <c r="B95">
        <f>A!B95</f>
        <v>6</v>
      </c>
      <c r="C95">
        <f>A!C95</f>
        <v>0</v>
      </c>
      <c r="D95">
        <f>A!D95</f>
        <v>0</v>
      </c>
      <c r="E95">
        <f>A!E95</f>
        <v>0</v>
      </c>
      <c r="F95">
        <f>A!F95</f>
        <v>0</v>
      </c>
      <c r="G95">
        <f>A!G95</f>
        <v>0</v>
      </c>
      <c r="H95">
        <f>A!H95</f>
        <v>0</v>
      </c>
      <c r="I95">
        <f>A!I95</f>
        <v>0</v>
      </c>
      <c r="J95">
        <f>A!J95</f>
        <v>0</v>
      </c>
      <c r="K95">
        <f>A!K95</f>
        <v>0</v>
      </c>
      <c r="L95">
        <f>A!L95</f>
        <v>0</v>
      </c>
      <c r="M95">
        <f>A!M95</f>
        <v>0</v>
      </c>
      <c r="N95">
        <f>A!N95</f>
        <v>0</v>
      </c>
      <c r="O95">
        <f>A!O95</f>
        <v>0</v>
      </c>
      <c r="P95" s="32" t="str">
        <f>IF(A!P95="","",INDEX(B!$A$1:$BT$2000,MATCH(A!P95,B!$AX$1:$AX$2000,0),D!$B$5))</f>
        <v/>
      </c>
      <c r="Q95">
        <f>A!Q95</f>
        <v>0</v>
      </c>
      <c r="R95">
        <f>A!R95</f>
        <v>0</v>
      </c>
      <c r="S95">
        <f>A!S95</f>
        <v>0</v>
      </c>
      <c r="T95">
        <f>A!T95</f>
        <v>0</v>
      </c>
      <c r="U95">
        <f>A!U95</f>
        <v>0</v>
      </c>
      <c r="V95" s="32">
        <f>IF(A!V95="&lt;",1,A!V95)</f>
        <v>0</v>
      </c>
      <c r="W95">
        <f>A!W95</f>
        <v>0</v>
      </c>
      <c r="X95">
        <f>A!X95</f>
        <v>0</v>
      </c>
      <c r="Y95">
        <f>A!Y95</f>
        <v>0</v>
      </c>
      <c r="Z95" s="32">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32"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t="str">
        <f>A!BW95</f>
        <v>_f2f55274-7708-48c8-9f23-34f94e9519db</v>
      </c>
      <c r="BY95" t="str">
        <f>A!BX95</f>
        <v>f2f55274-7708-48c8-9f23-34f94e9519db</v>
      </c>
      <c r="BZ95" t="str">
        <f>A!BY95</f>
        <v>SIKB</v>
      </c>
      <c r="CA95" t="str">
        <f>A!BZ95</f>
        <v>MM05 04 (150-200) 05 (150-200)</v>
      </c>
      <c r="CB95">
        <f>A!CA95</f>
        <v>45810</v>
      </c>
      <c r="CC95" t="str">
        <f>A!CB95</f>
        <v>#_a13c9c27-ac45-4ff5-8e2b-08bc80806939</v>
      </c>
      <c r="CD95" t="str">
        <f>A!CC95</f>
        <v>#_db14d09c-633a-443a-b078-3fd76b8b2e20</v>
      </c>
      <c r="CE95">
        <f>A!CD95</f>
        <v>0</v>
      </c>
      <c r="CF95" t="str">
        <f>A!CE95</f>
        <v>urn:immetingen:compartiment:id:1</v>
      </c>
      <c r="CG95" t="str">
        <f>A!CF95</f>
        <v>_TI-65023564</v>
      </c>
      <c r="CH95">
        <f>A!CG95</f>
        <v>45810</v>
      </c>
      <c r="CI95" t="str">
        <f>A!CH95</f>
        <v>urn:immetingen:monstertype:id:10</v>
      </c>
      <c r="CJ95" t="str">
        <f>A!CI95</f>
        <v>urn:imsikb0101:Applicaties:id:16</v>
      </c>
      <c r="CK95" t="str">
        <f>A!CJ95</f>
        <v>urn:imsikb0101:DatastroomType:id:1</v>
      </c>
      <c r="CL95">
        <f>A!CK95</f>
        <v>45811</v>
      </c>
      <c r="CM95" t="str">
        <f>A!CL95</f>
        <v>SGS, Rotterdam</v>
      </c>
      <c r="CN95" t="str">
        <f>A!CM95</f>
        <v>LABRESULTAAT SGS</v>
      </c>
      <c r="CO95">
        <f>A!CN95</f>
        <v>45811</v>
      </c>
      <c r="CP95">
        <f>A!CO95</f>
        <v>0</v>
      </c>
      <c r="CQ95">
        <f>A!CO405</f>
        <v>0</v>
      </c>
      <c r="CR95" t="e">
        <f>A!#REF!</f>
        <v>#REF!</v>
      </c>
      <c r="CS95" t="e">
        <f>A!#REF!</f>
        <v>#REF!</v>
      </c>
    </row>
    <row r="96" spans="1:97" x14ac:dyDescent="0.2">
      <c r="A96" t="str">
        <f>A!A96</f>
        <v>LABRESULTAAT</v>
      </c>
      <c r="B96">
        <f>A!B96</f>
        <v>6</v>
      </c>
      <c r="C96">
        <f>A!C96</f>
        <v>0</v>
      </c>
      <c r="D96">
        <f>A!D96</f>
        <v>0</v>
      </c>
      <c r="E96">
        <f>A!E96</f>
        <v>0</v>
      </c>
      <c r="F96">
        <f>A!F96</f>
        <v>0</v>
      </c>
      <c r="G96">
        <f>A!G96</f>
        <v>0</v>
      </c>
      <c r="H96">
        <f>A!H96</f>
        <v>0</v>
      </c>
      <c r="I96">
        <f>A!I96</f>
        <v>0</v>
      </c>
      <c r="J96">
        <f>A!J96</f>
        <v>0</v>
      </c>
      <c r="K96">
        <f>A!K96</f>
        <v>0</v>
      </c>
      <c r="L96">
        <f>A!L96</f>
        <v>0</v>
      </c>
      <c r="M96">
        <f>A!M96</f>
        <v>0</v>
      </c>
      <c r="N96">
        <f>A!N96</f>
        <v>0</v>
      </c>
      <c r="O96">
        <f>A!O96</f>
        <v>0</v>
      </c>
      <c r="P96" s="32" t="str">
        <f>IF(A!P96="","",INDEX(B!$A$1:$BT$2000,MATCH(A!P96,B!$AX$1:$AX$2000,0),D!$B$5))</f>
        <v/>
      </c>
      <c r="Q96">
        <f>A!Q96</f>
        <v>0</v>
      </c>
      <c r="R96">
        <f>A!R96</f>
        <v>0</v>
      </c>
      <c r="S96">
        <f>A!S96</f>
        <v>0</v>
      </c>
      <c r="T96">
        <f>A!T96</f>
        <v>0</v>
      </c>
      <c r="U96">
        <f>A!U96</f>
        <v>0</v>
      </c>
      <c r="V96" s="32">
        <f>IF(A!V96="&lt;",1,A!V96)</f>
        <v>0</v>
      </c>
      <c r="W96">
        <f>A!W96</f>
        <v>0</v>
      </c>
      <c r="X96">
        <f>A!X96</f>
        <v>0</v>
      </c>
      <c r="Y96">
        <f>A!Y96</f>
        <v>0</v>
      </c>
      <c r="Z96" s="32">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32"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t="str">
        <f>A!BW96</f>
        <v>_f2f55274-7708-48c8-9f23-34f94e9519db</v>
      </c>
      <c r="BY96" t="str">
        <f>A!BX96</f>
        <v>f2f55274-7708-48c8-9f23-34f94e9519db</v>
      </c>
      <c r="BZ96" t="str">
        <f>A!BY96</f>
        <v>SIKB</v>
      </c>
      <c r="CA96" t="str">
        <f>A!BZ96</f>
        <v>MM05 04 (150-200) 05 (150-200)</v>
      </c>
      <c r="CB96">
        <f>A!CA96</f>
        <v>45810</v>
      </c>
      <c r="CC96" t="str">
        <f>A!CB96</f>
        <v>#_a13c9c27-ac45-4ff5-8e2b-08bc80806939</v>
      </c>
      <c r="CD96" t="str">
        <f>A!CC96</f>
        <v>#_c911dc74-4552-4856-a7e6-b3fe5b1a951b</v>
      </c>
      <c r="CE96">
        <f>A!CD96</f>
        <v>0</v>
      </c>
      <c r="CF96" t="str">
        <f>A!CE96</f>
        <v>urn:immetingen:compartiment:id:1</v>
      </c>
      <c r="CG96" t="str">
        <f>A!CF96</f>
        <v>_TI-65023564</v>
      </c>
      <c r="CH96">
        <f>A!CG96</f>
        <v>45810</v>
      </c>
      <c r="CI96" t="str">
        <f>A!CH96</f>
        <v>urn:immetingen:monstertype:id:10</v>
      </c>
      <c r="CJ96" t="str">
        <f>A!CI96</f>
        <v>urn:imsikb0101:Applicaties:id:16</v>
      </c>
      <c r="CK96" t="str">
        <f>A!CJ96</f>
        <v>urn:imsikb0101:DatastroomType:id:1</v>
      </c>
      <c r="CL96">
        <f>A!CK96</f>
        <v>45811</v>
      </c>
      <c r="CM96" t="str">
        <f>A!CL96</f>
        <v>SGS, Rotterdam</v>
      </c>
      <c r="CN96" t="str">
        <f>A!CM96</f>
        <v>LABRESULTAAT SGS</v>
      </c>
      <c r="CO96">
        <f>A!CN96</f>
        <v>45811</v>
      </c>
      <c r="CP96">
        <f>A!CO96</f>
        <v>0</v>
      </c>
      <c r="CQ96">
        <f>A!CO406</f>
        <v>0</v>
      </c>
      <c r="CR96" t="e">
        <f>A!#REF!</f>
        <v>#REF!</v>
      </c>
      <c r="CS96" t="e">
        <f>A!#REF!</f>
        <v>#REF!</v>
      </c>
    </row>
    <row r="97" spans="1:97" x14ac:dyDescent="0.2">
      <c r="A97" t="str">
        <f>A!A97</f>
        <v>LABRESULTAAT</v>
      </c>
      <c r="B97">
        <f>A!B97</f>
        <v>6</v>
      </c>
      <c r="C97">
        <f>A!C97</f>
        <v>0</v>
      </c>
      <c r="D97">
        <f>A!D97</f>
        <v>0</v>
      </c>
      <c r="E97">
        <f>A!E97</f>
        <v>0</v>
      </c>
      <c r="F97">
        <f>A!F97</f>
        <v>0</v>
      </c>
      <c r="G97">
        <f>A!G97</f>
        <v>0</v>
      </c>
      <c r="H97">
        <f>A!H97</f>
        <v>0</v>
      </c>
      <c r="I97">
        <f>A!I97</f>
        <v>0</v>
      </c>
      <c r="J97">
        <f>A!J97</f>
        <v>0</v>
      </c>
      <c r="K97">
        <f>A!K97</f>
        <v>0</v>
      </c>
      <c r="L97">
        <f>A!L97</f>
        <v>0</v>
      </c>
      <c r="M97">
        <f>A!M97</f>
        <v>0</v>
      </c>
      <c r="N97">
        <f>A!N97</f>
        <v>0</v>
      </c>
      <c r="O97">
        <f>A!O97</f>
        <v>0</v>
      </c>
      <c r="P97" s="32" t="str">
        <f>IF(A!P97="","",INDEX(B!$A$1:$BT$2000,MATCH(A!P97,B!$AX$1:$AX$2000,0),D!$B$5))</f>
        <v/>
      </c>
      <c r="Q97">
        <f>A!Q97</f>
        <v>0</v>
      </c>
      <c r="R97">
        <f>A!R97</f>
        <v>0</v>
      </c>
      <c r="S97">
        <f>A!S97</f>
        <v>0</v>
      </c>
      <c r="T97">
        <f>A!T97</f>
        <v>0</v>
      </c>
      <c r="U97">
        <f>A!U97</f>
        <v>0</v>
      </c>
      <c r="V97" s="32">
        <f>IF(A!V97="&lt;",1,A!V97)</f>
        <v>0</v>
      </c>
      <c r="W97">
        <f>A!W97</f>
        <v>0</v>
      </c>
      <c r="X97">
        <f>A!X97</f>
        <v>0</v>
      </c>
      <c r="Y97">
        <f>A!Y97</f>
        <v>0</v>
      </c>
      <c r="Z97" s="32">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32"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t="str">
        <f>A!BW97</f>
        <v>_f2f55274-7708-48c8-9f23-34f94e9519db</v>
      </c>
      <c r="BY97" t="str">
        <f>A!BX97</f>
        <v>f2f55274-7708-48c8-9f23-34f94e9519db</v>
      </c>
      <c r="BZ97" t="str">
        <f>A!BY97</f>
        <v>SIKB</v>
      </c>
      <c r="CA97" t="str">
        <f>A!BZ97</f>
        <v>MM05 04 (150-200) 05 (150-200)</v>
      </c>
      <c r="CB97">
        <f>A!CA97</f>
        <v>45810</v>
      </c>
      <c r="CC97" t="str">
        <f>A!CB97</f>
        <v>#_a13c9c27-ac45-4ff5-8e2b-08bc80806939</v>
      </c>
      <c r="CD97" t="str">
        <f>A!CC97</f>
        <v>#_94eca948-f57d-4a1a-9f91-1f7b870b21cb</v>
      </c>
      <c r="CE97">
        <f>A!CD97</f>
        <v>0</v>
      </c>
      <c r="CF97" t="str">
        <f>A!CE97</f>
        <v>urn:immetingen:compartiment:id:1</v>
      </c>
      <c r="CG97" t="str">
        <f>A!CF97</f>
        <v>_TI-65023564</v>
      </c>
      <c r="CH97">
        <f>A!CG97</f>
        <v>45810</v>
      </c>
      <c r="CI97" t="str">
        <f>A!CH97</f>
        <v>urn:immetingen:monstertype:id:10</v>
      </c>
      <c r="CJ97" t="str">
        <f>A!CI97</f>
        <v>urn:imsikb0101:Applicaties:id:16</v>
      </c>
      <c r="CK97" t="str">
        <f>A!CJ97</f>
        <v>urn:imsikb0101:DatastroomType:id:1</v>
      </c>
      <c r="CL97">
        <f>A!CK97</f>
        <v>45811</v>
      </c>
      <c r="CM97" t="str">
        <f>A!CL97</f>
        <v>SGS, Rotterdam</v>
      </c>
      <c r="CN97" t="str">
        <f>A!CM97</f>
        <v>LABRESULTAAT SGS</v>
      </c>
      <c r="CO97">
        <f>A!CN97</f>
        <v>45811</v>
      </c>
      <c r="CP97">
        <f>A!CO97</f>
        <v>0</v>
      </c>
      <c r="CQ97">
        <f>A!CO407</f>
        <v>0</v>
      </c>
      <c r="CR97" t="e">
        <f>A!#REF!</f>
        <v>#REF!</v>
      </c>
      <c r="CS97" t="e">
        <f>A!#REF!</f>
        <v>#REF!</v>
      </c>
    </row>
    <row r="98" spans="1:97" x14ac:dyDescent="0.2">
      <c r="A98" t="str">
        <f>A!A98</f>
        <v>LABRESULTAAT</v>
      </c>
      <c r="B98">
        <f>A!B98</f>
        <v>6</v>
      </c>
      <c r="C98">
        <f>A!C98</f>
        <v>0</v>
      </c>
      <c r="D98">
        <f>A!D98</f>
        <v>0</v>
      </c>
      <c r="E98">
        <f>A!E98</f>
        <v>0</v>
      </c>
      <c r="F98">
        <f>A!F98</f>
        <v>0</v>
      </c>
      <c r="G98">
        <f>A!G98</f>
        <v>0</v>
      </c>
      <c r="H98">
        <f>A!H98</f>
        <v>0</v>
      </c>
      <c r="I98">
        <f>A!I98</f>
        <v>0</v>
      </c>
      <c r="J98">
        <f>A!J98</f>
        <v>0</v>
      </c>
      <c r="K98">
        <f>A!K98</f>
        <v>0</v>
      </c>
      <c r="L98">
        <f>A!L98</f>
        <v>0</v>
      </c>
      <c r="M98">
        <f>A!M98</f>
        <v>0</v>
      </c>
      <c r="N98">
        <f>A!N98</f>
        <v>0</v>
      </c>
      <c r="O98">
        <f>A!O98</f>
        <v>0</v>
      </c>
      <c r="P98" s="32" t="str">
        <f>IF(A!P98="","",INDEX(B!$A$1:$BT$2000,MATCH(A!P98,B!$AX$1:$AX$2000,0),D!$B$5))</f>
        <v/>
      </c>
      <c r="Q98">
        <f>A!Q98</f>
        <v>0</v>
      </c>
      <c r="R98">
        <f>A!R98</f>
        <v>0</v>
      </c>
      <c r="S98">
        <f>A!S98</f>
        <v>0</v>
      </c>
      <c r="T98">
        <f>A!T98</f>
        <v>0</v>
      </c>
      <c r="U98">
        <f>A!U98</f>
        <v>0</v>
      </c>
      <c r="V98" s="32">
        <f>IF(A!V98="&lt;",1,A!V98)</f>
        <v>0</v>
      </c>
      <c r="W98">
        <f>A!W98</f>
        <v>0</v>
      </c>
      <c r="X98">
        <f>A!X98</f>
        <v>0</v>
      </c>
      <c r="Y98">
        <f>A!Y98</f>
        <v>0</v>
      </c>
      <c r="Z98" s="32">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32"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t="str">
        <f>A!BW98</f>
        <v>_f2f55274-7708-48c8-9f23-34f94e9519db</v>
      </c>
      <c r="BY98" t="str">
        <f>A!BX98</f>
        <v>f2f55274-7708-48c8-9f23-34f94e9519db</v>
      </c>
      <c r="BZ98" t="str">
        <f>A!BY98</f>
        <v>SIKB</v>
      </c>
      <c r="CA98" t="str">
        <f>A!BZ98</f>
        <v>MM05 04 (150-200) 05 (150-200)</v>
      </c>
      <c r="CB98">
        <f>A!CA98</f>
        <v>45810</v>
      </c>
      <c r="CC98" t="str">
        <f>A!CB98</f>
        <v>#_a13c9c27-ac45-4ff5-8e2b-08bc80806939</v>
      </c>
      <c r="CD98" t="str">
        <f>A!CC98</f>
        <v>#_0731400c-fbb2-4b82-a9a0-e7066e7ef3b4</v>
      </c>
      <c r="CE98">
        <f>A!CD98</f>
        <v>0</v>
      </c>
      <c r="CF98" t="str">
        <f>A!CE98</f>
        <v>urn:immetingen:compartiment:id:1</v>
      </c>
      <c r="CG98" t="str">
        <f>A!CF98</f>
        <v>_TI-65023564</v>
      </c>
      <c r="CH98">
        <f>A!CG98</f>
        <v>45810</v>
      </c>
      <c r="CI98" t="str">
        <f>A!CH98</f>
        <v>urn:immetingen:monstertype:id:10</v>
      </c>
      <c r="CJ98" t="str">
        <f>A!CI98</f>
        <v>urn:imsikb0101:Applicaties:id:16</v>
      </c>
      <c r="CK98" t="str">
        <f>A!CJ98</f>
        <v>urn:imsikb0101:DatastroomType:id:1</v>
      </c>
      <c r="CL98">
        <f>A!CK98</f>
        <v>45811</v>
      </c>
      <c r="CM98" t="str">
        <f>A!CL98</f>
        <v>SGS, Rotterdam</v>
      </c>
      <c r="CN98" t="str">
        <f>A!CM98</f>
        <v>LABRESULTAAT SGS</v>
      </c>
      <c r="CO98">
        <f>A!CN98</f>
        <v>45811</v>
      </c>
      <c r="CP98">
        <f>A!CO98</f>
        <v>0</v>
      </c>
      <c r="CQ98">
        <f>A!CO408</f>
        <v>0</v>
      </c>
      <c r="CR98" t="e">
        <f>A!#REF!</f>
        <v>#REF!</v>
      </c>
      <c r="CS98" t="e">
        <f>A!#REF!</f>
        <v>#REF!</v>
      </c>
    </row>
    <row r="99" spans="1:97" x14ac:dyDescent="0.2">
      <c r="A99" t="str">
        <f>A!A99</f>
        <v>LABRESULTAAT</v>
      </c>
      <c r="B99">
        <f>A!B99</f>
        <v>6</v>
      </c>
      <c r="C99">
        <f>A!C99</f>
        <v>0</v>
      </c>
      <c r="D99">
        <f>A!D99</f>
        <v>0</v>
      </c>
      <c r="E99">
        <f>A!E99</f>
        <v>0</v>
      </c>
      <c r="F99">
        <f>A!F99</f>
        <v>0</v>
      </c>
      <c r="G99">
        <f>A!G99</f>
        <v>0</v>
      </c>
      <c r="H99">
        <f>A!H99</f>
        <v>0</v>
      </c>
      <c r="I99">
        <f>A!I99</f>
        <v>0</v>
      </c>
      <c r="J99">
        <f>A!J99</f>
        <v>0</v>
      </c>
      <c r="K99">
        <f>A!K99</f>
        <v>0</v>
      </c>
      <c r="L99">
        <f>A!L99</f>
        <v>0</v>
      </c>
      <c r="M99">
        <f>A!M99</f>
        <v>0</v>
      </c>
      <c r="N99">
        <f>A!N99</f>
        <v>0</v>
      </c>
      <c r="O99">
        <f>A!O99</f>
        <v>0</v>
      </c>
      <c r="P99" s="32" t="str">
        <f>IF(A!P99="","",INDEX(B!$A$1:$BT$2000,MATCH(A!P99,B!$AX$1:$AX$2000,0),D!$B$5))</f>
        <v/>
      </c>
      <c r="Q99">
        <f>A!Q99</f>
        <v>0</v>
      </c>
      <c r="R99">
        <f>A!R99</f>
        <v>0</v>
      </c>
      <c r="S99">
        <f>A!S99</f>
        <v>0</v>
      </c>
      <c r="T99">
        <f>A!T99</f>
        <v>0</v>
      </c>
      <c r="U99">
        <f>A!U99</f>
        <v>0</v>
      </c>
      <c r="V99" s="32">
        <f>IF(A!V99="&lt;",1,A!V99)</f>
        <v>0</v>
      </c>
      <c r="W99">
        <f>A!W99</f>
        <v>0</v>
      </c>
      <c r="X99">
        <f>A!X99</f>
        <v>0</v>
      </c>
      <c r="Y99">
        <f>A!Y99</f>
        <v>0</v>
      </c>
      <c r="Z99" s="32">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32"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t="str">
        <f>A!BW99</f>
        <v>_f2f55274-7708-48c8-9f23-34f94e9519db</v>
      </c>
      <c r="BY99" t="str">
        <f>A!BX99</f>
        <v>f2f55274-7708-48c8-9f23-34f94e9519db</v>
      </c>
      <c r="BZ99" t="str">
        <f>A!BY99</f>
        <v>SIKB</v>
      </c>
      <c r="CA99" t="str">
        <f>A!BZ99</f>
        <v>MM05 04 (150-200) 05 (150-200)</v>
      </c>
      <c r="CB99">
        <f>A!CA99</f>
        <v>45810</v>
      </c>
      <c r="CC99" t="str">
        <f>A!CB99</f>
        <v>#_a13c9c27-ac45-4ff5-8e2b-08bc80806939</v>
      </c>
      <c r="CD99" t="str">
        <f>A!CC99</f>
        <v>#_e2a740c4-bcc7-4f06-bee5-74d2df442db1</v>
      </c>
      <c r="CE99">
        <f>A!CD99</f>
        <v>0</v>
      </c>
      <c r="CF99" t="str">
        <f>A!CE99</f>
        <v>urn:immetingen:compartiment:id:1</v>
      </c>
      <c r="CG99" t="str">
        <f>A!CF99</f>
        <v>_TI-65023564</v>
      </c>
      <c r="CH99">
        <f>A!CG99</f>
        <v>45810</v>
      </c>
      <c r="CI99" t="str">
        <f>A!CH99</f>
        <v>urn:immetingen:monstertype:id:10</v>
      </c>
      <c r="CJ99" t="str">
        <f>A!CI99</f>
        <v>urn:imsikb0101:Applicaties:id:16</v>
      </c>
      <c r="CK99" t="str">
        <f>A!CJ99</f>
        <v>urn:imsikb0101:DatastroomType:id:1</v>
      </c>
      <c r="CL99">
        <f>A!CK99</f>
        <v>45811</v>
      </c>
      <c r="CM99" t="str">
        <f>A!CL99</f>
        <v>SGS, Rotterdam</v>
      </c>
      <c r="CN99" t="str">
        <f>A!CM99</f>
        <v>LABRESULTAAT SGS</v>
      </c>
      <c r="CO99">
        <f>A!CN99</f>
        <v>45811</v>
      </c>
      <c r="CP99">
        <f>A!CO99</f>
        <v>0</v>
      </c>
      <c r="CQ99">
        <f>A!CO409</f>
        <v>0</v>
      </c>
      <c r="CR99" t="e">
        <f>A!#REF!</f>
        <v>#REF!</v>
      </c>
      <c r="CS99" t="e">
        <f>A!#REF!</f>
        <v>#REF!</v>
      </c>
    </row>
    <row r="100" spans="1:97" x14ac:dyDescent="0.2">
      <c r="A100" t="str">
        <f>A!A100</f>
        <v>LABRESULTAAT</v>
      </c>
      <c r="B100">
        <f>A!B100</f>
        <v>6</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32" t="str">
        <f>IF(A!P100="","",INDEX(B!$A$1:$BT$2000,MATCH(A!P100,B!$AX$1:$AX$2000,0),D!$B$5))</f>
        <v/>
      </c>
      <c r="Q100">
        <f>A!Q100</f>
        <v>0</v>
      </c>
      <c r="R100">
        <f>A!R100</f>
        <v>0</v>
      </c>
      <c r="S100">
        <f>A!S100</f>
        <v>0</v>
      </c>
      <c r="T100">
        <f>A!T100</f>
        <v>0</v>
      </c>
      <c r="U100">
        <f>A!U100</f>
        <v>0</v>
      </c>
      <c r="V100" s="32">
        <f>IF(A!V100="&lt;",1,A!V100)</f>
        <v>0</v>
      </c>
      <c r="W100">
        <f>A!W100</f>
        <v>0</v>
      </c>
      <c r="X100">
        <f>A!X100</f>
        <v>0</v>
      </c>
      <c r="Y100">
        <f>A!Y100</f>
        <v>0</v>
      </c>
      <c r="Z100" s="32">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32"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t="str">
        <f>A!BW100</f>
        <v>_f2f55274-7708-48c8-9f23-34f94e9519db</v>
      </c>
      <c r="BY100" t="str">
        <f>A!BX100</f>
        <v>f2f55274-7708-48c8-9f23-34f94e9519db</v>
      </c>
      <c r="BZ100" t="str">
        <f>A!BY100</f>
        <v>SIKB</v>
      </c>
      <c r="CA100" t="str">
        <f>A!BZ100</f>
        <v>MM05 04 (150-200) 05 (150-200)</v>
      </c>
      <c r="CB100">
        <f>A!CA100</f>
        <v>45810</v>
      </c>
      <c r="CC100" t="str">
        <f>A!CB100</f>
        <v>#_a13c9c27-ac45-4ff5-8e2b-08bc80806939</v>
      </c>
      <c r="CD100" t="str">
        <f>A!CC100</f>
        <v>#_89d4fc7d-9715-4687-8abf-8127b9c44bf9</v>
      </c>
      <c r="CE100">
        <f>A!CD100</f>
        <v>0</v>
      </c>
      <c r="CF100" t="str">
        <f>A!CE100</f>
        <v>urn:immetingen:compartiment:id:1</v>
      </c>
      <c r="CG100" t="str">
        <f>A!CF100</f>
        <v>_TI-65023564</v>
      </c>
      <c r="CH100">
        <f>A!CG100</f>
        <v>45810</v>
      </c>
      <c r="CI100" t="str">
        <f>A!CH100</f>
        <v>urn:immetingen:monstertype:id:10</v>
      </c>
      <c r="CJ100" t="str">
        <f>A!CI100</f>
        <v>urn:imsikb0101:Applicaties:id:16</v>
      </c>
      <c r="CK100" t="str">
        <f>A!CJ100</f>
        <v>urn:imsikb0101:DatastroomType:id:1</v>
      </c>
      <c r="CL100">
        <f>A!CK100</f>
        <v>45811</v>
      </c>
      <c r="CM100" t="str">
        <f>A!CL100</f>
        <v>SGS, Rotterdam</v>
      </c>
      <c r="CN100" t="str">
        <f>A!CM100</f>
        <v>LABRESULTAAT SGS</v>
      </c>
      <c r="CO100">
        <f>A!CN100</f>
        <v>45811</v>
      </c>
      <c r="CP100">
        <f>A!CO100</f>
        <v>0</v>
      </c>
      <c r="CQ100">
        <f>A!CO410</f>
        <v>0</v>
      </c>
      <c r="CR100" t="e">
        <f>A!#REF!</f>
        <v>#REF!</v>
      </c>
      <c r="CS100" t="e">
        <f>A!#REF!</f>
        <v>#REF!</v>
      </c>
    </row>
    <row r="101" spans="1:97" x14ac:dyDescent="0.2">
      <c r="A101" t="str">
        <f>A!A101</f>
        <v>LABRESULTAAT</v>
      </c>
      <c r="B101">
        <f>A!B101</f>
        <v>6</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32" t="str">
        <f>IF(A!P101="","",INDEX(B!$A$1:$BT$2000,MATCH(A!P101,B!$AX$1:$AX$2000,0),D!$B$5))</f>
        <v/>
      </c>
      <c r="Q101">
        <f>A!Q101</f>
        <v>0</v>
      </c>
      <c r="R101">
        <f>A!R101</f>
        <v>0</v>
      </c>
      <c r="S101">
        <f>A!S101</f>
        <v>0</v>
      </c>
      <c r="T101">
        <f>A!T101</f>
        <v>0</v>
      </c>
      <c r="U101">
        <f>A!U101</f>
        <v>0</v>
      </c>
      <c r="V101" s="32">
        <f>IF(A!V101="&lt;",1,A!V101)</f>
        <v>0</v>
      </c>
      <c r="W101">
        <f>A!W101</f>
        <v>0</v>
      </c>
      <c r="X101">
        <f>A!X101</f>
        <v>0</v>
      </c>
      <c r="Y101">
        <f>A!Y101</f>
        <v>0</v>
      </c>
      <c r="Z101" s="32">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32"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t="str">
        <f>A!BW101</f>
        <v>_f2f55274-7708-48c8-9f23-34f94e9519db</v>
      </c>
      <c r="BY101" t="str">
        <f>A!BX101</f>
        <v>f2f55274-7708-48c8-9f23-34f94e9519db</v>
      </c>
      <c r="BZ101" t="str">
        <f>A!BY101</f>
        <v>SIKB</v>
      </c>
      <c r="CA101" t="str">
        <f>A!BZ101</f>
        <v>MM05 04 (150-200) 05 (150-200)</v>
      </c>
      <c r="CB101">
        <f>A!CA101</f>
        <v>45810</v>
      </c>
      <c r="CC101" t="str">
        <f>A!CB101</f>
        <v>#_a13c9c27-ac45-4ff5-8e2b-08bc80806939</v>
      </c>
      <c r="CD101" t="str">
        <f>A!CC101</f>
        <v>#_1e356a8d-880e-4f71-ba7c-b2ae1769eb4c</v>
      </c>
      <c r="CE101">
        <f>A!CD101</f>
        <v>0</v>
      </c>
      <c r="CF101" t="str">
        <f>A!CE101</f>
        <v>urn:immetingen:compartiment:id:1</v>
      </c>
      <c r="CG101" t="str">
        <f>A!CF101</f>
        <v>_TI-65023564</v>
      </c>
      <c r="CH101">
        <f>A!CG101</f>
        <v>45810</v>
      </c>
      <c r="CI101" t="str">
        <f>A!CH101</f>
        <v>urn:immetingen:monstertype:id:10</v>
      </c>
      <c r="CJ101" t="str">
        <f>A!CI101</f>
        <v>urn:imsikb0101:Applicaties:id:16</v>
      </c>
      <c r="CK101" t="str">
        <f>A!CJ101</f>
        <v>urn:imsikb0101:DatastroomType:id:1</v>
      </c>
      <c r="CL101">
        <f>A!CK101</f>
        <v>45811</v>
      </c>
      <c r="CM101" t="str">
        <f>A!CL101</f>
        <v>SGS, Rotterdam</v>
      </c>
      <c r="CN101" t="str">
        <f>A!CM101</f>
        <v>LABRESULTAAT SGS</v>
      </c>
      <c r="CO101">
        <f>A!CN101</f>
        <v>45811</v>
      </c>
      <c r="CP101">
        <f>A!CO101</f>
        <v>0</v>
      </c>
      <c r="CQ101">
        <f>A!CO411</f>
        <v>0</v>
      </c>
      <c r="CR101" t="e">
        <f>A!#REF!</f>
        <v>#REF!</v>
      </c>
      <c r="CS101" t="e">
        <f>A!#REF!</f>
        <v>#REF!</v>
      </c>
    </row>
    <row r="102" spans="1:97" x14ac:dyDescent="0.2">
      <c r="A102" t="str">
        <f>A!A102</f>
        <v>LABRESULTAAT</v>
      </c>
      <c r="B102">
        <f>A!B102</f>
        <v>6</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32" t="str">
        <f>IF(A!P102="","",INDEX(B!$A$1:$BT$2000,MATCH(A!P102,B!$AX$1:$AX$2000,0),D!$B$5))</f>
        <v/>
      </c>
      <c r="Q102">
        <f>A!Q102</f>
        <v>0</v>
      </c>
      <c r="R102">
        <f>A!R102</f>
        <v>0</v>
      </c>
      <c r="S102">
        <f>A!S102</f>
        <v>0</v>
      </c>
      <c r="T102">
        <f>A!T102</f>
        <v>0</v>
      </c>
      <c r="U102">
        <f>A!U102</f>
        <v>0</v>
      </c>
      <c r="V102" s="32">
        <f>IF(A!V102="&lt;",1,A!V102)</f>
        <v>0</v>
      </c>
      <c r="W102">
        <f>A!W102</f>
        <v>0</v>
      </c>
      <c r="X102">
        <f>A!X102</f>
        <v>0</v>
      </c>
      <c r="Y102">
        <f>A!Y102</f>
        <v>0</v>
      </c>
      <c r="Z102" s="32">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32"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t="str">
        <f>A!BW102</f>
        <v>_f2f55274-7708-48c8-9f23-34f94e9519db</v>
      </c>
      <c r="BY102" t="str">
        <f>A!BX102</f>
        <v>f2f55274-7708-48c8-9f23-34f94e9519db</v>
      </c>
      <c r="BZ102" t="str">
        <f>A!BY102</f>
        <v>SIKB</v>
      </c>
      <c r="CA102" t="str">
        <f>A!BZ102</f>
        <v>MM05 04 (150-200) 05 (150-200)</v>
      </c>
      <c r="CB102">
        <f>A!CA102</f>
        <v>45810</v>
      </c>
      <c r="CC102" t="str">
        <f>A!CB102</f>
        <v>#_a13c9c27-ac45-4ff5-8e2b-08bc80806939</v>
      </c>
      <c r="CD102" t="str">
        <f>A!CC102</f>
        <v>#_b99065b0-ca05-4476-9762-bf8a7f484436</v>
      </c>
      <c r="CE102">
        <f>A!CD102</f>
        <v>0</v>
      </c>
      <c r="CF102" t="str">
        <f>A!CE102</f>
        <v>urn:immetingen:compartiment:id:1</v>
      </c>
      <c r="CG102" t="str">
        <f>A!CF102</f>
        <v>_TI-65023564</v>
      </c>
      <c r="CH102">
        <f>A!CG102</f>
        <v>45810</v>
      </c>
      <c r="CI102" t="str">
        <f>A!CH102</f>
        <v>urn:immetingen:monstertype:id:10</v>
      </c>
      <c r="CJ102" t="str">
        <f>A!CI102</f>
        <v>urn:imsikb0101:Applicaties:id:16</v>
      </c>
      <c r="CK102" t="str">
        <f>A!CJ102</f>
        <v>urn:imsikb0101:DatastroomType:id:1</v>
      </c>
      <c r="CL102">
        <f>A!CK102</f>
        <v>45811</v>
      </c>
      <c r="CM102" t="str">
        <f>A!CL102</f>
        <v>SGS, Rotterdam</v>
      </c>
      <c r="CN102" t="str">
        <f>A!CM102</f>
        <v>LABRESULTAAT SGS</v>
      </c>
      <c r="CO102">
        <f>A!CN102</f>
        <v>45811</v>
      </c>
      <c r="CP102">
        <f>A!CO102</f>
        <v>0</v>
      </c>
      <c r="CQ102">
        <f>A!CO412</f>
        <v>0</v>
      </c>
      <c r="CR102" t="e">
        <f>A!#REF!</f>
        <v>#REF!</v>
      </c>
      <c r="CS102" t="e">
        <f>A!#REF!</f>
        <v>#REF!</v>
      </c>
    </row>
    <row r="103" spans="1:97" x14ac:dyDescent="0.2">
      <c r="A103" t="str">
        <f>A!A103</f>
        <v>LABRESULTAAT</v>
      </c>
      <c r="B103">
        <f>A!B103</f>
        <v>6</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32" t="str">
        <f>IF(A!P103="","",INDEX(B!$A$1:$BT$2000,MATCH(A!P103,B!$AX$1:$AX$2000,0),D!$B$5))</f>
        <v/>
      </c>
      <c r="Q103">
        <f>A!Q103</f>
        <v>0</v>
      </c>
      <c r="R103">
        <f>A!R103</f>
        <v>0</v>
      </c>
      <c r="S103">
        <f>A!S103</f>
        <v>0</v>
      </c>
      <c r="T103">
        <f>A!T103</f>
        <v>0</v>
      </c>
      <c r="U103">
        <f>A!U103</f>
        <v>0</v>
      </c>
      <c r="V103" s="32">
        <f>IF(A!V103="&lt;",1,A!V103)</f>
        <v>0</v>
      </c>
      <c r="W103">
        <f>A!W103</f>
        <v>0</v>
      </c>
      <c r="X103">
        <f>A!X103</f>
        <v>0</v>
      </c>
      <c r="Y103">
        <f>A!Y103</f>
        <v>0</v>
      </c>
      <c r="Z103" s="32">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32"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t="str">
        <f>A!BW103</f>
        <v>_f2f55274-7708-48c8-9f23-34f94e9519db</v>
      </c>
      <c r="BY103" t="str">
        <f>A!BX103</f>
        <v>f2f55274-7708-48c8-9f23-34f94e9519db</v>
      </c>
      <c r="BZ103" t="str">
        <f>A!BY103</f>
        <v>SIKB</v>
      </c>
      <c r="CA103" t="str">
        <f>A!BZ103</f>
        <v>MM05 04 (150-200) 05 (150-200)</v>
      </c>
      <c r="CB103">
        <f>A!CA103</f>
        <v>45810</v>
      </c>
      <c r="CC103" t="str">
        <f>A!CB103</f>
        <v>#_a13c9c27-ac45-4ff5-8e2b-08bc80806939</v>
      </c>
      <c r="CD103" t="str">
        <f>A!CC103</f>
        <v>#_9bf33ea0-7dc1-4cac-809e-0e488916c9a6</v>
      </c>
      <c r="CE103">
        <f>A!CD103</f>
        <v>0</v>
      </c>
      <c r="CF103" t="str">
        <f>A!CE103</f>
        <v>urn:immetingen:compartiment:id:1</v>
      </c>
      <c r="CG103" t="str">
        <f>A!CF103</f>
        <v>_TI-65023564</v>
      </c>
      <c r="CH103">
        <f>A!CG103</f>
        <v>45810</v>
      </c>
      <c r="CI103" t="str">
        <f>A!CH103</f>
        <v>urn:immetingen:monstertype:id:10</v>
      </c>
      <c r="CJ103" t="str">
        <f>A!CI103</f>
        <v>urn:imsikb0101:Applicaties:id:16</v>
      </c>
      <c r="CK103" t="str">
        <f>A!CJ103</f>
        <v>urn:imsikb0101:DatastroomType:id:1</v>
      </c>
      <c r="CL103">
        <f>A!CK103</f>
        <v>45811</v>
      </c>
      <c r="CM103" t="str">
        <f>A!CL103</f>
        <v>SGS, Rotterdam</v>
      </c>
      <c r="CN103" t="str">
        <f>A!CM103</f>
        <v>LABRESULTAAT SGS</v>
      </c>
      <c r="CO103">
        <f>A!CN103</f>
        <v>45811</v>
      </c>
      <c r="CP103">
        <f>A!CO103</f>
        <v>0</v>
      </c>
      <c r="CQ103">
        <f>A!CO413</f>
        <v>0</v>
      </c>
      <c r="CR103" t="e">
        <f>A!#REF!</f>
        <v>#REF!</v>
      </c>
      <c r="CS103" t="e">
        <f>A!#REF!</f>
        <v>#REF!</v>
      </c>
    </row>
    <row r="104" spans="1:97" x14ac:dyDescent="0.2">
      <c r="A104" t="str">
        <f>A!A104</f>
        <v>LABRESULTAAT</v>
      </c>
      <c r="B104">
        <f>A!B104</f>
        <v>6</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32" t="str">
        <f>IF(A!P104="","",INDEX(B!$A$1:$BT$2000,MATCH(A!P104,B!$AX$1:$AX$2000,0),D!$B$5))</f>
        <v/>
      </c>
      <c r="Q104">
        <f>A!Q104</f>
        <v>0</v>
      </c>
      <c r="R104">
        <f>A!R104</f>
        <v>0</v>
      </c>
      <c r="S104">
        <f>A!S104</f>
        <v>0</v>
      </c>
      <c r="T104">
        <f>A!T104</f>
        <v>0</v>
      </c>
      <c r="U104">
        <f>A!U104</f>
        <v>0</v>
      </c>
      <c r="V104" s="32">
        <f>IF(A!V104="&lt;",1,A!V104)</f>
        <v>0</v>
      </c>
      <c r="W104">
        <f>A!W104</f>
        <v>0</v>
      </c>
      <c r="X104">
        <f>A!X104</f>
        <v>0</v>
      </c>
      <c r="Y104">
        <f>A!Y104</f>
        <v>0</v>
      </c>
      <c r="Z104" s="32">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32"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t="str">
        <f>A!BW104</f>
        <v>_f2f55274-7708-48c8-9f23-34f94e9519db</v>
      </c>
      <c r="BY104" t="str">
        <f>A!BX104</f>
        <v>f2f55274-7708-48c8-9f23-34f94e9519db</v>
      </c>
      <c r="BZ104" t="str">
        <f>A!BY104</f>
        <v>SIKB</v>
      </c>
      <c r="CA104" t="str">
        <f>A!BZ104</f>
        <v>MM05 04 (150-200) 05 (150-200)</v>
      </c>
      <c r="CB104">
        <f>A!CA104</f>
        <v>45810</v>
      </c>
      <c r="CC104" t="str">
        <f>A!CB104</f>
        <v>#_a13c9c27-ac45-4ff5-8e2b-08bc80806939</v>
      </c>
      <c r="CD104" t="str">
        <f>A!CC104</f>
        <v>#_eda1819c-3eb2-4492-b4b8-de2a07a4caf7</v>
      </c>
      <c r="CE104">
        <f>A!CD104</f>
        <v>0</v>
      </c>
      <c r="CF104" t="str">
        <f>A!CE104</f>
        <v>urn:immetingen:compartiment:id:1</v>
      </c>
      <c r="CG104" t="str">
        <f>A!CF104</f>
        <v>_TI-65023564</v>
      </c>
      <c r="CH104">
        <f>A!CG104</f>
        <v>45810</v>
      </c>
      <c r="CI104" t="str">
        <f>A!CH104</f>
        <v>urn:immetingen:monstertype:id:10</v>
      </c>
      <c r="CJ104" t="str">
        <f>A!CI104</f>
        <v>urn:imsikb0101:Applicaties:id:16</v>
      </c>
      <c r="CK104" t="str">
        <f>A!CJ104</f>
        <v>urn:imsikb0101:DatastroomType:id:1</v>
      </c>
      <c r="CL104">
        <f>A!CK104</f>
        <v>45811</v>
      </c>
      <c r="CM104" t="str">
        <f>A!CL104</f>
        <v>SGS, Rotterdam</v>
      </c>
      <c r="CN104" t="str">
        <f>A!CM104</f>
        <v>LABRESULTAAT SGS</v>
      </c>
      <c r="CO104">
        <f>A!CN104</f>
        <v>45811</v>
      </c>
      <c r="CP104">
        <f>A!CO104</f>
        <v>0</v>
      </c>
      <c r="CQ104">
        <f>A!CO414</f>
        <v>0</v>
      </c>
      <c r="CR104" t="e">
        <f>A!#REF!</f>
        <v>#REF!</v>
      </c>
      <c r="CS104" t="e">
        <f>A!#REF!</f>
        <v>#REF!</v>
      </c>
    </row>
    <row r="105" spans="1:97" x14ac:dyDescent="0.2">
      <c r="A105" t="str">
        <f>A!A105</f>
        <v>LABRESULTAAT</v>
      </c>
      <c r="B105">
        <f>A!B105</f>
        <v>6</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32" t="str">
        <f>IF(A!P105="","",INDEX(B!$A$1:$BT$2000,MATCH(A!P105,B!$AX$1:$AX$2000,0),D!$B$5))</f>
        <v/>
      </c>
      <c r="Q105">
        <f>A!Q105</f>
        <v>0</v>
      </c>
      <c r="R105">
        <f>A!R105</f>
        <v>0</v>
      </c>
      <c r="S105">
        <f>A!S105</f>
        <v>0</v>
      </c>
      <c r="T105">
        <f>A!T105</f>
        <v>0</v>
      </c>
      <c r="U105">
        <f>A!U105</f>
        <v>0</v>
      </c>
      <c r="V105" s="32">
        <f>IF(A!V105="&lt;",1,A!V105)</f>
        <v>0</v>
      </c>
      <c r="W105">
        <f>A!W105</f>
        <v>0</v>
      </c>
      <c r="X105">
        <f>A!X105</f>
        <v>0</v>
      </c>
      <c r="Y105">
        <f>A!Y105</f>
        <v>0</v>
      </c>
      <c r="Z105" s="32">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32"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t="str">
        <f>A!BW105</f>
        <v>_f2f55274-7708-48c8-9f23-34f94e9519db</v>
      </c>
      <c r="BY105" t="str">
        <f>A!BX105</f>
        <v>f2f55274-7708-48c8-9f23-34f94e9519db</v>
      </c>
      <c r="BZ105" t="str">
        <f>A!BY105</f>
        <v>SIKB</v>
      </c>
      <c r="CA105" t="str">
        <f>A!BZ105</f>
        <v>MM05 04 (150-200) 05 (150-200)</v>
      </c>
      <c r="CB105">
        <f>A!CA105</f>
        <v>45810</v>
      </c>
      <c r="CC105" t="str">
        <f>A!CB105</f>
        <v>#_a13c9c27-ac45-4ff5-8e2b-08bc80806939</v>
      </c>
      <c r="CD105" t="str">
        <f>A!CC105</f>
        <v>#_dc72abff-785f-447f-95a9-b4f036a7079b</v>
      </c>
      <c r="CE105">
        <f>A!CD105</f>
        <v>0</v>
      </c>
      <c r="CF105" t="str">
        <f>A!CE105</f>
        <v>urn:immetingen:compartiment:id:1</v>
      </c>
      <c r="CG105" t="str">
        <f>A!CF105</f>
        <v>_TI-65023564</v>
      </c>
      <c r="CH105">
        <f>A!CG105</f>
        <v>45810</v>
      </c>
      <c r="CI105" t="str">
        <f>A!CH105</f>
        <v>urn:immetingen:monstertype:id:10</v>
      </c>
      <c r="CJ105" t="str">
        <f>A!CI105</f>
        <v>urn:imsikb0101:Applicaties:id:16</v>
      </c>
      <c r="CK105" t="str">
        <f>A!CJ105</f>
        <v>urn:imsikb0101:DatastroomType:id:1</v>
      </c>
      <c r="CL105">
        <f>A!CK105</f>
        <v>45811</v>
      </c>
      <c r="CM105" t="str">
        <f>A!CL105</f>
        <v>SGS, Rotterdam</v>
      </c>
      <c r="CN105" t="str">
        <f>A!CM105</f>
        <v>LABRESULTAAT SGS</v>
      </c>
      <c r="CO105">
        <f>A!CN105</f>
        <v>45811</v>
      </c>
      <c r="CP105">
        <f>A!CO105</f>
        <v>0</v>
      </c>
      <c r="CQ105">
        <f>A!CO415</f>
        <v>0</v>
      </c>
      <c r="CR105" t="e">
        <f>A!#REF!</f>
        <v>#REF!</v>
      </c>
      <c r="CS105" t="e">
        <f>A!#REF!</f>
        <v>#REF!</v>
      </c>
    </row>
    <row r="106" spans="1:97" x14ac:dyDescent="0.2">
      <c r="A106" t="str">
        <f>A!A106</f>
        <v>LABRESULTAAT</v>
      </c>
      <c r="B106">
        <f>A!B106</f>
        <v>6</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32" t="str">
        <f>IF(A!P106="","",INDEX(B!$A$1:$BT$2000,MATCH(A!P106,B!$AX$1:$AX$2000,0),D!$B$5))</f>
        <v/>
      </c>
      <c r="Q106">
        <f>A!Q106</f>
        <v>0</v>
      </c>
      <c r="R106">
        <f>A!R106</f>
        <v>0</v>
      </c>
      <c r="S106">
        <f>A!S106</f>
        <v>0</v>
      </c>
      <c r="T106">
        <f>A!T106</f>
        <v>0</v>
      </c>
      <c r="U106">
        <f>A!U106</f>
        <v>0</v>
      </c>
      <c r="V106" s="32">
        <f>IF(A!V106="&lt;",1,A!V106)</f>
        <v>0</v>
      </c>
      <c r="W106">
        <f>A!W106</f>
        <v>0</v>
      </c>
      <c r="X106">
        <f>A!X106</f>
        <v>0</v>
      </c>
      <c r="Y106">
        <f>A!Y106</f>
        <v>0</v>
      </c>
      <c r="Z106" s="32">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32"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t="str">
        <f>A!BW106</f>
        <v>_f2f55274-7708-48c8-9f23-34f94e9519db</v>
      </c>
      <c r="BY106" t="str">
        <f>A!BX106</f>
        <v>f2f55274-7708-48c8-9f23-34f94e9519db</v>
      </c>
      <c r="BZ106" t="str">
        <f>A!BY106</f>
        <v>SIKB</v>
      </c>
      <c r="CA106" t="str">
        <f>A!BZ106</f>
        <v>MM05 04 (150-200) 05 (150-200)</v>
      </c>
      <c r="CB106">
        <f>A!CA106</f>
        <v>45810</v>
      </c>
      <c r="CC106" t="str">
        <f>A!CB106</f>
        <v>#_a13c9c27-ac45-4ff5-8e2b-08bc80806939</v>
      </c>
      <c r="CD106" t="str">
        <f>A!CC106</f>
        <v>#_809c8c7c-1dd2-441a-a0c4-b0e5e962e18f</v>
      </c>
      <c r="CE106">
        <f>A!CD106</f>
        <v>0</v>
      </c>
      <c r="CF106" t="str">
        <f>A!CE106</f>
        <v>urn:immetingen:compartiment:id:1</v>
      </c>
      <c r="CG106" t="str">
        <f>A!CF106</f>
        <v>_TI-65023564</v>
      </c>
      <c r="CH106">
        <f>A!CG106</f>
        <v>45810</v>
      </c>
      <c r="CI106" t="str">
        <f>A!CH106</f>
        <v>urn:immetingen:monstertype:id:10</v>
      </c>
      <c r="CJ106" t="str">
        <f>A!CI106</f>
        <v>urn:imsikb0101:Applicaties:id:16</v>
      </c>
      <c r="CK106" t="str">
        <f>A!CJ106</f>
        <v>urn:imsikb0101:DatastroomType:id:1</v>
      </c>
      <c r="CL106">
        <f>A!CK106</f>
        <v>45811</v>
      </c>
      <c r="CM106" t="str">
        <f>A!CL106</f>
        <v>SGS, Rotterdam</v>
      </c>
      <c r="CN106" t="str">
        <f>A!CM106</f>
        <v>LABRESULTAAT SGS</v>
      </c>
      <c r="CO106">
        <f>A!CN106</f>
        <v>45811</v>
      </c>
      <c r="CP106">
        <f>A!CO106</f>
        <v>0</v>
      </c>
      <c r="CQ106">
        <f>A!CO416</f>
        <v>0</v>
      </c>
      <c r="CR106" t="e">
        <f>A!#REF!</f>
        <v>#REF!</v>
      </c>
      <c r="CS106" t="e">
        <f>A!#REF!</f>
        <v>#REF!</v>
      </c>
    </row>
    <row r="107" spans="1:97" x14ac:dyDescent="0.2">
      <c r="A107" t="str">
        <f>A!A107</f>
        <v>LABRESULTAAT</v>
      </c>
      <c r="B107">
        <f>A!B107</f>
        <v>6</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32" t="str">
        <f>IF(A!P107="","",INDEX(B!$A$1:$BT$2000,MATCH(A!P107,B!$AX$1:$AX$2000,0),D!$B$5))</f>
        <v/>
      </c>
      <c r="Q107">
        <f>A!Q107</f>
        <v>0</v>
      </c>
      <c r="R107">
        <f>A!R107</f>
        <v>0</v>
      </c>
      <c r="S107">
        <f>A!S107</f>
        <v>0</v>
      </c>
      <c r="T107">
        <f>A!T107</f>
        <v>0</v>
      </c>
      <c r="U107">
        <f>A!U107</f>
        <v>0</v>
      </c>
      <c r="V107" s="32">
        <f>IF(A!V107="&lt;",1,A!V107)</f>
        <v>0</v>
      </c>
      <c r="W107">
        <f>A!W107</f>
        <v>0</v>
      </c>
      <c r="X107">
        <f>A!X107</f>
        <v>0</v>
      </c>
      <c r="Y107">
        <f>A!Y107</f>
        <v>0</v>
      </c>
      <c r="Z107" s="32">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32"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t="str">
        <f>A!BW107</f>
        <v>_f2f55274-7708-48c8-9f23-34f94e9519db</v>
      </c>
      <c r="BY107" t="str">
        <f>A!BX107</f>
        <v>f2f55274-7708-48c8-9f23-34f94e9519db</v>
      </c>
      <c r="BZ107" t="str">
        <f>A!BY107</f>
        <v>SIKB</v>
      </c>
      <c r="CA107" t="str">
        <f>A!BZ107</f>
        <v>MM05 04 (150-200) 05 (150-200)</v>
      </c>
      <c r="CB107">
        <f>A!CA107</f>
        <v>45810</v>
      </c>
      <c r="CC107" t="str">
        <f>A!CB107</f>
        <v>#_a13c9c27-ac45-4ff5-8e2b-08bc80806939</v>
      </c>
      <c r="CD107" t="str">
        <f>A!CC107</f>
        <v>#_e67e612e-698d-4c27-aed5-46e57f6404a2</v>
      </c>
      <c r="CE107">
        <f>A!CD107</f>
        <v>0</v>
      </c>
      <c r="CF107" t="str">
        <f>A!CE107</f>
        <v>urn:immetingen:compartiment:id:1</v>
      </c>
      <c r="CG107" t="str">
        <f>A!CF107</f>
        <v>_TI-65023564</v>
      </c>
      <c r="CH107">
        <f>A!CG107</f>
        <v>45810</v>
      </c>
      <c r="CI107" t="str">
        <f>A!CH107</f>
        <v>urn:immetingen:monstertype:id:10</v>
      </c>
      <c r="CJ107" t="str">
        <f>A!CI107</f>
        <v>urn:imsikb0101:Applicaties:id:16</v>
      </c>
      <c r="CK107" t="str">
        <f>A!CJ107</f>
        <v>urn:imsikb0101:DatastroomType:id:1</v>
      </c>
      <c r="CL107">
        <f>A!CK107</f>
        <v>45811</v>
      </c>
      <c r="CM107" t="str">
        <f>A!CL107</f>
        <v>SGS, Rotterdam</v>
      </c>
      <c r="CN107" t="str">
        <f>A!CM107</f>
        <v>LABRESULTAAT SGS</v>
      </c>
      <c r="CO107">
        <f>A!CN107</f>
        <v>45811</v>
      </c>
      <c r="CP107">
        <f>A!CO107</f>
        <v>0</v>
      </c>
      <c r="CQ107">
        <f>A!CO417</f>
        <v>0</v>
      </c>
      <c r="CR107" t="e">
        <f>A!#REF!</f>
        <v>#REF!</v>
      </c>
      <c r="CS107" t="e">
        <f>A!#REF!</f>
        <v>#REF!</v>
      </c>
    </row>
    <row r="108" spans="1:97" x14ac:dyDescent="0.2">
      <c r="A108" t="str">
        <f>A!A108</f>
        <v>LABRESULTAAT</v>
      </c>
      <c r="B108">
        <f>A!B108</f>
        <v>6</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32" t="str">
        <f>IF(A!P108="","",INDEX(B!$A$1:$BT$2000,MATCH(A!P108,B!$AX$1:$AX$2000,0),D!$B$5))</f>
        <v/>
      </c>
      <c r="Q108">
        <f>A!Q108</f>
        <v>0</v>
      </c>
      <c r="R108">
        <f>A!R108</f>
        <v>0</v>
      </c>
      <c r="S108">
        <f>A!S108</f>
        <v>0</v>
      </c>
      <c r="T108">
        <f>A!T108</f>
        <v>0</v>
      </c>
      <c r="U108">
        <f>A!U108</f>
        <v>0</v>
      </c>
      <c r="V108" s="32">
        <f>IF(A!V108="&lt;",1,A!V108)</f>
        <v>0</v>
      </c>
      <c r="W108">
        <f>A!W108</f>
        <v>0</v>
      </c>
      <c r="X108">
        <f>A!X108</f>
        <v>0</v>
      </c>
      <c r="Y108">
        <f>A!Y108</f>
        <v>0</v>
      </c>
      <c r="Z108" s="32">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32"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t="str">
        <f>A!BW108</f>
        <v>_f2f55274-7708-48c8-9f23-34f94e9519db</v>
      </c>
      <c r="BY108" t="str">
        <f>A!BX108</f>
        <v>f2f55274-7708-48c8-9f23-34f94e9519db</v>
      </c>
      <c r="BZ108" t="str">
        <f>A!BY108</f>
        <v>SIKB</v>
      </c>
      <c r="CA108" t="str">
        <f>A!BZ108</f>
        <v>MM05 04 (150-200) 05 (150-200)</v>
      </c>
      <c r="CB108">
        <f>A!CA108</f>
        <v>45810</v>
      </c>
      <c r="CC108" t="str">
        <f>A!CB108</f>
        <v>#_a13c9c27-ac45-4ff5-8e2b-08bc80806939</v>
      </c>
      <c r="CD108" t="str">
        <f>A!CC108</f>
        <v>#_bb1046c7-0391-40b7-9454-f37a3bb162ea</v>
      </c>
      <c r="CE108">
        <f>A!CD108</f>
        <v>0</v>
      </c>
      <c r="CF108" t="str">
        <f>A!CE108</f>
        <v>urn:immetingen:compartiment:id:1</v>
      </c>
      <c r="CG108" t="str">
        <f>A!CF108</f>
        <v>_TI-65023564</v>
      </c>
      <c r="CH108">
        <f>A!CG108</f>
        <v>45810</v>
      </c>
      <c r="CI108" t="str">
        <f>A!CH108</f>
        <v>urn:immetingen:monstertype:id:10</v>
      </c>
      <c r="CJ108" t="str">
        <f>A!CI108</f>
        <v>urn:imsikb0101:Applicaties:id:16</v>
      </c>
      <c r="CK108" t="str">
        <f>A!CJ108</f>
        <v>urn:imsikb0101:DatastroomType:id:1</v>
      </c>
      <c r="CL108">
        <f>A!CK108</f>
        <v>45811</v>
      </c>
      <c r="CM108" t="str">
        <f>A!CL108</f>
        <v>SGS, Rotterdam</v>
      </c>
      <c r="CN108" t="str">
        <f>A!CM108</f>
        <v>LABRESULTAAT SGS</v>
      </c>
      <c r="CO108">
        <f>A!CN108</f>
        <v>45811</v>
      </c>
      <c r="CP108">
        <f>A!CO108</f>
        <v>0</v>
      </c>
      <c r="CQ108">
        <f>A!CO418</f>
        <v>0</v>
      </c>
      <c r="CR108" t="e">
        <f>A!#REF!</f>
        <v>#REF!</v>
      </c>
      <c r="CS108" t="e">
        <f>A!#REF!</f>
        <v>#REF!</v>
      </c>
    </row>
    <row r="109" spans="1:97" x14ac:dyDescent="0.2">
      <c r="A109" t="str">
        <f>A!A109</f>
        <v>LABRESULTAAT</v>
      </c>
      <c r="B109">
        <f>A!B109</f>
        <v>6</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32" t="str">
        <f>IF(A!P109="","",INDEX(B!$A$1:$BT$2000,MATCH(A!P109,B!$AX$1:$AX$2000,0),D!$B$5))</f>
        <v/>
      </c>
      <c r="Q109">
        <f>A!Q109</f>
        <v>0</v>
      </c>
      <c r="R109">
        <f>A!R109</f>
        <v>0</v>
      </c>
      <c r="S109">
        <f>A!S109</f>
        <v>0</v>
      </c>
      <c r="T109">
        <f>A!T109</f>
        <v>0</v>
      </c>
      <c r="U109">
        <f>A!U109</f>
        <v>0</v>
      </c>
      <c r="V109" s="32">
        <f>IF(A!V109="&lt;",1,A!V109)</f>
        <v>0</v>
      </c>
      <c r="W109">
        <f>A!W109</f>
        <v>0</v>
      </c>
      <c r="X109">
        <f>A!X109</f>
        <v>0</v>
      </c>
      <c r="Y109">
        <f>A!Y109</f>
        <v>0</v>
      </c>
      <c r="Z109" s="32">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32"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t="str">
        <f>A!BW109</f>
        <v>_f2f55274-7708-48c8-9f23-34f94e9519db</v>
      </c>
      <c r="BY109" t="str">
        <f>A!BX109</f>
        <v>f2f55274-7708-48c8-9f23-34f94e9519db</v>
      </c>
      <c r="BZ109" t="str">
        <f>A!BY109</f>
        <v>SIKB</v>
      </c>
      <c r="CA109" t="str">
        <f>A!BZ109</f>
        <v>MM05 04 (150-200) 05 (150-200)</v>
      </c>
      <c r="CB109">
        <f>A!CA109</f>
        <v>45810</v>
      </c>
      <c r="CC109" t="str">
        <f>A!CB109</f>
        <v>#_a13c9c27-ac45-4ff5-8e2b-08bc80806939</v>
      </c>
      <c r="CD109" t="str">
        <f>A!CC109</f>
        <v>#_1644c892-1342-4cef-b31a-75f1295dcd33</v>
      </c>
      <c r="CE109">
        <f>A!CD109</f>
        <v>0</v>
      </c>
      <c r="CF109" t="str">
        <f>A!CE109</f>
        <v>urn:immetingen:compartiment:id:1</v>
      </c>
      <c r="CG109" t="str">
        <f>A!CF109</f>
        <v>_TI-65023564</v>
      </c>
      <c r="CH109">
        <f>A!CG109</f>
        <v>45810</v>
      </c>
      <c r="CI109" t="str">
        <f>A!CH109</f>
        <v>urn:immetingen:monstertype:id:10</v>
      </c>
      <c r="CJ109" t="str">
        <f>A!CI109</f>
        <v>urn:imsikb0101:Applicaties:id:16</v>
      </c>
      <c r="CK109" t="str">
        <f>A!CJ109</f>
        <v>urn:imsikb0101:DatastroomType:id:1</v>
      </c>
      <c r="CL109">
        <f>A!CK109</f>
        <v>45811</v>
      </c>
      <c r="CM109" t="str">
        <f>A!CL109</f>
        <v>SGS, Rotterdam</v>
      </c>
      <c r="CN109" t="str">
        <f>A!CM109</f>
        <v>LABRESULTAAT SGS</v>
      </c>
      <c r="CO109">
        <f>A!CN109</f>
        <v>45811</v>
      </c>
      <c r="CP109">
        <f>A!CO109</f>
        <v>0</v>
      </c>
      <c r="CQ109">
        <f>A!CO419</f>
        <v>0</v>
      </c>
      <c r="CR109" t="e">
        <f>A!#REF!</f>
        <v>#REF!</v>
      </c>
      <c r="CS109" t="e">
        <f>A!#REF!</f>
        <v>#REF!</v>
      </c>
    </row>
    <row r="110" spans="1:97" x14ac:dyDescent="0.2">
      <c r="A110" t="str">
        <f>A!A110</f>
        <v>LABRESULTAAT</v>
      </c>
      <c r="B110">
        <f>A!B110</f>
        <v>6</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32" t="str">
        <f>IF(A!P110="","",INDEX(B!$A$1:$BT$2000,MATCH(A!P110,B!$AX$1:$AX$2000,0),D!$B$5))</f>
        <v/>
      </c>
      <c r="Q110">
        <f>A!Q110</f>
        <v>0</v>
      </c>
      <c r="R110">
        <f>A!R110</f>
        <v>0</v>
      </c>
      <c r="S110">
        <f>A!S110</f>
        <v>0</v>
      </c>
      <c r="T110">
        <f>A!T110</f>
        <v>0</v>
      </c>
      <c r="U110">
        <f>A!U110</f>
        <v>0</v>
      </c>
      <c r="V110" s="32">
        <f>IF(A!V110="&lt;",1,A!V110)</f>
        <v>0</v>
      </c>
      <c r="W110">
        <f>A!W110</f>
        <v>0</v>
      </c>
      <c r="X110">
        <f>A!X110</f>
        <v>0</v>
      </c>
      <c r="Y110">
        <f>A!Y110</f>
        <v>0</v>
      </c>
      <c r="Z110" s="32">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32"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t="str">
        <f>A!BW110</f>
        <v>_f2f55274-7708-48c8-9f23-34f94e9519db</v>
      </c>
      <c r="BY110" t="str">
        <f>A!BX110</f>
        <v>f2f55274-7708-48c8-9f23-34f94e9519db</v>
      </c>
      <c r="BZ110" t="str">
        <f>A!BY110</f>
        <v>SIKB</v>
      </c>
      <c r="CA110" t="str">
        <f>A!BZ110</f>
        <v>MM05 04 (150-200) 05 (150-200)</v>
      </c>
      <c r="CB110">
        <f>A!CA110</f>
        <v>45810</v>
      </c>
      <c r="CC110" t="str">
        <f>A!CB110</f>
        <v>#_a13c9c27-ac45-4ff5-8e2b-08bc80806939</v>
      </c>
      <c r="CD110" t="str">
        <f>A!CC110</f>
        <v>#_8f7c2bed-654b-4b7b-bf6e-db5e07d64523</v>
      </c>
      <c r="CE110">
        <f>A!CD110</f>
        <v>0</v>
      </c>
      <c r="CF110" t="str">
        <f>A!CE110</f>
        <v>urn:immetingen:compartiment:id:1</v>
      </c>
      <c r="CG110" t="str">
        <f>A!CF110</f>
        <v>_TI-65023564</v>
      </c>
      <c r="CH110">
        <f>A!CG110</f>
        <v>45810</v>
      </c>
      <c r="CI110" t="str">
        <f>A!CH110</f>
        <v>urn:immetingen:monstertype:id:10</v>
      </c>
      <c r="CJ110" t="str">
        <f>A!CI110</f>
        <v>urn:imsikb0101:Applicaties:id:16</v>
      </c>
      <c r="CK110" t="str">
        <f>A!CJ110</f>
        <v>urn:imsikb0101:DatastroomType:id:1</v>
      </c>
      <c r="CL110">
        <f>A!CK110</f>
        <v>45811</v>
      </c>
      <c r="CM110" t="str">
        <f>A!CL110</f>
        <v>SGS, Rotterdam</v>
      </c>
      <c r="CN110" t="str">
        <f>A!CM110</f>
        <v>LABRESULTAAT SGS</v>
      </c>
      <c r="CO110">
        <f>A!CN110</f>
        <v>45811</v>
      </c>
      <c r="CP110">
        <f>A!CO110</f>
        <v>0</v>
      </c>
      <c r="CQ110">
        <f>A!CO420</f>
        <v>0</v>
      </c>
      <c r="CR110" t="e">
        <f>A!#REF!</f>
        <v>#REF!</v>
      </c>
      <c r="CS110" t="e">
        <f>A!#REF!</f>
        <v>#REF!</v>
      </c>
    </row>
    <row r="111" spans="1:97" x14ac:dyDescent="0.2">
      <c r="A111" t="str">
        <f>A!A111</f>
        <v>LABRESULTAAT</v>
      </c>
      <c r="B111">
        <f>A!B111</f>
        <v>6</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32" t="str">
        <f>IF(A!P111="","",INDEX(B!$A$1:$BT$2000,MATCH(A!P111,B!$AX$1:$AX$2000,0),D!$B$5))</f>
        <v/>
      </c>
      <c r="Q111">
        <f>A!Q111</f>
        <v>0</v>
      </c>
      <c r="R111">
        <f>A!R111</f>
        <v>0</v>
      </c>
      <c r="S111">
        <f>A!S111</f>
        <v>0</v>
      </c>
      <c r="T111">
        <f>A!T111</f>
        <v>0</v>
      </c>
      <c r="U111">
        <f>A!U111</f>
        <v>0</v>
      </c>
      <c r="V111" s="32">
        <f>IF(A!V111="&lt;",1,A!V111)</f>
        <v>0</v>
      </c>
      <c r="W111">
        <f>A!W111</f>
        <v>0</v>
      </c>
      <c r="X111">
        <f>A!X111</f>
        <v>0</v>
      </c>
      <c r="Y111">
        <f>A!Y111</f>
        <v>0</v>
      </c>
      <c r="Z111" s="32">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32"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t="str">
        <f>A!BW111</f>
        <v>_f2f55274-7708-48c8-9f23-34f94e9519db</v>
      </c>
      <c r="BY111" t="str">
        <f>A!BX111</f>
        <v>f2f55274-7708-48c8-9f23-34f94e9519db</v>
      </c>
      <c r="BZ111" t="str">
        <f>A!BY111</f>
        <v>SIKB</v>
      </c>
      <c r="CA111" t="str">
        <f>A!BZ111</f>
        <v>MM05 04 (150-200) 05 (150-200)</v>
      </c>
      <c r="CB111">
        <f>A!CA111</f>
        <v>45810</v>
      </c>
      <c r="CC111" t="str">
        <f>A!CB111</f>
        <v>#_a13c9c27-ac45-4ff5-8e2b-08bc80806939</v>
      </c>
      <c r="CD111" t="str">
        <f>A!CC111</f>
        <v>#_996174d8-b5c7-4e07-b97a-be789db1bce8</v>
      </c>
      <c r="CE111">
        <f>A!CD111</f>
        <v>0</v>
      </c>
      <c r="CF111" t="str">
        <f>A!CE111</f>
        <v>urn:immetingen:compartiment:id:1</v>
      </c>
      <c r="CG111" t="str">
        <f>A!CF111</f>
        <v>_TI-65023564</v>
      </c>
      <c r="CH111">
        <f>A!CG111</f>
        <v>45810</v>
      </c>
      <c r="CI111" t="str">
        <f>A!CH111</f>
        <v>urn:immetingen:monstertype:id:10</v>
      </c>
      <c r="CJ111" t="str">
        <f>A!CI111</f>
        <v>urn:imsikb0101:Applicaties:id:16</v>
      </c>
      <c r="CK111" t="str">
        <f>A!CJ111</f>
        <v>urn:imsikb0101:DatastroomType:id:1</v>
      </c>
      <c r="CL111">
        <f>A!CK111</f>
        <v>45811</v>
      </c>
      <c r="CM111" t="str">
        <f>A!CL111</f>
        <v>SGS, Rotterdam</v>
      </c>
      <c r="CN111" t="str">
        <f>A!CM111</f>
        <v>LABRESULTAAT SGS</v>
      </c>
      <c r="CO111">
        <f>A!CN111</f>
        <v>45811</v>
      </c>
      <c r="CP111">
        <f>A!CO111</f>
        <v>0</v>
      </c>
      <c r="CQ111">
        <f>A!CO421</f>
        <v>0</v>
      </c>
      <c r="CR111" t="e">
        <f>A!#REF!</f>
        <v>#REF!</v>
      </c>
      <c r="CS111" t="e">
        <f>A!#REF!</f>
        <v>#REF!</v>
      </c>
    </row>
    <row r="112" spans="1:97" x14ac:dyDescent="0.2">
      <c r="A112" t="str">
        <f>A!A112</f>
        <v>LABRESULTAAT</v>
      </c>
      <c r="B112">
        <f>A!B112</f>
        <v>6</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32" t="str">
        <f>IF(A!P112="","",INDEX(B!$A$1:$BT$2000,MATCH(A!P112,B!$AX$1:$AX$2000,0),D!$B$5))</f>
        <v/>
      </c>
      <c r="Q112">
        <f>A!Q112</f>
        <v>0</v>
      </c>
      <c r="R112">
        <f>A!R112</f>
        <v>0</v>
      </c>
      <c r="S112">
        <f>A!S112</f>
        <v>0</v>
      </c>
      <c r="T112">
        <f>A!T112</f>
        <v>0</v>
      </c>
      <c r="U112">
        <f>A!U112</f>
        <v>0</v>
      </c>
      <c r="V112" s="32">
        <f>IF(A!V112="&lt;",1,A!V112)</f>
        <v>0</v>
      </c>
      <c r="W112">
        <f>A!W112</f>
        <v>0</v>
      </c>
      <c r="X112">
        <f>A!X112</f>
        <v>0</v>
      </c>
      <c r="Y112">
        <f>A!Y112</f>
        <v>0</v>
      </c>
      <c r="Z112" s="32">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32"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t="str">
        <f>A!BW112</f>
        <v>_f2f55274-7708-48c8-9f23-34f94e9519db</v>
      </c>
      <c r="BY112" t="str">
        <f>A!BX112</f>
        <v>f2f55274-7708-48c8-9f23-34f94e9519db</v>
      </c>
      <c r="BZ112" t="str">
        <f>A!BY112</f>
        <v>SIKB</v>
      </c>
      <c r="CA112" t="str">
        <f>A!BZ112</f>
        <v>MM05 04 (150-200) 05 (150-200)</v>
      </c>
      <c r="CB112">
        <f>A!CA112</f>
        <v>45810</v>
      </c>
      <c r="CC112" t="str">
        <f>A!CB112</f>
        <v>#_a13c9c27-ac45-4ff5-8e2b-08bc80806939</v>
      </c>
      <c r="CD112" t="str">
        <f>A!CC112</f>
        <v>#_0cb6fa0b-22ca-4356-9ab1-82745d943625</v>
      </c>
      <c r="CE112">
        <f>A!CD112</f>
        <v>0</v>
      </c>
      <c r="CF112" t="str">
        <f>A!CE112</f>
        <v>urn:immetingen:compartiment:id:1</v>
      </c>
      <c r="CG112" t="str">
        <f>A!CF112</f>
        <v>_TI-65023564</v>
      </c>
      <c r="CH112">
        <f>A!CG112</f>
        <v>45810</v>
      </c>
      <c r="CI112" t="str">
        <f>A!CH112</f>
        <v>urn:immetingen:monstertype:id:10</v>
      </c>
      <c r="CJ112" t="str">
        <f>A!CI112</f>
        <v>urn:imsikb0101:Applicaties:id:16</v>
      </c>
      <c r="CK112" t="str">
        <f>A!CJ112</f>
        <v>urn:imsikb0101:DatastroomType:id:1</v>
      </c>
      <c r="CL112">
        <f>A!CK112</f>
        <v>45811</v>
      </c>
      <c r="CM112" t="str">
        <f>A!CL112</f>
        <v>SGS, Rotterdam</v>
      </c>
      <c r="CN112" t="str">
        <f>A!CM112</f>
        <v>LABRESULTAAT SGS</v>
      </c>
      <c r="CO112">
        <f>A!CN112</f>
        <v>45811</v>
      </c>
      <c r="CP112">
        <f>A!CO112</f>
        <v>0</v>
      </c>
      <c r="CQ112">
        <f>A!CO422</f>
        <v>0</v>
      </c>
      <c r="CR112" t="e">
        <f>A!#REF!</f>
        <v>#REF!</v>
      </c>
      <c r="CS112" t="e">
        <f>A!#REF!</f>
        <v>#REF!</v>
      </c>
    </row>
    <row r="113" spans="1:97" x14ac:dyDescent="0.2">
      <c r="A113" t="str">
        <f>A!A113</f>
        <v>LABRESULTAAT</v>
      </c>
      <c r="B113">
        <f>A!B113</f>
        <v>6</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32" t="str">
        <f>IF(A!P113="","",INDEX(B!$A$1:$BT$2000,MATCH(A!P113,B!$AX$1:$AX$2000,0),D!$B$5))</f>
        <v/>
      </c>
      <c r="Q113">
        <f>A!Q113</f>
        <v>0</v>
      </c>
      <c r="R113">
        <f>A!R113</f>
        <v>0</v>
      </c>
      <c r="S113">
        <f>A!S113</f>
        <v>0</v>
      </c>
      <c r="T113">
        <f>A!T113</f>
        <v>0</v>
      </c>
      <c r="U113">
        <f>A!U113</f>
        <v>0</v>
      </c>
      <c r="V113" s="32">
        <f>IF(A!V113="&lt;",1,A!V113)</f>
        <v>0</v>
      </c>
      <c r="W113">
        <f>A!W113</f>
        <v>0</v>
      </c>
      <c r="X113">
        <f>A!X113</f>
        <v>0</v>
      </c>
      <c r="Y113">
        <f>A!Y113</f>
        <v>0</v>
      </c>
      <c r="Z113" s="32">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32"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t="str">
        <f>A!BW113</f>
        <v>_f2f55274-7708-48c8-9f23-34f94e9519db</v>
      </c>
      <c r="BY113" t="str">
        <f>A!BX113</f>
        <v>f2f55274-7708-48c8-9f23-34f94e9519db</v>
      </c>
      <c r="BZ113" t="str">
        <f>A!BY113</f>
        <v>SIKB</v>
      </c>
      <c r="CA113" t="str">
        <f>A!BZ113</f>
        <v>MM05 04 (150-200) 05 (150-200)</v>
      </c>
      <c r="CB113">
        <f>A!CA113</f>
        <v>45810</v>
      </c>
      <c r="CC113" t="str">
        <f>A!CB113</f>
        <v>#_a13c9c27-ac45-4ff5-8e2b-08bc80806939</v>
      </c>
      <c r="CD113" t="str">
        <f>A!CC113</f>
        <v>#_10134bbc-f182-42d6-9e38-e38c78a866ea</v>
      </c>
      <c r="CE113">
        <f>A!CD113</f>
        <v>0</v>
      </c>
      <c r="CF113" t="str">
        <f>A!CE113</f>
        <v>urn:immetingen:compartiment:id:1</v>
      </c>
      <c r="CG113" t="str">
        <f>A!CF113</f>
        <v>_TI-65023564</v>
      </c>
      <c r="CH113">
        <f>A!CG113</f>
        <v>45810</v>
      </c>
      <c r="CI113" t="str">
        <f>A!CH113</f>
        <v>urn:immetingen:monstertype:id:10</v>
      </c>
      <c r="CJ113" t="str">
        <f>A!CI113</f>
        <v>urn:imsikb0101:Applicaties:id:16</v>
      </c>
      <c r="CK113" t="str">
        <f>A!CJ113</f>
        <v>urn:imsikb0101:DatastroomType:id:1</v>
      </c>
      <c r="CL113">
        <f>A!CK113</f>
        <v>45811</v>
      </c>
      <c r="CM113" t="str">
        <f>A!CL113</f>
        <v>SGS, Rotterdam</v>
      </c>
      <c r="CN113" t="str">
        <f>A!CM113</f>
        <v>LABRESULTAAT SGS</v>
      </c>
      <c r="CO113">
        <f>A!CN113</f>
        <v>45811</v>
      </c>
      <c r="CP113">
        <f>A!CO113</f>
        <v>0</v>
      </c>
      <c r="CQ113">
        <f>A!CO423</f>
        <v>0</v>
      </c>
      <c r="CR113" t="e">
        <f>A!#REF!</f>
        <v>#REF!</v>
      </c>
      <c r="CS113" t="e">
        <f>A!#REF!</f>
        <v>#REF!</v>
      </c>
    </row>
    <row r="114" spans="1:97" x14ac:dyDescent="0.2">
      <c r="A114" t="str">
        <f>A!A114</f>
        <v>LABRESULTAAT</v>
      </c>
      <c r="B114">
        <f>A!B114</f>
        <v>6</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32" t="str">
        <f>IF(A!P114="","",INDEX(B!$A$1:$BT$2000,MATCH(A!P114,B!$AX$1:$AX$2000,0),D!$B$5))</f>
        <v/>
      </c>
      <c r="Q114">
        <f>A!Q114</f>
        <v>0</v>
      </c>
      <c r="R114">
        <f>A!R114</f>
        <v>0</v>
      </c>
      <c r="S114">
        <f>A!S114</f>
        <v>0</v>
      </c>
      <c r="T114">
        <f>A!T114</f>
        <v>0</v>
      </c>
      <c r="U114">
        <f>A!U114</f>
        <v>0</v>
      </c>
      <c r="V114" s="32">
        <f>IF(A!V114="&lt;",1,A!V114)</f>
        <v>0</v>
      </c>
      <c r="W114">
        <f>A!W114</f>
        <v>0</v>
      </c>
      <c r="X114">
        <f>A!X114</f>
        <v>0</v>
      </c>
      <c r="Y114">
        <f>A!Y114</f>
        <v>0</v>
      </c>
      <c r="Z114" s="32">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32"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t="str">
        <f>A!BW114</f>
        <v>_f2f55274-7708-48c8-9f23-34f94e9519db</v>
      </c>
      <c r="BY114" t="str">
        <f>A!BX114</f>
        <v>f2f55274-7708-48c8-9f23-34f94e9519db</v>
      </c>
      <c r="BZ114" t="str">
        <f>A!BY114</f>
        <v>SIKB</v>
      </c>
      <c r="CA114" t="str">
        <f>A!BZ114</f>
        <v>MM05 04 (150-200) 05 (150-200)</v>
      </c>
      <c r="CB114">
        <f>A!CA114</f>
        <v>45810</v>
      </c>
      <c r="CC114" t="str">
        <f>A!CB114</f>
        <v>#_a13c9c27-ac45-4ff5-8e2b-08bc80806939</v>
      </c>
      <c r="CD114" t="str">
        <f>A!CC114</f>
        <v>#_8e0576ba-d28e-42ff-8925-e75f0f88cf14</v>
      </c>
      <c r="CE114">
        <f>A!CD114</f>
        <v>0</v>
      </c>
      <c r="CF114" t="str">
        <f>A!CE114</f>
        <v>urn:immetingen:compartiment:id:1</v>
      </c>
      <c r="CG114" t="str">
        <f>A!CF114</f>
        <v>_TI-65023564</v>
      </c>
      <c r="CH114">
        <f>A!CG114</f>
        <v>45810</v>
      </c>
      <c r="CI114" t="str">
        <f>A!CH114</f>
        <v>urn:immetingen:monstertype:id:10</v>
      </c>
      <c r="CJ114" t="str">
        <f>A!CI114</f>
        <v>urn:imsikb0101:Applicaties:id:16</v>
      </c>
      <c r="CK114" t="str">
        <f>A!CJ114</f>
        <v>urn:imsikb0101:DatastroomType:id:1</v>
      </c>
      <c r="CL114">
        <f>A!CK114</f>
        <v>45811</v>
      </c>
      <c r="CM114" t="str">
        <f>A!CL114</f>
        <v>SGS, Rotterdam</v>
      </c>
      <c r="CN114" t="str">
        <f>A!CM114</f>
        <v>LABRESULTAAT SGS</v>
      </c>
      <c r="CO114">
        <f>A!CN114</f>
        <v>45811</v>
      </c>
      <c r="CP114">
        <f>A!CO114</f>
        <v>0</v>
      </c>
      <c r="CQ114">
        <f>A!CO424</f>
        <v>0</v>
      </c>
      <c r="CR114" t="e">
        <f>A!#REF!</f>
        <v>#REF!</v>
      </c>
      <c r="CS114" t="e">
        <f>A!#REF!</f>
        <v>#REF!</v>
      </c>
    </row>
    <row r="115" spans="1:97" x14ac:dyDescent="0.2">
      <c r="A115" t="str">
        <f>A!A115</f>
        <v>LABRESULTAAT</v>
      </c>
      <c r="B115">
        <f>A!B115</f>
        <v>6</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32" t="str">
        <f>IF(A!P115="","",INDEX(B!$A$1:$BT$2000,MATCH(A!P115,B!$AX$1:$AX$2000,0),D!$B$5))</f>
        <v/>
      </c>
      <c r="Q115">
        <f>A!Q115</f>
        <v>0</v>
      </c>
      <c r="R115">
        <f>A!R115</f>
        <v>0</v>
      </c>
      <c r="S115">
        <f>A!S115</f>
        <v>0</v>
      </c>
      <c r="T115">
        <f>A!T115</f>
        <v>0</v>
      </c>
      <c r="U115">
        <f>A!U115</f>
        <v>0</v>
      </c>
      <c r="V115" s="32">
        <f>IF(A!V115="&lt;",1,A!V115)</f>
        <v>0</v>
      </c>
      <c r="W115">
        <f>A!W115</f>
        <v>0</v>
      </c>
      <c r="X115">
        <f>A!X115</f>
        <v>0</v>
      </c>
      <c r="Y115">
        <f>A!Y115</f>
        <v>0</v>
      </c>
      <c r="Z115" s="32">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32"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t="str">
        <f>A!BW115</f>
        <v>_f2f55274-7708-48c8-9f23-34f94e9519db</v>
      </c>
      <c r="BY115" t="str">
        <f>A!BX115</f>
        <v>f2f55274-7708-48c8-9f23-34f94e9519db</v>
      </c>
      <c r="BZ115" t="str">
        <f>A!BY115</f>
        <v>SIKB</v>
      </c>
      <c r="CA115" t="str">
        <f>A!BZ115</f>
        <v>MM05 04 (150-200) 05 (150-200)</v>
      </c>
      <c r="CB115">
        <f>A!CA115</f>
        <v>45810</v>
      </c>
      <c r="CC115" t="str">
        <f>A!CB115</f>
        <v>#_a13c9c27-ac45-4ff5-8e2b-08bc80806939</v>
      </c>
      <c r="CD115" t="str">
        <f>A!CC115</f>
        <v>#_de3272e9-86d2-48ea-8e5b-690a73b83748</v>
      </c>
      <c r="CE115">
        <f>A!CD115</f>
        <v>0</v>
      </c>
      <c r="CF115" t="str">
        <f>A!CE115</f>
        <v>urn:immetingen:compartiment:id:1</v>
      </c>
      <c r="CG115" t="str">
        <f>A!CF115</f>
        <v>_TI-65023564</v>
      </c>
      <c r="CH115">
        <f>A!CG115</f>
        <v>45810</v>
      </c>
      <c r="CI115" t="str">
        <f>A!CH115</f>
        <v>urn:immetingen:monstertype:id:10</v>
      </c>
      <c r="CJ115" t="str">
        <f>A!CI115</f>
        <v>urn:imsikb0101:Applicaties:id:16</v>
      </c>
      <c r="CK115" t="str">
        <f>A!CJ115</f>
        <v>urn:imsikb0101:DatastroomType:id:1</v>
      </c>
      <c r="CL115">
        <f>A!CK115</f>
        <v>45811</v>
      </c>
      <c r="CM115" t="str">
        <f>A!CL115</f>
        <v>SGS, Rotterdam</v>
      </c>
      <c r="CN115" t="str">
        <f>A!CM115</f>
        <v>LABRESULTAAT SGS</v>
      </c>
      <c r="CO115">
        <f>A!CN115</f>
        <v>45811</v>
      </c>
      <c r="CP115">
        <f>A!CO115</f>
        <v>0</v>
      </c>
      <c r="CQ115">
        <f>A!CO425</f>
        <v>0</v>
      </c>
      <c r="CR115" t="e">
        <f>A!#REF!</f>
        <v>#REF!</v>
      </c>
      <c r="CS115" t="e">
        <f>A!#REF!</f>
        <v>#REF!</v>
      </c>
    </row>
    <row r="116" spans="1:97" x14ac:dyDescent="0.2">
      <c r="A116" t="str">
        <f>A!A116</f>
        <v>LABRESULTAAT</v>
      </c>
      <c r="B116">
        <f>A!B116</f>
        <v>6</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32" t="str">
        <f>IF(A!P116="","",INDEX(B!$A$1:$BT$2000,MATCH(A!P116,B!$AX$1:$AX$2000,0),D!$B$5))</f>
        <v/>
      </c>
      <c r="Q116">
        <f>A!Q116</f>
        <v>0</v>
      </c>
      <c r="R116">
        <f>A!R116</f>
        <v>0</v>
      </c>
      <c r="S116">
        <f>A!S116</f>
        <v>0</v>
      </c>
      <c r="T116">
        <f>A!T116</f>
        <v>0</v>
      </c>
      <c r="U116">
        <f>A!U116</f>
        <v>0</v>
      </c>
      <c r="V116" s="32">
        <f>IF(A!V116="&lt;",1,A!V116)</f>
        <v>0</v>
      </c>
      <c r="W116">
        <f>A!W116</f>
        <v>0</v>
      </c>
      <c r="X116">
        <f>A!X116</f>
        <v>0</v>
      </c>
      <c r="Y116">
        <f>A!Y116</f>
        <v>0</v>
      </c>
      <c r="Z116" s="32">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32"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t="str">
        <f>A!BW116</f>
        <v>_f2f55274-7708-48c8-9f23-34f94e9519db</v>
      </c>
      <c r="BY116" t="str">
        <f>A!BX116</f>
        <v>f2f55274-7708-48c8-9f23-34f94e9519db</v>
      </c>
      <c r="BZ116" t="str">
        <f>A!BY116</f>
        <v>SIKB</v>
      </c>
      <c r="CA116" t="str">
        <f>A!BZ116</f>
        <v>MM05 04 (150-200) 05 (150-200)</v>
      </c>
      <c r="CB116">
        <f>A!CA116</f>
        <v>45810</v>
      </c>
      <c r="CC116" t="str">
        <f>A!CB116</f>
        <v>#_a13c9c27-ac45-4ff5-8e2b-08bc80806939</v>
      </c>
      <c r="CD116" t="str">
        <f>A!CC116</f>
        <v>#_fdac6b24-744c-425d-94e9-5ebb600d79f9</v>
      </c>
      <c r="CE116">
        <f>A!CD116</f>
        <v>0</v>
      </c>
      <c r="CF116" t="str">
        <f>A!CE116</f>
        <v>urn:immetingen:compartiment:id:1</v>
      </c>
      <c r="CG116" t="str">
        <f>A!CF116</f>
        <v>_TI-65023564</v>
      </c>
      <c r="CH116">
        <f>A!CG116</f>
        <v>45810</v>
      </c>
      <c r="CI116" t="str">
        <f>A!CH116</f>
        <v>urn:immetingen:monstertype:id:10</v>
      </c>
      <c r="CJ116" t="str">
        <f>A!CI116</f>
        <v>urn:imsikb0101:Applicaties:id:16</v>
      </c>
      <c r="CK116" t="str">
        <f>A!CJ116</f>
        <v>urn:imsikb0101:DatastroomType:id:1</v>
      </c>
      <c r="CL116">
        <f>A!CK116</f>
        <v>45811</v>
      </c>
      <c r="CM116" t="str">
        <f>A!CL116</f>
        <v>SGS, Rotterdam</v>
      </c>
      <c r="CN116" t="str">
        <f>A!CM116</f>
        <v>LABRESULTAAT SGS</v>
      </c>
      <c r="CO116">
        <f>A!CN116</f>
        <v>45811</v>
      </c>
      <c r="CP116">
        <f>A!CO116</f>
        <v>0</v>
      </c>
      <c r="CQ116">
        <f>A!CO426</f>
        <v>0</v>
      </c>
      <c r="CR116" t="e">
        <f>A!#REF!</f>
        <v>#REF!</v>
      </c>
      <c r="CS116" t="e">
        <f>A!#REF!</f>
        <v>#REF!</v>
      </c>
    </row>
    <row r="117" spans="1:97" x14ac:dyDescent="0.2">
      <c r="A117" t="str">
        <f>A!A117</f>
        <v>LABRESULTAAT</v>
      </c>
      <c r="B117">
        <f>A!B117</f>
        <v>6</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32" t="str">
        <f>IF(A!P117="","",INDEX(B!$A$1:$BT$2000,MATCH(A!P117,B!$AX$1:$AX$2000,0),D!$B$5))</f>
        <v/>
      </c>
      <c r="Q117">
        <f>A!Q117</f>
        <v>0</v>
      </c>
      <c r="R117">
        <f>A!R117</f>
        <v>0</v>
      </c>
      <c r="S117">
        <f>A!S117</f>
        <v>0</v>
      </c>
      <c r="T117">
        <f>A!T117</f>
        <v>0</v>
      </c>
      <c r="U117">
        <f>A!U117</f>
        <v>0</v>
      </c>
      <c r="V117" s="32">
        <f>IF(A!V117="&lt;",1,A!V117)</f>
        <v>0</v>
      </c>
      <c r="W117">
        <f>A!W117</f>
        <v>0</v>
      </c>
      <c r="X117">
        <f>A!X117</f>
        <v>0</v>
      </c>
      <c r="Y117">
        <f>A!Y117</f>
        <v>0</v>
      </c>
      <c r="Z117" s="32">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32"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t="str">
        <f>A!BW117</f>
        <v>_f2f55274-7708-48c8-9f23-34f94e9519db</v>
      </c>
      <c r="BY117" t="str">
        <f>A!BX117</f>
        <v>f2f55274-7708-48c8-9f23-34f94e9519db</v>
      </c>
      <c r="BZ117" t="str">
        <f>A!BY117</f>
        <v>SIKB</v>
      </c>
      <c r="CA117" t="str">
        <f>A!BZ117</f>
        <v>MM05 04 (150-200) 05 (150-200)</v>
      </c>
      <c r="CB117">
        <f>A!CA117</f>
        <v>45810</v>
      </c>
      <c r="CC117" t="str">
        <f>A!CB117</f>
        <v>#_a13c9c27-ac45-4ff5-8e2b-08bc80806939</v>
      </c>
      <c r="CD117" t="str">
        <f>A!CC117</f>
        <v>#_60d783d2-b186-4d27-92c1-5a6204dee375</v>
      </c>
      <c r="CE117">
        <f>A!CD117</f>
        <v>0</v>
      </c>
      <c r="CF117" t="str">
        <f>A!CE117</f>
        <v>urn:immetingen:compartiment:id:1</v>
      </c>
      <c r="CG117" t="str">
        <f>A!CF117</f>
        <v>_TI-65023564</v>
      </c>
      <c r="CH117">
        <f>A!CG117</f>
        <v>45810</v>
      </c>
      <c r="CI117" t="str">
        <f>A!CH117</f>
        <v>urn:immetingen:monstertype:id:10</v>
      </c>
      <c r="CJ117" t="str">
        <f>A!CI117</f>
        <v>urn:imsikb0101:Applicaties:id:16</v>
      </c>
      <c r="CK117" t="str">
        <f>A!CJ117</f>
        <v>urn:imsikb0101:DatastroomType:id:1</v>
      </c>
      <c r="CL117">
        <f>A!CK117</f>
        <v>45811</v>
      </c>
      <c r="CM117" t="str">
        <f>A!CL117</f>
        <v>SGS, Rotterdam</v>
      </c>
      <c r="CN117" t="str">
        <f>A!CM117</f>
        <v>LABRESULTAAT SGS</v>
      </c>
      <c r="CO117">
        <f>A!CN117</f>
        <v>45811</v>
      </c>
      <c r="CP117">
        <f>A!CO117</f>
        <v>0</v>
      </c>
      <c r="CQ117">
        <f>A!CO427</f>
        <v>0</v>
      </c>
      <c r="CR117" t="e">
        <f>A!#REF!</f>
        <v>#REF!</v>
      </c>
      <c r="CS117" t="e">
        <f>A!#REF!</f>
        <v>#REF!</v>
      </c>
    </row>
    <row r="118" spans="1:97" x14ac:dyDescent="0.2">
      <c r="A118" t="str">
        <f>A!A118</f>
        <v>LABRESULTAAT</v>
      </c>
      <c r="B118">
        <f>A!B118</f>
        <v>6</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32" t="str">
        <f>IF(A!P118="","",INDEX(B!$A$1:$BT$2000,MATCH(A!P118,B!$AX$1:$AX$2000,0),D!$B$5))</f>
        <v/>
      </c>
      <c r="Q118">
        <f>A!Q118</f>
        <v>0</v>
      </c>
      <c r="R118">
        <f>A!R118</f>
        <v>0</v>
      </c>
      <c r="S118">
        <f>A!S118</f>
        <v>0</v>
      </c>
      <c r="T118">
        <f>A!T118</f>
        <v>0</v>
      </c>
      <c r="U118">
        <f>A!U118</f>
        <v>0</v>
      </c>
      <c r="V118" s="32">
        <f>IF(A!V118="&lt;",1,A!V118)</f>
        <v>0</v>
      </c>
      <c r="W118">
        <f>A!W118</f>
        <v>0</v>
      </c>
      <c r="X118">
        <f>A!X118</f>
        <v>0</v>
      </c>
      <c r="Y118">
        <f>A!Y118</f>
        <v>0</v>
      </c>
      <c r="Z118" s="32">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32"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t="str">
        <f>A!BW118</f>
        <v>_f2f55274-7708-48c8-9f23-34f94e9519db</v>
      </c>
      <c r="BY118" t="str">
        <f>A!BX118</f>
        <v>f2f55274-7708-48c8-9f23-34f94e9519db</v>
      </c>
      <c r="BZ118" t="str">
        <f>A!BY118</f>
        <v>SIKB</v>
      </c>
      <c r="CA118" t="str">
        <f>A!BZ118</f>
        <v>MM05 04 (150-200) 05 (150-200)</v>
      </c>
      <c r="CB118">
        <f>A!CA118</f>
        <v>45810</v>
      </c>
      <c r="CC118" t="str">
        <f>A!CB118</f>
        <v>#_a13c9c27-ac45-4ff5-8e2b-08bc80806939</v>
      </c>
      <c r="CD118" t="str">
        <f>A!CC118</f>
        <v>#_15495938-74f9-4dd4-a62e-5b8095b716e2</v>
      </c>
      <c r="CE118">
        <f>A!CD118</f>
        <v>0</v>
      </c>
      <c r="CF118" t="str">
        <f>A!CE118</f>
        <v>urn:immetingen:compartiment:id:1</v>
      </c>
      <c r="CG118" t="str">
        <f>A!CF118</f>
        <v>_TI-65023564</v>
      </c>
      <c r="CH118">
        <f>A!CG118</f>
        <v>45810</v>
      </c>
      <c r="CI118" t="str">
        <f>A!CH118</f>
        <v>urn:immetingen:monstertype:id:10</v>
      </c>
      <c r="CJ118" t="str">
        <f>A!CI118</f>
        <v>urn:imsikb0101:Applicaties:id:16</v>
      </c>
      <c r="CK118" t="str">
        <f>A!CJ118</f>
        <v>urn:imsikb0101:DatastroomType:id:1</v>
      </c>
      <c r="CL118">
        <f>A!CK118</f>
        <v>45811</v>
      </c>
      <c r="CM118" t="str">
        <f>A!CL118</f>
        <v>SGS, Rotterdam</v>
      </c>
      <c r="CN118" t="str">
        <f>A!CM118</f>
        <v>LABRESULTAAT SGS</v>
      </c>
      <c r="CO118">
        <f>A!CN118</f>
        <v>45811</v>
      </c>
      <c r="CP118">
        <f>A!CO118</f>
        <v>0</v>
      </c>
      <c r="CQ118">
        <f>A!CO428</f>
        <v>0</v>
      </c>
      <c r="CR118" t="e">
        <f>A!#REF!</f>
        <v>#REF!</v>
      </c>
      <c r="CS118" t="e">
        <f>A!#REF!</f>
        <v>#REF!</v>
      </c>
    </row>
    <row r="119" spans="1:97" x14ac:dyDescent="0.2">
      <c r="A119" t="str">
        <f>A!A119</f>
        <v>LABRESULTAAT</v>
      </c>
      <c r="B119">
        <f>A!B119</f>
        <v>6</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32" t="str">
        <f>IF(A!P119="","",INDEX(B!$A$1:$BT$2000,MATCH(A!P119,B!$AX$1:$AX$2000,0),D!$B$5))</f>
        <v/>
      </c>
      <c r="Q119">
        <f>A!Q119</f>
        <v>0</v>
      </c>
      <c r="R119">
        <f>A!R119</f>
        <v>0</v>
      </c>
      <c r="S119">
        <f>A!S119</f>
        <v>0</v>
      </c>
      <c r="T119">
        <f>A!T119</f>
        <v>0</v>
      </c>
      <c r="U119">
        <f>A!U119</f>
        <v>0</v>
      </c>
      <c r="V119" s="32">
        <f>IF(A!V119="&lt;",1,A!V119)</f>
        <v>0</v>
      </c>
      <c r="W119">
        <f>A!W119</f>
        <v>0</v>
      </c>
      <c r="X119">
        <f>A!X119</f>
        <v>0</v>
      </c>
      <c r="Y119">
        <f>A!Y119</f>
        <v>0</v>
      </c>
      <c r="Z119" s="32">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32"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t="str">
        <f>A!BW119</f>
        <v>_f2f55274-7708-48c8-9f23-34f94e9519db</v>
      </c>
      <c r="BY119" t="str">
        <f>A!BX119</f>
        <v>f2f55274-7708-48c8-9f23-34f94e9519db</v>
      </c>
      <c r="BZ119" t="str">
        <f>A!BY119</f>
        <v>SIKB</v>
      </c>
      <c r="CA119" t="str">
        <f>A!BZ119</f>
        <v>MM05 04 (150-200) 05 (150-200)</v>
      </c>
      <c r="CB119">
        <f>A!CA119</f>
        <v>45810</v>
      </c>
      <c r="CC119" t="str">
        <f>A!CB119</f>
        <v>#_a13c9c27-ac45-4ff5-8e2b-08bc80806939</v>
      </c>
      <c r="CD119" t="str">
        <f>A!CC119</f>
        <v>#_ef2f86f9-879e-4a9c-b43d-6e4fc3cfae96</v>
      </c>
      <c r="CE119">
        <f>A!CD119</f>
        <v>0</v>
      </c>
      <c r="CF119" t="str">
        <f>A!CE119</f>
        <v>urn:immetingen:compartiment:id:1</v>
      </c>
      <c r="CG119" t="str">
        <f>A!CF119</f>
        <v>_TI-65023564</v>
      </c>
      <c r="CH119">
        <f>A!CG119</f>
        <v>45810</v>
      </c>
      <c r="CI119" t="str">
        <f>A!CH119</f>
        <v>urn:immetingen:monstertype:id:10</v>
      </c>
      <c r="CJ119" t="str">
        <f>A!CI119</f>
        <v>urn:imsikb0101:Applicaties:id:16</v>
      </c>
      <c r="CK119" t="str">
        <f>A!CJ119</f>
        <v>urn:imsikb0101:DatastroomType:id:1</v>
      </c>
      <c r="CL119">
        <f>A!CK119</f>
        <v>45811</v>
      </c>
      <c r="CM119" t="str">
        <f>A!CL119</f>
        <v>SGS, Rotterdam</v>
      </c>
      <c r="CN119" t="str">
        <f>A!CM119</f>
        <v>LABRESULTAAT SGS</v>
      </c>
      <c r="CO119">
        <f>A!CN119</f>
        <v>45811</v>
      </c>
      <c r="CP119">
        <f>A!CO119</f>
        <v>0</v>
      </c>
      <c r="CQ119">
        <f>A!CO429</f>
        <v>0</v>
      </c>
      <c r="CR119" t="e">
        <f>A!#REF!</f>
        <v>#REF!</v>
      </c>
      <c r="CS119" t="e">
        <f>A!#REF!</f>
        <v>#REF!</v>
      </c>
    </row>
    <row r="120" spans="1:97" x14ac:dyDescent="0.2">
      <c r="A120" t="str">
        <f>A!A120</f>
        <v>LABRESULTAAT</v>
      </c>
      <c r="B120">
        <f>A!B120</f>
        <v>6</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32" t="str">
        <f>IF(A!P120="","",INDEX(B!$A$1:$BT$2000,MATCH(A!P120,B!$AX$1:$AX$2000,0),D!$B$5))</f>
        <v/>
      </c>
      <c r="Q120">
        <f>A!Q120</f>
        <v>0</v>
      </c>
      <c r="R120">
        <f>A!R120</f>
        <v>0</v>
      </c>
      <c r="S120">
        <f>A!S120</f>
        <v>0</v>
      </c>
      <c r="T120">
        <f>A!T120</f>
        <v>0</v>
      </c>
      <c r="U120">
        <f>A!U120</f>
        <v>0</v>
      </c>
      <c r="V120" s="32">
        <f>IF(A!V120="&lt;",1,A!V120)</f>
        <v>0</v>
      </c>
      <c r="W120">
        <f>A!W120</f>
        <v>0</v>
      </c>
      <c r="X120">
        <f>A!X120</f>
        <v>0</v>
      </c>
      <c r="Y120">
        <f>A!Y120</f>
        <v>0</v>
      </c>
      <c r="Z120" s="32">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32"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t="str">
        <f>A!BW120</f>
        <v>_f2f55274-7708-48c8-9f23-34f94e9519db</v>
      </c>
      <c r="BY120" t="str">
        <f>A!BX120</f>
        <v>f2f55274-7708-48c8-9f23-34f94e9519db</v>
      </c>
      <c r="BZ120" t="str">
        <f>A!BY120</f>
        <v>SIKB</v>
      </c>
      <c r="CA120" t="str">
        <f>A!BZ120</f>
        <v>MM05 04 (150-200) 05 (150-200)</v>
      </c>
      <c r="CB120">
        <f>A!CA120</f>
        <v>45810</v>
      </c>
      <c r="CC120" t="str">
        <f>A!CB120</f>
        <v>#_a13c9c27-ac45-4ff5-8e2b-08bc80806939</v>
      </c>
      <c r="CD120" t="str">
        <f>A!CC120</f>
        <v>#_368e1c9c-192e-48d9-b42c-40a51edcbc40</v>
      </c>
      <c r="CE120">
        <f>A!CD120</f>
        <v>0</v>
      </c>
      <c r="CF120" t="str">
        <f>A!CE120</f>
        <v>urn:immetingen:compartiment:id:1</v>
      </c>
      <c r="CG120" t="str">
        <f>A!CF120</f>
        <v>_TI-65023564</v>
      </c>
      <c r="CH120">
        <f>A!CG120</f>
        <v>45810</v>
      </c>
      <c r="CI120" t="str">
        <f>A!CH120</f>
        <v>urn:immetingen:monstertype:id:10</v>
      </c>
      <c r="CJ120" t="str">
        <f>A!CI120</f>
        <v>urn:imsikb0101:Applicaties:id:16</v>
      </c>
      <c r="CK120" t="str">
        <f>A!CJ120</f>
        <v>urn:imsikb0101:DatastroomType:id:1</v>
      </c>
      <c r="CL120">
        <f>A!CK120</f>
        <v>45811</v>
      </c>
      <c r="CM120" t="str">
        <f>A!CL120</f>
        <v>SGS, Rotterdam</v>
      </c>
      <c r="CN120" t="str">
        <f>A!CM120</f>
        <v>LABRESULTAAT SGS</v>
      </c>
      <c r="CO120">
        <f>A!CN120</f>
        <v>45811</v>
      </c>
      <c r="CP120">
        <f>A!CO120</f>
        <v>0</v>
      </c>
      <c r="CQ120">
        <f>A!CO430</f>
        <v>0</v>
      </c>
      <c r="CR120" t="e">
        <f>A!#REF!</f>
        <v>#REF!</v>
      </c>
      <c r="CS120" t="e">
        <f>A!#REF!</f>
        <v>#REF!</v>
      </c>
    </row>
    <row r="121" spans="1:97" x14ac:dyDescent="0.2">
      <c r="A121" t="str">
        <f>A!A121</f>
        <v>LABRESULTAAT</v>
      </c>
      <c r="B121">
        <f>A!B121</f>
        <v>6</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32" t="str">
        <f>IF(A!P121="","",INDEX(B!$A$1:$BT$2000,MATCH(A!P121,B!$AX$1:$AX$2000,0),D!$B$5))</f>
        <v/>
      </c>
      <c r="Q121">
        <f>A!Q121</f>
        <v>0</v>
      </c>
      <c r="R121">
        <f>A!R121</f>
        <v>0</v>
      </c>
      <c r="S121">
        <f>A!S121</f>
        <v>0</v>
      </c>
      <c r="T121">
        <f>A!T121</f>
        <v>0</v>
      </c>
      <c r="U121">
        <f>A!U121</f>
        <v>0</v>
      </c>
      <c r="V121" s="32">
        <f>IF(A!V121="&lt;",1,A!V121)</f>
        <v>0</v>
      </c>
      <c r="W121">
        <f>A!W121</f>
        <v>0</v>
      </c>
      <c r="X121">
        <f>A!X121</f>
        <v>0</v>
      </c>
      <c r="Y121">
        <f>A!Y121</f>
        <v>0</v>
      </c>
      <c r="Z121" s="32">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32"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t="str">
        <f>A!BW121</f>
        <v>_f2f55274-7708-48c8-9f23-34f94e9519db</v>
      </c>
      <c r="BY121" t="str">
        <f>A!BX121</f>
        <v>f2f55274-7708-48c8-9f23-34f94e9519db</v>
      </c>
      <c r="BZ121" t="str">
        <f>A!BY121</f>
        <v>SIKB</v>
      </c>
      <c r="CA121" t="str">
        <f>A!BZ121</f>
        <v>MM05 04 (150-200) 05 (150-200)</v>
      </c>
      <c r="CB121">
        <f>A!CA121</f>
        <v>45810</v>
      </c>
      <c r="CC121" t="str">
        <f>A!CB121</f>
        <v>#_a13c9c27-ac45-4ff5-8e2b-08bc80806939</v>
      </c>
      <c r="CD121" t="str">
        <f>A!CC121</f>
        <v>#_7414c10f-39a3-44fc-b416-118db3f20264</v>
      </c>
      <c r="CE121">
        <f>A!CD121</f>
        <v>0</v>
      </c>
      <c r="CF121" t="str">
        <f>A!CE121</f>
        <v>urn:immetingen:compartiment:id:1</v>
      </c>
      <c r="CG121" t="str">
        <f>A!CF121</f>
        <v>_TI-65023564</v>
      </c>
      <c r="CH121">
        <f>A!CG121</f>
        <v>45810</v>
      </c>
      <c r="CI121" t="str">
        <f>A!CH121</f>
        <v>urn:immetingen:monstertype:id:10</v>
      </c>
      <c r="CJ121" t="str">
        <f>A!CI121</f>
        <v>urn:imsikb0101:Applicaties:id:16</v>
      </c>
      <c r="CK121" t="str">
        <f>A!CJ121</f>
        <v>urn:imsikb0101:DatastroomType:id:1</v>
      </c>
      <c r="CL121">
        <f>A!CK121</f>
        <v>45811</v>
      </c>
      <c r="CM121" t="str">
        <f>A!CL121</f>
        <v>SGS, Rotterdam</v>
      </c>
      <c r="CN121" t="str">
        <f>A!CM121</f>
        <v>LABRESULTAAT SGS</v>
      </c>
      <c r="CO121">
        <f>A!CN121</f>
        <v>45811</v>
      </c>
      <c r="CP121">
        <f>A!CO121</f>
        <v>0</v>
      </c>
      <c r="CQ121">
        <f>A!CO431</f>
        <v>0</v>
      </c>
      <c r="CR121" t="e">
        <f>A!#REF!</f>
        <v>#REF!</v>
      </c>
      <c r="CS121" t="e">
        <f>A!#REF!</f>
        <v>#REF!</v>
      </c>
    </row>
    <row r="122" spans="1:97" x14ac:dyDescent="0.2">
      <c r="A122" t="str">
        <f>A!A122</f>
        <v>LABRESULTAAT</v>
      </c>
      <c r="B122">
        <f>A!B122</f>
        <v>6</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32" t="str">
        <f>IF(A!P122="","",INDEX(B!$A$1:$BT$2000,MATCH(A!P122,B!$AX$1:$AX$2000,0),D!$B$5))</f>
        <v/>
      </c>
      <c r="Q122">
        <f>A!Q122</f>
        <v>0</v>
      </c>
      <c r="R122">
        <f>A!R122</f>
        <v>0</v>
      </c>
      <c r="S122">
        <f>A!S122</f>
        <v>0</v>
      </c>
      <c r="T122">
        <f>A!T122</f>
        <v>0</v>
      </c>
      <c r="U122">
        <f>A!U122</f>
        <v>0</v>
      </c>
      <c r="V122" s="32">
        <f>IF(A!V122="&lt;",1,A!V122)</f>
        <v>0</v>
      </c>
      <c r="W122">
        <f>A!W122</f>
        <v>0</v>
      </c>
      <c r="X122">
        <f>A!X122</f>
        <v>0</v>
      </c>
      <c r="Y122">
        <f>A!Y122</f>
        <v>0</v>
      </c>
      <c r="Z122" s="32">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32"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t="str">
        <f>A!BW122</f>
        <v>_f2f55274-7708-48c8-9f23-34f94e9519db</v>
      </c>
      <c r="BY122" t="str">
        <f>A!BX122</f>
        <v>f2f55274-7708-48c8-9f23-34f94e9519db</v>
      </c>
      <c r="BZ122" t="str">
        <f>A!BY122</f>
        <v>SIKB</v>
      </c>
      <c r="CA122" t="str">
        <f>A!BZ122</f>
        <v>MM05 04 (150-200) 05 (150-200)</v>
      </c>
      <c r="CB122">
        <f>A!CA122</f>
        <v>45810</v>
      </c>
      <c r="CC122" t="str">
        <f>A!CB122</f>
        <v>#_a13c9c27-ac45-4ff5-8e2b-08bc80806939</v>
      </c>
      <c r="CD122" t="str">
        <f>A!CC122</f>
        <v>#_0952d15e-7792-4802-a7fc-727edf90a573</v>
      </c>
      <c r="CE122">
        <f>A!CD122</f>
        <v>0</v>
      </c>
      <c r="CF122" t="str">
        <f>A!CE122</f>
        <v>urn:immetingen:compartiment:id:1</v>
      </c>
      <c r="CG122" t="str">
        <f>A!CF122</f>
        <v>_TI-65023564</v>
      </c>
      <c r="CH122">
        <f>A!CG122</f>
        <v>45810</v>
      </c>
      <c r="CI122" t="str">
        <f>A!CH122</f>
        <v>urn:immetingen:monstertype:id:10</v>
      </c>
      <c r="CJ122" t="str">
        <f>A!CI122</f>
        <v>urn:imsikb0101:Applicaties:id:16</v>
      </c>
      <c r="CK122" t="str">
        <f>A!CJ122</f>
        <v>urn:imsikb0101:DatastroomType:id:1</v>
      </c>
      <c r="CL122">
        <f>A!CK122</f>
        <v>45811</v>
      </c>
      <c r="CM122" t="str">
        <f>A!CL122</f>
        <v>SGS, Rotterdam</v>
      </c>
      <c r="CN122" t="str">
        <f>A!CM122</f>
        <v>LABRESULTAAT SGS</v>
      </c>
      <c r="CO122">
        <f>A!CN122</f>
        <v>45811</v>
      </c>
      <c r="CP122">
        <f>A!CO122</f>
        <v>0</v>
      </c>
      <c r="CQ122">
        <f>A!CO432</f>
        <v>0</v>
      </c>
      <c r="CR122" t="e">
        <f>A!#REF!</f>
        <v>#REF!</v>
      </c>
      <c r="CS122" t="e">
        <f>A!#REF!</f>
        <v>#REF!</v>
      </c>
    </row>
    <row r="123" spans="1:97" x14ac:dyDescent="0.2">
      <c r="A123" t="str">
        <f>A!A123</f>
        <v>LABRESULTAAT</v>
      </c>
      <c r="B123">
        <f>A!B123</f>
        <v>6</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32" t="str">
        <f>IF(A!P123="","",INDEX(B!$A$1:$BT$2000,MATCH(A!P123,B!$AX$1:$AX$2000,0),D!$B$5))</f>
        <v/>
      </c>
      <c r="Q123">
        <f>A!Q123</f>
        <v>0</v>
      </c>
      <c r="R123">
        <f>A!R123</f>
        <v>0</v>
      </c>
      <c r="S123">
        <f>A!S123</f>
        <v>0</v>
      </c>
      <c r="T123">
        <f>A!T123</f>
        <v>0</v>
      </c>
      <c r="U123">
        <f>A!U123</f>
        <v>0</v>
      </c>
      <c r="V123" s="32">
        <f>IF(A!V123="&lt;",1,A!V123)</f>
        <v>0</v>
      </c>
      <c r="W123">
        <f>A!W123</f>
        <v>0</v>
      </c>
      <c r="X123">
        <f>A!X123</f>
        <v>0</v>
      </c>
      <c r="Y123">
        <f>A!Y123</f>
        <v>0</v>
      </c>
      <c r="Z123" s="32">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32"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t="str">
        <f>A!BW123</f>
        <v>_f2f55274-7708-48c8-9f23-34f94e9519db</v>
      </c>
      <c r="BY123" t="str">
        <f>A!BX123</f>
        <v>f2f55274-7708-48c8-9f23-34f94e9519db</v>
      </c>
      <c r="BZ123" t="str">
        <f>A!BY123</f>
        <v>SIKB</v>
      </c>
      <c r="CA123" t="str">
        <f>A!BZ123</f>
        <v>MM05 04 (150-200) 05 (150-200)</v>
      </c>
      <c r="CB123">
        <f>A!CA123</f>
        <v>45810</v>
      </c>
      <c r="CC123" t="str">
        <f>A!CB123</f>
        <v>#_a13c9c27-ac45-4ff5-8e2b-08bc80806939</v>
      </c>
      <c r="CD123" t="str">
        <f>A!CC123</f>
        <v>#_bd098b04-ecb5-41c6-ba19-91e2e1f175f7</v>
      </c>
      <c r="CE123">
        <f>A!CD123</f>
        <v>0</v>
      </c>
      <c r="CF123" t="str">
        <f>A!CE123</f>
        <v>urn:immetingen:compartiment:id:1</v>
      </c>
      <c r="CG123" t="str">
        <f>A!CF123</f>
        <v>_TI-65023564</v>
      </c>
      <c r="CH123">
        <f>A!CG123</f>
        <v>45810</v>
      </c>
      <c r="CI123" t="str">
        <f>A!CH123</f>
        <v>urn:immetingen:monstertype:id:10</v>
      </c>
      <c r="CJ123" t="str">
        <f>A!CI123</f>
        <v>urn:imsikb0101:Applicaties:id:16</v>
      </c>
      <c r="CK123" t="str">
        <f>A!CJ123</f>
        <v>urn:imsikb0101:DatastroomType:id:1</v>
      </c>
      <c r="CL123">
        <f>A!CK123</f>
        <v>45811</v>
      </c>
      <c r="CM123" t="str">
        <f>A!CL123</f>
        <v>SGS, Rotterdam</v>
      </c>
      <c r="CN123" t="str">
        <f>A!CM123</f>
        <v>LABRESULTAAT SGS</v>
      </c>
      <c r="CO123">
        <f>A!CN123</f>
        <v>45811</v>
      </c>
      <c r="CP123">
        <f>A!CO123</f>
        <v>0</v>
      </c>
      <c r="CQ123">
        <f>A!CO433</f>
        <v>0</v>
      </c>
      <c r="CR123" t="e">
        <f>A!#REF!</f>
        <v>#REF!</v>
      </c>
      <c r="CS123" t="e">
        <f>A!#REF!</f>
        <v>#REF!</v>
      </c>
    </row>
    <row r="124" spans="1:97" x14ac:dyDescent="0.2">
      <c r="A124" t="str">
        <f>A!A124</f>
        <v>LABRESULTAAT</v>
      </c>
      <c r="B124">
        <f>A!B124</f>
        <v>6</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32" t="str">
        <f>IF(A!P124="","",INDEX(B!$A$1:$BT$2000,MATCH(A!P124,B!$AX$1:$AX$2000,0),D!$B$5))</f>
        <v/>
      </c>
      <c r="Q124">
        <f>A!Q124</f>
        <v>0</v>
      </c>
      <c r="R124">
        <f>A!R124</f>
        <v>0</v>
      </c>
      <c r="S124">
        <f>A!S124</f>
        <v>0</v>
      </c>
      <c r="T124">
        <f>A!T124</f>
        <v>0</v>
      </c>
      <c r="U124">
        <f>A!U124</f>
        <v>0</v>
      </c>
      <c r="V124" s="32">
        <f>IF(A!V124="&lt;",1,A!V124)</f>
        <v>0</v>
      </c>
      <c r="W124">
        <f>A!W124</f>
        <v>0</v>
      </c>
      <c r="X124">
        <f>A!X124</f>
        <v>0</v>
      </c>
      <c r="Y124">
        <f>A!Y124</f>
        <v>0</v>
      </c>
      <c r="Z124" s="32">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32"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t="str">
        <f>A!BW124</f>
        <v>_f2f55274-7708-48c8-9f23-34f94e9519db</v>
      </c>
      <c r="BY124" t="str">
        <f>A!BX124</f>
        <v>f2f55274-7708-48c8-9f23-34f94e9519db</v>
      </c>
      <c r="BZ124" t="str">
        <f>A!BY124</f>
        <v>SIKB</v>
      </c>
      <c r="CA124" t="str">
        <f>A!BZ124</f>
        <v>MM05 04 (150-200) 05 (150-200)</v>
      </c>
      <c r="CB124">
        <f>A!CA124</f>
        <v>45810</v>
      </c>
      <c r="CC124" t="str">
        <f>A!CB124</f>
        <v>#_a13c9c27-ac45-4ff5-8e2b-08bc80806939</v>
      </c>
      <c r="CD124" t="str">
        <f>A!CC124</f>
        <v>#_d7512183-2f89-48ec-88ee-b753822b4e1b</v>
      </c>
      <c r="CE124">
        <f>A!CD124</f>
        <v>0</v>
      </c>
      <c r="CF124" t="str">
        <f>A!CE124</f>
        <v>urn:immetingen:compartiment:id:1</v>
      </c>
      <c r="CG124" t="str">
        <f>A!CF124</f>
        <v>_TI-65023564</v>
      </c>
      <c r="CH124">
        <f>A!CG124</f>
        <v>45810</v>
      </c>
      <c r="CI124" t="str">
        <f>A!CH124</f>
        <v>urn:immetingen:monstertype:id:10</v>
      </c>
      <c r="CJ124" t="str">
        <f>A!CI124</f>
        <v>urn:imsikb0101:Applicaties:id:16</v>
      </c>
      <c r="CK124" t="str">
        <f>A!CJ124</f>
        <v>urn:imsikb0101:DatastroomType:id:1</v>
      </c>
      <c r="CL124">
        <f>A!CK124</f>
        <v>45811</v>
      </c>
      <c r="CM124" t="str">
        <f>A!CL124</f>
        <v>SGS, Rotterdam</v>
      </c>
      <c r="CN124" t="str">
        <f>A!CM124</f>
        <v>LABRESULTAAT SGS</v>
      </c>
      <c r="CO124">
        <f>A!CN124</f>
        <v>45811</v>
      </c>
      <c r="CP124">
        <f>A!CO124</f>
        <v>0</v>
      </c>
      <c r="CQ124">
        <f>A!CO434</f>
        <v>0</v>
      </c>
      <c r="CR124" t="e">
        <f>A!#REF!</f>
        <v>#REF!</v>
      </c>
      <c r="CS124" t="e">
        <f>A!#REF!</f>
        <v>#REF!</v>
      </c>
    </row>
    <row r="125" spans="1:97" x14ac:dyDescent="0.2">
      <c r="A125" t="str">
        <f>A!A125</f>
        <v>LABRESULTAAT</v>
      </c>
      <c r="B125">
        <f>A!B125</f>
        <v>6</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32" t="str">
        <f>IF(A!P125="","",INDEX(B!$A$1:$BT$2000,MATCH(A!P125,B!$AX$1:$AX$2000,0),D!$B$5))</f>
        <v/>
      </c>
      <c r="Q125">
        <f>A!Q125</f>
        <v>0</v>
      </c>
      <c r="R125">
        <f>A!R125</f>
        <v>0</v>
      </c>
      <c r="S125">
        <f>A!S125</f>
        <v>0</v>
      </c>
      <c r="T125">
        <f>A!T125</f>
        <v>0</v>
      </c>
      <c r="U125">
        <f>A!U125</f>
        <v>0</v>
      </c>
      <c r="V125" s="32">
        <f>IF(A!V125="&lt;",1,A!V125)</f>
        <v>0</v>
      </c>
      <c r="W125">
        <f>A!W125</f>
        <v>0</v>
      </c>
      <c r="X125">
        <f>A!X125</f>
        <v>0</v>
      </c>
      <c r="Y125">
        <f>A!Y125</f>
        <v>0</v>
      </c>
      <c r="Z125" s="32">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32"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t="str">
        <f>A!BW125</f>
        <v>_f2f55274-7708-48c8-9f23-34f94e9519db</v>
      </c>
      <c r="BY125" t="str">
        <f>A!BX125</f>
        <v>f2f55274-7708-48c8-9f23-34f94e9519db</v>
      </c>
      <c r="BZ125" t="str">
        <f>A!BY125</f>
        <v>SIKB</v>
      </c>
      <c r="CA125" t="str">
        <f>A!BZ125</f>
        <v>MM05 04 (150-200) 05 (150-200)</v>
      </c>
      <c r="CB125">
        <f>A!CA125</f>
        <v>45810</v>
      </c>
      <c r="CC125" t="str">
        <f>A!CB125</f>
        <v>#_a13c9c27-ac45-4ff5-8e2b-08bc80806939</v>
      </c>
      <c r="CD125" t="str">
        <f>A!CC125</f>
        <v>#_ae2a2607-d21c-4c3c-8929-f5e10cd44e82</v>
      </c>
      <c r="CE125">
        <f>A!CD125</f>
        <v>0</v>
      </c>
      <c r="CF125" t="str">
        <f>A!CE125</f>
        <v>urn:immetingen:compartiment:id:1</v>
      </c>
      <c r="CG125" t="str">
        <f>A!CF125</f>
        <v>_TI-65023564</v>
      </c>
      <c r="CH125">
        <f>A!CG125</f>
        <v>45810</v>
      </c>
      <c r="CI125" t="str">
        <f>A!CH125</f>
        <v>urn:immetingen:monstertype:id:10</v>
      </c>
      <c r="CJ125" t="str">
        <f>A!CI125</f>
        <v>urn:imsikb0101:Applicaties:id:16</v>
      </c>
      <c r="CK125" t="str">
        <f>A!CJ125</f>
        <v>urn:imsikb0101:DatastroomType:id:1</v>
      </c>
      <c r="CL125">
        <f>A!CK125</f>
        <v>45811</v>
      </c>
      <c r="CM125" t="str">
        <f>A!CL125</f>
        <v>SGS, Rotterdam</v>
      </c>
      <c r="CN125" t="str">
        <f>A!CM125</f>
        <v>LABRESULTAAT SGS</v>
      </c>
      <c r="CO125">
        <f>A!CN125</f>
        <v>45811</v>
      </c>
      <c r="CP125">
        <f>A!CO125</f>
        <v>0</v>
      </c>
      <c r="CQ125">
        <f>A!CO435</f>
        <v>0</v>
      </c>
      <c r="CR125" t="e">
        <f>A!#REF!</f>
        <v>#REF!</v>
      </c>
      <c r="CS125" t="e">
        <f>A!#REF!</f>
        <v>#REF!</v>
      </c>
    </row>
    <row r="126" spans="1:97" x14ac:dyDescent="0.2">
      <c r="A126" t="str">
        <f>A!A126</f>
        <v>LABRESULTAAT</v>
      </c>
      <c r="B126">
        <f>A!B126</f>
        <v>6</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32" t="str">
        <f>IF(A!P126="","",INDEX(B!$A$1:$BT$2000,MATCH(A!P126,B!$AX$1:$AX$2000,0),D!$B$5))</f>
        <v/>
      </c>
      <c r="Q126">
        <f>A!Q126</f>
        <v>0</v>
      </c>
      <c r="R126">
        <f>A!R126</f>
        <v>0</v>
      </c>
      <c r="S126">
        <f>A!S126</f>
        <v>0</v>
      </c>
      <c r="T126">
        <f>A!T126</f>
        <v>0</v>
      </c>
      <c r="U126">
        <f>A!U126</f>
        <v>0</v>
      </c>
      <c r="V126" s="32">
        <f>IF(A!V126="&lt;",1,A!V126)</f>
        <v>0</v>
      </c>
      <c r="W126">
        <f>A!W126</f>
        <v>0</v>
      </c>
      <c r="X126">
        <f>A!X126</f>
        <v>0</v>
      </c>
      <c r="Y126">
        <f>A!Y126</f>
        <v>0</v>
      </c>
      <c r="Z126" s="32">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32"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t="str">
        <f>A!BW126</f>
        <v>_f2f55274-7708-48c8-9f23-34f94e9519db</v>
      </c>
      <c r="BY126" t="str">
        <f>A!BX126</f>
        <v>f2f55274-7708-48c8-9f23-34f94e9519db</v>
      </c>
      <c r="BZ126" t="str">
        <f>A!BY126</f>
        <v>SIKB</v>
      </c>
      <c r="CA126" t="str">
        <f>A!BZ126</f>
        <v>MM05 04 (150-200) 05 (150-200)</v>
      </c>
      <c r="CB126">
        <f>A!CA126</f>
        <v>45810</v>
      </c>
      <c r="CC126" t="str">
        <f>A!CB126</f>
        <v>#_a13c9c27-ac45-4ff5-8e2b-08bc80806939</v>
      </c>
      <c r="CD126" t="str">
        <f>A!CC126</f>
        <v>#_f8608ba2-06fe-4632-a705-031c8c397a90</v>
      </c>
      <c r="CE126">
        <f>A!CD126</f>
        <v>0</v>
      </c>
      <c r="CF126" t="str">
        <f>A!CE126</f>
        <v>urn:immetingen:compartiment:id:1</v>
      </c>
      <c r="CG126" t="str">
        <f>A!CF126</f>
        <v>_TI-65023564</v>
      </c>
      <c r="CH126">
        <f>A!CG126</f>
        <v>45810</v>
      </c>
      <c r="CI126" t="str">
        <f>A!CH126</f>
        <v>urn:immetingen:monstertype:id:10</v>
      </c>
      <c r="CJ126" t="str">
        <f>A!CI126</f>
        <v>urn:imsikb0101:Applicaties:id:16</v>
      </c>
      <c r="CK126" t="str">
        <f>A!CJ126</f>
        <v>urn:imsikb0101:DatastroomType:id:1</v>
      </c>
      <c r="CL126">
        <f>A!CK126</f>
        <v>45811</v>
      </c>
      <c r="CM126" t="str">
        <f>A!CL126</f>
        <v>SGS, Rotterdam</v>
      </c>
      <c r="CN126" t="str">
        <f>A!CM126</f>
        <v>LABRESULTAAT SGS</v>
      </c>
      <c r="CO126">
        <f>A!CN126</f>
        <v>45811</v>
      </c>
      <c r="CP126">
        <f>A!CO126</f>
        <v>0</v>
      </c>
      <c r="CQ126">
        <f>A!CO436</f>
        <v>0</v>
      </c>
      <c r="CR126" t="e">
        <f>A!#REF!</f>
        <v>#REF!</v>
      </c>
      <c r="CS126" t="e">
        <f>A!#REF!</f>
        <v>#REF!</v>
      </c>
    </row>
    <row r="127" spans="1:97" x14ac:dyDescent="0.2">
      <c r="A127" t="str">
        <f>A!A127</f>
        <v>LABRESULTAAT</v>
      </c>
      <c r="B127">
        <f>A!B127</f>
        <v>6</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32" t="str">
        <f>IF(A!P127="","",INDEX(B!$A$1:$BT$2000,MATCH(A!P127,B!$AX$1:$AX$2000,0),D!$B$5))</f>
        <v/>
      </c>
      <c r="Q127">
        <f>A!Q127</f>
        <v>0</v>
      </c>
      <c r="R127">
        <f>A!R127</f>
        <v>0</v>
      </c>
      <c r="S127">
        <f>A!S127</f>
        <v>0</v>
      </c>
      <c r="T127">
        <f>A!T127</f>
        <v>0</v>
      </c>
      <c r="U127">
        <f>A!U127</f>
        <v>0</v>
      </c>
      <c r="V127" s="32">
        <f>IF(A!V127="&lt;",1,A!V127)</f>
        <v>0</v>
      </c>
      <c r="W127">
        <f>A!W127</f>
        <v>0</v>
      </c>
      <c r="X127">
        <f>A!X127</f>
        <v>0</v>
      </c>
      <c r="Y127">
        <f>A!Y127</f>
        <v>0</v>
      </c>
      <c r="Z127" s="32">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32"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t="str">
        <f>A!BW127</f>
        <v>_f2f55274-7708-48c8-9f23-34f94e9519db</v>
      </c>
      <c r="BY127" t="str">
        <f>A!BX127</f>
        <v>f2f55274-7708-48c8-9f23-34f94e9519db</v>
      </c>
      <c r="BZ127" t="str">
        <f>A!BY127</f>
        <v>SIKB</v>
      </c>
      <c r="CA127" t="str">
        <f>A!BZ127</f>
        <v>MM05 04 (150-200) 05 (150-200)</v>
      </c>
      <c r="CB127">
        <f>A!CA127</f>
        <v>45810</v>
      </c>
      <c r="CC127" t="str">
        <f>A!CB127</f>
        <v>#_a13c9c27-ac45-4ff5-8e2b-08bc80806939</v>
      </c>
      <c r="CD127" t="str">
        <f>A!CC127</f>
        <v>#_ea98ce30-b48e-40e2-a389-84dc49799fab</v>
      </c>
      <c r="CE127">
        <f>A!CD127</f>
        <v>0</v>
      </c>
      <c r="CF127" t="str">
        <f>A!CE127</f>
        <v>urn:immetingen:compartiment:id:1</v>
      </c>
      <c r="CG127" t="str">
        <f>A!CF127</f>
        <v>_TI-65023564</v>
      </c>
      <c r="CH127">
        <f>A!CG127</f>
        <v>45810</v>
      </c>
      <c r="CI127" t="str">
        <f>A!CH127</f>
        <v>urn:immetingen:monstertype:id:10</v>
      </c>
      <c r="CJ127" t="str">
        <f>A!CI127</f>
        <v>urn:imsikb0101:Applicaties:id:16</v>
      </c>
      <c r="CK127" t="str">
        <f>A!CJ127</f>
        <v>urn:imsikb0101:DatastroomType:id:1</v>
      </c>
      <c r="CL127">
        <f>A!CK127</f>
        <v>45811</v>
      </c>
      <c r="CM127" t="str">
        <f>A!CL127</f>
        <v>SGS, Rotterdam</v>
      </c>
      <c r="CN127" t="str">
        <f>A!CM127</f>
        <v>LABRESULTAAT SGS</v>
      </c>
      <c r="CO127">
        <f>A!CN127</f>
        <v>45811</v>
      </c>
      <c r="CP127">
        <f>A!CO127</f>
        <v>0</v>
      </c>
      <c r="CQ127">
        <f>A!CO437</f>
        <v>0</v>
      </c>
      <c r="CR127" t="e">
        <f>A!#REF!</f>
        <v>#REF!</v>
      </c>
      <c r="CS127" t="e">
        <f>A!#REF!</f>
        <v>#REF!</v>
      </c>
    </row>
    <row r="128" spans="1:97" x14ac:dyDescent="0.2">
      <c r="A128" t="str">
        <f>A!A128</f>
        <v>LABRESULTAAT</v>
      </c>
      <c r="B128">
        <f>A!B128</f>
        <v>6</v>
      </c>
      <c r="C128">
        <f>A!C128</f>
        <v>0</v>
      </c>
      <c r="D128">
        <f>A!D128</f>
        <v>0</v>
      </c>
      <c r="E128">
        <f>A!E128</f>
        <v>0</v>
      </c>
      <c r="F128">
        <f>A!F128</f>
        <v>0</v>
      </c>
      <c r="G128">
        <f>A!G128</f>
        <v>0</v>
      </c>
      <c r="H128">
        <f>A!H128</f>
        <v>0</v>
      </c>
      <c r="I128">
        <f>A!I128</f>
        <v>0</v>
      </c>
      <c r="J128">
        <f>A!J128</f>
        <v>0</v>
      </c>
      <c r="K128">
        <f>A!K128</f>
        <v>0</v>
      </c>
      <c r="L128">
        <f>A!L128</f>
        <v>0</v>
      </c>
      <c r="M128">
        <f>A!M128</f>
        <v>0</v>
      </c>
      <c r="N128">
        <f>A!N128</f>
        <v>0</v>
      </c>
      <c r="O128">
        <f>A!O128</f>
        <v>0</v>
      </c>
      <c r="P128" s="32" t="str">
        <f>IF(A!P128="","",INDEX(B!$A$1:$BT$2000,MATCH(A!P128,B!$AX$1:$AX$2000,0),D!$B$5))</f>
        <v/>
      </c>
      <c r="Q128">
        <f>A!Q128</f>
        <v>0</v>
      </c>
      <c r="R128">
        <f>A!R128</f>
        <v>0</v>
      </c>
      <c r="S128">
        <f>A!S128</f>
        <v>0</v>
      </c>
      <c r="T128">
        <f>A!T128</f>
        <v>0</v>
      </c>
      <c r="U128">
        <f>A!U128</f>
        <v>0</v>
      </c>
      <c r="V128" s="32">
        <f>IF(A!V128="&lt;",1,A!V128)</f>
        <v>0</v>
      </c>
      <c r="W128">
        <f>A!W128</f>
        <v>0</v>
      </c>
      <c r="X128">
        <f>A!X128</f>
        <v>0</v>
      </c>
      <c r="Y128">
        <f>A!Y128</f>
        <v>0</v>
      </c>
      <c r="Z128" s="32">
        <f t="shared" si="1"/>
        <v>0</v>
      </c>
      <c r="AA128">
        <f>A!Z128</f>
        <v>0</v>
      </c>
      <c r="AB128">
        <f>A!AA128</f>
        <v>0</v>
      </c>
      <c r="AC128">
        <f>A!AB128</f>
        <v>0</v>
      </c>
      <c r="AD128">
        <f>A!AC128</f>
        <v>0</v>
      </c>
      <c r="AE128">
        <f>A!AD128</f>
        <v>0</v>
      </c>
      <c r="AF128">
        <f>A!AE128</f>
        <v>0</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32"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t="str">
        <f>A!BW128</f>
        <v>_f2f55274-7708-48c8-9f23-34f94e9519db</v>
      </c>
      <c r="BY128" t="str">
        <f>A!BX128</f>
        <v>f2f55274-7708-48c8-9f23-34f94e9519db</v>
      </c>
      <c r="BZ128" t="str">
        <f>A!BY128</f>
        <v>SIKB</v>
      </c>
      <c r="CA128" t="str">
        <f>A!BZ128</f>
        <v>MM05 04 (150-200) 05 (150-200)</v>
      </c>
      <c r="CB128">
        <f>A!CA128</f>
        <v>45810</v>
      </c>
      <c r="CC128" t="str">
        <f>A!CB128</f>
        <v>#_a13c9c27-ac45-4ff5-8e2b-08bc80806939</v>
      </c>
      <c r="CD128" t="str">
        <f>A!CC128</f>
        <v>#_679f615b-206f-4b50-9f52-cdf4c63d1925</v>
      </c>
      <c r="CE128">
        <f>A!CD128</f>
        <v>0</v>
      </c>
      <c r="CF128" t="str">
        <f>A!CE128</f>
        <v>urn:immetingen:compartiment:id:1</v>
      </c>
      <c r="CG128" t="str">
        <f>A!CF128</f>
        <v>_TI-65023564</v>
      </c>
      <c r="CH128">
        <f>A!CG128</f>
        <v>45810</v>
      </c>
      <c r="CI128" t="str">
        <f>A!CH128</f>
        <v>urn:immetingen:monstertype:id:10</v>
      </c>
      <c r="CJ128" t="str">
        <f>A!CI128</f>
        <v>urn:imsikb0101:Applicaties:id:16</v>
      </c>
      <c r="CK128" t="str">
        <f>A!CJ128</f>
        <v>urn:imsikb0101:DatastroomType:id:1</v>
      </c>
      <c r="CL128">
        <f>A!CK128</f>
        <v>45811</v>
      </c>
      <c r="CM128" t="str">
        <f>A!CL128</f>
        <v>SGS, Rotterdam</v>
      </c>
      <c r="CN128" t="str">
        <f>A!CM128</f>
        <v>LABRESULTAAT SGS</v>
      </c>
      <c r="CO128">
        <f>A!CN128</f>
        <v>45811</v>
      </c>
      <c r="CP128">
        <f>A!CO128</f>
        <v>0</v>
      </c>
      <c r="CQ128">
        <f>A!CO438</f>
        <v>0</v>
      </c>
      <c r="CR128" t="e">
        <f>A!#REF!</f>
        <v>#REF!</v>
      </c>
      <c r="CS128" t="e">
        <f>A!#REF!</f>
        <v>#REF!</v>
      </c>
    </row>
    <row r="129" spans="1:97" x14ac:dyDescent="0.2">
      <c r="A129" t="str">
        <f>A!A129</f>
        <v>LABRESULTAAT</v>
      </c>
      <c r="B129">
        <f>A!B129</f>
        <v>7</v>
      </c>
      <c r="C129">
        <f>A!C129</f>
        <v>0</v>
      </c>
      <c r="D129">
        <f>A!D129</f>
        <v>0</v>
      </c>
      <c r="E129">
        <f>A!E129</f>
        <v>0</v>
      </c>
      <c r="F129">
        <f>A!F129</f>
        <v>0</v>
      </c>
      <c r="G129">
        <f>A!G129</f>
        <v>0</v>
      </c>
      <c r="H129">
        <f>A!H129</f>
        <v>0</v>
      </c>
      <c r="I129">
        <f>A!I129</f>
        <v>0</v>
      </c>
      <c r="J129">
        <f>A!J129</f>
        <v>0</v>
      </c>
      <c r="K129">
        <f>A!K129</f>
        <v>0</v>
      </c>
      <c r="L129">
        <f>A!L129</f>
        <v>0</v>
      </c>
      <c r="M129">
        <f>A!M129</f>
        <v>0</v>
      </c>
      <c r="N129">
        <f>A!N129</f>
        <v>0</v>
      </c>
      <c r="O129">
        <f>A!O129</f>
        <v>0</v>
      </c>
      <c r="P129" s="32" t="str">
        <f>IF(A!P129="","",INDEX(B!$A$1:$BT$2000,MATCH(A!P129,B!$AX$1:$AX$2000,0),D!$B$5))</f>
        <v/>
      </c>
      <c r="Q129">
        <f>A!Q129</f>
        <v>0</v>
      </c>
      <c r="R129">
        <f>A!R129</f>
        <v>0</v>
      </c>
      <c r="S129">
        <f>A!S129</f>
        <v>0</v>
      </c>
      <c r="T129">
        <f>A!T129</f>
        <v>0</v>
      </c>
      <c r="U129">
        <f>A!U129</f>
        <v>0</v>
      </c>
      <c r="V129" s="32">
        <f>IF(A!V129="&lt;",1,A!V129)</f>
        <v>0</v>
      </c>
      <c r="W129">
        <f>A!W129</f>
        <v>0</v>
      </c>
      <c r="X129">
        <f>A!X129</f>
        <v>0</v>
      </c>
      <c r="Y129">
        <f>A!Y129</f>
        <v>0</v>
      </c>
      <c r="Z129" s="32">
        <f t="shared" si="1"/>
        <v>0</v>
      </c>
      <c r="AA129">
        <f>A!Z129</f>
        <v>0</v>
      </c>
      <c r="AB129">
        <f>A!AA129</f>
        <v>0</v>
      </c>
      <c r="AC129">
        <f>A!AB129</f>
        <v>0</v>
      </c>
      <c r="AD129">
        <f>A!AC129</f>
        <v>0</v>
      </c>
      <c r="AE129">
        <f>A!AD129</f>
        <v>0</v>
      </c>
      <c r="AF129">
        <f>A!AE129</f>
        <v>0</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32"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t="str">
        <f>A!BW129</f>
        <v>_64cefbfc-c86e-49fa-99bc-0eb47d1104c4</v>
      </c>
      <c r="BY129" t="str">
        <f>A!BX129</f>
        <v>64cefbfc-c86e-49fa-99bc-0eb47d1104c4</v>
      </c>
      <c r="BZ129" t="str">
        <f>A!BY129</f>
        <v>SIKB</v>
      </c>
      <c r="CA129" t="str">
        <f>A!BZ129</f>
        <v>MM06 04 (200-250) 04 (250-300) 05 (200-250) 05 (250-300)</v>
      </c>
      <c r="CB129">
        <f>A!CA129</f>
        <v>45810</v>
      </c>
      <c r="CC129" t="str">
        <f>A!CB129</f>
        <v>#_a13c9c27-ac45-4ff5-8e2b-08bc80806939</v>
      </c>
      <c r="CD129" t="str">
        <f>A!CC129</f>
        <v>#_a36b7307-7353-45bc-b8bb-c08d09291fd0</v>
      </c>
      <c r="CE129">
        <f>A!CD129</f>
        <v>0</v>
      </c>
      <c r="CF129" t="str">
        <f>A!CE129</f>
        <v>urn:immetingen:compartiment:id:1</v>
      </c>
      <c r="CG129" t="str">
        <f>A!CF129</f>
        <v>_TI-65023568</v>
      </c>
      <c r="CH129">
        <f>A!CG129</f>
        <v>45810</v>
      </c>
      <c r="CI129" t="str">
        <f>A!CH129</f>
        <v>urn:immetingen:monstertype:id:10</v>
      </c>
      <c r="CJ129" t="str">
        <f>A!CI129</f>
        <v>urn:imsikb0101:Applicaties:id:16</v>
      </c>
      <c r="CK129" t="str">
        <f>A!CJ129</f>
        <v>urn:imsikb0101:DatastroomType:id:1</v>
      </c>
      <c r="CL129">
        <f>A!CK129</f>
        <v>45811</v>
      </c>
      <c r="CM129" t="str">
        <f>A!CL129</f>
        <v>SGS, Rotterdam</v>
      </c>
      <c r="CN129" t="str">
        <f>A!CM129</f>
        <v>LABRESULTAAT SGS</v>
      </c>
      <c r="CO129">
        <f>A!CN129</f>
        <v>45811</v>
      </c>
      <c r="CP129">
        <f>A!CO129</f>
        <v>0</v>
      </c>
      <c r="CQ129">
        <f>A!CO439</f>
        <v>0</v>
      </c>
      <c r="CR129" t="e">
        <f>A!#REF!</f>
        <v>#REF!</v>
      </c>
      <c r="CS129" t="e">
        <f>A!#REF!</f>
        <v>#REF!</v>
      </c>
    </row>
    <row r="130" spans="1:97" x14ac:dyDescent="0.2">
      <c r="A130" t="str">
        <f>A!A130</f>
        <v>LABRESULTAAT</v>
      </c>
      <c r="B130">
        <f>A!B130</f>
        <v>7</v>
      </c>
      <c r="C130">
        <f>A!C130</f>
        <v>0</v>
      </c>
      <c r="D130">
        <f>A!D130</f>
        <v>0</v>
      </c>
      <c r="E130">
        <f>A!E130</f>
        <v>0</v>
      </c>
      <c r="F130">
        <f>A!F130</f>
        <v>0</v>
      </c>
      <c r="G130">
        <f>A!G130</f>
        <v>0</v>
      </c>
      <c r="H130">
        <f>A!H130</f>
        <v>0</v>
      </c>
      <c r="I130">
        <f>A!I130</f>
        <v>0</v>
      </c>
      <c r="J130">
        <f>A!J130</f>
        <v>0</v>
      </c>
      <c r="K130">
        <f>A!K130</f>
        <v>0</v>
      </c>
      <c r="L130">
        <f>A!L130</f>
        <v>0</v>
      </c>
      <c r="M130">
        <f>A!M130</f>
        <v>0</v>
      </c>
      <c r="N130">
        <f>A!N130</f>
        <v>0</v>
      </c>
      <c r="O130">
        <f>A!O130</f>
        <v>0</v>
      </c>
      <c r="P130" s="32" t="str">
        <f>IF(A!P130="","",INDEX(B!$A$1:$BT$2000,MATCH(A!P130,B!$AX$1:$AX$2000,0),D!$B$5))</f>
        <v/>
      </c>
      <c r="Q130">
        <f>A!Q130</f>
        <v>0</v>
      </c>
      <c r="R130">
        <f>A!R130</f>
        <v>0</v>
      </c>
      <c r="S130">
        <f>A!S130</f>
        <v>0</v>
      </c>
      <c r="T130">
        <f>A!T130</f>
        <v>0</v>
      </c>
      <c r="U130">
        <f>A!U130</f>
        <v>0</v>
      </c>
      <c r="V130" s="32">
        <f>IF(A!V130="&lt;",1,A!V130)</f>
        <v>0</v>
      </c>
      <c r="W130">
        <f>A!W130</f>
        <v>0</v>
      </c>
      <c r="X130">
        <f>A!X130</f>
        <v>0</v>
      </c>
      <c r="Y130">
        <f>A!Y130</f>
        <v>0</v>
      </c>
      <c r="Z130" s="32">
        <f t="shared" si="1"/>
        <v>0</v>
      </c>
      <c r="AA130">
        <f>A!Z130</f>
        <v>0</v>
      </c>
      <c r="AB130">
        <f>A!AA130</f>
        <v>0</v>
      </c>
      <c r="AC130">
        <f>A!AB130</f>
        <v>0</v>
      </c>
      <c r="AD130">
        <f>A!AC130</f>
        <v>0</v>
      </c>
      <c r="AE130">
        <f>A!AD130</f>
        <v>0</v>
      </c>
      <c r="AF130">
        <f>A!AE130</f>
        <v>0</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32"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t="str">
        <f>A!BW130</f>
        <v>_64cefbfc-c86e-49fa-99bc-0eb47d1104c4</v>
      </c>
      <c r="BY130" t="str">
        <f>A!BX130</f>
        <v>64cefbfc-c86e-49fa-99bc-0eb47d1104c4</v>
      </c>
      <c r="BZ130" t="str">
        <f>A!BY130</f>
        <v>SIKB</v>
      </c>
      <c r="CA130" t="str">
        <f>A!BZ130</f>
        <v>MM06 04 (200-250) 04 (250-300) 05 (200-250) 05 (250-300)</v>
      </c>
      <c r="CB130">
        <f>A!CA130</f>
        <v>45810</v>
      </c>
      <c r="CC130" t="str">
        <f>A!CB130</f>
        <v>#_a13c9c27-ac45-4ff5-8e2b-08bc80806939</v>
      </c>
      <c r="CD130" t="str">
        <f>A!CC130</f>
        <v>#_07cfbc49-d1f5-45bf-8f60-b6837ce0b62b</v>
      </c>
      <c r="CE130">
        <f>A!CD130</f>
        <v>0</v>
      </c>
      <c r="CF130" t="str">
        <f>A!CE130</f>
        <v>urn:immetingen:compartiment:id:1</v>
      </c>
      <c r="CG130" t="str">
        <f>A!CF130</f>
        <v>_TI-65023568</v>
      </c>
      <c r="CH130">
        <f>A!CG130</f>
        <v>45810</v>
      </c>
      <c r="CI130" t="str">
        <f>A!CH130</f>
        <v>urn:immetingen:monstertype:id:10</v>
      </c>
      <c r="CJ130" t="str">
        <f>A!CI130</f>
        <v>urn:imsikb0101:Applicaties:id:16</v>
      </c>
      <c r="CK130" t="str">
        <f>A!CJ130</f>
        <v>urn:imsikb0101:DatastroomType:id:1</v>
      </c>
      <c r="CL130">
        <f>A!CK130</f>
        <v>45811</v>
      </c>
      <c r="CM130" t="str">
        <f>A!CL130</f>
        <v>SGS, Rotterdam</v>
      </c>
      <c r="CN130" t="str">
        <f>A!CM130</f>
        <v>LABRESULTAAT SGS</v>
      </c>
      <c r="CO130">
        <f>A!CN130</f>
        <v>45811</v>
      </c>
      <c r="CP130">
        <f>A!CO130</f>
        <v>0</v>
      </c>
      <c r="CQ130">
        <f>A!CO440</f>
        <v>0</v>
      </c>
      <c r="CR130" t="e">
        <f>A!#REF!</f>
        <v>#REF!</v>
      </c>
      <c r="CS130" t="e">
        <f>A!#REF!</f>
        <v>#REF!</v>
      </c>
    </row>
    <row r="131" spans="1:97" x14ac:dyDescent="0.2">
      <c r="A131" t="str">
        <f>A!A131</f>
        <v>LABRESULTAAT</v>
      </c>
      <c r="B131">
        <f>A!B131</f>
        <v>7</v>
      </c>
      <c r="C131">
        <f>A!C131</f>
        <v>0</v>
      </c>
      <c r="D131">
        <f>A!D131</f>
        <v>0</v>
      </c>
      <c r="E131">
        <f>A!E131</f>
        <v>0</v>
      </c>
      <c r="F131">
        <f>A!F131</f>
        <v>0</v>
      </c>
      <c r="G131">
        <f>A!G131</f>
        <v>0</v>
      </c>
      <c r="H131">
        <f>A!H131</f>
        <v>0</v>
      </c>
      <c r="I131">
        <f>A!I131</f>
        <v>0</v>
      </c>
      <c r="J131">
        <f>A!J131</f>
        <v>0</v>
      </c>
      <c r="K131">
        <f>A!K131</f>
        <v>0</v>
      </c>
      <c r="L131">
        <f>A!L131</f>
        <v>0</v>
      </c>
      <c r="M131">
        <f>A!M131</f>
        <v>0</v>
      </c>
      <c r="N131">
        <f>A!N131</f>
        <v>0</v>
      </c>
      <c r="O131">
        <f>A!O131</f>
        <v>0</v>
      </c>
      <c r="P131" s="32" t="str">
        <f>IF(A!P131="","",INDEX(B!$A$1:$BT$2000,MATCH(A!P131,B!$AX$1:$AX$2000,0),D!$B$5))</f>
        <v/>
      </c>
      <c r="Q131">
        <f>A!Q131</f>
        <v>0</v>
      </c>
      <c r="R131">
        <f>A!R131</f>
        <v>0</v>
      </c>
      <c r="S131">
        <f>A!S131</f>
        <v>0</v>
      </c>
      <c r="T131">
        <f>A!T131</f>
        <v>0</v>
      </c>
      <c r="U131">
        <f>A!U131</f>
        <v>0</v>
      </c>
      <c r="V131" s="32">
        <f>IF(A!V131="&lt;",1,A!V131)</f>
        <v>0</v>
      </c>
      <c r="W131">
        <f>A!W131</f>
        <v>0</v>
      </c>
      <c r="X131">
        <f>A!X131</f>
        <v>0</v>
      </c>
      <c r="Y131">
        <f>A!Y131</f>
        <v>0</v>
      </c>
      <c r="Z131" s="32">
        <f t="shared" si="1"/>
        <v>0</v>
      </c>
      <c r="AA131">
        <f>A!Z131</f>
        <v>0</v>
      </c>
      <c r="AB131">
        <f>A!AA131</f>
        <v>0</v>
      </c>
      <c r="AC131">
        <f>A!AB131</f>
        <v>0</v>
      </c>
      <c r="AD131">
        <f>A!AC131</f>
        <v>0</v>
      </c>
      <c r="AE131">
        <f>A!AD131</f>
        <v>0</v>
      </c>
      <c r="AF131">
        <f>A!AE131</f>
        <v>0</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32"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t="str">
        <f>A!BW131</f>
        <v>_64cefbfc-c86e-49fa-99bc-0eb47d1104c4</v>
      </c>
      <c r="BY131" t="str">
        <f>A!BX131</f>
        <v>64cefbfc-c86e-49fa-99bc-0eb47d1104c4</v>
      </c>
      <c r="BZ131" t="str">
        <f>A!BY131</f>
        <v>SIKB</v>
      </c>
      <c r="CA131" t="str">
        <f>A!BZ131</f>
        <v>MM06 04 (200-250) 04 (250-300) 05 (200-250) 05 (250-300)</v>
      </c>
      <c r="CB131">
        <f>A!CA131</f>
        <v>45810</v>
      </c>
      <c r="CC131" t="str">
        <f>A!CB131</f>
        <v>#_a13c9c27-ac45-4ff5-8e2b-08bc80806939</v>
      </c>
      <c r="CD131" t="str">
        <f>A!CC131</f>
        <v>#_227eecc9-661e-4d3d-850f-38035e2a8c5a</v>
      </c>
      <c r="CE131">
        <f>A!CD131</f>
        <v>0</v>
      </c>
      <c r="CF131" t="str">
        <f>A!CE131</f>
        <v>urn:immetingen:compartiment:id:1</v>
      </c>
      <c r="CG131" t="str">
        <f>A!CF131</f>
        <v>_TI-65023568</v>
      </c>
      <c r="CH131">
        <f>A!CG131</f>
        <v>45810</v>
      </c>
      <c r="CI131" t="str">
        <f>A!CH131</f>
        <v>urn:immetingen:monstertype:id:10</v>
      </c>
      <c r="CJ131" t="str">
        <f>A!CI131</f>
        <v>urn:imsikb0101:Applicaties:id:16</v>
      </c>
      <c r="CK131" t="str">
        <f>A!CJ131</f>
        <v>urn:imsikb0101:DatastroomType:id:1</v>
      </c>
      <c r="CL131">
        <f>A!CK131</f>
        <v>45811</v>
      </c>
      <c r="CM131" t="str">
        <f>A!CL131</f>
        <v>SGS, Rotterdam</v>
      </c>
      <c r="CN131" t="str">
        <f>A!CM131</f>
        <v>LABRESULTAAT SGS</v>
      </c>
      <c r="CO131">
        <f>A!CN131</f>
        <v>45811</v>
      </c>
      <c r="CP131">
        <f>A!CO131</f>
        <v>0</v>
      </c>
      <c r="CQ131">
        <f>A!CO441</f>
        <v>0</v>
      </c>
      <c r="CR131" t="e">
        <f>A!#REF!</f>
        <v>#REF!</v>
      </c>
      <c r="CS131" t="e">
        <f>A!#REF!</f>
        <v>#REF!</v>
      </c>
    </row>
    <row r="132" spans="1:97" x14ac:dyDescent="0.2">
      <c r="A132" t="str">
        <f>A!A132</f>
        <v>LABRESULTAAT</v>
      </c>
      <c r="B132">
        <f>A!B132</f>
        <v>7</v>
      </c>
      <c r="C132">
        <f>A!C132</f>
        <v>0</v>
      </c>
      <c r="D132">
        <f>A!D132</f>
        <v>0</v>
      </c>
      <c r="E132">
        <f>A!E132</f>
        <v>0</v>
      </c>
      <c r="F132">
        <f>A!F132</f>
        <v>0</v>
      </c>
      <c r="G132">
        <f>A!G132</f>
        <v>0</v>
      </c>
      <c r="H132">
        <f>A!H132</f>
        <v>0</v>
      </c>
      <c r="I132">
        <f>A!I132</f>
        <v>0</v>
      </c>
      <c r="J132">
        <f>A!J132</f>
        <v>0</v>
      </c>
      <c r="K132">
        <f>A!K132</f>
        <v>0</v>
      </c>
      <c r="L132">
        <f>A!L132</f>
        <v>0</v>
      </c>
      <c r="M132">
        <f>A!M132</f>
        <v>0</v>
      </c>
      <c r="N132">
        <f>A!N132</f>
        <v>0</v>
      </c>
      <c r="O132">
        <f>A!O132</f>
        <v>0</v>
      </c>
      <c r="P132" s="32" t="str">
        <f>IF(A!P132="","",INDEX(B!$A$1:$BT$2000,MATCH(A!P132,B!$AX$1:$AX$2000,0),D!$B$5))</f>
        <v/>
      </c>
      <c r="Q132">
        <f>A!Q132</f>
        <v>0</v>
      </c>
      <c r="R132">
        <f>A!R132</f>
        <v>0</v>
      </c>
      <c r="S132">
        <f>A!S132</f>
        <v>0</v>
      </c>
      <c r="T132">
        <f>A!T132</f>
        <v>0</v>
      </c>
      <c r="U132">
        <f>A!U132</f>
        <v>0</v>
      </c>
      <c r="V132" s="32">
        <f>IF(A!V132="&lt;",1,A!V132)</f>
        <v>0</v>
      </c>
      <c r="W132">
        <f>A!W132</f>
        <v>0</v>
      </c>
      <c r="X132">
        <f>A!X132</f>
        <v>0</v>
      </c>
      <c r="Y132">
        <f>A!Y132</f>
        <v>0</v>
      </c>
      <c r="Z132" s="32">
        <f t="shared" ref="Z132:Z195" si="2">_xlfn.NUMBERVALUE(MID(Y132,27,3))</f>
        <v>0</v>
      </c>
      <c r="AA132">
        <f>A!Z132</f>
        <v>0</v>
      </c>
      <c r="AB132">
        <f>A!AA132</f>
        <v>0</v>
      </c>
      <c r="AC132">
        <f>A!AB132</f>
        <v>0</v>
      </c>
      <c r="AD132">
        <f>A!AC132</f>
        <v>0</v>
      </c>
      <c r="AE132">
        <f>A!AD132</f>
        <v>0</v>
      </c>
      <c r="AF132">
        <f>A!AE132</f>
        <v>0</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32"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t="str">
        <f>A!BW132</f>
        <v>_64cefbfc-c86e-49fa-99bc-0eb47d1104c4</v>
      </c>
      <c r="BY132" t="str">
        <f>A!BX132</f>
        <v>64cefbfc-c86e-49fa-99bc-0eb47d1104c4</v>
      </c>
      <c r="BZ132" t="str">
        <f>A!BY132</f>
        <v>SIKB</v>
      </c>
      <c r="CA132" t="str">
        <f>A!BZ132</f>
        <v>MM06 04 (200-250) 04 (250-300) 05 (200-250) 05 (250-300)</v>
      </c>
      <c r="CB132">
        <f>A!CA132</f>
        <v>45810</v>
      </c>
      <c r="CC132" t="str">
        <f>A!CB132</f>
        <v>#_a13c9c27-ac45-4ff5-8e2b-08bc80806939</v>
      </c>
      <c r="CD132" t="str">
        <f>A!CC132</f>
        <v>#_13de67c0-fbf0-4905-9dd3-679e61a2c3aa</v>
      </c>
      <c r="CE132">
        <f>A!CD132</f>
        <v>0</v>
      </c>
      <c r="CF132" t="str">
        <f>A!CE132</f>
        <v>urn:immetingen:compartiment:id:1</v>
      </c>
      <c r="CG132" t="str">
        <f>A!CF132</f>
        <v>_TI-65023568</v>
      </c>
      <c r="CH132">
        <f>A!CG132</f>
        <v>45810</v>
      </c>
      <c r="CI132" t="str">
        <f>A!CH132</f>
        <v>urn:immetingen:monstertype:id:10</v>
      </c>
      <c r="CJ132" t="str">
        <f>A!CI132</f>
        <v>urn:imsikb0101:Applicaties:id:16</v>
      </c>
      <c r="CK132" t="str">
        <f>A!CJ132</f>
        <v>urn:imsikb0101:DatastroomType:id:1</v>
      </c>
      <c r="CL132">
        <f>A!CK132</f>
        <v>45811</v>
      </c>
      <c r="CM132" t="str">
        <f>A!CL132</f>
        <v>SGS, Rotterdam</v>
      </c>
      <c r="CN132" t="str">
        <f>A!CM132</f>
        <v>LABRESULTAAT SGS</v>
      </c>
      <c r="CO132">
        <f>A!CN132</f>
        <v>45811</v>
      </c>
      <c r="CP132">
        <f>A!CO132</f>
        <v>0</v>
      </c>
      <c r="CQ132">
        <f>A!CO442</f>
        <v>0</v>
      </c>
      <c r="CR132" t="e">
        <f>A!#REF!</f>
        <v>#REF!</v>
      </c>
      <c r="CS132" t="e">
        <f>A!#REF!</f>
        <v>#REF!</v>
      </c>
    </row>
    <row r="133" spans="1:97" x14ac:dyDescent="0.2">
      <c r="A133" t="str">
        <f>A!A133</f>
        <v>LABRESULTAAT</v>
      </c>
      <c r="B133">
        <f>A!B133</f>
        <v>7</v>
      </c>
      <c r="C133">
        <f>A!C133</f>
        <v>0</v>
      </c>
      <c r="D133">
        <f>A!D133</f>
        <v>0</v>
      </c>
      <c r="E133">
        <f>A!E133</f>
        <v>0</v>
      </c>
      <c r="F133">
        <f>A!F133</f>
        <v>0</v>
      </c>
      <c r="G133">
        <f>A!G133</f>
        <v>0</v>
      </c>
      <c r="H133">
        <f>A!H133</f>
        <v>0</v>
      </c>
      <c r="I133">
        <f>A!I133</f>
        <v>0</v>
      </c>
      <c r="J133">
        <f>A!J133</f>
        <v>0</v>
      </c>
      <c r="K133">
        <f>A!K133</f>
        <v>0</v>
      </c>
      <c r="L133">
        <f>A!L133</f>
        <v>0</v>
      </c>
      <c r="M133">
        <f>A!M133</f>
        <v>0</v>
      </c>
      <c r="N133">
        <f>A!N133</f>
        <v>0</v>
      </c>
      <c r="O133">
        <f>A!O133</f>
        <v>0</v>
      </c>
      <c r="P133" s="32" t="str">
        <f>IF(A!P133="","",INDEX(B!$A$1:$BT$2000,MATCH(A!P133,B!$AX$1:$AX$2000,0),D!$B$5))</f>
        <v/>
      </c>
      <c r="Q133">
        <f>A!Q133</f>
        <v>0</v>
      </c>
      <c r="R133">
        <f>A!R133</f>
        <v>0</v>
      </c>
      <c r="S133">
        <f>A!S133</f>
        <v>0</v>
      </c>
      <c r="T133">
        <f>A!T133</f>
        <v>0</v>
      </c>
      <c r="U133">
        <f>A!U133</f>
        <v>0</v>
      </c>
      <c r="V133" s="32">
        <f>IF(A!V133="&lt;",1,A!V133)</f>
        <v>0</v>
      </c>
      <c r="W133">
        <f>A!W133</f>
        <v>0</v>
      </c>
      <c r="X133">
        <f>A!X133</f>
        <v>0</v>
      </c>
      <c r="Y133">
        <f>A!Y133</f>
        <v>0</v>
      </c>
      <c r="Z133" s="32">
        <f t="shared" si="2"/>
        <v>0</v>
      </c>
      <c r="AA133">
        <f>A!Z133</f>
        <v>0</v>
      </c>
      <c r="AB133">
        <f>A!AA133</f>
        <v>0</v>
      </c>
      <c r="AC133">
        <f>A!AB133</f>
        <v>0</v>
      </c>
      <c r="AD133">
        <f>A!AC133</f>
        <v>0</v>
      </c>
      <c r="AE133">
        <f>A!AD133</f>
        <v>0</v>
      </c>
      <c r="AF133">
        <f>A!AE133</f>
        <v>0</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32"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t="str">
        <f>A!BW133</f>
        <v>_64cefbfc-c86e-49fa-99bc-0eb47d1104c4</v>
      </c>
      <c r="BY133" t="str">
        <f>A!BX133</f>
        <v>64cefbfc-c86e-49fa-99bc-0eb47d1104c4</v>
      </c>
      <c r="BZ133" t="str">
        <f>A!BY133</f>
        <v>SIKB</v>
      </c>
      <c r="CA133" t="str">
        <f>A!BZ133</f>
        <v>MM06 04 (200-250) 04 (250-300) 05 (200-250) 05 (250-300)</v>
      </c>
      <c r="CB133">
        <f>A!CA133</f>
        <v>45810</v>
      </c>
      <c r="CC133" t="str">
        <f>A!CB133</f>
        <v>#_a13c9c27-ac45-4ff5-8e2b-08bc80806939</v>
      </c>
      <c r="CD133" t="str">
        <f>A!CC133</f>
        <v>#_9cffa1f4-13ad-4a0f-9254-b007ef53f496</v>
      </c>
      <c r="CE133">
        <f>A!CD133</f>
        <v>0</v>
      </c>
      <c r="CF133" t="str">
        <f>A!CE133</f>
        <v>urn:immetingen:compartiment:id:1</v>
      </c>
      <c r="CG133" t="str">
        <f>A!CF133</f>
        <v>_TI-65023568</v>
      </c>
      <c r="CH133">
        <f>A!CG133</f>
        <v>45810</v>
      </c>
      <c r="CI133" t="str">
        <f>A!CH133</f>
        <v>urn:immetingen:monstertype:id:10</v>
      </c>
      <c r="CJ133" t="str">
        <f>A!CI133</f>
        <v>urn:imsikb0101:Applicaties:id:16</v>
      </c>
      <c r="CK133" t="str">
        <f>A!CJ133</f>
        <v>urn:imsikb0101:DatastroomType:id:1</v>
      </c>
      <c r="CL133">
        <f>A!CK133</f>
        <v>45811</v>
      </c>
      <c r="CM133" t="str">
        <f>A!CL133</f>
        <v>SGS, Rotterdam</v>
      </c>
      <c r="CN133" t="str">
        <f>A!CM133</f>
        <v>LABRESULTAAT SGS</v>
      </c>
      <c r="CO133">
        <f>A!CN133</f>
        <v>45811</v>
      </c>
      <c r="CP133">
        <f>A!CO133</f>
        <v>0</v>
      </c>
      <c r="CQ133">
        <f>A!CO443</f>
        <v>0</v>
      </c>
      <c r="CR133" t="e">
        <f>A!#REF!</f>
        <v>#REF!</v>
      </c>
      <c r="CS133" t="e">
        <f>A!#REF!</f>
        <v>#REF!</v>
      </c>
    </row>
    <row r="134" spans="1:97" x14ac:dyDescent="0.2">
      <c r="A134" t="str">
        <f>A!A134</f>
        <v>LABRESULTAAT</v>
      </c>
      <c r="B134">
        <f>A!B134</f>
        <v>7</v>
      </c>
      <c r="C134">
        <f>A!C134</f>
        <v>0</v>
      </c>
      <c r="D134">
        <f>A!D134</f>
        <v>0</v>
      </c>
      <c r="E134">
        <f>A!E134</f>
        <v>0</v>
      </c>
      <c r="F134">
        <f>A!F134</f>
        <v>0</v>
      </c>
      <c r="G134">
        <f>A!G134</f>
        <v>0</v>
      </c>
      <c r="H134">
        <f>A!H134</f>
        <v>0</v>
      </c>
      <c r="I134">
        <f>A!I134</f>
        <v>0</v>
      </c>
      <c r="J134">
        <f>A!J134</f>
        <v>0</v>
      </c>
      <c r="K134">
        <f>A!K134</f>
        <v>0</v>
      </c>
      <c r="L134">
        <f>A!L134</f>
        <v>0</v>
      </c>
      <c r="M134">
        <f>A!M134</f>
        <v>0</v>
      </c>
      <c r="N134">
        <f>A!N134</f>
        <v>0</v>
      </c>
      <c r="O134">
        <f>A!O134</f>
        <v>0</v>
      </c>
      <c r="P134" s="32" t="str">
        <f>IF(A!P134="","",INDEX(B!$A$1:$BT$2000,MATCH(A!P134,B!$AX$1:$AX$2000,0),D!$B$5))</f>
        <v/>
      </c>
      <c r="Q134">
        <f>A!Q134</f>
        <v>0</v>
      </c>
      <c r="R134">
        <f>A!R134</f>
        <v>0</v>
      </c>
      <c r="S134">
        <f>A!S134</f>
        <v>0</v>
      </c>
      <c r="T134">
        <f>A!T134</f>
        <v>0</v>
      </c>
      <c r="U134">
        <f>A!U134</f>
        <v>0</v>
      </c>
      <c r="V134" s="32">
        <f>IF(A!V134="&lt;",1,A!V134)</f>
        <v>0</v>
      </c>
      <c r="W134">
        <f>A!W134</f>
        <v>0</v>
      </c>
      <c r="X134">
        <f>A!X134</f>
        <v>0</v>
      </c>
      <c r="Y134">
        <f>A!Y134</f>
        <v>0</v>
      </c>
      <c r="Z134" s="32">
        <f t="shared" si="2"/>
        <v>0</v>
      </c>
      <c r="AA134">
        <f>A!Z134</f>
        <v>0</v>
      </c>
      <c r="AB134">
        <f>A!AA134</f>
        <v>0</v>
      </c>
      <c r="AC134">
        <f>A!AB134</f>
        <v>0</v>
      </c>
      <c r="AD134">
        <f>A!AC134</f>
        <v>0</v>
      </c>
      <c r="AE134">
        <f>A!AD134</f>
        <v>0</v>
      </c>
      <c r="AF134">
        <f>A!AE134</f>
        <v>0</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32"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t="str">
        <f>A!BW134</f>
        <v>_64cefbfc-c86e-49fa-99bc-0eb47d1104c4</v>
      </c>
      <c r="BY134" t="str">
        <f>A!BX134</f>
        <v>64cefbfc-c86e-49fa-99bc-0eb47d1104c4</v>
      </c>
      <c r="BZ134" t="str">
        <f>A!BY134</f>
        <v>SIKB</v>
      </c>
      <c r="CA134" t="str">
        <f>A!BZ134</f>
        <v>MM06 04 (200-250) 04 (250-300) 05 (200-250) 05 (250-300)</v>
      </c>
      <c r="CB134">
        <f>A!CA134</f>
        <v>45810</v>
      </c>
      <c r="CC134" t="str">
        <f>A!CB134</f>
        <v>#_a13c9c27-ac45-4ff5-8e2b-08bc80806939</v>
      </c>
      <c r="CD134" t="str">
        <f>A!CC134</f>
        <v>#_3d315a1d-a798-4d59-929c-cf9b00c20be7</v>
      </c>
      <c r="CE134">
        <f>A!CD134</f>
        <v>0</v>
      </c>
      <c r="CF134" t="str">
        <f>A!CE134</f>
        <v>urn:immetingen:compartiment:id:1</v>
      </c>
      <c r="CG134" t="str">
        <f>A!CF134</f>
        <v>_TI-65023568</v>
      </c>
      <c r="CH134">
        <f>A!CG134</f>
        <v>45810</v>
      </c>
      <c r="CI134" t="str">
        <f>A!CH134</f>
        <v>urn:immetingen:monstertype:id:10</v>
      </c>
      <c r="CJ134" t="str">
        <f>A!CI134</f>
        <v>urn:imsikb0101:Applicaties:id:16</v>
      </c>
      <c r="CK134" t="str">
        <f>A!CJ134</f>
        <v>urn:imsikb0101:DatastroomType:id:1</v>
      </c>
      <c r="CL134">
        <f>A!CK134</f>
        <v>45811</v>
      </c>
      <c r="CM134" t="str">
        <f>A!CL134</f>
        <v>SGS, Rotterdam</v>
      </c>
      <c r="CN134" t="str">
        <f>A!CM134</f>
        <v>LABRESULTAAT SGS</v>
      </c>
      <c r="CO134">
        <f>A!CN134</f>
        <v>45811</v>
      </c>
      <c r="CP134">
        <f>A!CO134</f>
        <v>0</v>
      </c>
      <c r="CQ134">
        <f>A!CO444</f>
        <v>0</v>
      </c>
      <c r="CR134" t="e">
        <f>A!#REF!</f>
        <v>#REF!</v>
      </c>
      <c r="CS134" t="e">
        <f>A!#REF!</f>
        <v>#REF!</v>
      </c>
    </row>
    <row r="135" spans="1:97" x14ac:dyDescent="0.2">
      <c r="A135" t="str">
        <f>A!A135</f>
        <v>LABRESULTAAT</v>
      </c>
      <c r="B135">
        <f>A!B135</f>
        <v>7</v>
      </c>
      <c r="C135">
        <f>A!C135</f>
        <v>0</v>
      </c>
      <c r="D135">
        <f>A!D135</f>
        <v>0</v>
      </c>
      <c r="E135">
        <f>A!E135</f>
        <v>0</v>
      </c>
      <c r="F135">
        <f>A!F135</f>
        <v>0</v>
      </c>
      <c r="G135">
        <f>A!G135</f>
        <v>0</v>
      </c>
      <c r="H135">
        <f>A!H135</f>
        <v>0</v>
      </c>
      <c r="I135">
        <f>A!I135</f>
        <v>0</v>
      </c>
      <c r="J135">
        <f>A!J135</f>
        <v>0</v>
      </c>
      <c r="K135">
        <f>A!K135</f>
        <v>0</v>
      </c>
      <c r="L135">
        <f>A!L135</f>
        <v>0</v>
      </c>
      <c r="M135">
        <f>A!M135</f>
        <v>0</v>
      </c>
      <c r="N135">
        <f>A!N135</f>
        <v>0</v>
      </c>
      <c r="O135">
        <f>A!O135</f>
        <v>0</v>
      </c>
      <c r="P135" s="32" t="str">
        <f>IF(A!P135="","",INDEX(B!$A$1:$BT$2000,MATCH(A!P135,B!$AX$1:$AX$2000,0),D!$B$5))</f>
        <v/>
      </c>
      <c r="Q135">
        <f>A!Q135</f>
        <v>0</v>
      </c>
      <c r="R135">
        <f>A!R135</f>
        <v>0</v>
      </c>
      <c r="S135">
        <f>A!S135</f>
        <v>0</v>
      </c>
      <c r="T135">
        <f>A!T135</f>
        <v>0</v>
      </c>
      <c r="U135">
        <f>A!U135</f>
        <v>0</v>
      </c>
      <c r="V135" s="32">
        <f>IF(A!V135="&lt;",1,A!V135)</f>
        <v>0</v>
      </c>
      <c r="W135">
        <f>A!W135</f>
        <v>0</v>
      </c>
      <c r="X135">
        <f>A!X135</f>
        <v>0</v>
      </c>
      <c r="Y135">
        <f>A!Y135</f>
        <v>0</v>
      </c>
      <c r="Z135" s="32">
        <f t="shared" si="2"/>
        <v>0</v>
      </c>
      <c r="AA135">
        <f>A!Z135</f>
        <v>0</v>
      </c>
      <c r="AB135">
        <f>A!AA135</f>
        <v>0</v>
      </c>
      <c r="AC135">
        <f>A!AB135</f>
        <v>0</v>
      </c>
      <c r="AD135">
        <f>A!AC135</f>
        <v>0</v>
      </c>
      <c r="AE135">
        <f>A!AD135</f>
        <v>0</v>
      </c>
      <c r="AF135">
        <f>A!AE135</f>
        <v>0</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32"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t="str">
        <f>A!BW135</f>
        <v>_64cefbfc-c86e-49fa-99bc-0eb47d1104c4</v>
      </c>
      <c r="BY135" t="str">
        <f>A!BX135</f>
        <v>64cefbfc-c86e-49fa-99bc-0eb47d1104c4</v>
      </c>
      <c r="BZ135" t="str">
        <f>A!BY135</f>
        <v>SIKB</v>
      </c>
      <c r="CA135" t="str">
        <f>A!BZ135</f>
        <v>MM06 04 (200-250) 04 (250-300) 05 (200-250) 05 (250-300)</v>
      </c>
      <c r="CB135">
        <f>A!CA135</f>
        <v>45810</v>
      </c>
      <c r="CC135" t="str">
        <f>A!CB135</f>
        <v>#_a13c9c27-ac45-4ff5-8e2b-08bc80806939</v>
      </c>
      <c r="CD135" t="str">
        <f>A!CC135</f>
        <v>#_b005a146-88a2-4d95-9cb3-d2c37607cd4a</v>
      </c>
      <c r="CE135">
        <f>A!CD135</f>
        <v>0</v>
      </c>
      <c r="CF135" t="str">
        <f>A!CE135</f>
        <v>urn:immetingen:compartiment:id:1</v>
      </c>
      <c r="CG135" t="str">
        <f>A!CF135</f>
        <v>_TI-65023568</v>
      </c>
      <c r="CH135">
        <f>A!CG135</f>
        <v>45810</v>
      </c>
      <c r="CI135" t="str">
        <f>A!CH135</f>
        <v>urn:immetingen:monstertype:id:10</v>
      </c>
      <c r="CJ135" t="str">
        <f>A!CI135</f>
        <v>urn:imsikb0101:Applicaties:id:16</v>
      </c>
      <c r="CK135" t="str">
        <f>A!CJ135</f>
        <v>urn:imsikb0101:DatastroomType:id:1</v>
      </c>
      <c r="CL135">
        <f>A!CK135</f>
        <v>45811</v>
      </c>
      <c r="CM135" t="str">
        <f>A!CL135</f>
        <v>SGS, Rotterdam</v>
      </c>
      <c r="CN135" t="str">
        <f>A!CM135</f>
        <v>LABRESULTAAT SGS</v>
      </c>
      <c r="CO135">
        <f>A!CN135</f>
        <v>45811</v>
      </c>
      <c r="CP135">
        <f>A!CO135</f>
        <v>0</v>
      </c>
      <c r="CQ135">
        <f>A!CO445</f>
        <v>0</v>
      </c>
      <c r="CR135" t="e">
        <f>A!#REF!</f>
        <v>#REF!</v>
      </c>
      <c r="CS135" t="e">
        <f>A!#REF!</f>
        <v>#REF!</v>
      </c>
    </row>
    <row r="136" spans="1:97" x14ac:dyDescent="0.2">
      <c r="A136" t="str">
        <f>A!A136</f>
        <v>LABRESULTAAT</v>
      </c>
      <c r="B136">
        <f>A!B136</f>
        <v>7</v>
      </c>
      <c r="C136">
        <f>A!C136</f>
        <v>0</v>
      </c>
      <c r="D136">
        <f>A!D136</f>
        <v>0</v>
      </c>
      <c r="E136">
        <f>A!E136</f>
        <v>0</v>
      </c>
      <c r="F136">
        <f>A!F136</f>
        <v>0</v>
      </c>
      <c r="G136">
        <f>A!G136</f>
        <v>0</v>
      </c>
      <c r="H136">
        <f>A!H136</f>
        <v>0</v>
      </c>
      <c r="I136">
        <f>A!I136</f>
        <v>0</v>
      </c>
      <c r="J136">
        <f>A!J136</f>
        <v>0</v>
      </c>
      <c r="K136">
        <f>A!K136</f>
        <v>0</v>
      </c>
      <c r="L136">
        <f>A!L136</f>
        <v>0</v>
      </c>
      <c r="M136">
        <f>A!M136</f>
        <v>0</v>
      </c>
      <c r="N136">
        <f>A!N136</f>
        <v>0</v>
      </c>
      <c r="O136">
        <f>A!O136</f>
        <v>0</v>
      </c>
      <c r="P136" s="32" t="str">
        <f>IF(A!P136="","",INDEX(B!$A$1:$BT$2000,MATCH(A!P136,B!$AX$1:$AX$2000,0),D!$B$5))</f>
        <v/>
      </c>
      <c r="Q136">
        <f>A!Q136</f>
        <v>0</v>
      </c>
      <c r="R136">
        <f>A!R136</f>
        <v>0</v>
      </c>
      <c r="S136">
        <f>A!S136</f>
        <v>0</v>
      </c>
      <c r="T136">
        <f>A!T136</f>
        <v>0</v>
      </c>
      <c r="U136">
        <f>A!U136</f>
        <v>0</v>
      </c>
      <c r="V136" s="32">
        <f>IF(A!V136="&lt;",1,A!V136)</f>
        <v>0</v>
      </c>
      <c r="W136">
        <f>A!W136</f>
        <v>0</v>
      </c>
      <c r="X136">
        <f>A!X136</f>
        <v>0</v>
      </c>
      <c r="Y136">
        <f>A!Y136</f>
        <v>0</v>
      </c>
      <c r="Z136" s="32">
        <f t="shared" si="2"/>
        <v>0</v>
      </c>
      <c r="AA136">
        <f>A!Z136</f>
        <v>0</v>
      </c>
      <c r="AB136">
        <f>A!AA136</f>
        <v>0</v>
      </c>
      <c r="AC136">
        <f>A!AB136</f>
        <v>0</v>
      </c>
      <c r="AD136">
        <f>A!AC136</f>
        <v>0</v>
      </c>
      <c r="AE136">
        <f>A!AD136</f>
        <v>0</v>
      </c>
      <c r="AF136">
        <f>A!AE136</f>
        <v>0</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32"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t="str">
        <f>A!BW136</f>
        <v>_64cefbfc-c86e-49fa-99bc-0eb47d1104c4</v>
      </c>
      <c r="BY136" t="str">
        <f>A!BX136</f>
        <v>64cefbfc-c86e-49fa-99bc-0eb47d1104c4</v>
      </c>
      <c r="BZ136" t="str">
        <f>A!BY136</f>
        <v>SIKB</v>
      </c>
      <c r="CA136" t="str">
        <f>A!BZ136</f>
        <v>MM06 04 (200-250) 04 (250-300) 05 (200-250) 05 (250-300)</v>
      </c>
      <c r="CB136">
        <f>A!CA136</f>
        <v>45810</v>
      </c>
      <c r="CC136" t="str">
        <f>A!CB136</f>
        <v>#_a13c9c27-ac45-4ff5-8e2b-08bc80806939</v>
      </c>
      <c r="CD136" t="str">
        <f>A!CC136</f>
        <v>#_dc16c3b0-e0b9-490d-9408-529798ac2f7f</v>
      </c>
      <c r="CE136">
        <f>A!CD136</f>
        <v>0</v>
      </c>
      <c r="CF136" t="str">
        <f>A!CE136</f>
        <v>urn:immetingen:compartiment:id:1</v>
      </c>
      <c r="CG136" t="str">
        <f>A!CF136</f>
        <v>_TI-65023568</v>
      </c>
      <c r="CH136">
        <f>A!CG136</f>
        <v>45810</v>
      </c>
      <c r="CI136" t="str">
        <f>A!CH136</f>
        <v>urn:immetingen:monstertype:id:10</v>
      </c>
      <c r="CJ136" t="str">
        <f>A!CI136</f>
        <v>urn:imsikb0101:Applicaties:id:16</v>
      </c>
      <c r="CK136" t="str">
        <f>A!CJ136</f>
        <v>urn:imsikb0101:DatastroomType:id:1</v>
      </c>
      <c r="CL136">
        <f>A!CK136</f>
        <v>45811</v>
      </c>
      <c r="CM136" t="str">
        <f>A!CL136</f>
        <v>SGS, Rotterdam</v>
      </c>
      <c r="CN136" t="str">
        <f>A!CM136</f>
        <v>LABRESULTAAT SGS</v>
      </c>
      <c r="CO136">
        <f>A!CN136</f>
        <v>45811</v>
      </c>
      <c r="CP136">
        <f>A!CO136</f>
        <v>0</v>
      </c>
      <c r="CQ136">
        <f>A!CO446</f>
        <v>0</v>
      </c>
      <c r="CR136" t="e">
        <f>A!#REF!</f>
        <v>#REF!</v>
      </c>
      <c r="CS136" t="e">
        <f>A!#REF!</f>
        <v>#REF!</v>
      </c>
    </row>
    <row r="137" spans="1:97" x14ac:dyDescent="0.2">
      <c r="A137" t="str">
        <f>A!A137</f>
        <v>LABRESULTAAT</v>
      </c>
      <c r="B137">
        <f>A!B137</f>
        <v>7</v>
      </c>
      <c r="C137">
        <f>A!C137</f>
        <v>0</v>
      </c>
      <c r="D137">
        <f>A!D137</f>
        <v>0</v>
      </c>
      <c r="E137">
        <f>A!E137</f>
        <v>0</v>
      </c>
      <c r="F137">
        <f>A!F137</f>
        <v>0</v>
      </c>
      <c r="G137">
        <f>A!G137</f>
        <v>0</v>
      </c>
      <c r="H137">
        <f>A!H137</f>
        <v>0</v>
      </c>
      <c r="I137">
        <f>A!I137</f>
        <v>0</v>
      </c>
      <c r="J137">
        <f>A!J137</f>
        <v>0</v>
      </c>
      <c r="K137">
        <f>A!K137</f>
        <v>0</v>
      </c>
      <c r="L137">
        <f>A!L137</f>
        <v>0</v>
      </c>
      <c r="M137">
        <f>A!M137</f>
        <v>0</v>
      </c>
      <c r="N137">
        <f>A!N137</f>
        <v>0</v>
      </c>
      <c r="O137">
        <f>A!O137</f>
        <v>0</v>
      </c>
      <c r="P137" s="32" t="str">
        <f>IF(A!P137="","",INDEX(B!$A$1:$BT$2000,MATCH(A!P137,B!$AX$1:$AX$2000,0),D!$B$5))</f>
        <v/>
      </c>
      <c r="Q137">
        <f>A!Q137</f>
        <v>0</v>
      </c>
      <c r="R137">
        <f>A!R137</f>
        <v>0</v>
      </c>
      <c r="S137">
        <f>A!S137</f>
        <v>0</v>
      </c>
      <c r="T137">
        <f>A!T137</f>
        <v>0</v>
      </c>
      <c r="U137">
        <f>A!U137</f>
        <v>0</v>
      </c>
      <c r="V137" s="32">
        <f>IF(A!V137="&lt;",1,A!V137)</f>
        <v>0</v>
      </c>
      <c r="W137">
        <f>A!W137</f>
        <v>0</v>
      </c>
      <c r="X137">
        <f>A!X137</f>
        <v>0</v>
      </c>
      <c r="Y137">
        <f>A!Y137</f>
        <v>0</v>
      </c>
      <c r="Z137" s="32">
        <f t="shared" si="2"/>
        <v>0</v>
      </c>
      <c r="AA137">
        <f>A!Z137</f>
        <v>0</v>
      </c>
      <c r="AB137">
        <f>A!AA137</f>
        <v>0</v>
      </c>
      <c r="AC137">
        <f>A!AB137</f>
        <v>0</v>
      </c>
      <c r="AD137">
        <f>A!AC137</f>
        <v>0</v>
      </c>
      <c r="AE137">
        <f>A!AD137</f>
        <v>0</v>
      </c>
      <c r="AF137">
        <f>A!AE137</f>
        <v>0</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32"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t="str">
        <f>A!BW137</f>
        <v>_64cefbfc-c86e-49fa-99bc-0eb47d1104c4</v>
      </c>
      <c r="BY137" t="str">
        <f>A!BX137</f>
        <v>64cefbfc-c86e-49fa-99bc-0eb47d1104c4</v>
      </c>
      <c r="BZ137" t="str">
        <f>A!BY137</f>
        <v>SIKB</v>
      </c>
      <c r="CA137" t="str">
        <f>A!BZ137</f>
        <v>MM06 04 (200-250) 04 (250-300) 05 (200-250) 05 (250-300)</v>
      </c>
      <c r="CB137">
        <f>A!CA137</f>
        <v>45810</v>
      </c>
      <c r="CC137" t="str">
        <f>A!CB137</f>
        <v>#_a13c9c27-ac45-4ff5-8e2b-08bc80806939</v>
      </c>
      <c r="CD137" t="str">
        <f>A!CC137</f>
        <v>#_0323cb6b-9f2d-4272-9d7d-f58dfc54dc13</v>
      </c>
      <c r="CE137">
        <f>A!CD137</f>
        <v>0</v>
      </c>
      <c r="CF137" t="str">
        <f>A!CE137</f>
        <v>urn:immetingen:compartiment:id:1</v>
      </c>
      <c r="CG137" t="str">
        <f>A!CF137</f>
        <v>_TI-65023568</v>
      </c>
      <c r="CH137">
        <f>A!CG137</f>
        <v>45810</v>
      </c>
      <c r="CI137" t="str">
        <f>A!CH137</f>
        <v>urn:immetingen:monstertype:id:10</v>
      </c>
      <c r="CJ137" t="str">
        <f>A!CI137</f>
        <v>urn:imsikb0101:Applicaties:id:16</v>
      </c>
      <c r="CK137" t="str">
        <f>A!CJ137</f>
        <v>urn:imsikb0101:DatastroomType:id:1</v>
      </c>
      <c r="CL137">
        <f>A!CK137</f>
        <v>45811</v>
      </c>
      <c r="CM137" t="str">
        <f>A!CL137</f>
        <v>SGS, Rotterdam</v>
      </c>
      <c r="CN137" t="str">
        <f>A!CM137</f>
        <v>LABRESULTAAT SGS</v>
      </c>
      <c r="CO137">
        <f>A!CN137</f>
        <v>45811</v>
      </c>
      <c r="CP137">
        <f>A!CO137</f>
        <v>0</v>
      </c>
      <c r="CQ137">
        <f>A!CO447</f>
        <v>0</v>
      </c>
      <c r="CR137" t="e">
        <f>A!#REF!</f>
        <v>#REF!</v>
      </c>
      <c r="CS137" t="e">
        <f>A!#REF!</f>
        <v>#REF!</v>
      </c>
    </row>
    <row r="138" spans="1:97" x14ac:dyDescent="0.2">
      <c r="A138" t="str">
        <f>A!A138</f>
        <v>LABRESULTAAT</v>
      </c>
      <c r="B138">
        <f>A!B138</f>
        <v>7</v>
      </c>
      <c r="C138">
        <f>A!C138</f>
        <v>0</v>
      </c>
      <c r="D138">
        <f>A!D138</f>
        <v>0</v>
      </c>
      <c r="E138">
        <f>A!E138</f>
        <v>0</v>
      </c>
      <c r="F138">
        <f>A!F138</f>
        <v>0</v>
      </c>
      <c r="G138">
        <f>A!G138</f>
        <v>0</v>
      </c>
      <c r="H138">
        <f>A!H138</f>
        <v>0</v>
      </c>
      <c r="I138">
        <f>A!I138</f>
        <v>0</v>
      </c>
      <c r="J138">
        <f>A!J138</f>
        <v>0</v>
      </c>
      <c r="K138">
        <f>A!K138</f>
        <v>0</v>
      </c>
      <c r="L138">
        <f>A!L138</f>
        <v>0</v>
      </c>
      <c r="M138">
        <f>A!M138</f>
        <v>0</v>
      </c>
      <c r="N138">
        <f>A!N138</f>
        <v>0</v>
      </c>
      <c r="O138">
        <f>A!O138</f>
        <v>0</v>
      </c>
      <c r="P138" s="32" t="str">
        <f>IF(A!P138="","",INDEX(B!$A$1:$BT$2000,MATCH(A!P138,B!$AX$1:$AX$2000,0),D!$B$5))</f>
        <v/>
      </c>
      <c r="Q138">
        <f>A!Q138</f>
        <v>0</v>
      </c>
      <c r="R138">
        <f>A!R138</f>
        <v>0</v>
      </c>
      <c r="S138">
        <f>A!S138</f>
        <v>0</v>
      </c>
      <c r="T138">
        <f>A!T138</f>
        <v>0</v>
      </c>
      <c r="U138">
        <f>A!U138</f>
        <v>0</v>
      </c>
      <c r="V138" s="32">
        <f>IF(A!V138="&lt;",1,A!V138)</f>
        <v>0</v>
      </c>
      <c r="W138">
        <f>A!W138</f>
        <v>0</v>
      </c>
      <c r="X138">
        <f>A!X138</f>
        <v>0</v>
      </c>
      <c r="Y138">
        <f>A!Y138</f>
        <v>0</v>
      </c>
      <c r="Z138" s="32">
        <f t="shared" si="2"/>
        <v>0</v>
      </c>
      <c r="AA138">
        <f>A!Z138</f>
        <v>0</v>
      </c>
      <c r="AB138">
        <f>A!AA138</f>
        <v>0</v>
      </c>
      <c r="AC138">
        <f>A!AB138</f>
        <v>0</v>
      </c>
      <c r="AD138">
        <f>A!AC138</f>
        <v>0</v>
      </c>
      <c r="AE138">
        <f>A!AD138</f>
        <v>0</v>
      </c>
      <c r="AF138">
        <f>A!AE138</f>
        <v>0</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32"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t="str">
        <f>A!BW138</f>
        <v>_64cefbfc-c86e-49fa-99bc-0eb47d1104c4</v>
      </c>
      <c r="BY138" t="str">
        <f>A!BX138</f>
        <v>64cefbfc-c86e-49fa-99bc-0eb47d1104c4</v>
      </c>
      <c r="BZ138" t="str">
        <f>A!BY138</f>
        <v>SIKB</v>
      </c>
      <c r="CA138" t="str">
        <f>A!BZ138</f>
        <v>MM06 04 (200-250) 04 (250-300) 05 (200-250) 05 (250-300)</v>
      </c>
      <c r="CB138">
        <f>A!CA138</f>
        <v>45810</v>
      </c>
      <c r="CC138" t="str">
        <f>A!CB138</f>
        <v>#_a13c9c27-ac45-4ff5-8e2b-08bc80806939</v>
      </c>
      <c r="CD138" t="str">
        <f>A!CC138</f>
        <v>#_0d80a0c6-4028-4701-a553-a02e0b033bbd</v>
      </c>
      <c r="CE138">
        <f>A!CD138</f>
        <v>0</v>
      </c>
      <c r="CF138" t="str">
        <f>A!CE138</f>
        <v>urn:immetingen:compartiment:id:1</v>
      </c>
      <c r="CG138" t="str">
        <f>A!CF138</f>
        <v>_TI-65023568</v>
      </c>
      <c r="CH138">
        <f>A!CG138</f>
        <v>45810</v>
      </c>
      <c r="CI138" t="str">
        <f>A!CH138</f>
        <v>urn:immetingen:monstertype:id:10</v>
      </c>
      <c r="CJ138" t="str">
        <f>A!CI138</f>
        <v>urn:imsikb0101:Applicaties:id:16</v>
      </c>
      <c r="CK138" t="str">
        <f>A!CJ138</f>
        <v>urn:imsikb0101:DatastroomType:id:1</v>
      </c>
      <c r="CL138">
        <f>A!CK138</f>
        <v>45811</v>
      </c>
      <c r="CM138" t="str">
        <f>A!CL138</f>
        <v>SGS, Rotterdam</v>
      </c>
      <c r="CN138" t="str">
        <f>A!CM138</f>
        <v>LABRESULTAAT SGS</v>
      </c>
      <c r="CO138">
        <f>A!CN138</f>
        <v>45811</v>
      </c>
      <c r="CP138">
        <f>A!CO138</f>
        <v>0</v>
      </c>
      <c r="CQ138">
        <f>A!CO448</f>
        <v>0</v>
      </c>
      <c r="CR138" t="e">
        <f>A!#REF!</f>
        <v>#REF!</v>
      </c>
      <c r="CS138" t="e">
        <f>A!#REF!</f>
        <v>#REF!</v>
      </c>
    </row>
    <row r="139" spans="1:97" x14ac:dyDescent="0.2">
      <c r="A139" t="str">
        <f>A!A139</f>
        <v>LABRESULTAAT</v>
      </c>
      <c r="B139">
        <f>A!B139</f>
        <v>7</v>
      </c>
      <c r="C139">
        <f>A!C139</f>
        <v>0</v>
      </c>
      <c r="D139">
        <f>A!D139</f>
        <v>0</v>
      </c>
      <c r="E139">
        <f>A!E139</f>
        <v>0</v>
      </c>
      <c r="F139">
        <f>A!F139</f>
        <v>0</v>
      </c>
      <c r="G139">
        <f>A!G139</f>
        <v>0</v>
      </c>
      <c r="H139">
        <f>A!H139</f>
        <v>0</v>
      </c>
      <c r="I139">
        <f>A!I139</f>
        <v>0</v>
      </c>
      <c r="J139">
        <f>A!J139</f>
        <v>0</v>
      </c>
      <c r="K139">
        <f>A!K139</f>
        <v>0</v>
      </c>
      <c r="L139">
        <f>A!L139</f>
        <v>0</v>
      </c>
      <c r="M139">
        <f>A!M139</f>
        <v>0</v>
      </c>
      <c r="N139">
        <f>A!N139</f>
        <v>0</v>
      </c>
      <c r="O139">
        <f>A!O139</f>
        <v>0</v>
      </c>
      <c r="P139" s="32" t="str">
        <f>IF(A!P139="","",INDEX(B!$A$1:$BT$2000,MATCH(A!P139,B!$AX$1:$AX$2000,0),D!$B$5))</f>
        <v/>
      </c>
      <c r="Q139">
        <f>A!Q139</f>
        <v>0</v>
      </c>
      <c r="R139">
        <f>A!R139</f>
        <v>0</v>
      </c>
      <c r="S139">
        <f>A!S139</f>
        <v>0</v>
      </c>
      <c r="T139">
        <f>A!T139</f>
        <v>0</v>
      </c>
      <c r="U139">
        <f>A!U139</f>
        <v>0</v>
      </c>
      <c r="V139" s="32">
        <f>IF(A!V139="&lt;",1,A!V139)</f>
        <v>0</v>
      </c>
      <c r="W139">
        <f>A!W139</f>
        <v>0</v>
      </c>
      <c r="X139">
        <f>A!X139</f>
        <v>0</v>
      </c>
      <c r="Y139">
        <f>A!Y139</f>
        <v>0</v>
      </c>
      <c r="Z139" s="32">
        <f t="shared" si="2"/>
        <v>0</v>
      </c>
      <c r="AA139">
        <f>A!Z139</f>
        <v>0</v>
      </c>
      <c r="AB139">
        <f>A!AA139</f>
        <v>0</v>
      </c>
      <c r="AC139">
        <f>A!AB139</f>
        <v>0</v>
      </c>
      <c r="AD139">
        <f>A!AC139</f>
        <v>0</v>
      </c>
      <c r="AE139">
        <f>A!AD139</f>
        <v>0</v>
      </c>
      <c r="AF139">
        <f>A!AE139</f>
        <v>0</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32"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t="str">
        <f>A!BW139</f>
        <v>_64cefbfc-c86e-49fa-99bc-0eb47d1104c4</v>
      </c>
      <c r="BY139" t="str">
        <f>A!BX139</f>
        <v>64cefbfc-c86e-49fa-99bc-0eb47d1104c4</v>
      </c>
      <c r="BZ139" t="str">
        <f>A!BY139</f>
        <v>SIKB</v>
      </c>
      <c r="CA139" t="str">
        <f>A!BZ139</f>
        <v>MM06 04 (200-250) 04 (250-300) 05 (200-250) 05 (250-300)</v>
      </c>
      <c r="CB139">
        <f>A!CA139</f>
        <v>45810</v>
      </c>
      <c r="CC139" t="str">
        <f>A!CB139</f>
        <v>#_a13c9c27-ac45-4ff5-8e2b-08bc80806939</v>
      </c>
      <c r="CD139" t="str">
        <f>A!CC139</f>
        <v>#_c24fa7b8-f47d-46b1-8e60-97d2f53efb46</v>
      </c>
      <c r="CE139">
        <f>A!CD139</f>
        <v>0</v>
      </c>
      <c r="CF139" t="str">
        <f>A!CE139</f>
        <v>urn:immetingen:compartiment:id:1</v>
      </c>
      <c r="CG139" t="str">
        <f>A!CF139</f>
        <v>_TI-65023568</v>
      </c>
      <c r="CH139">
        <f>A!CG139</f>
        <v>45810</v>
      </c>
      <c r="CI139" t="str">
        <f>A!CH139</f>
        <v>urn:immetingen:monstertype:id:10</v>
      </c>
      <c r="CJ139" t="str">
        <f>A!CI139</f>
        <v>urn:imsikb0101:Applicaties:id:16</v>
      </c>
      <c r="CK139" t="str">
        <f>A!CJ139</f>
        <v>urn:imsikb0101:DatastroomType:id:1</v>
      </c>
      <c r="CL139">
        <f>A!CK139</f>
        <v>45811</v>
      </c>
      <c r="CM139" t="str">
        <f>A!CL139</f>
        <v>SGS, Rotterdam</v>
      </c>
      <c r="CN139" t="str">
        <f>A!CM139</f>
        <v>LABRESULTAAT SGS</v>
      </c>
      <c r="CO139">
        <f>A!CN139</f>
        <v>45811</v>
      </c>
      <c r="CP139">
        <f>A!CO139</f>
        <v>0</v>
      </c>
      <c r="CQ139">
        <f>A!CO449</f>
        <v>0</v>
      </c>
      <c r="CR139" t="e">
        <f>A!#REF!</f>
        <v>#REF!</v>
      </c>
      <c r="CS139" t="e">
        <f>A!#REF!</f>
        <v>#REF!</v>
      </c>
    </row>
    <row r="140" spans="1:97" x14ac:dyDescent="0.2">
      <c r="A140" t="str">
        <f>A!A140</f>
        <v>LABRESULTAAT</v>
      </c>
      <c r="B140">
        <f>A!B140</f>
        <v>7</v>
      </c>
      <c r="C140">
        <f>A!C140</f>
        <v>0</v>
      </c>
      <c r="D140">
        <f>A!D140</f>
        <v>0</v>
      </c>
      <c r="E140">
        <f>A!E140</f>
        <v>0</v>
      </c>
      <c r="F140">
        <f>A!F140</f>
        <v>0</v>
      </c>
      <c r="G140">
        <f>A!G140</f>
        <v>0</v>
      </c>
      <c r="H140">
        <f>A!H140</f>
        <v>0</v>
      </c>
      <c r="I140">
        <f>A!I140</f>
        <v>0</v>
      </c>
      <c r="J140">
        <f>A!J140</f>
        <v>0</v>
      </c>
      <c r="K140">
        <f>A!K140</f>
        <v>0</v>
      </c>
      <c r="L140">
        <f>A!L140</f>
        <v>0</v>
      </c>
      <c r="M140">
        <f>A!M140</f>
        <v>0</v>
      </c>
      <c r="N140">
        <f>A!N140</f>
        <v>0</v>
      </c>
      <c r="O140">
        <f>A!O140</f>
        <v>0</v>
      </c>
      <c r="P140" s="32" t="str">
        <f>IF(A!P140="","",INDEX(B!$A$1:$BT$2000,MATCH(A!P140,B!$AX$1:$AX$2000,0),D!$B$5))</f>
        <v/>
      </c>
      <c r="Q140">
        <f>A!Q140</f>
        <v>0</v>
      </c>
      <c r="R140">
        <f>A!R140</f>
        <v>0</v>
      </c>
      <c r="S140">
        <f>A!S140</f>
        <v>0</v>
      </c>
      <c r="T140">
        <f>A!T140</f>
        <v>0</v>
      </c>
      <c r="U140">
        <f>A!U140</f>
        <v>0</v>
      </c>
      <c r="V140" s="32">
        <f>IF(A!V140="&lt;",1,A!V140)</f>
        <v>0</v>
      </c>
      <c r="W140">
        <f>A!W140</f>
        <v>0</v>
      </c>
      <c r="X140">
        <f>A!X140</f>
        <v>0</v>
      </c>
      <c r="Y140">
        <f>A!Y140</f>
        <v>0</v>
      </c>
      <c r="Z140" s="32">
        <f t="shared" si="2"/>
        <v>0</v>
      </c>
      <c r="AA140">
        <f>A!Z140</f>
        <v>0</v>
      </c>
      <c r="AB140">
        <f>A!AA140</f>
        <v>0</v>
      </c>
      <c r="AC140">
        <f>A!AB140</f>
        <v>0</v>
      </c>
      <c r="AD140">
        <f>A!AC140</f>
        <v>0</v>
      </c>
      <c r="AE140">
        <f>A!AD140</f>
        <v>0</v>
      </c>
      <c r="AF140">
        <f>A!AE140</f>
        <v>0</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32"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t="str">
        <f>A!BW140</f>
        <v>_64cefbfc-c86e-49fa-99bc-0eb47d1104c4</v>
      </c>
      <c r="BY140" t="str">
        <f>A!BX140</f>
        <v>64cefbfc-c86e-49fa-99bc-0eb47d1104c4</v>
      </c>
      <c r="BZ140" t="str">
        <f>A!BY140</f>
        <v>SIKB</v>
      </c>
      <c r="CA140" t="str">
        <f>A!BZ140</f>
        <v>MM06 04 (200-250) 04 (250-300) 05 (200-250) 05 (250-300)</v>
      </c>
      <c r="CB140">
        <f>A!CA140</f>
        <v>45810</v>
      </c>
      <c r="CC140" t="str">
        <f>A!CB140</f>
        <v>#_a13c9c27-ac45-4ff5-8e2b-08bc80806939</v>
      </c>
      <c r="CD140" t="str">
        <f>A!CC140</f>
        <v>#_9a438319-d414-4c71-bcea-ee60936b0179</v>
      </c>
      <c r="CE140">
        <f>A!CD140</f>
        <v>0</v>
      </c>
      <c r="CF140" t="str">
        <f>A!CE140</f>
        <v>urn:immetingen:compartiment:id:1</v>
      </c>
      <c r="CG140" t="str">
        <f>A!CF140</f>
        <v>_TI-65023568</v>
      </c>
      <c r="CH140">
        <f>A!CG140</f>
        <v>45810</v>
      </c>
      <c r="CI140" t="str">
        <f>A!CH140</f>
        <v>urn:immetingen:monstertype:id:10</v>
      </c>
      <c r="CJ140" t="str">
        <f>A!CI140</f>
        <v>urn:imsikb0101:Applicaties:id:16</v>
      </c>
      <c r="CK140" t="str">
        <f>A!CJ140</f>
        <v>urn:imsikb0101:DatastroomType:id:1</v>
      </c>
      <c r="CL140">
        <f>A!CK140</f>
        <v>45811</v>
      </c>
      <c r="CM140" t="str">
        <f>A!CL140</f>
        <v>SGS, Rotterdam</v>
      </c>
      <c r="CN140" t="str">
        <f>A!CM140</f>
        <v>LABRESULTAAT SGS</v>
      </c>
      <c r="CO140">
        <f>A!CN140</f>
        <v>45811</v>
      </c>
      <c r="CP140">
        <f>A!CO140</f>
        <v>0</v>
      </c>
      <c r="CQ140">
        <f>A!CO450</f>
        <v>0</v>
      </c>
      <c r="CR140" t="e">
        <f>A!#REF!</f>
        <v>#REF!</v>
      </c>
      <c r="CS140" t="e">
        <f>A!#REF!</f>
        <v>#REF!</v>
      </c>
    </row>
    <row r="141" spans="1:97" x14ac:dyDescent="0.2">
      <c r="A141" t="str">
        <f>A!A141</f>
        <v>LABRESULTAAT</v>
      </c>
      <c r="B141">
        <f>A!B141</f>
        <v>7</v>
      </c>
      <c r="C141">
        <f>A!C141</f>
        <v>0</v>
      </c>
      <c r="D141">
        <f>A!D141</f>
        <v>0</v>
      </c>
      <c r="E141">
        <f>A!E141</f>
        <v>0</v>
      </c>
      <c r="F141">
        <f>A!F141</f>
        <v>0</v>
      </c>
      <c r="G141">
        <f>A!G141</f>
        <v>0</v>
      </c>
      <c r="H141">
        <f>A!H141</f>
        <v>0</v>
      </c>
      <c r="I141">
        <f>A!I141</f>
        <v>0</v>
      </c>
      <c r="J141">
        <f>A!J141</f>
        <v>0</v>
      </c>
      <c r="K141">
        <f>A!K141</f>
        <v>0</v>
      </c>
      <c r="L141">
        <f>A!L141</f>
        <v>0</v>
      </c>
      <c r="M141">
        <f>A!M141</f>
        <v>0</v>
      </c>
      <c r="N141">
        <f>A!N141</f>
        <v>0</v>
      </c>
      <c r="O141">
        <f>A!O141</f>
        <v>0</v>
      </c>
      <c r="P141" s="32" t="str">
        <f>IF(A!P141="","",INDEX(B!$A$1:$BT$2000,MATCH(A!P141,B!$AX$1:$AX$2000,0),D!$B$5))</f>
        <v/>
      </c>
      <c r="Q141">
        <f>A!Q141</f>
        <v>0</v>
      </c>
      <c r="R141">
        <f>A!R141</f>
        <v>0</v>
      </c>
      <c r="S141">
        <f>A!S141</f>
        <v>0</v>
      </c>
      <c r="T141">
        <f>A!T141</f>
        <v>0</v>
      </c>
      <c r="U141">
        <f>A!U141</f>
        <v>0</v>
      </c>
      <c r="V141" s="32">
        <f>IF(A!V141="&lt;",1,A!V141)</f>
        <v>0</v>
      </c>
      <c r="W141">
        <f>A!W141</f>
        <v>0</v>
      </c>
      <c r="X141">
        <f>A!X141</f>
        <v>0</v>
      </c>
      <c r="Y141">
        <f>A!Y141</f>
        <v>0</v>
      </c>
      <c r="Z141" s="32">
        <f t="shared" si="2"/>
        <v>0</v>
      </c>
      <c r="AA141">
        <f>A!Z141</f>
        <v>0</v>
      </c>
      <c r="AB141">
        <f>A!AA141</f>
        <v>0</v>
      </c>
      <c r="AC141">
        <f>A!AB141</f>
        <v>0</v>
      </c>
      <c r="AD141">
        <f>A!AC141</f>
        <v>0</v>
      </c>
      <c r="AE141">
        <f>A!AD141</f>
        <v>0</v>
      </c>
      <c r="AF141">
        <f>A!AE141</f>
        <v>0</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32"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t="str">
        <f>A!BW141</f>
        <v>_64cefbfc-c86e-49fa-99bc-0eb47d1104c4</v>
      </c>
      <c r="BY141" t="str">
        <f>A!BX141</f>
        <v>64cefbfc-c86e-49fa-99bc-0eb47d1104c4</v>
      </c>
      <c r="BZ141" t="str">
        <f>A!BY141</f>
        <v>SIKB</v>
      </c>
      <c r="CA141" t="str">
        <f>A!BZ141</f>
        <v>MM06 04 (200-250) 04 (250-300) 05 (200-250) 05 (250-300)</v>
      </c>
      <c r="CB141">
        <f>A!CA141</f>
        <v>45810</v>
      </c>
      <c r="CC141" t="str">
        <f>A!CB141</f>
        <v>#_a13c9c27-ac45-4ff5-8e2b-08bc80806939</v>
      </c>
      <c r="CD141" t="str">
        <f>A!CC141</f>
        <v>#_2ce0108d-29bc-4fec-8e1b-22b96a3eecc8</v>
      </c>
      <c r="CE141">
        <f>A!CD141</f>
        <v>0</v>
      </c>
      <c r="CF141" t="str">
        <f>A!CE141</f>
        <v>urn:immetingen:compartiment:id:1</v>
      </c>
      <c r="CG141" t="str">
        <f>A!CF141</f>
        <v>_TI-65023568</v>
      </c>
      <c r="CH141">
        <f>A!CG141</f>
        <v>45810</v>
      </c>
      <c r="CI141" t="str">
        <f>A!CH141</f>
        <v>urn:immetingen:monstertype:id:10</v>
      </c>
      <c r="CJ141" t="str">
        <f>A!CI141</f>
        <v>urn:imsikb0101:Applicaties:id:16</v>
      </c>
      <c r="CK141" t="str">
        <f>A!CJ141</f>
        <v>urn:imsikb0101:DatastroomType:id:1</v>
      </c>
      <c r="CL141">
        <f>A!CK141</f>
        <v>45811</v>
      </c>
      <c r="CM141" t="str">
        <f>A!CL141</f>
        <v>SGS, Rotterdam</v>
      </c>
      <c r="CN141" t="str">
        <f>A!CM141</f>
        <v>LABRESULTAAT SGS</v>
      </c>
      <c r="CO141">
        <f>A!CN141</f>
        <v>45811</v>
      </c>
      <c r="CP141">
        <f>A!CO141</f>
        <v>0</v>
      </c>
      <c r="CQ141">
        <f>A!CO451</f>
        <v>0</v>
      </c>
      <c r="CR141" t="e">
        <f>A!#REF!</f>
        <v>#REF!</v>
      </c>
      <c r="CS141" t="e">
        <f>A!#REF!</f>
        <v>#REF!</v>
      </c>
    </row>
    <row r="142" spans="1:97" x14ac:dyDescent="0.2">
      <c r="A142" t="str">
        <f>A!A142</f>
        <v>LABRESULTAAT</v>
      </c>
      <c r="B142">
        <f>A!B142</f>
        <v>7</v>
      </c>
      <c r="C142">
        <f>A!C142</f>
        <v>0</v>
      </c>
      <c r="D142">
        <f>A!D142</f>
        <v>0</v>
      </c>
      <c r="E142">
        <f>A!E142</f>
        <v>0</v>
      </c>
      <c r="F142">
        <f>A!F142</f>
        <v>0</v>
      </c>
      <c r="G142">
        <f>A!G142</f>
        <v>0</v>
      </c>
      <c r="H142">
        <f>A!H142</f>
        <v>0</v>
      </c>
      <c r="I142">
        <f>A!I142</f>
        <v>0</v>
      </c>
      <c r="J142">
        <f>A!J142</f>
        <v>0</v>
      </c>
      <c r="K142">
        <f>A!K142</f>
        <v>0</v>
      </c>
      <c r="L142">
        <f>A!L142</f>
        <v>0</v>
      </c>
      <c r="M142">
        <f>A!M142</f>
        <v>0</v>
      </c>
      <c r="N142">
        <f>A!N142</f>
        <v>0</v>
      </c>
      <c r="O142">
        <f>A!O142</f>
        <v>0</v>
      </c>
      <c r="P142" s="32" t="str">
        <f>IF(A!P142="","",INDEX(B!$A$1:$BT$2000,MATCH(A!P142,B!$AX$1:$AX$2000,0),D!$B$5))</f>
        <v/>
      </c>
      <c r="Q142">
        <f>A!Q142</f>
        <v>0</v>
      </c>
      <c r="R142">
        <f>A!R142</f>
        <v>0</v>
      </c>
      <c r="S142">
        <f>A!S142</f>
        <v>0</v>
      </c>
      <c r="T142">
        <f>A!T142</f>
        <v>0</v>
      </c>
      <c r="U142">
        <f>A!U142</f>
        <v>0</v>
      </c>
      <c r="V142" s="32">
        <f>IF(A!V142="&lt;",1,A!V142)</f>
        <v>0</v>
      </c>
      <c r="W142">
        <f>A!W142</f>
        <v>0</v>
      </c>
      <c r="X142">
        <f>A!X142</f>
        <v>0</v>
      </c>
      <c r="Y142">
        <f>A!Y142</f>
        <v>0</v>
      </c>
      <c r="Z142" s="32">
        <f t="shared" si="2"/>
        <v>0</v>
      </c>
      <c r="AA142">
        <f>A!Z142</f>
        <v>0</v>
      </c>
      <c r="AB142">
        <f>A!AA142</f>
        <v>0</v>
      </c>
      <c r="AC142">
        <f>A!AB142</f>
        <v>0</v>
      </c>
      <c r="AD142">
        <f>A!AC142</f>
        <v>0</v>
      </c>
      <c r="AE142">
        <f>A!AD142</f>
        <v>0</v>
      </c>
      <c r="AF142">
        <f>A!AE142</f>
        <v>0</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32"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t="str">
        <f>A!BW142</f>
        <v>_64cefbfc-c86e-49fa-99bc-0eb47d1104c4</v>
      </c>
      <c r="BY142" t="str">
        <f>A!BX142</f>
        <v>64cefbfc-c86e-49fa-99bc-0eb47d1104c4</v>
      </c>
      <c r="BZ142" t="str">
        <f>A!BY142</f>
        <v>SIKB</v>
      </c>
      <c r="CA142" t="str">
        <f>A!BZ142</f>
        <v>MM06 04 (200-250) 04 (250-300) 05 (200-250) 05 (250-300)</v>
      </c>
      <c r="CB142">
        <f>A!CA142</f>
        <v>45810</v>
      </c>
      <c r="CC142" t="str">
        <f>A!CB142</f>
        <v>#_a13c9c27-ac45-4ff5-8e2b-08bc80806939</v>
      </c>
      <c r="CD142" t="str">
        <f>A!CC142</f>
        <v>#_6249ffc9-707a-43c2-84be-89a78a9e72cd</v>
      </c>
      <c r="CE142">
        <f>A!CD142</f>
        <v>0</v>
      </c>
      <c r="CF142" t="str">
        <f>A!CE142</f>
        <v>urn:immetingen:compartiment:id:1</v>
      </c>
      <c r="CG142" t="str">
        <f>A!CF142</f>
        <v>_TI-65023568</v>
      </c>
      <c r="CH142">
        <f>A!CG142</f>
        <v>45810</v>
      </c>
      <c r="CI142" t="str">
        <f>A!CH142</f>
        <v>urn:immetingen:monstertype:id:10</v>
      </c>
      <c r="CJ142" t="str">
        <f>A!CI142</f>
        <v>urn:imsikb0101:Applicaties:id:16</v>
      </c>
      <c r="CK142" t="str">
        <f>A!CJ142</f>
        <v>urn:imsikb0101:DatastroomType:id:1</v>
      </c>
      <c r="CL142">
        <f>A!CK142</f>
        <v>45811</v>
      </c>
      <c r="CM142" t="str">
        <f>A!CL142</f>
        <v>SGS, Rotterdam</v>
      </c>
      <c r="CN142" t="str">
        <f>A!CM142</f>
        <v>LABRESULTAAT SGS</v>
      </c>
      <c r="CO142">
        <f>A!CN142</f>
        <v>45811</v>
      </c>
      <c r="CP142">
        <f>A!CO142</f>
        <v>0</v>
      </c>
      <c r="CQ142">
        <f>A!CO452</f>
        <v>0</v>
      </c>
      <c r="CR142" t="e">
        <f>A!#REF!</f>
        <v>#REF!</v>
      </c>
      <c r="CS142" t="e">
        <f>A!#REF!</f>
        <v>#REF!</v>
      </c>
    </row>
    <row r="143" spans="1:97" x14ac:dyDescent="0.2">
      <c r="A143" t="str">
        <f>A!A143</f>
        <v>LABRESULTAAT</v>
      </c>
      <c r="B143">
        <f>A!B143</f>
        <v>7</v>
      </c>
      <c r="C143">
        <f>A!C143</f>
        <v>0</v>
      </c>
      <c r="D143">
        <f>A!D143</f>
        <v>0</v>
      </c>
      <c r="E143">
        <f>A!E143</f>
        <v>0</v>
      </c>
      <c r="F143">
        <f>A!F143</f>
        <v>0</v>
      </c>
      <c r="G143">
        <f>A!G143</f>
        <v>0</v>
      </c>
      <c r="H143">
        <f>A!H143</f>
        <v>0</v>
      </c>
      <c r="I143">
        <f>A!I143</f>
        <v>0</v>
      </c>
      <c r="J143">
        <f>A!J143</f>
        <v>0</v>
      </c>
      <c r="K143">
        <f>A!K143</f>
        <v>0</v>
      </c>
      <c r="L143">
        <f>A!L143</f>
        <v>0</v>
      </c>
      <c r="M143">
        <f>A!M143</f>
        <v>0</v>
      </c>
      <c r="N143">
        <f>A!N143</f>
        <v>0</v>
      </c>
      <c r="O143">
        <f>A!O143</f>
        <v>0</v>
      </c>
      <c r="P143" s="32" t="str">
        <f>IF(A!P143="","",INDEX(B!$A$1:$BT$2000,MATCH(A!P143,B!$AX$1:$AX$2000,0),D!$B$5))</f>
        <v/>
      </c>
      <c r="Q143">
        <f>A!Q143</f>
        <v>0</v>
      </c>
      <c r="R143">
        <f>A!R143</f>
        <v>0</v>
      </c>
      <c r="S143">
        <f>A!S143</f>
        <v>0</v>
      </c>
      <c r="T143">
        <f>A!T143</f>
        <v>0</v>
      </c>
      <c r="U143">
        <f>A!U143</f>
        <v>0</v>
      </c>
      <c r="V143" s="32">
        <f>IF(A!V143="&lt;",1,A!V143)</f>
        <v>0</v>
      </c>
      <c r="W143">
        <f>A!W143</f>
        <v>0</v>
      </c>
      <c r="X143">
        <f>A!X143</f>
        <v>0</v>
      </c>
      <c r="Y143">
        <f>A!Y143</f>
        <v>0</v>
      </c>
      <c r="Z143" s="32">
        <f t="shared" si="2"/>
        <v>0</v>
      </c>
      <c r="AA143">
        <f>A!Z143</f>
        <v>0</v>
      </c>
      <c r="AB143">
        <f>A!AA143</f>
        <v>0</v>
      </c>
      <c r="AC143">
        <f>A!AB143</f>
        <v>0</v>
      </c>
      <c r="AD143">
        <f>A!AC143</f>
        <v>0</v>
      </c>
      <c r="AE143">
        <f>A!AD143</f>
        <v>0</v>
      </c>
      <c r="AF143">
        <f>A!AE143</f>
        <v>0</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32"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t="str">
        <f>A!BW143</f>
        <v>_64cefbfc-c86e-49fa-99bc-0eb47d1104c4</v>
      </c>
      <c r="BY143" t="str">
        <f>A!BX143</f>
        <v>64cefbfc-c86e-49fa-99bc-0eb47d1104c4</v>
      </c>
      <c r="BZ143" t="str">
        <f>A!BY143</f>
        <v>SIKB</v>
      </c>
      <c r="CA143" t="str">
        <f>A!BZ143</f>
        <v>MM06 04 (200-250) 04 (250-300) 05 (200-250) 05 (250-300)</v>
      </c>
      <c r="CB143">
        <f>A!CA143</f>
        <v>45810</v>
      </c>
      <c r="CC143" t="str">
        <f>A!CB143</f>
        <v>#_a13c9c27-ac45-4ff5-8e2b-08bc80806939</v>
      </c>
      <c r="CD143" t="str">
        <f>A!CC143</f>
        <v>#_3af1f968-88ab-43c0-87e1-cb1193260442</v>
      </c>
      <c r="CE143">
        <f>A!CD143</f>
        <v>0</v>
      </c>
      <c r="CF143" t="str">
        <f>A!CE143</f>
        <v>urn:immetingen:compartiment:id:1</v>
      </c>
      <c r="CG143" t="str">
        <f>A!CF143</f>
        <v>_TI-65023568</v>
      </c>
      <c r="CH143">
        <f>A!CG143</f>
        <v>45810</v>
      </c>
      <c r="CI143" t="str">
        <f>A!CH143</f>
        <v>urn:immetingen:monstertype:id:10</v>
      </c>
      <c r="CJ143" t="str">
        <f>A!CI143</f>
        <v>urn:imsikb0101:Applicaties:id:16</v>
      </c>
      <c r="CK143" t="str">
        <f>A!CJ143</f>
        <v>urn:imsikb0101:DatastroomType:id:1</v>
      </c>
      <c r="CL143">
        <f>A!CK143</f>
        <v>45811</v>
      </c>
      <c r="CM143" t="str">
        <f>A!CL143</f>
        <v>SGS, Rotterdam</v>
      </c>
      <c r="CN143" t="str">
        <f>A!CM143</f>
        <v>LABRESULTAAT SGS</v>
      </c>
      <c r="CO143">
        <f>A!CN143</f>
        <v>45811</v>
      </c>
      <c r="CP143">
        <f>A!CO143</f>
        <v>0</v>
      </c>
      <c r="CQ143">
        <f>A!CO453</f>
        <v>0</v>
      </c>
      <c r="CR143" t="e">
        <f>A!#REF!</f>
        <v>#REF!</v>
      </c>
      <c r="CS143" t="e">
        <f>A!#REF!</f>
        <v>#REF!</v>
      </c>
    </row>
    <row r="144" spans="1:97" x14ac:dyDescent="0.2">
      <c r="A144" t="str">
        <f>A!A144</f>
        <v>LABRESULTAAT</v>
      </c>
      <c r="B144">
        <f>A!B144</f>
        <v>7</v>
      </c>
      <c r="C144">
        <f>A!C144</f>
        <v>0</v>
      </c>
      <c r="D144">
        <f>A!D144</f>
        <v>0</v>
      </c>
      <c r="E144">
        <f>A!E144</f>
        <v>0</v>
      </c>
      <c r="F144">
        <f>A!F144</f>
        <v>0</v>
      </c>
      <c r="G144">
        <f>A!G144</f>
        <v>0</v>
      </c>
      <c r="H144">
        <f>A!H144</f>
        <v>0</v>
      </c>
      <c r="I144">
        <f>A!I144</f>
        <v>0</v>
      </c>
      <c r="J144">
        <f>A!J144</f>
        <v>0</v>
      </c>
      <c r="K144">
        <f>A!K144</f>
        <v>0</v>
      </c>
      <c r="L144">
        <f>A!L144</f>
        <v>0</v>
      </c>
      <c r="M144">
        <f>A!M144</f>
        <v>0</v>
      </c>
      <c r="N144">
        <f>A!N144</f>
        <v>0</v>
      </c>
      <c r="O144">
        <f>A!O144</f>
        <v>0</v>
      </c>
      <c r="P144" s="32" t="str">
        <f>IF(A!P144="","",INDEX(B!$A$1:$BT$2000,MATCH(A!P144,B!$AX$1:$AX$2000,0),D!$B$5))</f>
        <v/>
      </c>
      <c r="Q144">
        <f>A!Q144</f>
        <v>0</v>
      </c>
      <c r="R144">
        <f>A!R144</f>
        <v>0</v>
      </c>
      <c r="S144">
        <f>A!S144</f>
        <v>0</v>
      </c>
      <c r="T144">
        <f>A!T144</f>
        <v>0</v>
      </c>
      <c r="U144">
        <f>A!U144</f>
        <v>0</v>
      </c>
      <c r="V144" s="32">
        <f>IF(A!V144="&lt;",1,A!V144)</f>
        <v>0</v>
      </c>
      <c r="W144">
        <f>A!W144</f>
        <v>0</v>
      </c>
      <c r="X144">
        <f>A!X144</f>
        <v>0</v>
      </c>
      <c r="Y144">
        <f>A!Y144</f>
        <v>0</v>
      </c>
      <c r="Z144" s="32">
        <f t="shared" si="2"/>
        <v>0</v>
      </c>
      <c r="AA144">
        <f>A!Z144</f>
        <v>0</v>
      </c>
      <c r="AB144">
        <f>A!AA144</f>
        <v>0</v>
      </c>
      <c r="AC144">
        <f>A!AB144</f>
        <v>0</v>
      </c>
      <c r="AD144">
        <f>A!AC144</f>
        <v>0</v>
      </c>
      <c r="AE144">
        <f>A!AD144</f>
        <v>0</v>
      </c>
      <c r="AF144">
        <f>A!AE144</f>
        <v>0</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32"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t="str">
        <f>A!BW144</f>
        <v>_64cefbfc-c86e-49fa-99bc-0eb47d1104c4</v>
      </c>
      <c r="BY144" t="str">
        <f>A!BX144</f>
        <v>64cefbfc-c86e-49fa-99bc-0eb47d1104c4</v>
      </c>
      <c r="BZ144" t="str">
        <f>A!BY144</f>
        <v>SIKB</v>
      </c>
      <c r="CA144" t="str">
        <f>A!BZ144</f>
        <v>MM06 04 (200-250) 04 (250-300) 05 (200-250) 05 (250-300)</v>
      </c>
      <c r="CB144">
        <f>A!CA144</f>
        <v>45810</v>
      </c>
      <c r="CC144" t="str">
        <f>A!CB144</f>
        <v>#_a13c9c27-ac45-4ff5-8e2b-08bc80806939</v>
      </c>
      <c r="CD144" t="str">
        <f>A!CC144</f>
        <v>#_d8f9d71a-3bd8-46f5-bdd8-5b4dfdcf9494</v>
      </c>
      <c r="CE144">
        <f>A!CD144</f>
        <v>0</v>
      </c>
      <c r="CF144" t="str">
        <f>A!CE144</f>
        <v>urn:immetingen:compartiment:id:1</v>
      </c>
      <c r="CG144" t="str">
        <f>A!CF144</f>
        <v>_TI-65023568</v>
      </c>
      <c r="CH144">
        <f>A!CG144</f>
        <v>45810</v>
      </c>
      <c r="CI144" t="str">
        <f>A!CH144</f>
        <v>urn:immetingen:monstertype:id:10</v>
      </c>
      <c r="CJ144" t="str">
        <f>A!CI144</f>
        <v>urn:imsikb0101:Applicaties:id:16</v>
      </c>
      <c r="CK144" t="str">
        <f>A!CJ144</f>
        <v>urn:imsikb0101:DatastroomType:id:1</v>
      </c>
      <c r="CL144">
        <f>A!CK144</f>
        <v>45811</v>
      </c>
      <c r="CM144" t="str">
        <f>A!CL144</f>
        <v>SGS, Rotterdam</v>
      </c>
      <c r="CN144" t="str">
        <f>A!CM144</f>
        <v>LABRESULTAAT SGS</v>
      </c>
      <c r="CO144">
        <f>A!CN144</f>
        <v>45811</v>
      </c>
      <c r="CP144">
        <f>A!CO144</f>
        <v>0</v>
      </c>
      <c r="CQ144">
        <f>A!CO454</f>
        <v>0</v>
      </c>
      <c r="CR144" t="e">
        <f>A!#REF!</f>
        <v>#REF!</v>
      </c>
      <c r="CS144" t="e">
        <f>A!#REF!</f>
        <v>#REF!</v>
      </c>
    </row>
    <row r="145" spans="1:97" x14ac:dyDescent="0.2">
      <c r="A145" t="str">
        <f>A!A145</f>
        <v>LABRESULTAAT</v>
      </c>
      <c r="B145">
        <f>A!B145</f>
        <v>7</v>
      </c>
      <c r="C145">
        <f>A!C145</f>
        <v>0</v>
      </c>
      <c r="D145">
        <f>A!D145</f>
        <v>0</v>
      </c>
      <c r="E145">
        <f>A!E145</f>
        <v>0</v>
      </c>
      <c r="F145">
        <f>A!F145</f>
        <v>0</v>
      </c>
      <c r="G145">
        <f>A!G145</f>
        <v>0</v>
      </c>
      <c r="H145">
        <f>A!H145</f>
        <v>0</v>
      </c>
      <c r="I145">
        <f>A!I145</f>
        <v>0</v>
      </c>
      <c r="J145">
        <f>A!J145</f>
        <v>0</v>
      </c>
      <c r="K145">
        <f>A!K145</f>
        <v>0</v>
      </c>
      <c r="L145">
        <f>A!L145</f>
        <v>0</v>
      </c>
      <c r="M145">
        <f>A!M145</f>
        <v>0</v>
      </c>
      <c r="N145">
        <f>A!N145</f>
        <v>0</v>
      </c>
      <c r="O145">
        <f>A!O145</f>
        <v>0</v>
      </c>
      <c r="P145" s="32" t="str">
        <f>IF(A!P145="","",INDEX(B!$A$1:$BT$2000,MATCH(A!P145,B!$AX$1:$AX$2000,0),D!$B$5))</f>
        <v/>
      </c>
      <c r="Q145">
        <f>A!Q145</f>
        <v>0</v>
      </c>
      <c r="R145">
        <f>A!R145</f>
        <v>0</v>
      </c>
      <c r="S145">
        <f>A!S145</f>
        <v>0</v>
      </c>
      <c r="T145">
        <f>A!T145</f>
        <v>0</v>
      </c>
      <c r="U145">
        <f>A!U145</f>
        <v>0</v>
      </c>
      <c r="V145" s="32">
        <f>IF(A!V145="&lt;",1,A!V145)</f>
        <v>0</v>
      </c>
      <c r="W145">
        <f>A!W145</f>
        <v>0</v>
      </c>
      <c r="X145">
        <f>A!X145</f>
        <v>0</v>
      </c>
      <c r="Y145">
        <f>A!Y145</f>
        <v>0</v>
      </c>
      <c r="Z145" s="32">
        <f t="shared" si="2"/>
        <v>0</v>
      </c>
      <c r="AA145">
        <f>A!Z145</f>
        <v>0</v>
      </c>
      <c r="AB145">
        <f>A!AA145</f>
        <v>0</v>
      </c>
      <c r="AC145">
        <f>A!AB145</f>
        <v>0</v>
      </c>
      <c r="AD145">
        <f>A!AC145</f>
        <v>0</v>
      </c>
      <c r="AE145">
        <f>A!AD145</f>
        <v>0</v>
      </c>
      <c r="AF145">
        <f>A!AE145</f>
        <v>0</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32"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t="str">
        <f>A!BW145</f>
        <v>_64cefbfc-c86e-49fa-99bc-0eb47d1104c4</v>
      </c>
      <c r="BY145" t="str">
        <f>A!BX145</f>
        <v>64cefbfc-c86e-49fa-99bc-0eb47d1104c4</v>
      </c>
      <c r="BZ145" t="str">
        <f>A!BY145</f>
        <v>SIKB</v>
      </c>
      <c r="CA145" t="str">
        <f>A!BZ145</f>
        <v>MM06 04 (200-250) 04 (250-300) 05 (200-250) 05 (250-300)</v>
      </c>
      <c r="CB145">
        <f>A!CA145</f>
        <v>45810</v>
      </c>
      <c r="CC145" t="str">
        <f>A!CB145</f>
        <v>#_a13c9c27-ac45-4ff5-8e2b-08bc80806939</v>
      </c>
      <c r="CD145" t="str">
        <f>A!CC145</f>
        <v>#_74510712-8a40-48e9-98fe-80e73af5e978</v>
      </c>
      <c r="CE145">
        <f>A!CD145</f>
        <v>0</v>
      </c>
      <c r="CF145" t="str">
        <f>A!CE145</f>
        <v>urn:immetingen:compartiment:id:1</v>
      </c>
      <c r="CG145" t="str">
        <f>A!CF145</f>
        <v>_TI-65023568</v>
      </c>
      <c r="CH145">
        <f>A!CG145</f>
        <v>45810</v>
      </c>
      <c r="CI145" t="str">
        <f>A!CH145</f>
        <v>urn:immetingen:monstertype:id:10</v>
      </c>
      <c r="CJ145" t="str">
        <f>A!CI145</f>
        <v>urn:imsikb0101:Applicaties:id:16</v>
      </c>
      <c r="CK145" t="str">
        <f>A!CJ145</f>
        <v>urn:imsikb0101:DatastroomType:id:1</v>
      </c>
      <c r="CL145">
        <f>A!CK145</f>
        <v>45811</v>
      </c>
      <c r="CM145" t="str">
        <f>A!CL145</f>
        <v>SGS, Rotterdam</v>
      </c>
      <c r="CN145" t="str">
        <f>A!CM145</f>
        <v>LABRESULTAAT SGS</v>
      </c>
      <c r="CO145">
        <f>A!CN145</f>
        <v>45811</v>
      </c>
      <c r="CP145">
        <f>A!CO145</f>
        <v>0</v>
      </c>
      <c r="CQ145">
        <f>A!CO455</f>
        <v>0</v>
      </c>
      <c r="CR145" t="e">
        <f>A!#REF!</f>
        <v>#REF!</v>
      </c>
      <c r="CS145" t="e">
        <f>A!#REF!</f>
        <v>#REF!</v>
      </c>
    </row>
    <row r="146" spans="1:97" x14ac:dyDescent="0.2">
      <c r="A146" t="str">
        <f>A!A146</f>
        <v>LABRESULTAAT</v>
      </c>
      <c r="B146">
        <f>A!B146</f>
        <v>7</v>
      </c>
      <c r="C146">
        <f>A!C146</f>
        <v>0</v>
      </c>
      <c r="D146">
        <f>A!D146</f>
        <v>0</v>
      </c>
      <c r="E146">
        <f>A!E146</f>
        <v>0</v>
      </c>
      <c r="F146">
        <f>A!F146</f>
        <v>0</v>
      </c>
      <c r="G146">
        <f>A!G146</f>
        <v>0</v>
      </c>
      <c r="H146">
        <f>A!H146</f>
        <v>0</v>
      </c>
      <c r="I146">
        <f>A!I146</f>
        <v>0</v>
      </c>
      <c r="J146">
        <f>A!J146</f>
        <v>0</v>
      </c>
      <c r="K146">
        <f>A!K146</f>
        <v>0</v>
      </c>
      <c r="L146">
        <f>A!L146</f>
        <v>0</v>
      </c>
      <c r="M146">
        <f>A!M146</f>
        <v>0</v>
      </c>
      <c r="N146">
        <f>A!N146</f>
        <v>0</v>
      </c>
      <c r="O146">
        <f>A!O146</f>
        <v>0</v>
      </c>
      <c r="P146" s="32" t="str">
        <f>IF(A!P146="","",INDEX(B!$A$1:$BT$2000,MATCH(A!P146,B!$AX$1:$AX$2000,0),D!$B$5))</f>
        <v/>
      </c>
      <c r="Q146">
        <f>A!Q146</f>
        <v>0</v>
      </c>
      <c r="R146">
        <f>A!R146</f>
        <v>0</v>
      </c>
      <c r="S146">
        <f>A!S146</f>
        <v>0</v>
      </c>
      <c r="T146">
        <f>A!T146</f>
        <v>0</v>
      </c>
      <c r="U146">
        <f>A!U146</f>
        <v>0</v>
      </c>
      <c r="V146" s="32">
        <f>IF(A!V146="&lt;",1,A!V146)</f>
        <v>0</v>
      </c>
      <c r="W146">
        <f>A!W146</f>
        <v>0</v>
      </c>
      <c r="X146">
        <f>A!X146</f>
        <v>0</v>
      </c>
      <c r="Y146">
        <f>A!Y146</f>
        <v>0</v>
      </c>
      <c r="Z146" s="32">
        <f t="shared" si="2"/>
        <v>0</v>
      </c>
      <c r="AA146">
        <f>A!Z146</f>
        <v>0</v>
      </c>
      <c r="AB146">
        <f>A!AA146</f>
        <v>0</v>
      </c>
      <c r="AC146">
        <f>A!AB146</f>
        <v>0</v>
      </c>
      <c r="AD146">
        <f>A!AC146</f>
        <v>0</v>
      </c>
      <c r="AE146">
        <f>A!AD146</f>
        <v>0</v>
      </c>
      <c r="AF146">
        <f>A!AE146</f>
        <v>0</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32"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t="str">
        <f>A!BW146</f>
        <v>_64cefbfc-c86e-49fa-99bc-0eb47d1104c4</v>
      </c>
      <c r="BY146" t="str">
        <f>A!BX146</f>
        <v>64cefbfc-c86e-49fa-99bc-0eb47d1104c4</v>
      </c>
      <c r="BZ146" t="str">
        <f>A!BY146</f>
        <v>SIKB</v>
      </c>
      <c r="CA146" t="str">
        <f>A!BZ146</f>
        <v>MM06 04 (200-250) 04 (250-300) 05 (200-250) 05 (250-300)</v>
      </c>
      <c r="CB146">
        <f>A!CA146</f>
        <v>45810</v>
      </c>
      <c r="CC146" t="str">
        <f>A!CB146</f>
        <v>#_a13c9c27-ac45-4ff5-8e2b-08bc80806939</v>
      </c>
      <c r="CD146" t="str">
        <f>A!CC146</f>
        <v>#_3de8fd46-6a2a-471e-b195-ba033abdb568</v>
      </c>
      <c r="CE146">
        <f>A!CD146</f>
        <v>0</v>
      </c>
      <c r="CF146" t="str">
        <f>A!CE146</f>
        <v>urn:immetingen:compartiment:id:1</v>
      </c>
      <c r="CG146" t="str">
        <f>A!CF146</f>
        <v>_TI-65023568</v>
      </c>
      <c r="CH146">
        <f>A!CG146</f>
        <v>45810</v>
      </c>
      <c r="CI146" t="str">
        <f>A!CH146</f>
        <v>urn:immetingen:monstertype:id:10</v>
      </c>
      <c r="CJ146" t="str">
        <f>A!CI146</f>
        <v>urn:imsikb0101:Applicaties:id:16</v>
      </c>
      <c r="CK146" t="str">
        <f>A!CJ146</f>
        <v>urn:imsikb0101:DatastroomType:id:1</v>
      </c>
      <c r="CL146">
        <f>A!CK146</f>
        <v>45811</v>
      </c>
      <c r="CM146" t="str">
        <f>A!CL146</f>
        <v>SGS, Rotterdam</v>
      </c>
      <c r="CN146" t="str">
        <f>A!CM146</f>
        <v>LABRESULTAAT SGS</v>
      </c>
      <c r="CO146">
        <f>A!CN146</f>
        <v>45811</v>
      </c>
      <c r="CP146">
        <f>A!CO146</f>
        <v>0</v>
      </c>
      <c r="CQ146">
        <f>A!CO456</f>
        <v>0</v>
      </c>
      <c r="CR146" t="e">
        <f>A!#REF!</f>
        <v>#REF!</v>
      </c>
      <c r="CS146" t="e">
        <f>A!#REF!</f>
        <v>#REF!</v>
      </c>
    </row>
    <row r="147" spans="1:97" x14ac:dyDescent="0.2">
      <c r="A147" t="str">
        <f>A!A147</f>
        <v>LABRESULTAAT</v>
      </c>
      <c r="B147">
        <f>A!B147</f>
        <v>7</v>
      </c>
      <c r="C147">
        <f>A!C147</f>
        <v>0</v>
      </c>
      <c r="D147">
        <f>A!D147</f>
        <v>0</v>
      </c>
      <c r="E147">
        <f>A!E147</f>
        <v>0</v>
      </c>
      <c r="F147">
        <f>A!F147</f>
        <v>0</v>
      </c>
      <c r="G147">
        <f>A!G147</f>
        <v>0</v>
      </c>
      <c r="H147">
        <f>A!H147</f>
        <v>0</v>
      </c>
      <c r="I147">
        <f>A!I147</f>
        <v>0</v>
      </c>
      <c r="J147">
        <f>A!J147</f>
        <v>0</v>
      </c>
      <c r="K147">
        <f>A!K147</f>
        <v>0</v>
      </c>
      <c r="L147">
        <f>A!L147</f>
        <v>0</v>
      </c>
      <c r="M147">
        <f>A!M147</f>
        <v>0</v>
      </c>
      <c r="N147">
        <f>A!N147</f>
        <v>0</v>
      </c>
      <c r="O147">
        <f>A!O147</f>
        <v>0</v>
      </c>
      <c r="P147" s="32" t="str">
        <f>IF(A!P147="","",INDEX(B!$A$1:$BT$2000,MATCH(A!P147,B!$AX$1:$AX$2000,0),D!$B$5))</f>
        <v/>
      </c>
      <c r="Q147">
        <f>A!Q147</f>
        <v>0</v>
      </c>
      <c r="R147">
        <f>A!R147</f>
        <v>0</v>
      </c>
      <c r="S147">
        <f>A!S147</f>
        <v>0</v>
      </c>
      <c r="T147">
        <f>A!T147</f>
        <v>0</v>
      </c>
      <c r="U147">
        <f>A!U147</f>
        <v>0</v>
      </c>
      <c r="V147" s="32">
        <f>IF(A!V147="&lt;",1,A!V147)</f>
        <v>0</v>
      </c>
      <c r="W147">
        <f>A!W147</f>
        <v>0</v>
      </c>
      <c r="X147">
        <f>A!X147</f>
        <v>0</v>
      </c>
      <c r="Y147">
        <f>A!Y147</f>
        <v>0</v>
      </c>
      <c r="Z147" s="32">
        <f t="shared" si="2"/>
        <v>0</v>
      </c>
      <c r="AA147">
        <f>A!Z147</f>
        <v>0</v>
      </c>
      <c r="AB147">
        <f>A!AA147</f>
        <v>0</v>
      </c>
      <c r="AC147">
        <f>A!AB147</f>
        <v>0</v>
      </c>
      <c r="AD147">
        <f>A!AC147</f>
        <v>0</v>
      </c>
      <c r="AE147">
        <f>A!AD147</f>
        <v>0</v>
      </c>
      <c r="AF147">
        <f>A!AE147</f>
        <v>0</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32"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t="str">
        <f>A!BW147</f>
        <v>_64cefbfc-c86e-49fa-99bc-0eb47d1104c4</v>
      </c>
      <c r="BY147" t="str">
        <f>A!BX147</f>
        <v>64cefbfc-c86e-49fa-99bc-0eb47d1104c4</v>
      </c>
      <c r="BZ147" t="str">
        <f>A!BY147</f>
        <v>SIKB</v>
      </c>
      <c r="CA147" t="str">
        <f>A!BZ147</f>
        <v>MM06 04 (200-250) 04 (250-300) 05 (200-250) 05 (250-300)</v>
      </c>
      <c r="CB147">
        <f>A!CA147</f>
        <v>45810</v>
      </c>
      <c r="CC147" t="str">
        <f>A!CB147</f>
        <v>#_a13c9c27-ac45-4ff5-8e2b-08bc80806939</v>
      </c>
      <c r="CD147" t="str">
        <f>A!CC147</f>
        <v>#_8e5aef78-5054-473d-a0a4-3e3d5f93dc7b</v>
      </c>
      <c r="CE147">
        <f>A!CD147</f>
        <v>0</v>
      </c>
      <c r="CF147" t="str">
        <f>A!CE147</f>
        <v>urn:immetingen:compartiment:id:1</v>
      </c>
      <c r="CG147" t="str">
        <f>A!CF147</f>
        <v>_TI-65023568</v>
      </c>
      <c r="CH147">
        <f>A!CG147</f>
        <v>45810</v>
      </c>
      <c r="CI147" t="str">
        <f>A!CH147</f>
        <v>urn:immetingen:monstertype:id:10</v>
      </c>
      <c r="CJ147" t="str">
        <f>A!CI147</f>
        <v>urn:imsikb0101:Applicaties:id:16</v>
      </c>
      <c r="CK147" t="str">
        <f>A!CJ147</f>
        <v>urn:imsikb0101:DatastroomType:id:1</v>
      </c>
      <c r="CL147">
        <f>A!CK147</f>
        <v>45811</v>
      </c>
      <c r="CM147" t="str">
        <f>A!CL147</f>
        <v>SGS, Rotterdam</v>
      </c>
      <c r="CN147" t="str">
        <f>A!CM147</f>
        <v>LABRESULTAAT SGS</v>
      </c>
      <c r="CO147">
        <f>A!CN147</f>
        <v>45811</v>
      </c>
      <c r="CP147">
        <f>A!CO147</f>
        <v>0</v>
      </c>
      <c r="CQ147">
        <f>A!CO457</f>
        <v>0</v>
      </c>
      <c r="CR147" t="e">
        <f>A!#REF!</f>
        <v>#REF!</v>
      </c>
      <c r="CS147" t="e">
        <f>A!#REF!</f>
        <v>#REF!</v>
      </c>
    </row>
    <row r="148" spans="1:97" x14ac:dyDescent="0.2">
      <c r="A148" t="str">
        <f>A!A148</f>
        <v>LABRESULTAAT</v>
      </c>
      <c r="B148">
        <f>A!B148</f>
        <v>7</v>
      </c>
      <c r="C148">
        <f>A!C148</f>
        <v>0</v>
      </c>
      <c r="D148">
        <f>A!D148</f>
        <v>0</v>
      </c>
      <c r="E148">
        <f>A!E148</f>
        <v>0</v>
      </c>
      <c r="F148">
        <f>A!F148</f>
        <v>0</v>
      </c>
      <c r="G148">
        <f>A!G148</f>
        <v>0</v>
      </c>
      <c r="H148">
        <f>A!H148</f>
        <v>0</v>
      </c>
      <c r="I148">
        <f>A!I148</f>
        <v>0</v>
      </c>
      <c r="J148">
        <f>A!J148</f>
        <v>0</v>
      </c>
      <c r="K148">
        <f>A!K148</f>
        <v>0</v>
      </c>
      <c r="L148">
        <f>A!L148</f>
        <v>0</v>
      </c>
      <c r="M148">
        <f>A!M148</f>
        <v>0</v>
      </c>
      <c r="N148">
        <f>A!N148</f>
        <v>0</v>
      </c>
      <c r="O148">
        <f>A!O148</f>
        <v>0</v>
      </c>
      <c r="P148" s="32" t="str">
        <f>IF(A!P148="","",INDEX(B!$A$1:$BT$2000,MATCH(A!P148,B!$AX$1:$AX$2000,0),D!$B$5))</f>
        <v/>
      </c>
      <c r="Q148">
        <f>A!Q148</f>
        <v>0</v>
      </c>
      <c r="R148">
        <f>A!R148</f>
        <v>0</v>
      </c>
      <c r="S148">
        <f>A!S148</f>
        <v>0</v>
      </c>
      <c r="T148">
        <f>A!T148</f>
        <v>0</v>
      </c>
      <c r="U148">
        <f>A!U148</f>
        <v>0</v>
      </c>
      <c r="V148" s="32">
        <f>IF(A!V148="&lt;",1,A!V148)</f>
        <v>0</v>
      </c>
      <c r="W148">
        <f>A!W148</f>
        <v>0</v>
      </c>
      <c r="X148">
        <f>A!X148</f>
        <v>0</v>
      </c>
      <c r="Y148">
        <f>A!Y148</f>
        <v>0</v>
      </c>
      <c r="Z148" s="32">
        <f t="shared" si="2"/>
        <v>0</v>
      </c>
      <c r="AA148">
        <f>A!Z148</f>
        <v>0</v>
      </c>
      <c r="AB148">
        <f>A!AA148</f>
        <v>0</v>
      </c>
      <c r="AC148">
        <f>A!AB148</f>
        <v>0</v>
      </c>
      <c r="AD148">
        <f>A!AC148</f>
        <v>0</v>
      </c>
      <c r="AE148">
        <f>A!AD148</f>
        <v>0</v>
      </c>
      <c r="AF148">
        <f>A!AE148</f>
        <v>0</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32"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t="str">
        <f>A!BW148</f>
        <v>_64cefbfc-c86e-49fa-99bc-0eb47d1104c4</v>
      </c>
      <c r="BY148" t="str">
        <f>A!BX148</f>
        <v>64cefbfc-c86e-49fa-99bc-0eb47d1104c4</v>
      </c>
      <c r="BZ148" t="str">
        <f>A!BY148</f>
        <v>SIKB</v>
      </c>
      <c r="CA148" t="str">
        <f>A!BZ148</f>
        <v>MM06 04 (200-250) 04 (250-300) 05 (200-250) 05 (250-300)</v>
      </c>
      <c r="CB148">
        <f>A!CA148</f>
        <v>45810</v>
      </c>
      <c r="CC148" t="str">
        <f>A!CB148</f>
        <v>#_a13c9c27-ac45-4ff5-8e2b-08bc80806939</v>
      </c>
      <c r="CD148" t="str">
        <f>A!CC148</f>
        <v>#_b26ddaa9-d846-41ea-bab3-eb453d490c8b</v>
      </c>
      <c r="CE148">
        <f>A!CD148</f>
        <v>0</v>
      </c>
      <c r="CF148" t="str">
        <f>A!CE148</f>
        <v>urn:immetingen:compartiment:id:1</v>
      </c>
      <c r="CG148" t="str">
        <f>A!CF148</f>
        <v>_TI-65023568</v>
      </c>
      <c r="CH148">
        <f>A!CG148</f>
        <v>45810</v>
      </c>
      <c r="CI148" t="str">
        <f>A!CH148</f>
        <v>urn:immetingen:monstertype:id:10</v>
      </c>
      <c r="CJ148" t="str">
        <f>A!CI148</f>
        <v>urn:imsikb0101:Applicaties:id:16</v>
      </c>
      <c r="CK148" t="str">
        <f>A!CJ148</f>
        <v>urn:imsikb0101:DatastroomType:id:1</v>
      </c>
      <c r="CL148">
        <f>A!CK148</f>
        <v>45811</v>
      </c>
      <c r="CM148" t="str">
        <f>A!CL148</f>
        <v>SGS, Rotterdam</v>
      </c>
      <c r="CN148" t="str">
        <f>A!CM148</f>
        <v>LABRESULTAAT SGS</v>
      </c>
      <c r="CO148">
        <f>A!CN148</f>
        <v>45811</v>
      </c>
      <c r="CP148">
        <f>A!CO148</f>
        <v>0</v>
      </c>
      <c r="CQ148">
        <f>A!CO458</f>
        <v>0</v>
      </c>
      <c r="CR148" t="e">
        <f>A!#REF!</f>
        <v>#REF!</v>
      </c>
      <c r="CS148" t="e">
        <f>A!#REF!</f>
        <v>#REF!</v>
      </c>
    </row>
    <row r="149" spans="1:97" x14ac:dyDescent="0.2">
      <c r="A149" t="str">
        <f>A!A149</f>
        <v>LABRESULTAAT</v>
      </c>
      <c r="B149">
        <f>A!B149</f>
        <v>7</v>
      </c>
      <c r="C149">
        <f>A!C149</f>
        <v>0</v>
      </c>
      <c r="D149">
        <f>A!D149</f>
        <v>0</v>
      </c>
      <c r="E149">
        <f>A!E149</f>
        <v>0</v>
      </c>
      <c r="F149">
        <f>A!F149</f>
        <v>0</v>
      </c>
      <c r="G149">
        <f>A!G149</f>
        <v>0</v>
      </c>
      <c r="H149">
        <f>A!H149</f>
        <v>0</v>
      </c>
      <c r="I149">
        <f>A!I149</f>
        <v>0</v>
      </c>
      <c r="J149">
        <f>A!J149</f>
        <v>0</v>
      </c>
      <c r="K149">
        <f>A!K149</f>
        <v>0</v>
      </c>
      <c r="L149">
        <f>A!L149</f>
        <v>0</v>
      </c>
      <c r="M149">
        <f>A!M149</f>
        <v>0</v>
      </c>
      <c r="N149">
        <f>A!N149</f>
        <v>0</v>
      </c>
      <c r="O149">
        <f>A!O149</f>
        <v>0</v>
      </c>
      <c r="P149" s="32" t="str">
        <f>IF(A!P149="","",INDEX(B!$A$1:$BT$2000,MATCH(A!P149,B!$AX$1:$AX$2000,0),D!$B$5))</f>
        <v/>
      </c>
      <c r="Q149">
        <f>A!Q149</f>
        <v>0</v>
      </c>
      <c r="R149">
        <f>A!R149</f>
        <v>0</v>
      </c>
      <c r="S149">
        <f>A!S149</f>
        <v>0</v>
      </c>
      <c r="T149">
        <f>A!T149</f>
        <v>0</v>
      </c>
      <c r="U149">
        <f>A!U149</f>
        <v>0</v>
      </c>
      <c r="V149" s="32">
        <f>IF(A!V149="&lt;",1,A!V149)</f>
        <v>0</v>
      </c>
      <c r="W149">
        <f>A!W149</f>
        <v>0</v>
      </c>
      <c r="X149">
        <f>A!X149</f>
        <v>0</v>
      </c>
      <c r="Y149">
        <f>A!Y149</f>
        <v>0</v>
      </c>
      <c r="Z149" s="32">
        <f t="shared" si="2"/>
        <v>0</v>
      </c>
      <c r="AA149">
        <f>A!Z149</f>
        <v>0</v>
      </c>
      <c r="AB149">
        <f>A!AA149</f>
        <v>0</v>
      </c>
      <c r="AC149">
        <f>A!AB149</f>
        <v>0</v>
      </c>
      <c r="AD149">
        <f>A!AC149</f>
        <v>0</v>
      </c>
      <c r="AE149">
        <f>A!AD149</f>
        <v>0</v>
      </c>
      <c r="AF149">
        <f>A!AE149</f>
        <v>0</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32"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t="str">
        <f>A!BW149</f>
        <v>_64cefbfc-c86e-49fa-99bc-0eb47d1104c4</v>
      </c>
      <c r="BY149" t="str">
        <f>A!BX149</f>
        <v>64cefbfc-c86e-49fa-99bc-0eb47d1104c4</v>
      </c>
      <c r="BZ149" t="str">
        <f>A!BY149</f>
        <v>SIKB</v>
      </c>
      <c r="CA149" t="str">
        <f>A!BZ149</f>
        <v>MM06 04 (200-250) 04 (250-300) 05 (200-250) 05 (250-300)</v>
      </c>
      <c r="CB149">
        <f>A!CA149</f>
        <v>45810</v>
      </c>
      <c r="CC149" t="str">
        <f>A!CB149</f>
        <v>#_a13c9c27-ac45-4ff5-8e2b-08bc80806939</v>
      </c>
      <c r="CD149" t="str">
        <f>A!CC149</f>
        <v>#_a97506e9-6dac-45b2-9801-c88522c93d77</v>
      </c>
      <c r="CE149">
        <f>A!CD149</f>
        <v>0</v>
      </c>
      <c r="CF149" t="str">
        <f>A!CE149</f>
        <v>urn:immetingen:compartiment:id:1</v>
      </c>
      <c r="CG149" t="str">
        <f>A!CF149</f>
        <v>_TI-65023568</v>
      </c>
      <c r="CH149">
        <f>A!CG149</f>
        <v>45810</v>
      </c>
      <c r="CI149" t="str">
        <f>A!CH149</f>
        <v>urn:immetingen:monstertype:id:10</v>
      </c>
      <c r="CJ149" t="str">
        <f>A!CI149</f>
        <v>urn:imsikb0101:Applicaties:id:16</v>
      </c>
      <c r="CK149" t="str">
        <f>A!CJ149</f>
        <v>urn:imsikb0101:DatastroomType:id:1</v>
      </c>
      <c r="CL149">
        <f>A!CK149</f>
        <v>45811</v>
      </c>
      <c r="CM149" t="str">
        <f>A!CL149</f>
        <v>SGS, Rotterdam</v>
      </c>
      <c r="CN149" t="str">
        <f>A!CM149</f>
        <v>LABRESULTAAT SGS</v>
      </c>
      <c r="CO149">
        <f>A!CN149</f>
        <v>45811</v>
      </c>
      <c r="CP149">
        <f>A!CO149</f>
        <v>0</v>
      </c>
      <c r="CQ149">
        <f>A!CO459</f>
        <v>0</v>
      </c>
      <c r="CR149" t="e">
        <f>A!#REF!</f>
        <v>#REF!</v>
      </c>
      <c r="CS149" t="e">
        <f>A!#REF!</f>
        <v>#REF!</v>
      </c>
    </row>
    <row r="150" spans="1:97" x14ac:dyDescent="0.2">
      <c r="A150" t="str">
        <f>A!A150</f>
        <v>LABRESULTAAT</v>
      </c>
      <c r="B150">
        <f>A!B150</f>
        <v>7</v>
      </c>
      <c r="C150">
        <f>A!C150</f>
        <v>0</v>
      </c>
      <c r="D150">
        <f>A!D150</f>
        <v>0</v>
      </c>
      <c r="E150">
        <f>A!E150</f>
        <v>0</v>
      </c>
      <c r="F150">
        <f>A!F150</f>
        <v>0</v>
      </c>
      <c r="G150">
        <f>A!G150</f>
        <v>0</v>
      </c>
      <c r="H150">
        <f>A!H150</f>
        <v>0</v>
      </c>
      <c r="I150">
        <f>A!I150</f>
        <v>0</v>
      </c>
      <c r="J150">
        <f>A!J150</f>
        <v>0</v>
      </c>
      <c r="K150">
        <f>A!K150</f>
        <v>0</v>
      </c>
      <c r="L150">
        <f>A!L150</f>
        <v>0</v>
      </c>
      <c r="M150">
        <f>A!M150</f>
        <v>0</v>
      </c>
      <c r="N150">
        <f>A!N150</f>
        <v>0</v>
      </c>
      <c r="O150">
        <f>A!O150</f>
        <v>0</v>
      </c>
      <c r="P150" s="32" t="str">
        <f>IF(A!P150="","",INDEX(B!$A$1:$BT$2000,MATCH(A!P150,B!$AX$1:$AX$2000,0),D!$B$5))</f>
        <v/>
      </c>
      <c r="Q150">
        <f>A!Q150</f>
        <v>0</v>
      </c>
      <c r="R150">
        <f>A!R150</f>
        <v>0</v>
      </c>
      <c r="S150">
        <f>A!S150</f>
        <v>0</v>
      </c>
      <c r="T150">
        <f>A!T150</f>
        <v>0</v>
      </c>
      <c r="U150">
        <f>A!U150</f>
        <v>0</v>
      </c>
      <c r="V150" s="32">
        <f>IF(A!V150="&lt;",1,A!V150)</f>
        <v>0</v>
      </c>
      <c r="W150">
        <f>A!W150</f>
        <v>0</v>
      </c>
      <c r="X150">
        <f>A!X150</f>
        <v>0</v>
      </c>
      <c r="Y150">
        <f>A!Y150</f>
        <v>0</v>
      </c>
      <c r="Z150" s="32">
        <f t="shared" si="2"/>
        <v>0</v>
      </c>
      <c r="AA150">
        <f>A!Z150</f>
        <v>0</v>
      </c>
      <c r="AB150">
        <f>A!AA150</f>
        <v>0</v>
      </c>
      <c r="AC150">
        <f>A!AB150</f>
        <v>0</v>
      </c>
      <c r="AD150">
        <f>A!AC150</f>
        <v>0</v>
      </c>
      <c r="AE150">
        <f>A!AD150</f>
        <v>0</v>
      </c>
      <c r="AF150">
        <f>A!AE150</f>
        <v>0</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32"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t="str">
        <f>A!BW150</f>
        <v>_64cefbfc-c86e-49fa-99bc-0eb47d1104c4</v>
      </c>
      <c r="BY150" t="str">
        <f>A!BX150</f>
        <v>64cefbfc-c86e-49fa-99bc-0eb47d1104c4</v>
      </c>
      <c r="BZ150" t="str">
        <f>A!BY150</f>
        <v>SIKB</v>
      </c>
      <c r="CA150" t="str">
        <f>A!BZ150</f>
        <v>MM06 04 (200-250) 04 (250-300) 05 (200-250) 05 (250-300)</v>
      </c>
      <c r="CB150">
        <f>A!CA150</f>
        <v>45810</v>
      </c>
      <c r="CC150" t="str">
        <f>A!CB150</f>
        <v>#_a13c9c27-ac45-4ff5-8e2b-08bc80806939</v>
      </c>
      <c r="CD150" t="str">
        <f>A!CC150</f>
        <v>#_e0592d56-7541-4f72-b2e4-b66c26dbeabb</v>
      </c>
      <c r="CE150">
        <f>A!CD150</f>
        <v>0</v>
      </c>
      <c r="CF150" t="str">
        <f>A!CE150</f>
        <v>urn:immetingen:compartiment:id:1</v>
      </c>
      <c r="CG150" t="str">
        <f>A!CF150</f>
        <v>_TI-65023568</v>
      </c>
      <c r="CH150">
        <f>A!CG150</f>
        <v>45810</v>
      </c>
      <c r="CI150" t="str">
        <f>A!CH150</f>
        <v>urn:immetingen:monstertype:id:10</v>
      </c>
      <c r="CJ150" t="str">
        <f>A!CI150</f>
        <v>urn:imsikb0101:Applicaties:id:16</v>
      </c>
      <c r="CK150" t="str">
        <f>A!CJ150</f>
        <v>urn:imsikb0101:DatastroomType:id:1</v>
      </c>
      <c r="CL150">
        <f>A!CK150</f>
        <v>45811</v>
      </c>
      <c r="CM150" t="str">
        <f>A!CL150</f>
        <v>SGS, Rotterdam</v>
      </c>
      <c r="CN150" t="str">
        <f>A!CM150</f>
        <v>LABRESULTAAT SGS</v>
      </c>
      <c r="CO150">
        <f>A!CN150</f>
        <v>45811</v>
      </c>
      <c r="CP150">
        <f>A!CO150</f>
        <v>0</v>
      </c>
      <c r="CQ150">
        <f>A!CO460</f>
        <v>0</v>
      </c>
      <c r="CR150" t="e">
        <f>A!#REF!</f>
        <v>#REF!</v>
      </c>
      <c r="CS150" t="e">
        <f>A!#REF!</f>
        <v>#REF!</v>
      </c>
    </row>
    <row r="151" spans="1:97" x14ac:dyDescent="0.2">
      <c r="A151" t="str">
        <f>A!A151</f>
        <v>LABRESULTAAT</v>
      </c>
      <c r="B151">
        <f>A!B151</f>
        <v>7</v>
      </c>
      <c r="C151">
        <f>A!C151</f>
        <v>0</v>
      </c>
      <c r="D151">
        <f>A!D151</f>
        <v>0</v>
      </c>
      <c r="E151">
        <f>A!E151</f>
        <v>0</v>
      </c>
      <c r="F151">
        <f>A!F151</f>
        <v>0</v>
      </c>
      <c r="G151">
        <f>A!G151</f>
        <v>0</v>
      </c>
      <c r="H151">
        <f>A!H151</f>
        <v>0</v>
      </c>
      <c r="I151">
        <f>A!I151</f>
        <v>0</v>
      </c>
      <c r="J151">
        <f>A!J151</f>
        <v>0</v>
      </c>
      <c r="K151">
        <f>A!K151</f>
        <v>0</v>
      </c>
      <c r="L151">
        <f>A!L151</f>
        <v>0</v>
      </c>
      <c r="M151">
        <f>A!M151</f>
        <v>0</v>
      </c>
      <c r="N151">
        <f>A!N151</f>
        <v>0</v>
      </c>
      <c r="O151">
        <f>A!O151</f>
        <v>0</v>
      </c>
      <c r="P151" s="32" t="str">
        <f>IF(A!P151="","",INDEX(B!$A$1:$BT$2000,MATCH(A!P151,B!$AX$1:$AX$2000,0),D!$B$5))</f>
        <v/>
      </c>
      <c r="Q151">
        <f>A!Q151</f>
        <v>0</v>
      </c>
      <c r="R151">
        <f>A!R151</f>
        <v>0</v>
      </c>
      <c r="S151">
        <f>A!S151</f>
        <v>0</v>
      </c>
      <c r="T151">
        <f>A!T151</f>
        <v>0</v>
      </c>
      <c r="U151">
        <f>A!U151</f>
        <v>0</v>
      </c>
      <c r="V151" s="32">
        <f>IF(A!V151="&lt;",1,A!V151)</f>
        <v>0</v>
      </c>
      <c r="W151">
        <f>A!W151</f>
        <v>0</v>
      </c>
      <c r="X151">
        <f>A!X151</f>
        <v>0</v>
      </c>
      <c r="Y151">
        <f>A!Y151</f>
        <v>0</v>
      </c>
      <c r="Z151" s="32">
        <f t="shared" si="2"/>
        <v>0</v>
      </c>
      <c r="AA151">
        <f>A!Z151</f>
        <v>0</v>
      </c>
      <c r="AB151">
        <f>A!AA151</f>
        <v>0</v>
      </c>
      <c r="AC151">
        <f>A!AB151</f>
        <v>0</v>
      </c>
      <c r="AD151">
        <f>A!AC151</f>
        <v>0</v>
      </c>
      <c r="AE151">
        <f>A!AD151</f>
        <v>0</v>
      </c>
      <c r="AF151">
        <f>A!AE151</f>
        <v>0</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32"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t="str">
        <f>A!BW151</f>
        <v>_64cefbfc-c86e-49fa-99bc-0eb47d1104c4</v>
      </c>
      <c r="BY151" t="str">
        <f>A!BX151</f>
        <v>64cefbfc-c86e-49fa-99bc-0eb47d1104c4</v>
      </c>
      <c r="BZ151" t="str">
        <f>A!BY151</f>
        <v>SIKB</v>
      </c>
      <c r="CA151" t="str">
        <f>A!BZ151</f>
        <v>MM06 04 (200-250) 04 (250-300) 05 (200-250) 05 (250-300)</v>
      </c>
      <c r="CB151">
        <f>A!CA151</f>
        <v>45810</v>
      </c>
      <c r="CC151" t="str">
        <f>A!CB151</f>
        <v>#_a13c9c27-ac45-4ff5-8e2b-08bc80806939</v>
      </c>
      <c r="CD151" t="str">
        <f>A!CC151</f>
        <v>#_f94bf791-7d8a-432d-a64a-9322b8717320</v>
      </c>
      <c r="CE151">
        <f>A!CD151</f>
        <v>0</v>
      </c>
      <c r="CF151" t="str">
        <f>A!CE151</f>
        <v>urn:immetingen:compartiment:id:1</v>
      </c>
      <c r="CG151" t="str">
        <f>A!CF151</f>
        <v>_TI-65023568</v>
      </c>
      <c r="CH151">
        <f>A!CG151</f>
        <v>45810</v>
      </c>
      <c r="CI151" t="str">
        <f>A!CH151</f>
        <v>urn:immetingen:monstertype:id:10</v>
      </c>
      <c r="CJ151" t="str">
        <f>A!CI151</f>
        <v>urn:imsikb0101:Applicaties:id:16</v>
      </c>
      <c r="CK151" t="str">
        <f>A!CJ151</f>
        <v>urn:imsikb0101:DatastroomType:id:1</v>
      </c>
      <c r="CL151">
        <f>A!CK151</f>
        <v>45811</v>
      </c>
      <c r="CM151" t="str">
        <f>A!CL151</f>
        <v>SGS, Rotterdam</v>
      </c>
      <c r="CN151" t="str">
        <f>A!CM151</f>
        <v>LABRESULTAAT SGS</v>
      </c>
      <c r="CO151">
        <f>A!CN151</f>
        <v>45811</v>
      </c>
      <c r="CP151">
        <f>A!CO151</f>
        <v>0</v>
      </c>
      <c r="CQ151">
        <f>A!CO461</f>
        <v>0</v>
      </c>
      <c r="CR151" t="e">
        <f>A!#REF!</f>
        <v>#REF!</v>
      </c>
      <c r="CS151" t="e">
        <f>A!#REF!</f>
        <v>#REF!</v>
      </c>
    </row>
    <row r="152" spans="1:97" x14ac:dyDescent="0.2">
      <c r="A152" t="str">
        <f>A!A152</f>
        <v>LABRESULTAAT</v>
      </c>
      <c r="B152">
        <f>A!B152</f>
        <v>7</v>
      </c>
      <c r="C152">
        <f>A!C152</f>
        <v>0</v>
      </c>
      <c r="D152">
        <f>A!D152</f>
        <v>0</v>
      </c>
      <c r="E152">
        <f>A!E152</f>
        <v>0</v>
      </c>
      <c r="F152">
        <f>A!F152</f>
        <v>0</v>
      </c>
      <c r="G152">
        <f>A!G152</f>
        <v>0</v>
      </c>
      <c r="H152">
        <f>A!H152</f>
        <v>0</v>
      </c>
      <c r="I152">
        <f>A!I152</f>
        <v>0</v>
      </c>
      <c r="J152">
        <f>A!J152</f>
        <v>0</v>
      </c>
      <c r="K152">
        <f>A!K152</f>
        <v>0</v>
      </c>
      <c r="L152">
        <f>A!L152</f>
        <v>0</v>
      </c>
      <c r="M152">
        <f>A!M152</f>
        <v>0</v>
      </c>
      <c r="N152">
        <f>A!N152</f>
        <v>0</v>
      </c>
      <c r="O152">
        <f>A!O152</f>
        <v>0</v>
      </c>
      <c r="P152" s="32" t="str">
        <f>IF(A!P152="","",INDEX(B!$A$1:$BT$2000,MATCH(A!P152,B!$AX$1:$AX$2000,0),D!$B$5))</f>
        <v/>
      </c>
      <c r="Q152">
        <f>A!Q152</f>
        <v>0</v>
      </c>
      <c r="R152">
        <f>A!R152</f>
        <v>0</v>
      </c>
      <c r="S152">
        <f>A!S152</f>
        <v>0</v>
      </c>
      <c r="T152">
        <f>A!T152</f>
        <v>0</v>
      </c>
      <c r="U152">
        <f>A!U152</f>
        <v>0</v>
      </c>
      <c r="V152" s="32">
        <f>IF(A!V152="&lt;",1,A!V152)</f>
        <v>0</v>
      </c>
      <c r="W152">
        <f>A!W152</f>
        <v>0</v>
      </c>
      <c r="X152">
        <f>A!X152</f>
        <v>0</v>
      </c>
      <c r="Y152">
        <f>A!Y152</f>
        <v>0</v>
      </c>
      <c r="Z152" s="32">
        <f t="shared" si="2"/>
        <v>0</v>
      </c>
      <c r="AA152">
        <f>A!Z152</f>
        <v>0</v>
      </c>
      <c r="AB152">
        <f>A!AA152</f>
        <v>0</v>
      </c>
      <c r="AC152">
        <f>A!AB152</f>
        <v>0</v>
      </c>
      <c r="AD152">
        <f>A!AC152</f>
        <v>0</v>
      </c>
      <c r="AE152">
        <f>A!AD152</f>
        <v>0</v>
      </c>
      <c r="AF152">
        <f>A!AE152</f>
        <v>0</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32"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t="str">
        <f>A!BW152</f>
        <v>_64cefbfc-c86e-49fa-99bc-0eb47d1104c4</v>
      </c>
      <c r="BY152" t="str">
        <f>A!BX152</f>
        <v>64cefbfc-c86e-49fa-99bc-0eb47d1104c4</v>
      </c>
      <c r="BZ152" t="str">
        <f>A!BY152</f>
        <v>SIKB</v>
      </c>
      <c r="CA152" t="str">
        <f>A!BZ152</f>
        <v>MM06 04 (200-250) 04 (250-300) 05 (200-250) 05 (250-300)</v>
      </c>
      <c r="CB152">
        <f>A!CA152</f>
        <v>45810</v>
      </c>
      <c r="CC152" t="str">
        <f>A!CB152</f>
        <v>#_a13c9c27-ac45-4ff5-8e2b-08bc80806939</v>
      </c>
      <c r="CD152" t="str">
        <f>A!CC152</f>
        <v>#_78c88873-dfa2-498d-8822-64b052496593</v>
      </c>
      <c r="CE152">
        <f>A!CD152</f>
        <v>0</v>
      </c>
      <c r="CF152" t="str">
        <f>A!CE152</f>
        <v>urn:immetingen:compartiment:id:1</v>
      </c>
      <c r="CG152" t="str">
        <f>A!CF152</f>
        <v>_TI-65023568</v>
      </c>
      <c r="CH152">
        <f>A!CG152</f>
        <v>45810</v>
      </c>
      <c r="CI152" t="str">
        <f>A!CH152</f>
        <v>urn:immetingen:monstertype:id:10</v>
      </c>
      <c r="CJ152" t="str">
        <f>A!CI152</f>
        <v>urn:imsikb0101:Applicaties:id:16</v>
      </c>
      <c r="CK152" t="str">
        <f>A!CJ152</f>
        <v>urn:imsikb0101:DatastroomType:id:1</v>
      </c>
      <c r="CL152">
        <f>A!CK152</f>
        <v>45811</v>
      </c>
      <c r="CM152" t="str">
        <f>A!CL152</f>
        <v>SGS, Rotterdam</v>
      </c>
      <c r="CN152" t="str">
        <f>A!CM152</f>
        <v>LABRESULTAAT SGS</v>
      </c>
      <c r="CO152">
        <f>A!CN152</f>
        <v>45811</v>
      </c>
      <c r="CP152">
        <f>A!CO152</f>
        <v>0</v>
      </c>
      <c r="CQ152">
        <f>A!CO462</f>
        <v>0</v>
      </c>
      <c r="CR152" t="e">
        <f>A!#REF!</f>
        <v>#REF!</v>
      </c>
      <c r="CS152" t="e">
        <f>A!#REF!</f>
        <v>#REF!</v>
      </c>
    </row>
    <row r="153" spans="1:97" x14ac:dyDescent="0.2">
      <c r="A153" t="str">
        <f>A!A153</f>
        <v>LABRESULTAAT</v>
      </c>
      <c r="B153">
        <f>A!B153</f>
        <v>7</v>
      </c>
      <c r="C153">
        <f>A!C153</f>
        <v>0</v>
      </c>
      <c r="D153">
        <f>A!D153</f>
        <v>0</v>
      </c>
      <c r="E153">
        <f>A!E153</f>
        <v>0</v>
      </c>
      <c r="F153">
        <f>A!F153</f>
        <v>0</v>
      </c>
      <c r="G153">
        <f>A!G153</f>
        <v>0</v>
      </c>
      <c r="H153">
        <f>A!H153</f>
        <v>0</v>
      </c>
      <c r="I153">
        <f>A!I153</f>
        <v>0</v>
      </c>
      <c r="J153">
        <f>A!J153</f>
        <v>0</v>
      </c>
      <c r="K153">
        <f>A!K153</f>
        <v>0</v>
      </c>
      <c r="L153">
        <f>A!L153</f>
        <v>0</v>
      </c>
      <c r="M153">
        <f>A!M153</f>
        <v>0</v>
      </c>
      <c r="N153">
        <f>A!N153</f>
        <v>0</v>
      </c>
      <c r="O153">
        <f>A!O153</f>
        <v>0</v>
      </c>
      <c r="P153" s="32" t="str">
        <f>IF(A!P153="","",INDEX(B!$A$1:$BT$2000,MATCH(A!P153,B!$AX$1:$AX$2000,0),D!$B$5))</f>
        <v/>
      </c>
      <c r="Q153">
        <f>A!Q153</f>
        <v>0</v>
      </c>
      <c r="R153">
        <f>A!R153</f>
        <v>0</v>
      </c>
      <c r="S153">
        <f>A!S153</f>
        <v>0</v>
      </c>
      <c r="T153">
        <f>A!T153</f>
        <v>0</v>
      </c>
      <c r="U153">
        <f>A!U153</f>
        <v>0</v>
      </c>
      <c r="V153" s="32">
        <f>IF(A!V153="&lt;",1,A!V153)</f>
        <v>0</v>
      </c>
      <c r="W153">
        <f>A!W153</f>
        <v>0</v>
      </c>
      <c r="X153">
        <f>A!X153</f>
        <v>0</v>
      </c>
      <c r="Y153">
        <f>A!Y153</f>
        <v>0</v>
      </c>
      <c r="Z153" s="32">
        <f t="shared" si="2"/>
        <v>0</v>
      </c>
      <c r="AA153">
        <f>A!Z153</f>
        <v>0</v>
      </c>
      <c r="AB153">
        <f>A!AA153</f>
        <v>0</v>
      </c>
      <c r="AC153">
        <f>A!AB153</f>
        <v>0</v>
      </c>
      <c r="AD153">
        <f>A!AC153</f>
        <v>0</v>
      </c>
      <c r="AE153">
        <f>A!AD153</f>
        <v>0</v>
      </c>
      <c r="AF153">
        <f>A!AE153</f>
        <v>0</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32"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t="str">
        <f>A!BW153</f>
        <v>_64cefbfc-c86e-49fa-99bc-0eb47d1104c4</v>
      </c>
      <c r="BY153" t="str">
        <f>A!BX153</f>
        <v>64cefbfc-c86e-49fa-99bc-0eb47d1104c4</v>
      </c>
      <c r="BZ153" t="str">
        <f>A!BY153</f>
        <v>SIKB</v>
      </c>
      <c r="CA153" t="str">
        <f>A!BZ153</f>
        <v>MM06 04 (200-250) 04 (250-300) 05 (200-250) 05 (250-300)</v>
      </c>
      <c r="CB153">
        <f>A!CA153</f>
        <v>45810</v>
      </c>
      <c r="CC153" t="str">
        <f>A!CB153</f>
        <v>#_a13c9c27-ac45-4ff5-8e2b-08bc80806939</v>
      </c>
      <c r="CD153" t="str">
        <f>A!CC153</f>
        <v>#_b4571428-b0d0-4ea1-af19-f14dfe61de95</v>
      </c>
      <c r="CE153">
        <f>A!CD153</f>
        <v>0</v>
      </c>
      <c r="CF153" t="str">
        <f>A!CE153</f>
        <v>urn:immetingen:compartiment:id:1</v>
      </c>
      <c r="CG153" t="str">
        <f>A!CF153</f>
        <v>_TI-65023568</v>
      </c>
      <c r="CH153">
        <f>A!CG153</f>
        <v>45810</v>
      </c>
      <c r="CI153" t="str">
        <f>A!CH153</f>
        <v>urn:immetingen:monstertype:id:10</v>
      </c>
      <c r="CJ153" t="str">
        <f>A!CI153</f>
        <v>urn:imsikb0101:Applicaties:id:16</v>
      </c>
      <c r="CK153" t="str">
        <f>A!CJ153</f>
        <v>urn:imsikb0101:DatastroomType:id:1</v>
      </c>
      <c r="CL153">
        <f>A!CK153</f>
        <v>45811</v>
      </c>
      <c r="CM153" t="str">
        <f>A!CL153</f>
        <v>SGS, Rotterdam</v>
      </c>
      <c r="CN153" t="str">
        <f>A!CM153</f>
        <v>LABRESULTAAT SGS</v>
      </c>
      <c r="CO153">
        <f>A!CN153</f>
        <v>45811</v>
      </c>
      <c r="CP153">
        <f>A!CO153</f>
        <v>0</v>
      </c>
      <c r="CQ153">
        <f>A!CO463</f>
        <v>0</v>
      </c>
      <c r="CR153" t="e">
        <f>A!#REF!</f>
        <v>#REF!</v>
      </c>
      <c r="CS153" t="e">
        <f>A!#REF!</f>
        <v>#REF!</v>
      </c>
    </row>
    <row r="154" spans="1:97" x14ac:dyDescent="0.2">
      <c r="A154" t="str">
        <f>A!A154</f>
        <v>LABRESULTAAT</v>
      </c>
      <c r="B154">
        <f>A!B154</f>
        <v>7</v>
      </c>
      <c r="C154">
        <f>A!C154</f>
        <v>0</v>
      </c>
      <c r="D154">
        <f>A!D154</f>
        <v>0</v>
      </c>
      <c r="E154">
        <f>A!E154</f>
        <v>0</v>
      </c>
      <c r="F154">
        <f>A!F154</f>
        <v>0</v>
      </c>
      <c r="G154">
        <f>A!G154</f>
        <v>0</v>
      </c>
      <c r="H154">
        <f>A!H154</f>
        <v>0</v>
      </c>
      <c r="I154">
        <f>A!I154</f>
        <v>0</v>
      </c>
      <c r="J154">
        <f>A!J154</f>
        <v>0</v>
      </c>
      <c r="K154">
        <f>A!K154</f>
        <v>0</v>
      </c>
      <c r="L154">
        <f>A!L154</f>
        <v>0</v>
      </c>
      <c r="M154">
        <f>A!M154</f>
        <v>0</v>
      </c>
      <c r="N154">
        <f>A!N154</f>
        <v>0</v>
      </c>
      <c r="O154">
        <f>A!O154</f>
        <v>0</v>
      </c>
      <c r="P154" s="32" t="str">
        <f>IF(A!P154="","",INDEX(B!$A$1:$BT$2000,MATCH(A!P154,B!$AX$1:$AX$2000,0),D!$B$5))</f>
        <v/>
      </c>
      <c r="Q154">
        <f>A!Q154</f>
        <v>0</v>
      </c>
      <c r="R154">
        <f>A!R154</f>
        <v>0</v>
      </c>
      <c r="S154">
        <f>A!S154</f>
        <v>0</v>
      </c>
      <c r="T154">
        <f>A!T154</f>
        <v>0</v>
      </c>
      <c r="U154">
        <f>A!U154</f>
        <v>0</v>
      </c>
      <c r="V154" s="32">
        <f>IF(A!V154="&lt;",1,A!V154)</f>
        <v>0</v>
      </c>
      <c r="W154">
        <f>A!W154</f>
        <v>0</v>
      </c>
      <c r="X154">
        <f>A!X154</f>
        <v>0</v>
      </c>
      <c r="Y154">
        <f>A!Y154</f>
        <v>0</v>
      </c>
      <c r="Z154" s="32">
        <f t="shared" si="2"/>
        <v>0</v>
      </c>
      <c r="AA154">
        <f>A!Z154</f>
        <v>0</v>
      </c>
      <c r="AB154">
        <f>A!AA154</f>
        <v>0</v>
      </c>
      <c r="AC154">
        <f>A!AB154</f>
        <v>0</v>
      </c>
      <c r="AD154">
        <f>A!AC154</f>
        <v>0</v>
      </c>
      <c r="AE154">
        <f>A!AD154</f>
        <v>0</v>
      </c>
      <c r="AF154">
        <f>A!AE154</f>
        <v>0</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32"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t="str">
        <f>A!BW154</f>
        <v>_64cefbfc-c86e-49fa-99bc-0eb47d1104c4</v>
      </c>
      <c r="BY154" t="str">
        <f>A!BX154</f>
        <v>64cefbfc-c86e-49fa-99bc-0eb47d1104c4</v>
      </c>
      <c r="BZ154" t="str">
        <f>A!BY154</f>
        <v>SIKB</v>
      </c>
      <c r="CA154" t="str">
        <f>A!BZ154</f>
        <v>MM06 04 (200-250) 04 (250-300) 05 (200-250) 05 (250-300)</v>
      </c>
      <c r="CB154">
        <f>A!CA154</f>
        <v>45810</v>
      </c>
      <c r="CC154" t="str">
        <f>A!CB154</f>
        <v>#_a13c9c27-ac45-4ff5-8e2b-08bc80806939</v>
      </c>
      <c r="CD154" t="str">
        <f>A!CC154</f>
        <v>#_f8d72cef-8b53-492a-8541-3375c81e3d56</v>
      </c>
      <c r="CE154">
        <f>A!CD154</f>
        <v>0</v>
      </c>
      <c r="CF154" t="str">
        <f>A!CE154</f>
        <v>urn:immetingen:compartiment:id:1</v>
      </c>
      <c r="CG154" t="str">
        <f>A!CF154</f>
        <v>_TI-65023568</v>
      </c>
      <c r="CH154">
        <f>A!CG154</f>
        <v>45810</v>
      </c>
      <c r="CI154" t="str">
        <f>A!CH154</f>
        <v>urn:immetingen:monstertype:id:10</v>
      </c>
      <c r="CJ154" t="str">
        <f>A!CI154</f>
        <v>urn:imsikb0101:Applicaties:id:16</v>
      </c>
      <c r="CK154" t="str">
        <f>A!CJ154</f>
        <v>urn:imsikb0101:DatastroomType:id:1</v>
      </c>
      <c r="CL154">
        <f>A!CK154</f>
        <v>45811</v>
      </c>
      <c r="CM154" t="str">
        <f>A!CL154</f>
        <v>SGS, Rotterdam</v>
      </c>
      <c r="CN154" t="str">
        <f>A!CM154</f>
        <v>LABRESULTAAT SGS</v>
      </c>
      <c r="CO154">
        <f>A!CN154</f>
        <v>45811</v>
      </c>
      <c r="CP154">
        <f>A!CO154</f>
        <v>0</v>
      </c>
      <c r="CQ154">
        <f>A!CO464</f>
        <v>0</v>
      </c>
      <c r="CR154" t="e">
        <f>A!#REF!</f>
        <v>#REF!</v>
      </c>
      <c r="CS154" t="e">
        <f>A!#REF!</f>
        <v>#REF!</v>
      </c>
    </row>
    <row r="155" spans="1:97" x14ac:dyDescent="0.2">
      <c r="A155" t="str">
        <f>A!A155</f>
        <v>LABRESULTAAT</v>
      </c>
      <c r="B155">
        <f>A!B155</f>
        <v>7</v>
      </c>
      <c r="C155">
        <f>A!C155</f>
        <v>0</v>
      </c>
      <c r="D155">
        <f>A!D155</f>
        <v>0</v>
      </c>
      <c r="E155">
        <f>A!E155</f>
        <v>0</v>
      </c>
      <c r="F155">
        <f>A!F155</f>
        <v>0</v>
      </c>
      <c r="G155">
        <f>A!G155</f>
        <v>0</v>
      </c>
      <c r="H155">
        <f>A!H155</f>
        <v>0</v>
      </c>
      <c r="I155">
        <f>A!I155</f>
        <v>0</v>
      </c>
      <c r="J155">
        <f>A!J155</f>
        <v>0</v>
      </c>
      <c r="K155">
        <f>A!K155</f>
        <v>0</v>
      </c>
      <c r="L155">
        <f>A!L155</f>
        <v>0</v>
      </c>
      <c r="M155">
        <f>A!M155</f>
        <v>0</v>
      </c>
      <c r="N155">
        <f>A!N155</f>
        <v>0</v>
      </c>
      <c r="O155">
        <f>A!O155</f>
        <v>0</v>
      </c>
      <c r="P155" s="32" t="str">
        <f>IF(A!P155="","",INDEX(B!$A$1:$BT$2000,MATCH(A!P155,B!$AX$1:$AX$2000,0),D!$B$5))</f>
        <v/>
      </c>
      <c r="Q155">
        <f>A!Q155</f>
        <v>0</v>
      </c>
      <c r="R155">
        <f>A!R155</f>
        <v>0</v>
      </c>
      <c r="S155">
        <f>A!S155</f>
        <v>0</v>
      </c>
      <c r="T155">
        <f>A!T155</f>
        <v>0</v>
      </c>
      <c r="U155">
        <f>A!U155</f>
        <v>0</v>
      </c>
      <c r="V155" s="32">
        <f>IF(A!V155="&lt;",1,A!V155)</f>
        <v>0</v>
      </c>
      <c r="W155">
        <f>A!W155</f>
        <v>0</v>
      </c>
      <c r="X155">
        <f>A!X155</f>
        <v>0</v>
      </c>
      <c r="Y155">
        <f>A!Y155</f>
        <v>0</v>
      </c>
      <c r="Z155" s="32">
        <f t="shared" si="2"/>
        <v>0</v>
      </c>
      <c r="AA155">
        <f>A!Z155</f>
        <v>0</v>
      </c>
      <c r="AB155">
        <f>A!AA155</f>
        <v>0</v>
      </c>
      <c r="AC155">
        <f>A!AB155</f>
        <v>0</v>
      </c>
      <c r="AD155">
        <f>A!AC155</f>
        <v>0</v>
      </c>
      <c r="AE155">
        <f>A!AD155</f>
        <v>0</v>
      </c>
      <c r="AF155">
        <f>A!AE155</f>
        <v>0</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32"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t="str">
        <f>A!BW155</f>
        <v>_64cefbfc-c86e-49fa-99bc-0eb47d1104c4</v>
      </c>
      <c r="BY155" t="str">
        <f>A!BX155</f>
        <v>64cefbfc-c86e-49fa-99bc-0eb47d1104c4</v>
      </c>
      <c r="BZ155" t="str">
        <f>A!BY155</f>
        <v>SIKB</v>
      </c>
      <c r="CA155" t="str">
        <f>A!BZ155</f>
        <v>MM06 04 (200-250) 04 (250-300) 05 (200-250) 05 (250-300)</v>
      </c>
      <c r="CB155">
        <f>A!CA155</f>
        <v>45810</v>
      </c>
      <c r="CC155" t="str">
        <f>A!CB155</f>
        <v>#_a13c9c27-ac45-4ff5-8e2b-08bc80806939</v>
      </c>
      <c r="CD155" t="str">
        <f>A!CC155</f>
        <v>#_714374dc-08e3-4d53-8e1d-0e37d8862a6d</v>
      </c>
      <c r="CE155">
        <f>A!CD155</f>
        <v>0</v>
      </c>
      <c r="CF155" t="str">
        <f>A!CE155</f>
        <v>urn:immetingen:compartiment:id:1</v>
      </c>
      <c r="CG155" t="str">
        <f>A!CF155</f>
        <v>_TI-65023568</v>
      </c>
      <c r="CH155">
        <f>A!CG155</f>
        <v>45810</v>
      </c>
      <c r="CI155" t="str">
        <f>A!CH155</f>
        <v>urn:immetingen:monstertype:id:10</v>
      </c>
      <c r="CJ155" t="str">
        <f>A!CI155</f>
        <v>urn:imsikb0101:Applicaties:id:16</v>
      </c>
      <c r="CK155" t="str">
        <f>A!CJ155</f>
        <v>urn:imsikb0101:DatastroomType:id:1</v>
      </c>
      <c r="CL155">
        <f>A!CK155</f>
        <v>45811</v>
      </c>
      <c r="CM155" t="str">
        <f>A!CL155</f>
        <v>SGS, Rotterdam</v>
      </c>
      <c r="CN155" t="str">
        <f>A!CM155</f>
        <v>LABRESULTAAT SGS</v>
      </c>
      <c r="CO155">
        <f>A!CN155</f>
        <v>45811</v>
      </c>
      <c r="CP155">
        <f>A!CO155</f>
        <v>0</v>
      </c>
      <c r="CQ155">
        <f>A!CO465</f>
        <v>0</v>
      </c>
      <c r="CR155" t="e">
        <f>A!#REF!</f>
        <v>#REF!</v>
      </c>
      <c r="CS155" t="e">
        <f>A!#REF!</f>
        <v>#REF!</v>
      </c>
    </row>
    <row r="156" spans="1:97" x14ac:dyDescent="0.2">
      <c r="A156" t="str">
        <f>A!A156</f>
        <v>LABRESULTAAT</v>
      </c>
      <c r="B156">
        <f>A!B156</f>
        <v>7</v>
      </c>
      <c r="C156">
        <f>A!C156</f>
        <v>0</v>
      </c>
      <c r="D156">
        <f>A!D156</f>
        <v>0</v>
      </c>
      <c r="E156">
        <f>A!E156</f>
        <v>0</v>
      </c>
      <c r="F156">
        <f>A!F156</f>
        <v>0</v>
      </c>
      <c r="G156">
        <f>A!G156</f>
        <v>0</v>
      </c>
      <c r="H156">
        <f>A!H156</f>
        <v>0</v>
      </c>
      <c r="I156">
        <f>A!I156</f>
        <v>0</v>
      </c>
      <c r="J156">
        <f>A!J156</f>
        <v>0</v>
      </c>
      <c r="K156">
        <f>A!K156</f>
        <v>0</v>
      </c>
      <c r="L156">
        <f>A!L156</f>
        <v>0</v>
      </c>
      <c r="M156">
        <f>A!M156</f>
        <v>0</v>
      </c>
      <c r="N156">
        <f>A!N156</f>
        <v>0</v>
      </c>
      <c r="O156">
        <f>A!O156</f>
        <v>0</v>
      </c>
      <c r="P156" s="32" t="str">
        <f>IF(A!P156="","",INDEX(B!$A$1:$BT$2000,MATCH(A!P156,B!$AX$1:$AX$2000,0),D!$B$5))</f>
        <v/>
      </c>
      <c r="Q156">
        <f>A!Q156</f>
        <v>0</v>
      </c>
      <c r="R156">
        <f>A!R156</f>
        <v>0</v>
      </c>
      <c r="S156">
        <f>A!S156</f>
        <v>0</v>
      </c>
      <c r="T156">
        <f>A!T156</f>
        <v>0</v>
      </c>
      <c r="U156">
        <f>A!U156</f>
        <v>0</v>
      </c>
      <c r="V156" s="32">
        <f>IF(A!V156="&lt;",1,A!V156)</f>
        <v>0</v>
      </c>
      <c r="W156">
        <f>A!W156</f>
        <v>0</v>
      </c>
      <c r="X156">
        <f>A!X156</f>
        <v>0</v>
      </c>
      <c r="Y156">
        <f>A!Y156</f>
        <v>0</v>
      </c>
      <c r="Z156" s="32">
        <f t="shared" si="2"/>
        <v>0</v>
      </c>
      <c r="AA156">
        <f>A!Z156</f>
        <v>0</v>
      </c>
      <c r="AB156">
        <f>A!AA156</f>
        <v>0</v>
      </c>
      <c r="AC156">
        <f>A!AB156</f>
        <v>0</v>
      </c>
      <c r="AD156">
        <f>A!AC156</f>
        <v>0</v>
      </c>
      <c r="AE156">
        <f>A!AD156</f>
        <v>0</v>
      </c>
      <c r="AF156">
        <f>A!AE156</f>
        <v>0</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32"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t="str">
        <f>A!BW156</f>
        <v>_64cefbfc-c86e-49fa-99bc-0eb47d1104c4</v>
      </c>
      <c r="BY156" t="str">
        <f>A!BX156</f>
        <v>64cefbfc-c86e-49fa-99bc-0eb47d1104c4</v>
      </c>
      <c r="BZ156" t="str">
        <f>A!BY156</f>
        <v>SIKB</v>
      </c>
      <c r="CA156" t="str">
        <f>A!BZ156</f>
        <v>MM06 04 (200-250) 04 (250-300) 05 (200-250) 05 (250-300)</v>
      </c>
      <c r="CB156">
        <f>A!CA156</f>
        <v>45810</v>
      </c>
      <c r="CC156" t="str">
        <f>A!CB156</f>
        <v>#_a13c9c27-ac45-4ff5-8e2b-08bc80806939</v>
      </c>
      <c r="CD156" t="str">
        <f>A!CC156</f>
        <v>#_285c588d-bf28-403d-837c-76ed81cf0041</v>
      </c>
      <c r="CE156">
        <f>A!CD156</f>
        <v>0</v>
      </c>
      <c r="CF156" t="str">
        <f>A!CE156</f>
        <v>urn:immetingen:compartiment:id:1</v>
      </c>
      <c r="CG156" t="str">
        <f>A!CF156</f>
        <v>_TI-65023568</v>
      </c>
      <c r="CH156">
        <f>A!CG156</f>
        <v>45810</v>
      </c>
      <c r="CI156" t="str">
        <f>A!CH156</f>
        <v>urn:immetingen:monstertype:id:10</v>
      </c>
      <c r="CJ156" t="str">
        <f>A!CI156</f>
        <v>urn:imsikb0101:Applicaties:id:16</v>
      </c>
      <c r="CK156" t="str">
        <f>A!CJ156</f>
        <v>urn:imsikb0101:DatastroomType:id:1</v>
      </c>
      <c r="CL156">
        <f>A!CK156</f>
        <v>45811</v>
      </c>
      <c r="CM156" t="str">
        <f>A!CL156</f>
        <v>SGS, Rotterdam</v>
      </c>
      <c r="CN156" t="str">
        <f>A!CM156</f>
        <v>LABRESULTAAT SGS</v>
      </c>
      <c r="CO156">
        <f>A!CN156</f>
        <v>45811</v>
      </c>
      <c r="CP156">
        <f>A!CO156</f>
        <v>0</v>
      </c>
      <c r="CQ156">
        <f>A!CO466</f>
        <v>0</v>
      </c>
      <c r="CR156" t="e">
        <f>A!#REF!</f>
        <v>#REF!</v>
      </c>
      <c r="CS156" t="e">
        <f>A!#REF!</f>
        <v>#REF!</v>
      </c>
    </row>
    <row r="157" spans="1:97" x14ac:dyDescent="0.2">
      <c r="A157" t="str">
        <f>A!A157</f>
        <v>LABRESULTAAT</v>
      </c>
      <c r="B157">
        <f>A!B157</f>
        <v>7</v>
      </c>
      <c r="C157">
        <f>A!C157</f>
        <v>0</v>
      </c>
      <c r="D157">
        <f>A!D157</f>
        <v>0</v>
      </c>
      <c r="E157">
        <f>A!E157</f>
        <v>0</v>
      </c>
      <c r="F157">
        <f>A!F157</f>
        <v>0</v>
      </c>
      <c r="G157">
        <f>A!G157</f>
        <v>0</v>
      </c>
      <c r="H157">
        <f>A!H157</f>
        <v>0</v>
      </c>
      <c r="I157">
        <f>A!I157</f>
        <v>0</v>
      </c>
      <c r="J157">
        <f>A!J157</f>
        <v>0</v>
      </c>
      <c r="K157">
        <f>A!K157</f>
        <v>0</v>
      </c>
      <c r="L157">
        <f>A!L157</f>
        <v>0</v>
      </c>
      <c r="M157">
        <f>A!M157</f>
        <v>0</v>
      </c>
      <c r="N157">
        <f>A!N157</f>
        <v>0</v>
      </c>
      <c r="O157">
        <f>A!O157</f>
        <v>0</v>
      </c>
      <c r="P157" s="32" t="str">
        <f>IF(A!P157="","",INDEX(B!$A$1:$BT$2000,MATCH(A!P157,B!$AX$1:$AX$2000,0),D!$B$5))</f>
        <v/>
      </c>
      <c r="Q157">
        <f>A!Q157</f>
        <v>0</v>
      </c>
      <c r="R157">
        <f>A!R157</f>
        <v>0</v>
      </c>
      <c r="S157">
        <f>A!S157</f>
        <v>0</v>
      </c>
      <c r="T157">
        <f>A!T157</f>
        <v>0</v>
      </c>
      <c r="U157">
        <f>A!U157</f>
        <v>0</v>
      </c>
      <c r="V157" s="32">
        <f>IF(A!V157="&lt;",1,A!V157)</f>
        <v>0</v>
      </c>
      <c r="W157">
        <f>A!W157</f>
        <v>0</v>
      </c>
      <c r="X157">
        <f>A!X157</f>
        <v>0</v>
      </c>
      <c r="Y157">
        <f>A!Y157</f>
        <v>0</v>
      </c>
      <c r="Z157" s="32">
        <f t="shared" si="2"/>
        <v>0</v>
      </c>
      <c r="AA157">
        <f>A!Z157</f>
        <v>0</v>
      </c>
      <c r="AB157">
        <f>A!AA157</f>
        <v>0</v>
      </c>
      <c r="AC157">
        <f>A!AB157</f>
        <v>0</v>
      </c>
      <c r="AD157">
        <f>A!AC157</f>
        <v>0</v>
      </c>
      <c r="AE157">
        <f>A!AD157</f>
        <v>0</v>
      </c>
      <c r="AF157">
        <f>A!AE157</f>
        <v>0</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32"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t="str">
        <f>A!BW157</f>
        <v>_64cefbfc-c86e-49fa-99bc-0eb47d1104c4</v>
      </c>
      <c r="BY157" t="str">
        <f>A!BX157</f>
        <v>64cefbfc-c86e-49fa-99bc-0eb47d1104c4</v>
      </c>
      <c r="BZ157" t="str">
        <f>A!BY157</f>
        <v>SIKB</v>
      </c>
      <c r="CA157" t="str">
        <f>A!BZ157</f>
        <v>MM06 04 (200-250) 04 (250-300) 05 (200-250) 05 (250-300)</v>
      </c>
      <c r="CB157">
        <f>A!CA157</f>
        <v>45810</v>
      </c>
      <c r="CC157" t="str">
        <f>A!CB157</f>
        <v>#_a13c9c27-ac45-4ff5-8e2b-08bc80806939</v>
      </c>
      <c r="CD157" t="str">
        <f>A!CC157</f>
        <v>#_58f858ae-176c-4673-a7b3-611bacd39ded</v>
      </c>
      <c r="CE157">
        <f>A!CD157</f>
        <v>0</v>
      </c>
      <c r="CF157" t="str">
        <f>A!CE157</f>
        <v>urn:immetingen:compartiment:id:1</v>
      </c>
      <c r="CG157" t="str">
        <f>A!CF157</f>
        <v>_TI-65023568</v>
      </c>
      <c r="CH157">
        <f>A!CG157</f>
        <v>45810</v>
      </c>
      <c r="CI157" t="str">
        <f>A!CH157</f>
        <v>urn:immetingen:monstertype:id:10</v>
      </c>
      <c r="CJ157" t="str">
        <f>A!CI157</f>
        <v>urn:imsikb0101:Applicaties:id:16</v>
      </c>
      <c r="CK157" t="str">
        <f>A!CJ157</f>
        <v>urn:imsikb0101:DatastroomType:id:1</v>
      </c>
      <c r="CL157">
        <f>A!CK157</f>
        <v>45811</v>
      </c>
      <c r="CM157" t="str">
        <f>A!CL157</f>
        <v>SGS, Rotterdam</v>
      </c>
      <c r="CN157" t="str">
        <f>A!CM157</f>
        <v>LABRESULTAAT SGS</v>
      </c>
      <c r="CO157">
        <f>A!CN157</f>
        <v>45811</v>
      </c>
      <c r="CP157">
        <f>A!CO157</f>
        <v>0</v>
      </c>
      <c r="CQ157">
        <f>A!CO467</f>
        <v>0</v>
      </c>
      <c r="CR157" t="e">
        <f>A!#REF!</f>
        <v>#REF!</v>
      </c>
      <c r="CS157" t="e">
        <f>A!#REF!</f>
        <v>#REF!</v>
      </c>
    </row>
    <row r="158" spans="1:97" x14ac:dyDescent="0.2">
      <c r="A158" t="str">
        <f>A!A158</f>
        <v>LABRESULTAAT</v>
      </c>
      <c r="B158">
        <f>A!B158</f>
        <v>7</v>
      </c>
      <c r="C158">
        <f>A!C158</f>
        <v>0</v>
      </c>
      <c r="D158">
        <f>A!D158</f>
        <v>0</v>
      </c>
      <c r="E158">
        <f>A!E158</f>
        <v>0</v>
      </c>
      <c r="F158">
        <f>A!F158</f>
        <v>0</v>
      </c>
      <c r="G158">
        <f>A!G158</f>
        <v>0</v>
      </c>
      <c r="H158">
        <f>A!H158</f>
        <v>0</v>
      </c>
      <c r="I158">
        <f>A!I158</f>
        <v>0</v>
      </c>
      <c r="J158">
        <f>A!J158</f>
        <v>0</v>
      </c>
      <c r="K158">
        <f>A!K158</f>
        <v>0</v>
      </c>
      <c r="L158">
        <f>A!L158</f>
        <v>0</v>
      </c>
      <c r="M158">
        <f>A!M158</f>
        <v>0</v>
      </c>
      <c r="N158">
        <f>A!N158</f>
        <v>0</v>
      </c>
      <c r="O158">
        <f>A!O158</f>
        <v>0</v>
      </c>
      <c r="P158" s="32" t="str">
        <f>IF(A!P158="","",INDEX(B!$A$1:$BT$2000,MATCH(A!P158,B!$AX$1:$AX$2000,0),D!$B$5))</f>
        <v/>
      </c>
      <c r="Q158">
        <f>A!Q158</f>
        <v>0</v>
      </c>
      <c r="R158">
        <f>A!R158</f>
        <v>0</v>
      </c>
      <c r="S158">
        <f>A!S158</f>
        <v>0</v>
      </c>
      <c r="T158">
        <f>A!T158</f>
        <v>0</v>
      </c>
      <c r="U158">
        <f>A!U158</f>
        <v>0</v>
      </c>
      <c r="V158" s="32">
        <f>IF(A!V158="&lt;",1,A!V158)</f>
        <v>0</v>
      </c>
      <c r="W158">
        <f>A!W158</f>
        <v>0</v>
      </c>
      <c r="X158">
        <f>A!X158</f>
        <v>0</v>
      </c>
      <c r="Y158">
        <f>A!Y158</f>
        <v>0</v>
      </c>
      <c r="Z158" s="32">
        <f t="shared" si="2"/>
        <v>0</v>
      </c>
      <c r="AA158">
        <f>A!Z158</f>
        <v>0</v>
      </c>
      <c r="AB158">
        <f>A!AA158</f>
        <v>0</v>
      </c>
      <c r="AC158">
        <f>A!AB158</f>
        <v>0</v>
      </c>
      <c r="AD158">
        <f>A!AC158</f>
        <v>0</v>
      </c>
      <c r="AE158">
        <f>A!AD158</f>
        <v>0</v>
      </c>
      <c r="AF158">
        <f>A!AE158</f>
        <v>0</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32"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t="str">
        <f>A!BW158</f>
        <v>_64cefbfc-c86e-49fa-99bc-0eb47d1104c4</v>
      </c>
      <c r="BY158" t="str">
        <f>A!BX158</f>
        <v>64cefbfc-c86e-49fa-99bc-0eb47d1104c4</v>
      </c>
      <c r="BZ158" t="str">
        <f>A!BY158</f>
        <v>SIKB</v>
      </c>
      <c r="CA158" t="str">
        <f>A!BZ158</f>
        <v>MM06 04 (200-250) 04 (250-300) 05 (200-250) 05 (250-300)</v>
      </c>
      <c r="CB158">
        <f>A!CA158</f>
        <v>45810</v>
      </c>
      <c r="CC158" t="str">
        <f>A!CB158</f>
        <v>#_a13c9c27-ac45-4ff5-8e2b-08bc80806939</v>
      </c>
      <c r="CD158" t="str">
        <f>A!CC158</f>
        <v>#_6c359bc4-9110-4d0e-828c-68e8285726ee</v>
      </c>
      <c r="CE158">
        <f>A!CD158</f>
        <v>0</v>
      </c>
      <c r="CF158" t="str">
        <f>A!CE158</f>
        <v>urn:immetingen:compartiment:id:1</v>
      </c>
      <c r="CG158" t="str">
        <f>A!CF158</f>
        <v>_TI-65023568</v>
      </c>
      <c r="CH158">
        <f>A!CG158</f>
        <v>45810</v>
      </c>
      <c r="CI158" t="str">
        <f>A!CH158</f>
        <v>urn:immetingen:monstertype:id:10</v>
      </c>
      <c r="CJ158" t="str">
        <f>A!CI158</f>
        <v>urn:imsikb0101:Applicaties:id:16</v>
      </c>
      <c r="CK158" t="str">
        <f>A!CJ158</f>
        <v>urn:imsikb0101:DatastroomType:id:1</v>
      </c>
      <c r="CL158">
        <f>A!CK158</f>
        <v>45811</v>
      </c>
      <c r="CM158" t="str">
        <f>A!CL158</f>
        <v>SGS, Rotterdam</v>
      </c>
      <c r="CN158" t="str">
        <f>A!CM158</f>
        <v>LABRESULTAAT SGS</v>
      </c>
      <c r="CO158">
        <f>A!CN158</f>
        <v>45811</v>
      </c>
      <c r="CP158">
        <f>A!CO158</f>
        <v>0</v>
      </c>
      <c r="CQ158">
        <f>A!CO468</f>
        <v>0</v>
      </c>
      <c r="CR158" t="e">
        <f>A!#REF!</f>
        <v>#REF!</v>
      </c>
      <c r="CS158" t="e">
        <f>A!#REF!</f>
        <v>#REF!</v>
      </c>
    </row>
    <row r="159" spans="1:97" x14ac:dyDescent="0.2">
      <c r="A159" t="str">
        <f>A!A159</f>
        <v>LABRESULTAAT</v>
      </c>
      <c r="B159">
        <f>A!B159</f>
        <v>7</v>
      </c>
      <c r="C159">
        <f>A!C159</f>
        <v>0</v>
      </c>
      <c r="D159">
        <f>A!D159</f>
        <v>0</v>
      </c>
      <c r="E159">
        <f>A!E159</f>
        <v>0</v>
      </c>
      <c r="F159">
        <f>A!F159</f>
        <v>0</v>
      </c>
      <c r="G159">
        <f>A!G159</f>
        <v>0</v>
      </c>
      <c r="H159">
        <f>A!H159</f>
        <v>0</v>
      </c>
      <c r="I159">
        <f>A!I159</f>
        <v>0</v>
      </c>
      <c r="J159">
        <f>A!J159</f>
        <v>0</v>
      </c>
      <c r="K159">
        <f>A!K159</f>
        <v>0</v>
      </c>
      <c r="L159">
        <f>A!L159</f>
        <v>0</v>
      </c>
      <c r="M159">
        <f>A!M159</f>
        <v>0</v>
      </c>
      <c r="N159">
        <f>A!N159</f>
        <v>0</v>
      </c>
      <c r="O159">
        <f>A!O159</f>
        <v>0</v>
      </c>
      <c r="P159" s="32" t="str">
        <f>IF(A!P159="","",INDEX(B!$A$1:$BT$2000,MATCH(A!P159,B!$AX$1:$AX$2000,0),D!$B$5))</f>
        <v/>
      </c>
      <c r="Q159">
        <f>A!Q159</f>
        <v>0</v>
      </c>
      <c r="R159">
        <f>A!R159</f>
        <v>0</v>
      </c>
      <c r="S159">
        <f>A!S159</f>
        <v>0</v>
      </c>
      <c r="T159">
        <f>A!T159</f>
        <v>0</v>
      </c>
      <c r="U159">
        <f>A!U159</f>
        <v>0</v>
      </c>
      <c r="V159" s="32">
        <f>IF(A!V159="&lt;",1,A!V159)</f>
        <v>0</v>
      </c>
      <c r="W159">
        <f>A!W159</f>
        <v>0</v>
      </c>
      <c r="X159">
        <f>A!X159</f>
        <v>0</v>
      </c>
      <c r="Y159">
        <f>A!Y159</f>
        <v>0</v>
      </c>
      <c r="Z159" s="32">
        <f t="shared" si="2"/>
        <v>0</v>
      </c>
      <c r="AA159">
        <f>A!Z159</f>
        <v>0</v>
      </c>
      <c r="AB159">
        <f>A!AA159</f>
        <v>0</v>
      </c>
      <c r="AC159">
        <f>A!AB159</f>
        <v>0</v>
      </c>
      <c r="AD159">
        <f>A!AC159</f>
        <v>0</v>
      </c>
      <c r="AE159">
        <f>A!AD159</f>
        <v>0</v>
      </c>
      <c r="AF159">
        <f>A!AE159</f>
        <v>0</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32"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t="str">
        <f>A!BW159</f>
        <v>_64cefbfc-c86e-49fa-99bc-0eb47d1104c4</v>
      </c>
      <c r="BY159" t="str">
        <f>A!BX159</f>
        <v>64cefbfc-c86e-49fa-99bc-0eb47d1104c4</v>
      </c>
      <c r="BZ159" t="str">
        <f>A!BY159</f>
        <v>SIKB</v>
      </c>
      <c r="CA159" t="str">
        <f>A!BZ159</f>
        <v>MM06 04 (200-250) 04 (250-300) 05 (200-250) 05 (250-300)</v>
      </c>
      <c r="CB159">
        <f>A!CA159</f>
        <v>45810</v>
      </c>
      <c r="CC159" t="str">
        <f>A!CB159</f>
        <v>#_a13c9c27-ac45-4ff5-8e2b-08bc80806939</v>
      </c>
      <c r="CD159" t="str">
        <f>A!CC159</f>
        <v>#_68606326-6b45-4ba8-b432-c73b0d858a7f</v>
      </c>
      <c r="CE159">
        <f>A!CD159</f>
        <v>0</v>
      </c>
      <c r="CF159" t="str">
        <f>A!CE159</f>
        <v>urn:immetingen:compartiment:id:1</v>
      </c>
      <c r="CG159" t="str">
        <f>A!CF159</f>
        <v>_TI-65023568</v>
      </c>
      <c r="CH159">
        <f>A!CG159</f>
        <v>45810</v>
      </c>
      <c r="CI159" t="str">
        <f>A!CH159</f>
        <v>urn:immetingen:monstertype:id:10</v>
      </c>
      <c r="CJ159" t="str">
        <f>A!CI159</f>
        <v>urn:imsikb0101:Applicaties:id:16</v>
      </c>
      <c r="CK159" t="str">
        <f>A!CJ159</f>
        <v>urn:imsikb0101:DatastroomType:id:1</v>
      </c>
      <c r="CL159">
        <f>A!CK159</f>
        <v>45811</v>
      </c>
      <c r="CM159" t="str">
        <f>A!CL159</f>
        <v>SGS, Rotterdam</v>
      </c>
      <c r="CN159" t="str">
        <f>A!CM159</f>
        <v>LABRESULTAAT SGS</v>
      </c>
      <c r="CO159">
        <f>A!CN159</f>
        <v>45811</v>
      </c>
      <c r="CP159">
        <f>A!CO159</f>
        <v>0</v>
      </c>
      <c r="CQ159">
        <f>A!CO469</f>
        <v>0</v>
      </c>
      <c r="CR159" t="e">
        <f>A!#REF!</f>
        <v>#REF!</v>
      </c>
      <c r="CS159" t="e">
        <f>A!#REF!</f>
        <v>#REF!</v>
      </c>
    </row>
    <row r="160" spans="1:97" x14ac:dyDescent="0.2">
      <c r="A160" t="str">
        <f>A!A160</f>
        <v>LABRESULTAAT</v>
      </c>
      <c r="B160">
        <f>A!B160</f>
        <v>7</v>
      </c>
      <c r="C160">
        <f>A!C160</f>
        <v>0</v>
      </c>
      <c r="D160">
        <f>A!D160</f>
        <v>0</v>
      </c>
      <c r="E160">
        <f>A!E160</f>
        <v>0</v>
      </c>
      <c r="F160">
        <f>A!F160</f>
        <v>0</v>
      </c>
      <c r="G160">
        <f>A!G160</f>
        <v>0</v>
      </c>
      <c r="H160">
        <f>A!H160</f>
        <v>0</v>
      </c>
      <c r="I160">
        <f>A!I160</f>
        <v>0</v>
      </c>
      <c r="J160">
        <f>A!J160</f>
        <v>0</v>
      </c>
      <c r="K160">
        <f>A!K160</f>
        <v>0</v>
      </c>
      <c r="L160">
        <f>A!L160</f>
        <v>0</v>
      </c>
      <c r="M160">
        <f>A!M160</f>
        <v>0</v>
      </c>
      <c r="N160">
        <f>A!N160</f>
        <v>0</v>
      </c>
      <c r="O160">
        <f>A!O160</f>
        <v>0</v>
      </c>
      <c r="P160" s="32" t="str">
        <f>IF(A!P160="","",INDEX(B!$A$1:$BT$2000,MATCH(A!P160,B!$AX$1:$AX$2000,0),D!$B$5))</f>
        <v/>
      </c>
      <c r="Q160">
        <f>A!Q160</f>
        <v>0</v>
      </c>
      <c r="R160">
        <f>A!R160</f>
        <v>0</v>
      </c>
      <c r="S160">
        <f>A!S160</f>
        <v>0</v>
      </c>
      <c r="T160">
        <f>A!T160</f>
        <v>0</v>
      </c>
      <c r="U160">
        <f>A!U160</f>
        <v>0</v>
      </c>
      <c r="V160" s="32">
        <f>IF(A!V160="&lt;",1,A!V160)</f>
        <v>0</v>
      </c>
      <c r="W160">
        <f>A!W160</f>
        <v>0</v>
      </c>
      <c r="X160">
        <f>A!X160</f>
        <v>0</v>
      </c>
      <c r="Y160">
        <f>A!Y160</f>
        <v>0</v>
      </c>
      <c r="Z160" s="32">
        <f t="shared" si="2"/>
        <v>0</v>
      </c>
      <c r="AA160">
        <f>A!Z160</f>
        <v>0</v>
      </c>
      <c r="AB160">
        <f>A!AA160</f>
        <v>0</v>
      </c>
      <c r="AC160">
        <f>A!AB160</f>
        <v>0</v>
      </c>
      <c r="AD160">
        <f>A!AC160</f>
        <v>0</v>
      </c>
      <c r="AE160">
        <f>A!AD160</f>
        <v>0</v>
      </c>
      <c r="AF160">
        <f>A!AE160</f>
        <v>0</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32"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t="str">
        <f>A!BW160</f>
        <v>_64cefbfc-c86e-49fa-99bc-0eb47d1104c4</v>
      </c>
      <c r="BY160" t="str">
        <f>A!BX160</f>
        <v>64cefbfc-c86e-49fa-99bc-0eb47d1104c4</v>
      </c>
      <c r="BZ160" t="str">
        <f>A!BY160</f>
        <v>SIKB</v>
      </c>
      <c r="CA160" t="str">
        <f>A!BZ160</f>
        <v>MM06 04 (200-250) 04 (250-300) 05 (200-250) 05 (250-300)</v>
      </c>
      <c r="CB160">
        <f>A!CA160</f>
        <v>45810</v>
      </c>
      <c r="CC160" t="str">
        <f>A!CB160</f>
        <v>#_a13c9c27-ac45-4ff5-8e2b-08bc80806939</v>
      </c>
      <c r="CD160" t="str">
        <f>A!CC160</f>
        <v>#_2bb9cf5f-2978-4314-a9f2-462e1ad97f04</v>
      </c>
      <c r="CE160">
        <f>A!CD160</f>
        <v>0</v>
      </c>
      <c r="CF160" t="str">
        <f>A!CE160</f>
        <v>urn:immetingen:compartiment:id:1</v>
      </c>
      <c r="CG160" t="str">
        <f>A!CF160</f>
        <v>_TI-65023568</v>
      </c>
      <c r="CH160">
        <f>A!CG160</f>
        <v>45810</v>
      </c>
      <c r="CI160" t="str">
        <f>A!CH160</f>
        <v>urn:immetingen:monstertype:id:10</v>
      </c>
      <c r="CJ160" t="str">
        <f>A!CI160</f>
        <v>urn:imsikb0101:Applicaties:id:16</v>
      </c>
      <c r="CK160" t="str">
        <f>A!CJ160</f>
        <v>urn:imsikb0101:DatastroomType:id:1</v>
      </c>
      <c r="CL160">
        <f>A!CK160</f>
        <v>45811</v>
      </c>
      <c r="CM160" t="str">
        <f>A!CL160</f>
        <v>SGS, Rotterdam</v>
      </c>
      <c r="CN160" t="str">
        <f>A!CM160</f>
        <v>LABRESULTAAT SGS</v>
      </c>
      <c r="CO160">
        <f>A!CN160</f>
        <v>45811</v>
      </c>
      <c r="CP160">
        <f>A!CO160</f>
        <v>0</v>
      </c>
      <c r="CQ160">
        <f>A!CO470</f>
        <v>0</v>
      </c>
      <c r="CR160" t="e">
        <f>A!#REF!</f>
        <v>#REF!</v>
      </c>
      <c r="CS160" t="e">
        <f>A!#REF!</f>
        <v>#REF!</v>
      </c>
    </row>
    <row r="161" spans="1:97" x14ac:dyDescent="0.2">
      <c r="A161" t="str">
        <f>A!A161</f>
        <v>LABRESULTAAT</v>
      </c>
      <c r="B161">
        <f>A!B161</f>
        <v>7</v>
      </c>
      <c r="C161">
        <f>A!C161</f>
        <v>0</v>
      </c>
      <c r="D161">
        <f>A!D161</f>
        <v>0</v>
      </c>
      <c r="E161">
        <f>A!E161</f>
        <v>0</v>
      </c>
      <c r="F161">
        <f>A!F161</f>
        <v>0</v>
      </c>
      <c r="G161">
        <f>A!G161</f>
        <v>0</v>
      </c>
      <c r="H161">
        <f>A!H161</f>
        <v>0</v>
      </c>
      <c r="I161">
        <f>A!I161</f>
        <v>0</v>
      </c>
      <c r="J161">
        <f>A!J161</f>
        <v>0</v>
      </c>
      <c r="K161">
        <f>A!K161</f>
        <v>0</v>
      </c>
      <c r="L161">
        <f>A!L161</f>
        <v>0</v>
      </c>
      <c r="M161">
        <f>A!M161</f>
        <v>0</v>
      </c>
      <c r="N161">
        <f>A!N161</f>
        <v>0</v>
      </c>
      <c r="O161">
        <f>A!O161</f>
        <v>0</v>
      </c>
      <c r="P161" s="32" t="str">
        <f>IF(A!P161="","",INDEX(B!$A$1:$BT$2000,MATCH(A!P161,B!$AX$1:$AX$2000,0),D!$B$5))</f>
        <v/>
      </c>
      <c r="Q161">
        <f>A!Q161</f>
        <v>0</v>
      </c>
      <c r="R161">
        <f>A!R161</f>
        <v>0</v>
      </c>
      <c r="S161">
        <f>A!S161</f>
        <v>0</v>
      </c>
      <c r="T161">
        <f>A!T161</f>
        <v>0</v>
      </c>
      <c r="U161">
        <f>A!U161</f>
        <v>0</v>
      </c>
      <c r="V161" s="32">
        <f>IF(A!V161="&lt;",1,A!V161)</f>
        <v>0</v>
      </c>
      <c r="W161">
        <f>A!W161</f>
        <v>0</v>
      </c>
      <c r="X161">
        <f>A!X161</f>
        <v>0</v>
      </c>
      <c r="Y161">
        <f>A!Y161</f>
        <v>0</v>
      </c>
      <c r="Z161" s="32">
        <f t="shared" si="2"/>
        <v>0</v>
      </c>
      <c r="AA161">
        <f>A!Z161</f>
        <v>0</v>
      </c>
      <c r="AB161">
        <f>A!AA161</f>
        <v>0</v>
      </c>
      <c r="AC161">
        <f>A!AB161</f>
        <v>0</v>
      </c>
      <c r="AD161">
        <f>A!AC161</f>
        <v>0</v>
      </c>
      <c r="AE161">
        <f>A!AD161</f>
        <v>0</v>
      </c>
      <c r="AF161">
        <f>A!AE161</f>
        <v>0</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32"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t="str">
        <f>A!BW161</f>
        <v>_64cefbfc-c86e-49fa-99bc-0eb47d1104c4</v>
      </c>
      <c r="BY161" t="str">
        <f>A!BX161</f>
        <v>64cefbfc-c86e-49fa-99bc-0eb47d1104c4</v>
      </c>
      <c r="BZ161" t="str">
        <f>A!BY161</f>
        <v>SIKB</v>
      </c>
      <c r="CA161" t="str">
        <f>A!BZ161</f>
        <v>MM06 04 (200-250) 04 (250-300) 05 (200-250) 05 (250-300)</v>
      </c>
      <c r="CB161">
        <f>A!CA161</f>
        <v>45810</v>
      </c>
      <c r="CC161" t="str">
        <f>A!CB161</f>
        <v>#_a13c9c27-ac45-4ff5-8e2b-08bc80806939</v>
      </c>
      <c r="CD161" t="str">
        <f>A!CC161</f>
        <v>#_a7f87ba0-c540-408e-bbc5-a4cd1d94b849</v>
      </c>
      <c r="CE161">
        <f>A!CD161</f>
        <v>0</v>
      </c>
      <c r="CF161" t="str">
        <f>A!CE161</f>
        <v>urn:immetingen:compartiment:id:1</v>
      </c>
      <c r="CG161" t="str">
        <f>A!CF161</f>
        <v>_TI-65023568</v>
      </c>
      <c r="CH161">
        <f>A!CG161</f>
        <v>45810</v>
      </c>
      <c r="CI161" t="str">
        <f>A!CH161</f>
        <v>urn:immetingen:monstertype:id:10</v>
      </c>
      <c r="CJ161" t="str">
        <f>A!CI161</f>
        <v>urn:imsikb0101:Applicaties:id:16</v>
      </c>
      <c r="CK161" t="str">
        <f>A!CJ161</f>
        <v>urn:imsikb0101:DatastroomType:id:1</v>
      </c>
      <c r="CL161">
        <f>A!CK161</f>
        <v>45811</v>
      </c>
      <c r="CM161" t="str">
        <f>A!CL161</f>
        <v>SGS, Rotterdam</v>
      </c>
      <c r="CN161" t="str">
        <f>A!CM161</f>
        <v>LABRESULTAAT SGS</v>
      </c>
      <c r="CO161">
        <f>A!CN161</f>
        <v>45811</v>
      </c>
      <c r="CP161">
        <f>A!CO161</f>
        <v>0</v>
      </c>
      <c r="CQ161">
        <f>A!CO471</f>
        <v>0</v>
      </c>
      <c r="CR161" t="e">
        <f>A!#REF!</f>
        <v>#REF!</v>
      </c>
      <c r="CS161" t="e">
        <f>A!#REF!</f>
        <v>#REF!</v>
      </c>
    </row>
    <row r="162" spans="1:97" x14ac:dyDescent="0.2">
      <c r="A162" t="str">
        <f>A!A162</f>
        <v>LABRESULTAAT</v>
      </c>
      <c r="B162">
        <f>A!B162</f>
        <v>7</v>
      </c>
      <c r="C162">
        <f>A!C162</f>
        <v>0</v>
      </c>
      <c r="D162">
        <f>A!D162</f>
        <v>0</v>
      </c>
      <c r="E162">
        <f>A!E162</f>
        <v>0</v>
      </c>
      <c r="F162">
        <f>A!F162</f>
        <v>0</v>
      </c>
      <c r="G162">
        <f>A!G162</f>
        <v>0</v>
      </c>
      <c r="H162">
        <f>A!H162</f>
        <v>0</v>
      </c>
      <c r="I162">
        <f>A!I162</f>
        <v>0</v>
      </c>
      <c r="J162">
        <f>A!J162</f>
        <v>0</v>
      </c>
      <c r="K162">
        <f>A!K162</f>
        <v>0</v>
      </c>
      <c r="L162">
        <f>A!L162</f>
        <v>0</v>
      </c>
      <c r="M162">
        <f>A!M162</f>
        <v>0</v>
      </c>
      <c r="N162">
        <f>A!N162</f>
        <v>0</v>
      </c>
      <c r="O162">
        <f>A!O162</f>
        <v>0</v>
      </c>
      <c r="P162" s="32" t="str">
        <f>IF(A!P162="","",INDEX(B!$A$1:$BT$2000,MATCH(A!P162,B!$AX$1:$AX$2000,0),D!$B$5))</f>
        <v/>
      </c>
      <c r="Q162">
        <f>A!Q162</f>
        <v>0</v>
      </c>
      <c r="R162">
        <f>A!R162</f>
        <v>0</v>
      </c>
      <c r="S162">
        <f>A!S162</f>
        <v>0</v>
      </c>
      <c r="T162">
        <f>A!T162</f>
        <v>0</v>
      </c>
      <c r="U162">
        <f>A!U162</f>
        <v>0</v>
      </c>
      <c r="V162" s="32">
        <f>IF(A!V162="&lt;",1,A!V162)</f>
        <v>0</v>
      </c>
      <c r="W162">
        <f>A!W162</f>
        <v>0</v>
      </c>
      <c r="X162">
        <f>A!X162</f>
        <v>0</v>
      </c>
      <c r="Y162">
        <f>A!Y162</f>
        <v>0</v>
      </c>
      <c r="Z162" s="32">
        <f t="shared" si="2"/>
        <v>0</v>
      </c>
      <c r="AA162">
        <f>A!Z162</f>
        <v>0</v>
      </c>
      <c r="AB162">
        <f>A!AA162</f>
        <v>0</v>
      </c>
      <c r="AC162">
        <f>A!AB162</f>
        <v>0</v>
      </c>
      <c r="AD162">
        <f>A!AC162</f>
        <v>0</v>
      </c>
      <c r="AE162">
        <f>A!AD162</f>
        <v>0</v>
      </c>
      <c r="AF162">
        <f>A!AE162</f>
        <v>0</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32"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t="str">
        <f>A!BW162</f>
        <v>_64cefbfc-c86e-49fa-99bc-0eb47d1104c4</v>
      </c>
      <c r="BY162" t="str">
        <f>A!BX162</f>
        <v>64cefbfc-c86e-49fa-99bc-0eb47d1104c4</v>
      </c>
      <c r="BZ162" t="str">
        <f>A!BY162</f>
        <v>SIKB</v>
      </c>
      <c r="CA162" t="str">
        <f>A!BZ162</f>
        <v>MM06 04 (200-250) 04 (250-300) 05 (200-250) 05 (250-300)</v>
      </c>
      <c r="CB162">
        <f>A!CA162</f>
        <v>45810</v>
      </c>
      <c r="CC162" t="str">
        <f>A!CB162</f>
        <v>#_a13c9c27-ac45-4ff5-8e2b-08bc80806939</v>
      </c>
      <c r="CD162" t="str">
        <f>A!CC162</f>
        <v>#_7beaa33c-03c7-45af-9527-163e2c7fb916</v>
      </c>
      <c r="CE162">
        <f>A!CD162</f>
        <v>0</v>
      </c>
      <c r="CF162" t="str">
        <f>A!CE162</f>
        <v>urn:immetingen:compartiment:id:1</v>
      </c>
      <c r="CG162" t="str">
        <f>A!CF162</f>
        <v>_TI-65023568</v>
      </c>
      <c r="CH162">
        <f>A!CG162</f>
        <v>45810</v>
      </c>
      <c r="CI162" t="str">
        <f>A!CH162</f>
        <v>urn:immetingen:monstertype:id:10</v>
      </c>
      <c r="CJ162" t="str">
        <f>A!CI162</f>
        <v>urn:imsikb0101:Applicaties:id:16</v>
      </c>
      <c r="CK162" t="str">
        <f>A!CJ162</f>
        <v>urn:imsikb0101:DatastroomType:id:1</v>
      </c>
      <c r="CL162">
        <f>A!CK162</f>
        <v>45811</v>
      </c>
      <c r="CM162" t="str">
        <f>A!CL162</f>
        <v>SGS, Rotterdam</v>
      </c>
      <c r="CN162" t="str">
        <f>A!CM162</f>
        <v>LABRESULTAAT SGS</v>
      </c>
      <c r="CO162">
        <f>A!CN162</f>
        <v>45811</v>
      </c>
      <c r="CP162">
        <f>A!CO162</f>
        <v>0</v>
      </c>
      <c r="CQ162">
        <f>A!CO472</f>
        <v>0</v>
      </c>
      <c r="CR162" t="e">
        <f>A!#REF!</f>
        <v>#REF!</v>
      </c>
      <c r="CS162" t="e">
        <f>A!#REF!</f>
        <v>#REF!</v>
      </c>
    </row>
    <row r="163" spans="1:97" x14ac:dyDescent="0.2">
      <c r="A163" t="str">
        <f>A!A163</f>
        <v>LABRESULTAAT</v>
      </c>
      <c r="B163">
        <f>A!B163</f>
        <v>7</v>
      </c>
      <c r="C163">
        <f>A!C163</f>
        <v>0</v>
      </c>
      <c r="D163">
        <f>A!D163</f>
        <v>0</v>
      </c>
      <c r="E163">
        <f>A!E163</f>
        <v>0</v>
      </c>
      <c r="F163">
        <f>A!F163</f>
        <v>0</v>
      </c>
      <c r="G163">
        <f>A!G163</f>
        <v>0</v>
      </c>
      <c r="H163">
        <f>A!H163</f>
        <v>0</v>
      </c>
      <c r="I163">
        <f>A!I163</f>
        <v>0</v>
      </c>
      <c r="J163">
        <f>A!J163</f>
        <v>0</v>
      </c>
      <c r="K163">
        <f>A!K163</f>
        <v>0</v>
      </c>
      <c r="L163">
        <f>A!L163</f>
        <v>0</v>
      </c>
      <c r="M163">
        <f>A!M163</f>
        <v>0</v>
      </c>
      <c r="N163">
        <f>A!N163</f>
        <v>0</v>
      </c>
      <c r="O163">
        <f>A!O163</f>
        <v>0</v>
      </c>
      <c r="P163" s="32" t="str">
        <f>IF(A!P163="","",INDEX(B!$A$1:$BT$2000,MATCH(A!P163,B!$AX$1:$AX$2000,0),D!$B$5))</f>
        <v/>
      </c>
      <c r="Q163">
        <f>A!Q163</f>
        <v>0</v>
      </c>
      <c r="R163">
        <f>A!R163</f>
        <v>0</v>
      </c>
      <c r="S163">
        <f>A!S163</f>
        <v>0</v>
      </c>
      <c r="T163">
        <f>A!T163</f>
        <v>0</v>
      </c>
      <c r="U163">
        <f>A!U163</f>
        <v>0</v>
      </c>
      <c r="V163" s="32">
        <f>IF(A!V163="&lt;",1,A!V163)</f>
        <v>0</v>
      </c>
      <c r="W163">
        <f>A!W163</f>
        <v>0</v>
      </c>
      <c r="X163">
        <f>A!X163</f>
        <v>0</v>
      </c>
      <c r="Y163">
        <f>A!Y163</f>
        <v>0</v>
      </c>
      <c r="Z163" s="32">
        <f t="shared" si="2"/>
        <v>0</v>
      </c>
      <c r="AA163">
        <f>A!Z163</f>
        <v>0</v>
      </c>
      <c r="AB163">
        <f>A!AA163</f>
        <v>0</v>
      </c>
      <c r="AC163">
        <f>A!AB163</f>
        <v>0</v>
      </c>
      <c r="AD163">
        <f>A!AC163</f>
        <v>0</v>
      </c>
      <c r="AE163">
        <f>A!AD163</f>
        <v>0</v>
      </c>
      <c r="AF163">
        <f>A!AE163</f>
        <v>0</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32"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t="str">
        <f>A!BW163</f>
        <v>_64cefbfc-c86e-49fa-99bc-0eb47d1104c4</v>
      </c>
      <c r="BY163" t="str">
        <f>A!BX163</f>
        <v>64cefbfc-c86e-49fa-99bc-0eb47d1104c4</v>
      </c>
      <c r="BZ163" t="str">
        <f>A!BY163</f>
        <v>SIKB</v>
      </c>
      <c r="CA163" t="str">
        <f>A!BZ163</f>
        <v>MM06 04 (200-250) 04 (250-300) 05 (200-250) 05 (250-300)</v>
      </c>
      <c r="CB163">
        <f>A!CA163</f>
        <v>45810</v>
      </c>
      <c r="CC163" t="str">
        <f>A!CB163</f>
        <v>#_a13c9c27-ac45-4ff5-8e2b-08bc80806939</v>
      </c>
      <c r="CD163" t="str">
        <f>A!CC163</f>
        <v>#_a3d72883-95c6-46cc-ba3c-4e96c4000551</v>
      </c>
      <c r="CE163">
        <f>A!CD163</f>
        <v>0</v>
      </c>
      <c r="CF163" t="str">
        <f>A!CE163</f>
        <v>urn:immetingen:compartiment:id:1</v>
      </c>
      <c r="CG163" t="str">
        <f>A!CF163</f>
        <v>_TI-65023568</v>
      </c>
      <c r="CH163">
        <f>A!CG163</f>
        <v>45810</v>
      </c>
      <c r="CI163" t="str">
        <f>A!CH163</f>
        <v>urn:immetingen:monstertype:id:10</v>
      </c>
      <c r="CJ163" t="str">
        <f>A!CI163</f>
        <v>urn:imsikb0101:Applicaties:id:16</v>
      </c>
      <c r="CK163" t="str">
        <f>A!CJ163</f>
        <v>urn:imsikb0101:DatastroomType:id:1</v>
      </c>
      <c r="CL163">
        <f>A!CK163</f>
        <v>45811</v>
      </c>
      <c r="CM163" t="str">
        <f>A!CL163</f>
        <v>SGS, Rotterdam</v>
      </c>
      <c r="CN163" t="str">
        <f>A!CM163</f>
        <v>LABRESULTAAT SGS</v>
      </c>
      <c r="CO163">
        <f>A!CN163</f>
        <v>45811</v>
      </c>
      <c r="CP163">
        <f>A!CO163</f>
        <v>0</v>
      </c>
      <c r="CQ163">
        <f>A!CO473</f>
        <v>0</v>
      </c>
      <c r="CR163" t="e">
        <f>A!#REF!</f>
        <v>#REF!</v>
      </c>
      <c r="CS163" t="e">
        <f>A!#REF!</f>
        <v>#REF!</v>
      </c>
    </row>
    <row r="164" spans="1:97" x14ac:dyDescent="0.2">
      <c r="A164" t="str">
        <f>A!A164</f>
        <v>LABRESULTAAT</v>
      </c>
      <c r="B164">
        <f>A!B164</f>
        <v>7</v>
      </c>
      <c r="C164">
        <f>A!C164</f>
        <v>0</v>
      </c>
      <c r="D164">
        <f>A!D164</f>
        <v>0</v>
      </c>
      <c r="E164">
        <f>A!E164</f>
        <v>0</v>
      </c>
      <c r="F164">
        <f>A!F164</f>
        <v>0</v>
      </c>
      <c r="G164">
        <f>A!G164</f>
        <v>0</v>
      </c>
      <c r="H164">
        <f>A!H164</f>
        <v>0</v>
      </c>
      <c r="I164">
        <f>A!I164</f>
        <v>0</v>
      </c>
      <c r="J164">
        <f>A!J164</f>
        <v>0</v>
      </c>
      <c r="K164">
        <f>A!K164</f>
        <v>0</v>
      </c>
      <c r="L164">
        <f>A!L164</f>
        <v>0</v>
      </c>
      <c r="M164">
        <f>A!M164</f>
        <v>0</v>
      </c>
      <c r="N164">
        <f>A!N164</f>
        <v>0</v>
      </c>
      <c r="O164">
        <f>A!O164</f>
        <v>0</v>
      </c>
      <c r="P164" s="32" t="str">
        <f>IF(A!P164="","",INDEX(B!$A$1:$BT$2000,MATCH(A!P164,B!$AX$1:$AX$2000,0),D!$B$5))</f>
        <v/>
      </c>
      <c r="Q164">
        <f>A!Q164</f>
        <v>0</v>
      </c>
      <c r="R164">
        <f>A!R164</f>
        <v>0</v>
      </c>
      <c r="S164">
        <f>A!S164</f>
        <v>0</v>
      </c>
      <c r="T164">
        <f>A!T164</f>
        <v>0</v>
      </c>
      <c r="U164">
        <f>A!U164</f>
        <v>0</v>
      </c>
      <c r="V164" s="32">
        <f>IF(A!V164="&lt;",1,A!V164)</f>
        <v>0</v>
      </c>
      <c r="W164">
        <f>A!W164</f>
        <v>0</v>
      </c>
      <c r="X164">
        <f>A!X164</f>
        <v>0</v>
      </c>
      <c r="Y164">
        <f>A!Y164</f>
        <v>0</v>
      </c>
      <c r="Z164" s="32">
        <f t="shared" si="2"/>
        <v>0</v>
      </c>
      <c r="AA164">
        <f>A!Z164</f>
        <v>0</v>
      </c>
      <c r="AB164">
        <f>A!AA164</f>
        <v>0</v>
      </c>
      <c r="AC164">
        <f>A!AB164</f>
        <v>0</v>
      </c>
      <c r="AD164">
        <f>A!AC164</f>
        <v>0</v>
      </c>
      <c r="AE164">
        <f>A!AD164</f>
        <v>0</v>
      </c>
      <c r="AF164">
        <f>A!AE164</f>
        <v>0</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32"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t="str">
        <f>A!BW164</f>
        <v>_64cefbfc-c86e-49fa-99bc-0eb47d1104c4</v>
      </c>
      <c r="BY164" t="str">
        <f>A!BX164</f>
        <v>64cefbfc-c86e-49fa-99bc-0eb47d1104c4</v>
      </c>
      <c r="BZ164" t="str">
        <f>A!BY164</f>
        <v>SIKB</v>
      </c>
      <c r="CA164" t="str">
        <f>A!BZ164</f>
        <v>MM06 04 (200-250) 04 (250-300) 05 (200-250) 05 (250-300)</v>
      </c>
      <c r="CB164">
        <f>A!CA164</f>
        <v>45810</v>
      </c>
      <c r="CC164" t="str">
        <f>A!CB164</f>
        <v>#_a13c9c27-ac45-4ff5-8e2b-08bc80806939</v>
      </c>
      <c r="CD164" t="str">
        <f>A!CC164</f>
        <v>#_ba7bcd6a-bce5-4d62-8ed3-1bec287b0f2d</v>
      </c>
      <c r="CE164">
        <f>A!CD164</f>
        <v>0</v>
      </c>
      <c r="CF164" t="str">
        <f>A!CE164</f>
        <v>urn:immetingen:compartiment:id:1</v>
      </c>
      <c r="CG164" t="str">
        <f>A!CF164</f>
        <v>_TI-65023568</v>
      </c>
      <c r="CH164">
        <f>A!CG164</f>
        <v>45810</v>
      </c>
      <c r="CI164" t="str">
        <f>A!CH164</f>
        <v>urn:immetingen:monstertype:id:10</v>
      </c>
      <c r="CJ164" t="str">
        <f>A!CI164</f>
        <v>urn:imsikb0101:Applicaties:id:16</v>
      </c>
      <c r="CK164" t="str">
        <f>A!CJ164</f>
        <v>urn:imsikb0101:DatastroomType:id:1</v>
      </c>
      <c r="CL164">
        <f>A!CK164</f>
        <v>45811</v>
      </c>
      <c r="CM164" t="str">
        <f>A!CL164</f>
        <v>SGS, Rotterdam</v>
      </c>
      <c r="CN164" t="str">
        <f>A!CM164</f>
        <v>LABRESULTAAT SGS</v>
      </c>
      <c r="CO164">
        <f>A!CN164</f>
        <v>45811</v>
      </c>
      <c r="CP164">
        <f>A!CO164</f>
        <v>0</v>
      </c>
      <c r="CQ164">
        <f>A!CO474</f>
        <v>0</v>
      </c>
      <c r="CR164" t="e">
        <f>A!#REF!</f>
        <v>#REF!</v>
      </c>
      <c r="CS164" t="e">
        <f>A!#REF!</f>
        <v>#REF!</v>
      </c>
    </row>
    <row r="165" spans="1:97" x14ac:dyDescent="0.2">
      <c r="A165" t="str">
        <f>A!A165</f>
        <v>LABRESULTAAT</v>
      </c>
      <c r="B165">
        <f>A!B165</f>
        <v>7</v>
      </c>
      <c r="C165">
        <f>A!C165</f>
        <v>0</v>
      </c>
      <c r="D165">
        <f>A!D165</f>
        <v>0</v>
      </c>
      <c r="E165">
        <f>A!E165</f>
        <v>0</v>
      </c>
      <c r="F165">
        <f>A!F165</f>
        <v>0</v>
      </c>
      <c r="G165">
        <f>A!G165</f>
        <v>0</v>
      </c>
      <c r="H165">
        <f>A!H165</f>
        <v>0</v>
      </c>
      <c r="I165">
        <f>A!I165</f>
        <v>0</v>
      </c>
      <c r="J165">
        <f>A!J165</f>
        <v>0</v>
      </c>
      <c r="K165">
        <f>A!K165</f>
        <v>0</v>
      </c>
      <c r="L165">
        <f>A!L165</f>
        <v>0</v>
      </c>
      <c r="M165">
        <f>A!M165</f>
        <v>0</v>
      </c>
      <c r="N165">
        <f>A!N165</f>
        <v>0</v>
      </c>
      <c r="O165">
        <f>A!O165</f>
        <v>0</v>
      </c>
      <c r="P165" s="32" t="str">
        <f>IF(A!P165="","",INDEX(B!$A$1:$BT$2000,MATCH(A!P165,B!$AX$1:$AX$2000,0),D!$B$5))</f>
        <v/>
      </c>
      <c r="Q165">
        <f>A!Q165</f>
        <v>0</v>
      </c>
      <c r="R165">
        <f>A!R165</f>
        <v>0</v>
      </c>
      <c r="S165">
        <f>A!S165</f>
        <v>0</v>
      </c>
      <c r="T165">
        <f>A!T165</f>
        <v>0</v>
      </c>
      <c r="U165">
        <f>A!U165</f>
        <v>0</v>
      </c>
      <c r="V165" s="32">
        <f>IF(A!V165="&lt;",1,A!V165)</f>
        <v>0</v>
      </c>
      <c r="W165">
        <f>A!W165</f>
        <v>0</v>
      </c>
      <c r="X165">
        <f>A!X165</f>
        <v>0</v>
      </c>
      <c r="Y165">
        <f>A!Y165</f>
        <v>0</v>
      </c>
      <c r="Z165" s="32">
        <f t="shared" si="2"/>
        <v>0</v>
      </c>
      <c r="AA165">
        <f>A!Z165</f>
        <v>0</v>
      </c>
      <c r="AB165">
        <f>A!AA165</f>
        <v>0</v>
      </c>
      <c r="AC165">
        <f>A!AB165</f>
        <v>0</v>
      </c>
      <c r="AD165">
        <f>A!AC165</f>
        <v>0</v>
      </c>
      <c r="AE165">
        <f>A!AD165</f>
        <v>0</v>
      </c>
      <c r="AF165">
        <f>A!AE165</f>
        <v>0</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32"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t="str">
        <f>A!BW165</f>
        <v>_64cefbfc-c86e-49fa-99bc-0eb47d1104c4</v>
      </c>
      <c r="BY165" t="str">
        <f>A!BX165</f>
        <v>64cefbfc-c86e-49fa-99bc-0eb47d1104c4</v>
      </c>
      <c r="BZ165" t="str">
        <f>A!BY165</f>
        <v>SIKB</v>
      </c>
      <c r="CA165" t="str">
        <f>A!BZ165</f>
        <v>MM06 04 (200-250) 04 (250-300) 05 (200-250) 05 (250-300)</v>
      </c>
      <c r="CB165">
        <f>A!CA165</f>
        <v>45810</v>
      </c>
      <c r="CC165" t="str">
        <f>A!CB165</f>
        <v>#_a13c9c27-ac45-4ff5-8e2b-08bc80806939</v>
      </c>
      <c r="CD165" t="str">
        <f>A!CC165</f>
        <v>#_0bd854f3-111b-4b2e-9f41-b652f7a982e9</v>
      </c>
      <c r="CE165">
        <f>A!CD165</f>
        <v>0</v>
      </c>
      <c r="CF165" t="str">
        <f>A!CE165</f>
        <v>urn:immetingen:compartiment:id:1</v>
      </c>
      <c r="CG165" t="str">
        <f>A!CF165</f>
        <v>_TI-65023568</v>
      </c>
      <c r="CH165">
        <f>A!CG165</f>
        <v>45810</v>
      </c>
      <c r="CI165" t="str">
        <f>A!CH165</f>
        <v>urn:immetingen:monstertype:id:10</v>
      </c>
      <c r="CJ165" t="str">
        <f>A!CI165</f>
        <v>urn:imsikb0101:Applicaties:id:16</v>
      </c>
      <c r="CK165" t="str">
        <f>A!CJ165</f>
        <v>urn:imsikb0101:DatastroomType:id:1</v>
      </c>
      <c r="CL165">
        <f>A!CK165</f>
        <v>45811</v>
      </c>
      <c r="CM165" t="str">
        <f>A!CL165</f>
        <v>SGS, Rotterdam</v>
      </c>
      <c r="CN165" t="str">
        <f>A!CM165</f>
        <v>LABRESULTAAT SGS</v>
      </c>
      <c r="CO165">
        <f>A!CN165</f>
        <v>45811</v>
      </c>
      <c r="CP165">
        <f>A!CO165</f>
        <v>0</v>
      </c>
      <c r="CQ165">
        <f>A!CO475</f>
        <v>0</v>
      </c>
      <c r="CR165" t="e">
        <f>A!#REF!</f>
        <v>#REF!</v>
      </c>
      <c r="CS165" t="e">
        <f>A!#REF!</f>
        <v>#REF!</v>
      </c>
    </row>
    <row r="166" spans="1:97" x14ac:dyDescent="0.2">
      <c r="A166" t="str">
        <f>A!A166</f>
        <v>LABRESULTAAT</v>
      </c>
      <c r="B166">
        <f>A!B166</f>
        <v>7</v>
      </c>
      <c r="C166">
        <f>A!C166</f>
        <v>0</v>
      </c>
      <c r="D166">
        <f>A!D166</f>
        <v>0</v>
      </c>
      <c r="E166">
        <f>A!E166</f>
        <v>0</v>
      </c>
      <c r="F166">
        <f>A!F166</f>
        <v>0</v>
      </c>
      <c r="G166">
        <f>A!G166</f>
        <v>0</v>
      </c>
      <c r="H166">
        <f>A!H166</f>
        <v>0</v>
      </c>
      <c r="I166">
        <f>A!I166</f>
        <v>0</v>
      </c>
      <c r="J166">
        <f>A!J166</f>
        <v>0</v>
      </c>
      <c r="K166">
        <f>A!K166</f>
        <v>0</v>
      </c>
      <c r="L166">
        <f>A!L166</f>
        <v>0</v>
      </c>
      <c r="M166">
        <f>A!M166</f>
        <v>0</v>
      </c>
      <c r="N166">
        <f>A!N166</f>
        <v>0</v>
      </c>
      <c r="O166">
        <f>A!O166</f>
        <v>0</v>
      </c>
      <c r="P166" s="32" t="str">
        <f>IF(A!P166="","",INDEX(B!$A$1:$BT$2000,MATCH(A!P166,B!$AX$1:$AX$2000,0),D!$B$5))</f>
        <v/>
      </c>
      <c r="Q166">
        <f>A!Q166</f>
        <v>0</v>
      </c>
      <c r="R166">
        <f>A!R166</f>
        <v>0</v>
      </c>
      <c r="S166">
        <f>A!S166</f>
        <v>0</v>
      </c>
      <c r="T166">
        <f>A!T166</f>
        <v>0</v>
      </c>
      <c r="U166">
        <f>A!U166</f>
        <v>0</v>
      </c>
      <c r="V166" s="32">
        <f>IF(A!V166="&lt;",1,A!V166)</f>
        <v>0</v>
      </c>
      <c r="W166">
        <f>A!W166</f>
        <v>0</v>
      </c>
      <c r="X166">
        <f>A!X166</f>
        <v>0</v>
      </c>
      <c r="Y166">
        <f>A!Y166</f>
        <v>0</v>
      </c>
      <c r="Z166" s="32">
        <f t="shared" si="2"/>
        <v>0</v>
      </c>
      <c r="AA166">
        <f>A!Z166</f>
        <v>0</v>
      </c>
      <c r="AB166">
        <f>A!AA166</f>
        <v>0</v>
      </c>
      <c r="AC166">
        <f>A!AB166</f>
        <v>0</v>
      </c>
      <c r="AD166">
        <f>A!AC166</f>
        <v>0</v>
      </c>
      <c r="AE166">
        <f>A!AD166</f>
        <v>0</v>
      </c>
      <c r="AF166">
        <f>A!AE166</f>
        <v>0</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32"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t="str">
        <f>A!BW166</f>
        <v>_64cefbfc-c86e-49fa-99bc-0eb47d1104c4</v>
      </c>
      <c r="BY166" t="str">
        <f>A!BX166</f>
        <v>64cefbfc-c86e-49fa-99bc-0eb47d1104c4</v>
      </c>
      <c r="BZ166" t="str">
        <f>A!BY166</f>
        <v>SIKB</v>
      </c>
      <c r="CA166" t="str">
        <f>A!BZ166</f>
        <v>MM06 04 (200-250) 04 (250-300) 05 (200-250) 05 (250-300)</v>
      </c>
      <c r="CB166">
        <f>A!CA166</f>
        <v>45810</v>
      </c>
      <c r="CC166" t="str">
        <f>A!CB166</f>
        <v>#_a13c9c27-ac45-4ff5-8e2b-08bc80806939</v>
      </c>
      <c r="CD166" t="str">
        <f>A!CC166</f>
        <v>#_ea123272-9723-4a10-924a-709a9b092d1a</v>
      </c>
      <c r="CE166">
        <f>A!CD166</f>
        <v>0</v>
      </c>
      <c r="CF166" t="str">
        <f>A!CE166</f>
        <v>urn:immetingen:compartiment:id:1</v>
      </c>
      <c r="CG166" t="str">
        <f>A!CF166</f>
        <v>_TI-65023568</v>
      </c>
      <c r="CH166">
        <f>A!CG166</f>
        <v>45810</v>
      </c>
      <c r="CI166" t="str">
        <f>A!CH166</f>
        <v>urn:immetingen:monstertype:id:10</v>
      </c>
      <c r="CJ166" t="str">
        <f>A!CI166</f>
        <v>urn:imsikb0101:Applicaties:id:16</v>
      </c>
      <c r="CK166" t="str">
        <f>A!CJ166</f>
        <v>urn:imsikb0101:DatastroomType:id:1</v>
      </c>
      <c r="CL166">
        <f>A!CK166</f>
        <v>45811</v>
      </c>
      <c r="CM166" t="str">
        <f>A!CL166</f>
        <v>SGS, Rotterdam</v>
      </c>
      <c r="CN166" t="str">
        <f>A!CM166</f>
        <v>LABRESULTAAT SGS</v>
      </c>
      <c r="CO166">
        <f>A!CN166</f>
        <v>45811</v>
      </c>
      <c r="CP166">
        <f>A!CO166</f>
        <v>0</v>
      </c>
      <c r="CQ166">
        <f>A!CO476</f>
        <v>0</v>
      </c>
      <c r="CR166" t="e">
        <f>A!#REF!</f>
        <v>#REF!</v>
      </c>
      <c r="CS166" t="e">
        <f>A!#REF!</f>
        <v>#REF!</v>
      </c>
    </row>
    <row r="167" spans="1:97" x14ac:dyDescent="0.2">
      <c r="A167" t="str">
        <f>A!A167</f>
        <v>LABRESULTAAT</v>
      </c>
      <c r="B167">
        <f>A!B167</f>
        <v>7</v>
      </c>
      <c r="C167">
        <f>A!C167</f>
        <v>0</v>
      </c>
      <c r="D167">
        <f>A!D167</f>
        <v>0</v>
      </c>
      <c r="E167">
        <f>A!E167</f>
        <v>0</v>
      </c>
      <c r="F167">
        <f>A!F167</f>
        <v>0</v>
      </c>
      <c r="G167">
        <f>A!G167</f>
        <v>0</v>
      </c>
      <c r="H167">
        <f>A!H167</f>
        <v>0</v>
      </c>
      <c r="I167">
        <f>A!I167</f>
        <v>0</v>
      </c>
      <c r="J167">
        <f>A!J167</f>
        <v>0</v>
      </c>
      <c r="K167">
        <f>A!K167</f>
        <v>0</v>
      </c>
      <c r="L167">
        <f>A!L167</f>
        <v>0</v>
      </c>
      <c r="M167">
        <f>A!M167</f>
        <v>0</v>
      </c>
      <c r="N167">
        <f>A!N167</f>
        <v>0</v>
      </c>
      <c r="O167">
        <f>A!O167</f>
        <v>0</v>
      </c>
      <c r="P167" s="32" t="str">
        <f>IF(A!P167="","",INDEX(B!$A$1:$BT$2000,MATCH(A!P167,B!$AX$1:$AX$2000,0),D!$B$5))</f>
        <v/>
      </c>
      <c r="Q167">
        <f>A!Q167</f>
        <v>0</v>
      </c>
      <c r="R167">
        <f>A!R167</f>
        <v>0</v>
      </c>
      <c r="S167">
        <f>A!S167</f>
        <v>0</v>
      </c>
      <c r="T167">
        <f>A!T167</f>
        <v>0</v>
      </c>
      <c r="U167">
        <f>A!U167</f>
        <v>0</v>
      </c>
      <c r="V167" s="32">
        <f>IF(A!V167="&lt;",1,A!V167)</f>
        <v>0</v>
      </c>
      <c r="W167">
        <f>A!W167</f>
        <v>0</v>
      </c>
      <c r="X167">
        <f>A!X167</f>
        <v>0</v>
      </c>
      <c r="Y167">
        <f>A!Y167</f>
        <v>0</v>
      </c>
      <c r="Z167" s="32">
        <f t="shared" si="2"/>
        <v>0</v>
      </c>
      <c r="AA167">
        <f>A!Z167</f>
        <v>0</v>
      </c>
      <c r="AB167">
        <f>A!AA167</f>
        <v>0</v>
      </c>
      <c r="AC167">
        <f>A!AB167</f>
        <v>0</v>
      </c>
      <c r="AD167">
        <f>A!AC167</f>
        <v>0</v>
      </c>
      <c r="AE167">
        <f>A!AD167</f>
        <v>0</v>
      </c>
      <c r="AF167">
        <f>A!AE167</f>
        <v>0</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32"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t="str">
        <f>A!BW167</f>
        <v>_64cefbfc-c86e-49fa-99bc-0eb47d1104c4</v>
      </c>
      <c r="BY167" t="str">
        <f>A!BX167</f>
        <v>64cefbfc-c86e-49fa-99bc-0eb47d1104c4</v>
      </c>
      <c r="BZ167" t="str">
        <f>A!BY167</f>
        <v>SIKB</v>
      </c>
      <c r="CA167" t="str">
        <f>A!BZ167</f>
        <v>MM06 04 (200-250) 04 (250-300) 05 (200-250) 05 (250-300)</v>
      </c>
      <c r="CB167">
        <f>A!CA167</f>
        <v>45810</v>
      </c>
      <c r="CC167" t="str">
        <f>A!CB167</f>
        <v>#_a13c9c27-ac45-4ff5-8e2b-08bc80806939</v>
      </c>
      <c r="CD167" t="str">
        <f>A!CC167</f>
        <v>#_2fda2afe-0bee-4dfa-860f-0863ba243764</v>
      </c>
      <c r="CE167">
        <f>A!CD167</f>
        <v>0</v>
      </c>
      <c r="CF167" t="str">
        <f>A!CE167</f>
        <v>urn:immetingen:compartiment:id:1</v>
      </c>
      <c r="CG167" t="str">
        <f>A!CF167</f>
        <v>_TI-65023568</v>
      </c>
      <c r="CH167">
        <f>A!CG167</f>
        <v>45810</v>
      </c>
      <c r="CI167" t="str">
        <f>A!CH167</f>
        <v>urn:immetingen:monstertype:id:10</v>
      </c>
      <c r="CJ167" t="str">
        <f>A!CI167</f>
        <v>urn:imsikb0101:Applicaties:id:16</v>
      </c>
      <c r="CK167" t="str">
        <f>A!CJ167</f>
        <v>urn:imsikb0101:DatastroomType:id:1</v>
      </c>
      <c r="CL167">
        <f>A!CK167</f>
        <v>45811</v>
      </c>
      <c r="CM167" t="str">
        <f>A!CL167</f>
        <v>SGS, Rotterdam</v>
      </c>
      <c r="CN167" t="str">
        <f>A!CM167</f>
        <v>LABRESULTAAT SGS</v>
      </c>
      <c r="CO167">
        <f>A!CN167</f>
        <v>45811</v>
      </c>
      <c r="CP167">
        <f>A!CO167</f>
        <v>0</v>
      </c>
      <c r="CQ167">
        <f>A!CO477</f>
        <v>0</v>
      </c>
      <c r="CR167" t="e">
        <f>A!#REF!</f>
        <v>#REF!</v>
      </c>
      <c r="CS167" t="e">
        <f>A!#REF!</f>
        <v>#REF!</v>
      </c>
    </row>
    <row r="168" spans="1:97" x14ac:dyDescent="0.2">
      <c r="A168" t="str">
        <f>A!A168</f>
        <v>LABRESULTAAT</v>
      </c>
      <c r="B168">
        <f>A!B168</f>
        <v>7</v>
      </c>
      <c r="C168">
        <f>A!C168</f>
        <v>0</v>
      </c>
      <c r="D168">
        <f>A!D168</f>
        <v>0</v>
      </c>
      <c r="E168">
        <f>A!E168</f>
        <v>0</v>
      </c>
      <c r="F168">
        <f>A!F168</f>
        <v>0</v>
      </c>
      <c r="G168">
        <f>A!G168</f>
        <v>0</v>
      </c>
      <c r="H168">
        <f>A!H168</f>
        <v>0</v>
      </c>
      <c r="I168">
        <f>A!I168</f>
        <v>0</v>
      </c>
      <c r="J168">
        <f>A!J168</f>
        <v>0</v>
      </c>
      <c r="K168">
        <f>A!K168</f>
        <v>0</v>
      </c>
      <c r="L168">
        <f>A!L168</f>
        <v>0</v>
      </c>
      <c r="M168">
        <f>A!M168</f>
        <v>0</v>
      </c>
      <c r="N168">
        <f>A!N168</f>
        <v>0</v>
      </c>
      <c r="O168">
        <f>A!O168</f>
        <v>0</v>
      </c>
      <c r="P168" s="32" t="str">
        <f>IF(A!P168="","",INDEX(B!$A$1:$BT$2000,MATCH(A!P168,B!$AX$1:$AX$2000,0),D!$B$5))</f>
        <v/>
      </c>
      <c r="Q168">
        <f>A!Q168</f>
        <v>0</v>
      </c>
      <c r="R168">
        <f>A!R168</f>
        <v>0</v>
      </c>
      <c r="S168">
        <f>A!S168</f>
        <v>0</v>
      </c>
      <c r="T168">
        <f>A!T168</f>
        <v>0</v>
      </c>
      <c r="U168">
        <f>A!U168</f>
        <v>0</v>
      </c>
      <c r="V168" s="32">
        <f>IF(A!V168="&lt;",1,A!V168)</f>
        <v>0</v>
      </c>
      <c r="W168">
        <f>A!W168</f>
        <v>0</v>
      </c>
      <c r="X168">
        <f>A!X168</f>
        <v>0</v>
      </c>
      <c r="Y168">
        <f>A!Y168</f>
        <v>0</v>
      </c>
      <c r="Z168" s="32">
        <f t="shared" si="2"/>
        <v>0</v>
      </c>
      <c r="AA168">
        <f>A!Z168</f>
        <v>0</v>
      </c>
      <c r="AB168">
        <f>A!AA168</f>
        <v>0</v>
      </c>
      <c r="AC168">
        <f>A!AB168</f>
        <v>0</v>
      </c>
      <c r="AD168">
        <f>A!AC168</f>
        <v>0</v>
      </c>
      <c r="AE168">
        <f>A!AD168</f>
        <v>0</v>
      </c>
      <c r="AF168">
        <f>A!AE168</f>
        <v>0</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32"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t="str">
        <f>A!BW168</f>
        <v>_64cefbfc-c86e-49fa-99bc-0eb47d1104c4</v>
      </c>
      <c r="BY168" t="str">
        <f>A!BX168</f>
        <v>64cefbfc-c86e-49fa-99bc-0eb47d1104c4</v>
      </c>
      <c r="BZ168" t="str">
        <f>A!BY168</f>
        <v>SIKB</v>
      </c>
      <c r="CA168" t="str">
        <f>A!BZ168</f>
        <v>MM06 04 (200-250) 04 (250-300) 05 (200-250) 05 (250-300)</v>
      </c>
      <c r="CB168">
        <f>A!CA168</f>
        <v>45810</v>
      </c>
      <c r="CC168" t="str">
        <f>A!CB168</f>
        <v>#_a13c9c27-ac45-4ff5-8e2b-08bc80806939</v>
      </c>
      <c r="CD168" t="str">
        <f>A!CC168</f>
        <v>#_429a6632-7628-4dfb-9afd-ccaa0a6f45ea</v>
      </c>
      <c r="CE168">
        <f>A!CD168</f>
        <v>0</v>
      </c>
      <c r="CF168" t="str">
        <f>A!CE168</f>
        <v>urn:immetingen:compartiment:id:1</v>
      </c>
      <c r="CG168" t="str">
        <f>A!CF168</f>
        <v>_TI-65023568</v>
      </c>
      <c r="CH168">
        <f>A!CG168</f>
        <v>45810</v>
      </c>
      <c r="CI168" t="str">
        <f>A!CH168</f>
        <v>urn:immetingen:monstertype:id:10</v>
      </c>
      <c r="CJ168" t="str">
        <f>A!CI168</f>
        <v>urn:imsikb0101:Applicaties:id:16</v>
      </c>
      <c r="CK168" t="str">
        <f>A!CJ168</f>
        <v>urn:imsikb0101:DatastroomType:id:1</v>
      </c>
      <c r="CL168">
        <f>A!CK168</f>
        <v>45811</v>
      </c>
      <c r="CM168" t="str">
        <f>A!CL168</f>
        <v>SGS, Rotterdam</v>
      </c>
      <c r="CN168" t="str">
        <f>A!CM168</f>
        <v>LABRESULTAAT SGS</v>
      </c>
      <c r="CO168">
        <f>A!CN168</f>
        <v>45811</v>
      </c>
      <c r="CP168">
        <f>A!CO168</f>
        <v>0</v>
      </c>
      <c r="CQ168">
        <f>A!CO478</f>
        <v>0</v>
      </c>
      <c r="CR168" t="e">
        <f>A!#REF!</f>
        <v>#REF!</v>
      </c>
      <c r="CS168" t="e">
        <f>A!#REF!</f>
        <v>#REF!</v>
      </c>
    </row>
    <row r="169" spans="1:97" x14ac:dyDescent="0.2">
      <c r="A169" t="str">
        <f>A!A169</f>
        <v>LABRESULTAAT</v>
      </c>
      <c r="B169">
        <f>A!B169</f>
        <v>7</v>
      </c>
      <c r="C169">
        <f>A!C169</f>
        <v>0</v>
      </c>
      <c r="D169">
        <f>A!D169</f>
        <v>0</v>
      </c>
      <c r="E169">
        <f>A!E169</f>
        <v>0</v>
      </c>
      <c r="F169">
        <f>A!F169</f>
        <v>0</v>
      </c>
      <c r="G169">
        <f>A!G169</f>
        <v>0</v>
      </c>
      <c r="H169">
        <f>A!H169</f>
        <v>0</v>
      </c>
      <c r="I169">
        <f>A!I169</f>
        <v>0</v>
      </c>
      <c r="J169">
        <f>A!J169</f>
        <v>0</v>
      </c>
      <c r="K169">
        <f>A!K169</f>
        <v>0</v>
      </c>
      <c r="L169">
        <f>A!L169</f>
        <v>0</v>
      </c>
      <c r="M169">
        <f>A!M169</f>
        <v>0</v>
      </c>
      <c r="N169">
        <f>A!N169</f>
        <v>0</v>
      </c>
      <c r="O169">
        <f>A!O169</f>
        <v>0</v>
      </c>
      <c r="P169" s="32" t="str">
        <f>IF(A!P169="","",INDEX(B!$A$1:$BT$2000,MATCH(A!P169,B!$AX$1:$AX$2000,0),D!$B$5))</f>
        <v/>
      </c>
      <c r="Q169">
        <f>A!Q169</f>
        <v>0</v>
      </c>
      <c r="R169">
        <f>A!R169</f>
        <v>0</v>
      </c>
      <c r="S169">
        <f>A!S169</f>
        <v>0</v>
      </c>
      <c r="T169">
        <f>A!T169</f>
        <v>0</v>
      </c>
      <c r="U169">
        <f>A!U169</f>
        <v>0</v>
      </c>
      <c r="V169" s="32">
        <f>IF(A!V169="&lt;",1,A!V169)</f>
        <v>0</v>
      </c>
      <c r="W169">
        <f>A!W169</f>
        <v>0</v>
      </c>
      <c r="X169">
        <f>A!X169</f>
        <v>0</v>
      </c>
      <c r="Y169">
        <f>A!Y169</f>
        <v>0</v>
      </c>
      <c r="Z169" s="32">
        <f t="shared" si="2"/>
        <v>0</v>
      </c>
      <c r="AA169">
        <f>A!Z169</f>
        <v>0</v>
      </c>
      <c r="AB169">
        <f>A!AA169</f>
        <v>0</v>
      </c>
      <c r="AC169">
        <f>A!AB169</f>
        <v>0</v>
      </c>
      <c r="AD169">
        <f>A!AC169</f>
        <v>0</v>
      </c>
      <c r="AE169">
        <f>A!AD169</f>
        <v>0</v>
      </c>
      <c r="AF169">
        <f>A!AE169</f>
        <v>0</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32"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t="str">
        <f>A!BW169</f>
        <v>_64cefbfc-c86e-49fa-99bc-0eb47d1104c4</v>
      </c>
      <c r="BY169" t="str">
        <f>A!BX169</f>
        <v>64cefbfc-c86e-49fa-99bc-0eb47d1104c4</v>
      </c>
      <c r="BZ169" t="str">
        <f>A!BY169</f>
        <v>SIKB</v>
      </c>
      <c r="CA169" t="str">
        <f>A!BZ169</f>
        <v>MM06 04 (200-250) 04 (250-300) 05 (200-250) 05 (250-300)</v>
      </c>
      <c r="CB169">
        <f>A!CA169</f>
        <v>45810</v>
      </c>
      <c r="CC169" t="str">
        <f>A!CB169</f>
        <v>#_a13c9c27-ac45-4ff5-8e2b-08bc80806939</v>
      </c>
      <c r="CD169" t="str">
        <f>A!CC169</f>
        <v>#_69aec5f5-85c3-4114-9670-c3a5e0c46867</v>
      </c>
      <c r="CE169">
        <f>A!CD169</f>
        <v>0</v>
      </c>
      <c r="CF169" t="str">
        <f>A!CE169</f>
        <v>urn:immetingen:compartiment:id:1</v>
      </c>
      <c r="CG169" t="str">
        <f>A!CF169</f>
        <v>_TI-65023568</v>
      </c>
      <c r="CH169">
        <f>A!CG169</f>
        <v>45810</v>
      </c>
      <c r="CI169" t="str">
        <f>A!CH169</f>
        <v>urn:immetingen:monstertype:id:10</v>
      </c>
      <c r="CJ169" t="str">
        <f>A!CI169</f>
        <v>urn:imsikb0101:Applicaties:id:16</v>
      </c>
      <c r="CK169" t="str">
        <f>A!CJ169</f>
        <v>urn:imsikb0101:DatastroomType:id:1</v>
      </c>
      <c r="CL169">
        <f>A!CK169</f>
        <v>45811</v>
      </c>
      <c r="CM169" t="str">
        <f>A!CL169</f>
        <v>SGS, Rotterdam</v>
      </c>
      <c r="CN169" t="str">
        <f>A!CM169</f>
        <v>LABRESULTAAT SGS</v>
      </c>
      <c r="CO169">
        <f>A!CN169</f>
        <v>45811</v>
      </c>
      <c r="CP169">
        <f>A!CO169</f>
        <v>0</v>
      </c>
      <c r="CQ169">
        <f>A!CO479</f>
        <v>0</v>
      </c>
      <c r="CR169" t="e">
        <f>A!#REF!</f>
        <v>#REF!</v>
      </c>
      <c r="CS169" t="e">
        <f>A!#REF!</f>
        <v>#REF!</v>
      </c>
    </row>
    <row r="170" spans="1:97" x14ac:dyDescent="0.2">
      <c r="A170" t="str">
        <f>A!A170</f>
        <v>LABRESULTAAT</v>
      </c>
      <c r="B170">
        <f>A!B170</f>
        <v>7</v>
      </c>
      <c r="C170">
        <f>A!C170</f>
        <v>0</v>
      </c>
      <c r="D170">
        <f>A!D170</f>
        <v>0</v>
      </c>
      <c r="E170">
        <f>A!E170</f>
        <v>0</v>
      </c>
      <c r="F170">
        <f>A!F170</f>
        <v>0</v>
      </c>
      <c r="G170">
        <f>A!G170</f>
        <v>0</v>
      </c>
      <c r="H170">
        <f>A!H170</f>
        <v>0</v>
      </c>
      <c r="I170">
        <f>A!I170</f>
        <v>0</v>
      </c>
      <c r="J170">
        <f>A!J170</f>
        <v>0</v>
      </c>
      <c r="K170">
        <f>A!K170</f>
        <v>0</v>
      </c>
      <c r="L170">
        <f>A!L170</f>
        <v>0</v>
      </c>
      <c r="M170">
        <f>A!M170</f>
        <v>0</v>
      </c>
      <c r="N170">
        <f>A!N170</f>
        <v>0</v>
      </c>
      <c r="O170">
        <f>A!O170</f>
        <v>0</v>
      </c>
      <c r="P170" s="32" t="str">
        <f>IF(A!P170="","",INDEX(B!$A$1:$BT$2000,MATCH(A!P170,B!$AX$1:$AX$2000,0),D!$B$5))</f>
        <v/>
      </c>
      <c r="Q170">
        <f>A!Q170</f>
        <v>0</v>
      </c>
      <c r="R170">
        <f>A!R170</f>
        <v>0</v>
      </c>
      <c r="S170">
        <f>A!S170</f>
        <v>0</v>
      </c>
      <c r="T170">
        <f>A!T170</f>
        <v>0</v>
      </c>
      <c r="U170">
        <f>A!U170</f>
        <v>0</v>
      </c>
      <c r="V170" s="32">
        <f>IF(A!V170="&lt;",1,A!V170)</f>
        <v>0</v>
      </c>
      <c r="W170">
        <f>A!W170</f>
        <v>0</v>
      </c>
      <c r="X170">
        <f>A!X170</f>
        <v>0</v>
      </c>
      <c r="Y170">
        <f>A!Y170</f>
        <v>0</v>
      </c>
      <c r="Z170" s="32">
        <f t="shared" si="2"/>
        <v>0</v>
      </c>
      <c r="AA170">
        <f>A!Z170</f>
        <v>0</v>
      </c>
      <c r="AB170">
        <f>A!AA170</f>
        <v>0</v>
      </c>
      <c r="AC170">
        <f>A!AB170</f>
        <v>0</v>
      </c>
      <c r="AD170">
        <f>A!AC170</f>
        <v>0</v>
      </c>
      <c r="AE170">
        <f>A!AD170</f>
        <v>0</v>
      </c>
      <c r="AF170">
        <f>A!AE170</f>
        <v>0</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32"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t="str">
        <f>A!BW170</f>
        <v>_64cefbfc-c86e-49fa-99bc-0eb47d1104c4</v>
      </c>
      <c r="BY170" t="str">
        <f>A!BX170</f>
        <v>64cefbfc-c86e-49fa-99bc-0eb47d1104c4</v>
      </c>
      <c r="BZ170" t="str">
        <f>A!BY170</f>
        <v>SIKB</v>
      </c>
      <c r="CA170" t="str">
        <f>A!BZ170</f>
        <v>MM06 04 (200-250) 04 (250-300) 05 (200-250) 05 (250-300)</v>
      </c>
      <c r="CB170">
        <f>A!CA170</f>
        <v>45810</v>
      </c>
      <c r="CC170" t="str">
        <f>A!CB170</f>
        <v>#_a13c9c27-ac45-4ff5-8e2b-08bc80806939</v>
      </c>
      <c r="CD170" t="str">
        <f>A!CC170</f>
        <v>#_92ba8ed5-efb6-4b83-9e8c-8921f8405e0b</v>
      </c>
      <c r="CE170">
        <f>A!CD170</f>
        <v>0</v>
      </c>
      <c r="CF170" t="str">
        <f>A!CE170</f>
        <v>urn:immetingen:compartiment:id:1</v>
      </c>
      <c r="CG170" t="str">
        <f>A!CF170</f>
        <v>_TI-65023568</v>
      </c>
      <c r="CH170">
        <f>A!CG170</f>
        <v>45810</v>
      </c>
      <c r="CI170" t="str">
        <f>A!CH170</f>
        <v>urn:immetingen:monstertype:id:10</v>
      </c>
      <c r="CJ170" t="str">
        <f>A!CI170</f>
        <v>urn:imsikb0101:Applicaties:id:16</v>
      </c>
      <c r="CK170" t="str">
        <f>A!CJ170</f>
        <v>urn:imsikb0101:DatastroomType:id:1</v>
      </c>
      <c r="CL170">
        <f>A!CK170</f>
        <v>45811</v>
      </c>
      <c r="CM170" t="str">
        <f>A!CL170</f>
        <v>SGS, Rotterdam</v>
      </c>
      <c r="CN170" t="str">
        <f>A!CM170</f>
        <v>LABRESULTAAT SGS</v>
      </c>
      <c r="CO170">
        <f>A!CN170</f>
        <v>45811</v>
      </c>
      <c r="CP170">
        <f>A!CO170</f>
        <v>0</v>
      </c>
      <c r="CQ170">
        <f>A!CO480</f>
        <v>0</v>
      </c>
      <c r="CR170" t="e">
        <f>A!#REF!</f>
        <v>#REF!</v>
      </c>
      <c r="CS170" t="e">
        <f>A!#REF!</f>
        <v>#REF!</v>
      </c>
    </row>
    <row r="171" spans="1:97" x14ac:dyDescent="0.2">
      <c r="A171" t="str">
        <f>A!A171</f>
        <v>LABRESULTAAT</v>
      </c>
      <c r="B171">
        <f>A!B171</f>
        <v>7</v>
      </c>
      <c r="C171">
        <f>A!C171</f>
        <v>0</v>
      </c>
      <c r="D171">
        <f>A!D171</f>
        <v>0</v>
      </c>
      <c r="E171">
        <f>A!E171</f>
        <v>0</v>
      </c>
      <c r="F171">
        <f>A!F171</f>
        <v>0</v>
      </c>
      <c r="G171">
        <f>A!G171</f>
        <v>0</v>
      </c>
      <c r="H171">
        <f>A!H171</f>
        <v>0</v>
      </c>
      <c r="I171">
        <f>A!I171</f>
        <v>0</v>
      </c>
      <c r="J171">
        <f>A!J171</f>
        <v>0</v>
      </c>
      <c r="K171">
        <f>A!K171</f>
        <v>0</v>
      </c>
      <c r="L171">
        <f>A!L171</f>
        <v>0</v>
      </c>
      <c r="M171">
        <f>A!M171</f>
        <v>0</v>
      </c>
      <c r="N171">
        <f>A!N171</f>
        <v>0</v>
      </c>
      <c r="O171">
        <f>A!O171</f>
        <v>0</v>
      </c>
      <c r="P171" s="32" t="str">
        <f>IF(A!P171="","",INDEX(B!$A$1:$BT$2000,MATCH(A!P171,B!$AX$1:$AX$2000,0),D!$B$5))</f>
        <v/>
      </c>
      <c r="Q171">
        <f>A!Q171</f>
        <v>0</v>
      </c>
      <c r="R171">
        <f>A!R171</f>
        <v>0</v>
      </c>
      <c r="S171">
        <f>A!S171</f>
        <v>0</v>
      </c>
      <c r="T171">
        <f>A!T171</f>
        <v>0</v>
      </c>
      <c r="U171">
        <f>A!U171</f>
        <v>0</v>
      </c>
      <c r="V171" s="32">
        <f>IF(A!V171="&lt;",1,A!V171)</f>
        <v>0</v>
      </c>
      <c r="W171">
        <f>A!W171</f>
        <v>0</v>
      </c>
      <c r="X171">
        <f>A!X171</f>
        <v>0</v>
      </c>
      <c r="Y171">
        <f>A!Y171</f>
        <v>0</v>
      </c>
      <c r="Z171" s="32">
        <f t="shared" si="2"/>
        <v>0</v>
      </c>
      <c r="AA171">
        <f>A!Z171</f>
        <v>0</v>
      </c>
      <c r="AB171">
        <f>A!AA171</f>
        <v>0</v>
      </c>
      <c r="AC171">
        <f>A!AB171</f>
        <v>0</v>
      </c>
      <c r="AD171">
        <f>A!AC171</f>
        <v>0</v>
      </c>
      <c r="AE171">
        <f>A!AD171</f>
        <v>0</v>
      </c>
      <c r="AF171">
        <f>A!AE171</f>
        <v>0</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32"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t="str">
        <f>A!BW171</f>
        <v>_64cefbfc-c86e-49fa-99bc-0eb47d1104c4</v>
      </c>
      <c r="BY171" t="str">
        <f>A!BX171</f>
        <v>64cefbfc-c86e-49fa-99bc-0eb47d1104c4</v>
      </c>
      <c r="BZ171" t="str">
        <f>A!BY171</f>
        <v>SIKB</v>
      </c>
      <c r="CA171" t="str">
        <f>A!BZ171</f>
        <v>MM06 04 (200-250) 04 (250-300) 05 (200-250) 05 (250-300)</v>
      </c>
      <c r="CB171">
        <f>A!CA171</f>
        <v>45810</v>
      </c>
      <c r="CC171" t="str">
        <f>A!CB171</f>
        <v>#_a13c9c27-ac45-4ff5-8e2b-08bc80806939</v>
      </c>
      <c r="CD171" t="str">
        <f>A!CC171</f>
        <v>#_390915b2-dc6c-40d6-b0c1-35057ef66d0a</v>
      </c>
      <c r="CE171">
        <f>A!CD171</f>
        <v>0</v>
      </c>
      <c r="CF171" t="str">
        <f>A!CE171</f>
        <v>urn:immetingen:compartiment:id:1</v>
      </c>
      <c r="CG171" t="str">
        <f>A!CF171</f>
        <v>_TI-65023568</v>
      </c>
      <c r="CH171">
        <f>A!CG171</f>
        <v>45810</v>
      </c>
      <c r="CI171" t="str">
        <f>A!CH171</f>
        <v>urn:immetingen:monstertype:id:10</v>
      </c>
      <c r="CJ171" t="str">
        <f>A!CI171</f>
        <v>urn:imsikb0101:Applicaties:id:16</v>
      </c>
      <c r="CK171" t="str">
        <f>A!CJ171</f>
        <v>urn:imsikb0101:DatastroomType:id:1</v>
      </c>
      <c r="CL171">
        <f>A!CK171</f>
        <v>45811</v>
      </c>
      <c r="CM171" t="str">
        <f>A!CL171</f>
        <v>SGS, Rotterdam</v>
      </c>
      <c r="CN171" t="str">
        <f>A!CM171</f>
        <v>LABRESULTAAT SGS</v>
      </c>
      <c r="CO171">
        <f>A!CN171</f>
        <v>45811</v>
      </c>
      <c r="CP171">
        <f>A!CO171</f>
        <v>0</v>
      </c>
      <c r="CQ171">
        <f>A!CO481</f>
        <v>0</v>
      </c>
      <c r="CR171" t="e">
        <f>A!#REF!</f>
        <v>#REF!</v>
      </c>
      <c r="CS171" t="e">
        <f>A!#REF!</f>
        <v>#REF!</v>
      </c>
    </row>
    <row r="172" spans="1:97" x14ac:dyDescent="0.2">
      <c r="A172" t="str">
        <f>A!A172</f>
        <v>LABRESULTAAT</v>
      </c>
      <c r="B172">
        <f>A!B172</f>
        <v>7</v>
      </c>
      <c r="C172">
        <f>A!C172</f>
        <v>0</v>
      </c>
      <c r="D172">
        <f>A!D172</f>
        <v>0</v>
      </c>
      <c r="E172">
        <f>A!E172</f>
        <v>0</v>
      </c>
      <c r="F172">
        <f>A!F172</f>
        <v>0</v>
      </c>
      <c r="G172">
        <f>A!G172</f>
        <v>0</v>
      </c>
      <c r="H172">
        <f>A!H172</f>
        <v>0</v>
      </c>
      <c r="I172">
        <f>A!I172</f>
        <v>0</v>
      </c>
      <c r="J172">
        <f>A!J172</f>
        <v>0</v>
      </c>
      <c r="K172">
        <f>A!K172</f>
        <v>0</v>
      </c>
      <c r="L172">
        <f>A!L172</f>
        <v>0</v>
      </c>
      <c r="M172">
        <f>A!M172</f>
        <v>0</v>
      </c>
      <c r="N172">
        <f>A!N172</f>
        <v>0</v>
      </c>
      <c r="O172">
        <f>A!O172</f>
        <v>0</v>
      </c>
      <c r="P172" s="32" t="str">
        <f>IF(A!P172="","",INDEX(B!$A$1:$BT$2000,MATCH(A!P172,B!$AX$1:$AX$2000,0),D!$B$5))</f>
        <v/>
      </c>
      <c r="Q172">
        <f>A!Q172</f>
        <v>0</v>
      </c>
      <c r="R172">
        <f>A!R172</f>
        <v>0</v>
      </c>
      <c r="S172">
        <f>A!S172</f>
        <v>0</v>
      </c>
      <c r="T172">
        <f>A!T172</f>
        <v>0</v>
      </c>
      <c r="U172">
        <f>A!U172</f>
        <v>0</v>
      </c>
      <c r="V172" s="32">
        <f>IF(A!V172="&lt;",1,A!V172)</f>
        <v>0</v>
      </c>
      <c r="W172">
        <f>A!W172</f>
        <v>0</v>
      </c>
      <c r="X172">
        <f>A!X172</f>
        <v>0</v>
      </c>
      <c r="Y172">
        <f>A!Y172</f>
        <v>0</v>
      </c>
      <c r="Z172" s="32">
        <f t="shared" si="2"/>
        <v>0</v>
      </c>
      <c r="AA172">
        <f>A!Z172</f>
        <v>0</v>
      </c>
      <c r="AB172">
        <f>A!AA172</f>
        <v>0</v>
      </c>
      <c r="AC172">
        <f>A!AB172</f>
        <v>0</v>
      </c>
      <c r="AD172">
        <f>A!AC172</f>
        <v>0</v>
      </c>
      <c r="AE172">
        <f>A!AD172</f>
        <v>0</v>
      </c>
      <c r="AF172">
        <f>A!AE172</f>
        <v>0</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32"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t="str">
        <f>A!BW172</f>
        <v>_64cefbfc-c86e-49fa-99bc-0eb47d1104c4</v>
      </c>
      <c r="BY172" t="str">
        <f>A!BX172</f>
        <v>64cefbfc-c86e-49fa-99bc-0eb47d1104c4</v>
      </c>
      <c r="BZ172" t="str">
        <f>A!BY172</f>
        <v>SIKB</v>
      </c>
      <c r="CA172" t="str">
        <f>A!BZ172</f>
        <v>MM06 04 (200-250) 04 (250-300) 05 (200-250) 05 (250-300)</v>
      </c>
      <c r="CB172">
        <f>A!CA172</f>
        <v>45810</v>
      </c>
      <c r="CC172" t="str">
        <f>A!CB172</f>
        <v>#_a13c9c27-ac45-4ff5-8e2b-08bc80806939</v>
      </c>
      <c r="CD172" t="str">
        <f>A!CC172</f>
        <v>#_89444f4c-81a1-4c8b-9f9e-5464ba476407</v>
      </c>
      <c r="CE172">
        <f>A!CD172</f>
        <v>0</v>
      </c>
      <c r="CF172" t="str">
        <f>A!CE172</f>
        <v>urn:immetingen:compartiment:id:1</v>
      </c>
      <c r="CG172" t="str">
        <f>A!CF172</f>
        <v>_TI-65023568</v>
      </c>
      <c r="CH172">
        <f>A!CG172</f>
        <v>45810</v>
      </c>
      <c r="CI172" t="str">
        <f>A!CH172</f>
        <v>urn:immetingen:monstertype:id:10</v>
      </c>
      <c r="CJ172" t="str">
        <f>A!CI172</f>
        <v>urn:imsikb0101:Applicaties:id:16</v>
      </c>
      <c r="CK172" t="str">
        <f>A!CJ172</f>
        <v>urn:imsikb0101:DatastroomType:id:1</v>
      </c>
      <c r="CL172">
        <f>A!CK172</f>
        <v>45811</v>
      </c>
      <c r="CM172" t="str">
        <f>A!CL172</f>
        <v>SGS, Rotterdam</v>
      </c>
      <c r="CN172" t="str">
        <f>A!CM172</f>
        <v>LABRESULTAAT SGS</v>
      </c>
      <c r="CO172">
        <f>A!CN172</f>
        <v>45811</v>
      </c>
      <c r="CP172">
        <f>A!CO172</f>
        <v>0</v>
      </c>
      <c r="CQ172">
        <f>A!CO482</f>
        <v>0</v>
      </c>
      <c r="CR172" t="e">
        <f>A!#REF!</f>
        <v>#REF!</v>
      </c>
      <c r="CS172" t="e">
        <f>A!#REF!</f>
        <v>#REF!</v>
      </c>
    </row>
    <row r="173" spans="1:97" x14ac:dyDescent="0.2">
      <c r="A173" t="str">
        <f>A!A173</f>
        <v>LABRESULTAAT</v>
      </c>
      <c r="B173">
        <f>A!B173</f>
        <v>7</v>
      </c>
      <c r="C173">
        <f>A!C173</f>
        <v>0</v>
      </c>
      <c r="D173">
        <f>A!D173</f>
        <v>0</v>
      </c>
      <c r="E173">
        <f>A!E173</f>
        <v>0</v>
      </c>
      <c r="F173">
        <f>A!F173</f>
        <v>0</v>
      </c>
      <c r="G173">
        <f>A!G173</f>
        <v>0</v>
      </c>
      <c r="H173">
        <f>A!H173</f>
        <v>0</v>
      </c>
      <c r="I173">
        <f>A!I173</f>
        <v>0</v>
      </c>
      <c r="J173">
        <f>A!J173</f>
        <v>0</v>
      </c>
      <c r="K173">
        <f>A!K173</f>
        <v>0</v>
      </c>
      <c r="L173">
        <f>A!L173</f>
        <v>0</v>
      </c>
      <c r="M173">
        <f>A!M173</f>
        <v>0</v>
      </c>
      <c r="N173">
        <f>A!N173</f>
        <v>0</v>
      </c>
      <c r="O173">
        <f>A!O173</f>
        <v>0</v>
      </c>
      <c r="P173" s="32" t="str">
        <f>IF(A!P173="","",INDEX(B!$A$1:$BT$2000,MATCH(A!P173,B!$AX$1:$AX$2000,0),D!$B$5))</f>
        <v/>
      </c>
      <c r="Q173">
        <f>A!Q173</f>
        <v>0</v>
      </c>
      <c r="R173">
        <f>A!R173</f>
        <v>0</v>
      </c>
      <c r="S173">
        <f>A!S173</f>
        <v>0</v>
      </c>
      <c r="T173">
        <f>A!T173</f>
        <v>0</v>
      </c>
      <c r="U173">
        <f>A!U173</f>
        <v>0</v>
      </c>
      <c r="V173" s="32">
        <f>IF(A!V173="&lt;",1,A!V173)</f>
        <v>0</v>
      </c>
      <c r="W173">
        <f>A!W173</f>
        <v>0</v>
      </c>
      <c r="X173">
        <f>A!X173</f>
        <v>0</v>
      </c>
      <c r="Y173">
        <f>A!Y173</f>
        <v>0</v>
      </c>
      <c r="Z173" s="32">
        <f t="shared" si="2"/>
        <v>0</v>
      </c>
      <c r="AA173">
        <f>A!Z173</f>
        <v>0</v>
      </c>
      <c r="AB173">
        <f>A!AA173</f>
        <v>0</v>
      </c>
      <c r="AC173">
        <f>A!AB173</f>
        <v>0</v>
      </c>
      <c r="AD173">
        <f>A!AC173</f>
        <v>0</v>
      </c>
      <c r="AE173">
        <f>A!AD173</f>
        <v>0</v>
      </c>
      <c r="AF173">
        <f>A!AE173</f>
        <v>0</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32"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t="str">
        <f>A!BW173</f>
        <v>_64cefbfc-c86e-49fa-99bc-0eb47d1104c4</v>
      </c>
      <c r="BY173" t="str">
        <f>A!BX173</f>
        <v>64cefbfc-c86e-49fa-99bc-0eb47d1104c4</v>
      </c>
      <c r="BZ173" t="str">
        <f>A!BY173</f>
        <v>SIKB</v>
      </c>
      <c r="CA173" t="str">
        <f>A!BZ173</f>
        <v>MM06 04 (200-250) 04 (250-300) 05 (200-250) 05 (250-300)</v>
      </c>
      <c r="CB173">
        <f>A!CA173</f>
        <v>45810</v>
      </c>
      <c r="CC173" t="str">
        <f>A!CB173</f>
        <v>#_a13c9c27-ac45-4ff5-8e2b-08bc80806939</v>
      </c>
      <c r="CD173" t="str">
        <f>A!CC173</f>
        <v>#_10f764d5-7acb-43e6-a233-e479cecd8848</v>
      </c>
      <c r="CE173">
        <f>A!CD173</f>
        <v>0</v>
      </c>
      <c r="CF173" t="str">
        <f>A!CE173</f>
        <v>urn:immetingen:compartiment:id:1</v>
      </c>
      <c r="CG173" t="str">
        <f>A!CF173</f>
        <v>_TI-65023568</v>
      </c>
      <c r="CH173">
        <f>A!CG173</f>
        <v>45810</v>
      </c>
      <c r="CI173" t="str">
        <f>A!CH173</f>
        <v>urn:immetingen:monstertype:id:10</v>
      </c>
      <c r="CJ173" t="str">
        <f>A!CI173</f>
        <v>urn:imsikb0101:Applicaties:id:16</v>
      </c>
      <c r="CK173" t="str">
        <f>A!CJ173</f>
        <v>urn:imsikb0101:DatastroomType:id:1</v>
      </c>
      <c r="CL173">
        <f>A!CK173</f>
        <v>45811</v>
      </c>
      <c r="CM173" t="str">
        <f>A!CL173</f>
        <v>SGS, Rotterdam</v>
      </c>
      <c r="CN173" t="str">
        <f>A!CM173</f>
        <v>LABRESULTAAT SGS</v>
      </c>
      <c r="CO173">
        <f>A!CN173</f>
        <v>45811</v>
      </c>
      <c r="CP173">
        <f>A!CO173</f>
        <v>0</v>
      </c>
      <c r="CQ173">
        <f>A!CO483</f>
        <v>0</v>
      </c>
      <c r="CR173" t="e">
        <f>A!#REF!</f>
        <v>#REF!</v>
      </c>
      <c r="CS173" t="e">
        <f>A!#REF!</f>
        <v>#REF!</v>
      </c>
    </row>
    <row r="174" spans="1:97" x14ac:dyDescent="0.2">
      <c r="A174" t="str">
        <f>A!A174</f>
        <v>LABRESULTAAT</v>
      </c>
      <c r="B174">
        <f>A!B174</f>
        <v>7</v>
      </c>
      <c r="C174">
        <f>A!C174</f>
        <v>0</v>
      </c>
      <c r="D174">
        <f>A!D174</f>
        <v>0</v>
      </c>
      <c r="E174">
        <f>A!E174</f>
        <v>0</v>
      </c>
      <c r="F174">
        <f>A!F174</f>
        <v>0</v>
      </c>
      <c r="G174">
        <f>A!G174</f>
        <v>0</v>
      </c>
      <c r="H174">
        <f>A!H174</f>
        <v>0</v>
      </c>
      <c r="I174">
        <f>A!I174</f>
        <v>0</v>
      </c>
      <c r="J174">
        <f>A!J174</f>
        <v>0</v>
      </c>
      <c r="K174">
        <f>A!K174</f>
        <v>0</v>
      </c>
      <c r="L174">
        <f>A!L174</f>
        <v>0</v>
      </c>
      <c r="M174">
        <f>A!M174</f>
        <v>0</v>
      </c>
      <c r="N174">
        <f>A!N174</f>
        <v>0</v>
      </c>
      <c r="O174">
        <f>A!O174</f>
        <v>0</v>
      </c>
      <c r="P174" s="32" t="str">
        <f>IF(A!P174="","",INDEX(B!$A$1:$BT$2000,MATCH(A!P174,B!$AX$1:$AX$2000,0),D!$B$5))</f>
        <v/>
      </c>
      <c r="Q174">
        <f>A!Q174</f>
        <v>0</v>
      </c>
      <c r="R174">
        <f>A!R174</f>
        <v>0</v>
      </c>
      <c r="S174">
        <f>A!S174</f>
        <v>0</v>
      </c>
      <c r="T174">
        <f>A!T174</f>
        <v>0</v>
      </c>
      <c r="U174">
        <f>A!U174</f>
        <v>0</v>
      </c>
      <c r="V174" s="32">
        <f>IF(A!V174="&lt;",1,A!V174)</f>
        <v>0</v>
      </c>
      <c r="W174">
        <f>A!W174</f>
        <v>0</v>
      </c>
      <c r="X174">
        <f>A!X174</f>
        <v>0</v>
      </c>
      <c r="Y174">
        <f>A!Y174</f>
        <v>0</v>
      </c>
      <c r="Z174" s="32">
        <f t="shared" si="2"/>
        <v>0</v>
      </c>
      <c r="AA174">
        <f>A!Z174</f>
        <v>0</v>
      </c>
      <c r="AB174">
        <f>A!AA174</f>
        <v>0</v>
      </c>
      <c r="AC174">
        <f>A!AB174</f>
        <v>0</v>
      </c>
      <c r="AD174">
        <f>A!AC174</f>
        <v>0</v>
      </c>
      <c r="AE174">
        <f>A!AD174</f>
        <v>0</v>
      </c>
      <c r="AF174">
        <f>A!AE174</f>
        <v>0</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32"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t="str">
        <f>A!BW174</f>
        <v>_64cefbfc-c86e-49fa-99bc-0eb47d1104c4</v>
      </c>
      <c r="BY174" t="str">
        <f>A!BX174</f>
        <v>64cefbfc-c86e-49fa-99bc-0eb47d1104c4</v>
      </c>
      <c r="BZ174" t="str">
        <f>A!BY174</f>
        <v>SIKB</v>
      </c>
      <c r="CA174" t="str">
        <f>A!BZ174</f>
        <v>MM06 04 (200-250) 04 (250-300) 05 (200-250) 05 (250-300)</v>
      </c>
      <c r="CB174">
        <f>A!CA174</f>
        <v>45810</v>
      </c>
      <c r="CC174" t="str">
        <f>A!CB174</f>
        <v>#_a13c9c27-ac45-4ff5-8e2b-08bc80806939</v>
      </c>
      <c r="CD174" t="str">
        <f>A!CC174</f>
        <v>#_070cc990-c8d6-4819-a4ff-c004b2b5170e</v>
      </c>
      <c r="CE174">
        <f>A!CD174</f>
        <v>0</v>
      </c>
      <c r="CF174" t="str">
        <f>A!CE174</f>
        <v>urn:immetingen:compartiment:id:1</v>
      </c>
      <c r="CG174" t="str">
        <f>A!CF174</f>
        <v>_TI-65023568</v>
      </c>
      <c r="CH174">
        <f>A!CG174</f>
        <v>45810</v>
      </c>
      <c r="CI174" t="str">
        <f>A!CH174</f>
        <v>urn:immetingen:monstertype:id:10</v>
      </c>
      <c r="CJ174" t="str">
        <f>A!CI174</f>
        <v>urn:imsikb0101:Applicaties:id:16</v>
      </c>
      <c r="CK174" t="str">
        <f>A!CJ174</f>
        <v>urn:imsikb0101:DatastroomType:id:1</v>
      </c>
      <c r="CL174">
        <f>A!CK174</f>
        <v>45811</v>
      </c>
      <c r="CM174" t="str">
        <f>A!CL174</f>
        <v>SGS, Rotterdam</v>
      </c>
      <c r="CN174" t="str">
        <f>A!CM174</f>
        <v>LABRESULTAAT SGS</v>
      </c>
      <c r="CO174">
        <f>A!CN174</f>
        <v>45811</v>
      </c>
      <c r="CP174">
        <f>A!CO174</f>
        <v>0</v>
      </c>
      <c r="CQ174">
        <f>A!CO484</f>
        <v>0</v>
      </c>
      <c r="CR174" t="e">
        <f>A!#REF!</f>
        <v>#REF!</v>
      </c>
      <c r="CS174" t="e">
        <f>A!#REF!</f>
        <v>#REF!</v>
      </c>
    </row>
    <row r="175" spans="1:97" x14ac:dyDescent="0.2">
      <c r="A175" t="str">
        <f>A!A175</f>
        <v>LABRESULTAAT</v>
      </c>
      <c r="B175">
        <f>A!B175</f>
        <v>7</v>
      </c>
      <c r="C175">
        <f>A!C175</f>
        <v>0</v>
      </c>
      <c r="D175">
        <f>A!D175</f>
        <v>0</v>
      </c>
      <c r="E175">
        <f>A!E175</f>
        <v>0</v>
      </c>
      <c r="F175">
        <f>A!F175</f>
        <v>0</v>
      </c>
      <c r="G175">
        <f>A!G175</f>
        <v>0</v>
      </c>
      <c r="H175">
        <f>A!H175</f>
        <v>0</v>
      </c>
      <c r="I175">
        <f>A!I175</f>
        <v>0</v>
      </c>
      <c r="J175">
        <f>A!J175</f>
        <v>0</v>
      </c>
      <c r="K175">
        <f>A!K175</f>
        <v>0</v>
      </c>
      <c r="L175">
        <f>A!L175</f>
        <v>0</v>
      </c>
      <c r="M175">
        <f>A!M175</f>
        <v>0</v>
      </c>
      <c r="N175">
        <f>A!N175</f>
        <v>0</v>
      </c>
      <c r="O175">
        <f>A!O175</f>
        <v>0</v>
      </c>
      <c r="P175" s="32" t="str">
        <f>IF(A!P175="","",INDEX(B!$A$1:$BT$2000,MATCH(A!P175,B!$AX$1:$AX$2000,0),D!$B$5))</f>
        <v/>
      </c>
      <c r="Q175">
        <f>A!Q175</f>
        <v>0</v>
      </c>
      <c r="R175">
        <f>A!R175</f>
        <v>0</v>
      </c>
      <c r="S175">
        <f>A!S175</f>
        <v>0</v>
      </c>
      <c r="T175">
        <f>A!T175</f>
        <v>0</v>
      </c>
      <c r="U175">
        <f>A!U175</f>
        <v>0</v>
      </c>
      <c r="V175" s="32">
        <f>IF(A!V175="&lt;",1,A!V175)</f>
        <v>0</v>
      </c>
      <c r="W175">
        <f>A!W175</f>
        <v>0</v>
      </c>
      <c r="X175">
        <f>A!X175</f>
        <v>0</v>
      </c>
      <c r="Y175">
        <f>A!Y175</f>
        <v>0</v>
      </c>
      <c r="Z175" s="32">
        <f t="shared" si="2"/>
        <v>0</v>
      </c>
      <c r="AA175">
        <f>A!Z175</f>
        <v>0</v>
      </c>
      <c r="AB175">
        <f>A!AA175</f>
        <v>0</v>
      </c>
      <c r="AC175">
        <f>A!AB175</f>
        <v>0</v>
      </c>
      <c r="AD175">
        <f>A!AC175</f>
        <v>0</v>
      </c>
      <c r="AE175">
        <f>A!AD175</f>
        <v>0</v>
      </c>
      <c r="AF175">
        <f>A!AE175</f>
        <v>0</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32"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t="str">
        <f>A!BW175</f>
        <v>_64cefbfc-c86e-49fa-99bc-0eb47d1104c4</v>
      </c>
      <c r="BY175" t="str">
        <f>A!BX175</f>
        <v>64cefbfc-c86e-49fa-99bc-0eb47d1104c4</v>
      </c>
      <c r="BZ175" t="str">
        <f>A!BY175</f>
        <v>SIKB</v>
      </c>
      <c r="CA175" t="str">
        <f>A!BZ175</f>
        <v>MM06 04 (200-250) 04 (250-300) 05 (200-250) 05 (250-300)</v>
      </c>
      <c r="CB175">
        <f>A!CA175</f>
        <v>45810</v>
      </c>
      <c r="CC175" t="str">
        <f>A!CB175</f>
        <v>#_a13c9c27-ac45-4ff5-8e2b-08bc80806939</v>
      </c>
      <c r="CD175" t="str">
        <f>A!CC175</f>
        <v>#_02aee646-8867-4f45-9ae1-f5a39897e37a</v>
      </c>
      <c r="CE175">
        <f>A!CD175</f>
        <v>0</v>
      </c>
      <c r="CF175" t="str">
        <f>A!CE175</f>
        <v>urn:immetingen:compartiment:id:1</v>
      </c>
      <c r="CG175" t="str">
        <f>A!CF175</f>
        <v>_TI-65023568</v>
      </c>
      <c r="CH175">
        <f>A!CG175</f>
        <v>45810</v>
      </c>
      <c r="CI175" t="str">
        <f>A!CH175</f>
        <v>urn:immetingen:monstertype:id:10</v>
      </c>
      <c r="CJ175" t="str">
        <f>A!CI175</f>
        <v>urn:imsikb0101:Applicaties:id:16</v>
      </c>
      <c r="CK175" t="str">
        <f>A!CJ175</f>
        <v>urn:imsikb0101:DatastroomType:id:1</v>
      </c>
      <c r="CL175">
        <f>A!CK175</f>
        <v>45811</v>
      </c>
      <c r="CM175" t="str">
        <f>A!CL175</f>
        <v>SGS, Rotterdam</v>
      </c>
      <c r="CN175" t="str">
        <f>A!CM175</f>
        <v>LABRESULTAAT SGS</v>
      </c>
      <c r="CO175">
        <f>A!CN175</f>
        <v>45811</v>
      </c>
      <c r="CP175">
        <f>A!CO175</f>
        <v>0</v>
      </c>
      <c r="CQ175">
        <f>A!CO485</f>
        <v>0</v>
      </c>
      <c r="CR175" t="e">
        <f>A!#REF!</f>
        <v>#REF!</v>
      </c>
      <c r="CS175" t="e">
        <f>A!#REF!</f>
        <v>#REF!</v>
      </c>
    </row>
    <row r="176" spans="1:97" x14ac:dyDescent="0.2">
      <c r="A176" t="str">
        <f>A!A176</f>
        <v>LABRESULTAAT</v>
      </c>
      <c r="B176">
        <f>A!B176</f>
        <v>7</v>
      </c>
      <c r="C176">
        <f>A!C176</f>
        <v>0</v>
      </c>
      <c r="D176">
        <f>A!D176</f>
        <v>0</v>
      </c>
      <c r="E176">
        <f>A!E176</f>
        <v>0</v>
      </c>
      <c r="F176">
        <f>A!F176</f>
        <v>0</v>
      </c>
      <c r="G176">
        <f>A!G176</f>
        <v>0</v>
      </c>
      <c r="H176">
        <f>A!H176</f>
        <v>0</v>
      </c>
      <c r="I176">
        <f>A!I176</f>
        <v>0</v>
      </c>
      <c r="J176">
        <f>A!J176</f>
        <v>0</v>
      </c>
      <c r="K176">
        <f>A!K176</f>
        <v>0</v>
      </c>
      <c r="L176">
        <f>A!L176</f>
        <v>0</v>
      </c>
      <c r="M176">
        <f>A!M176</f>
        <v>0</v>
      </c>
      <c r="N176">
        <f>A!N176</f>
        <v>0</v>
      </c>
      <c r="O176">
        <f>A!O176</f>
        <v>0</v>
      </c>
      <c r="P176" s="32" t="str">
        <f>IF(A!P176="","",INDEX(B!$A$1:$BT$2000,MATCH(A!P176,B!$AX$1:$AX$2000,0),D!$B$5))</f>
        <v/>
      </c>
      <c r="Q176">
        <f>A!Q176</f>
        <v>0</v>
      </c>
      <c r="R176">
        <f>A!R176</f>
        <v>0</v>
      </c>
      <c r="S176">
        <f>A!S176</f>
        <v>0</v>
      </c>
      <c r="T176">
        <f>A!T176</f>
        <v>0</v>
      </c>
      <c r="U176">
        <f>A!U176</f>
        <v>0</v>
      </c>
      <c r="V176" s="32">
        <f>IF(A!V176="&lt;",1,A!V176)</f>
        <v>0</v>
      </c>
      <c r="W176">
        <f>A!W176</f>
        <v>0</v>
      </c>
      <c r="X176">
        <f>A!X176</f>
        <v>0</v>
      </c>
      <c r="Y176">
        <f>A!Y176</f>
        <v>0</v>
      </c>
      <c r="Z176" s="32">
        <f t="shared" si="2"/>
        <v>0</v>
      </c>
      <c r="AA176">
        <f>A!Z176</f>
        <v>0</v>
      </c>
      <c r="AB176">
        <f>A!AA176</f>
        <v>0</v>
      </c>
      <c r="AC176">
        <f>A!AB176</f>
        <v>0</v>
      </c>
      <c r="AD176">
        <f>A!AC176</f>
        <v>0</v>
      </c>
      <c r="AE176">
        <f>A!AD176</f>
        <v>0</v>
      </c>
      <c r="AF176">
        <f>A!AE176</f>
        <v>0</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32"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t="str">
        <f>A!BW176</f>
        <v>_64cefbfc-c86e-49fa-99bc-0eb47d1104c4</v>
      </c>
      <c r="BY176" t="str">
        <f>A!BX176</f>
        <v>64cefbfc-c86e-49fa-99bc-0eb47d1104c4</v>
      </c>
      <c r="BZ176" t="str">
        <f>A!BY176</f>
        <v>SIKB</v>
      </c>
      <c r="CA176" t="str">
        <f>A!BZ176</f>
        <v>MM06 04 (200-250) 04 (250-300) 05 (200-250) 05 (250-300)</v>
      </c>
      <c r="CB176">
        <f>A!CA176</f>
        <v>45810</v>
      </c>
      <c r="CC176" t="str">
        <f>A!CB176</f>
        <v>#_a13c9c27-ac45-4ff5-8e2b-08bc80806939</v>
      </c>
      <c r="CD176" t="str">
        <f>A!CC176</f>
        <v>#_602c695d-f9e1-4d50-b1e6-ebb0f1d3e425</v>
      </c>
      <c r="CE176">
        <f>A!CD176</f>
        <v>0</v>
      </c>
      <c r="CF176" t="str">
        <f>A!CE176</f>
        <v>urn:immetingen:compartiment:id:1</v>
      </c>
      <c r="CG176" t="str">
        <f>A!CF176</f>
        <v>_TI-65023568</v>
      </c>
      <c r="CH176">
        <f>A!CG176</f>
        <v>45810</v>
      </c>
      <c r="CI176" t="str">
        <f>A!CH176</f>
        <v>urn:immetingen:monstertype:id:10</v>
      </c>
      <c r="CJ176" t="str">
        <f>A!CI176</f>
        <v>urn:imsikb0101:Applicaties:id:16</v>
      </c>
      <c r="CK176" t="str">
        <f>A!CJ176</f>
        <v>urn:imsikb0101:DatastroomType:id:1</v>
      </c>
      <c r="CL176">
        <f>A!CK176</f>
        <v>45811</v>
      </c>
      <c r="CM176" t="str">
        <f>A!CL176</f>
        <v>SGS, Rotterdam</v>
      </c>
      <c r="CN176" t="str">
        <f>A!CM176</f>
        <v>LABRESULTAAT SGS</v>
      </c>
      <c r="CO176">
        <f>A!CN176</f>
        <v>45811</v>
      </c>
      <c r="CP176">
        <f>A!CO176</f>
        <v>0</v>
      </c>
      <c r="CQ176">
        <f>A!CO486</f>
        <v>0</v>
      </c>
      <c r="CR176" t="e">
        <f>A!#REF!</f>
        <v>#REF!</v>
      </c>
      <c r="CS176" t="e">
        <f>A!#REF!</f>
        <v>#REF!</v>
      </c>
    </row>
    <row r="177" spans="1:97" x14ac:dyDescent="0.2">
      <c r="A177" t="str">
        <f>A!A177</f>
        <v>LABRESULTAAT</v>
      </c>
      <c r="B177">
        <f>A!B177</f>
        <v>7</v>
      </c>
      <c r="C177">
        <f>A!C177</f>
        <v>0</v>
      </c>
      <c r="D177">
        <f>A!D177</f>
        <v>0</v>
      </c>
      <c r="E177">
        <f>A!E177</f>
        <v>0</v>
      </c>
      <c r="F177">
        <f>A!F177</f>
        <v>0</v>
      </c>
      <c r="G177">
        <f>A!G177</f>
        <v>0</v>
      </c>
      <c r="H177">
        <f>A!H177</f>
        <v>0</v>
      </c>
      <c r="I177">
        <f>A!I177</f>
        <v>0</v>
      </c>
      <c r="J177">
        <f>A!J177</f>
        <v>0</v>
      </c>
      <c r="K177">
        <f>A!K177</f>
        <v>0</v>
      </c>
      <c r="L177">
        <f>A!L177</f>
        <v>0</v>
      </c>
      <c r="M177">
        <f>A!M177</f>
        <v>0</v>
      </c>
      <c r="N177">
        <f>A!N177</f>
        <v>0</v>
      </c>
      <c r="O177">
        <f>A!O177</f>
        <v>0</v>
      </c>
      <c r="P177" s="32" t="str">
        <f>IF(A!P177="","",INDEX(B!$A$1:$BT$2000,MATCH(A!P177,B!$AX$1:$AX$2000,0),D!$B$5))</f>
        <v/>
      </c>
      <c r="Q177">
        <f>A!Q177</f>
        <v>0</v>
      </c>
      <c r="R177">
        <f>A!R177</f>
        <v>0</v>
      </c>
      <c r="S177">
        <f>A!S177</f>
        <v>0</v>
      </c>
      <c r="T177">
        <f>A!T177</f>
        <v>0</v>
      </c>
      <c r="U177">
        <f>A!U177</f>
        <v>0</v>
      </c>
      <c r="V177" s="32">
        <f>IF(A!V177="&lt;",1,A!V177)</f>
        <v>0</v>
      </c>
      <c r="W177">
        <f>A!W177</f>
        <v>0</v>
      </c>
      <c r="X177">
        <f>A!X177</f>
        <v>0</v>
      </c>
      <c r="Y177">
        <f>A!Y177</f>
        <v>0</v>
      </c>
      <c r="Z177" s="32">
        <f t="shared" si="2"/>
        <v>0</v>
      </c>
      <c r="AA177">
        <f>A!Z177</f>
        <v>0</v>
      </c>
      <c r="AB177">
        <f>A!AA177</f>
        <v>0</v>
      </c>
      <c r="AC177">
        <f>A!AB177</f>
        <v>0</v>
      </c>
      <c r="AD177">
        <f>A!AC177</f>
        <v>0</v>
      </c>
      <c r="AE177">
        <f>A!AD177</f>
        <v>0</v>
      </c>
      <c r="AF177">
        <f>A!AE177</f>
        <v>0</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32"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t="str">
        <f>A!BW177</f>
        <v>_64cefbfc-c86e-49fa-99bc-0eb47d1104c4</v>
      </c>
      <c r="BY177" t="str">
        <f>A!BX177</f>
        <v>64cefbfc-c86e-49fa-99bc-0eb47d1104c4</v>
      </c>
      <c r="BZ177" t="str">
        <f>A!BY177</f>
        <v>SIKB</v>
      </c>
      <c r="CA177" t="str">
        <f>A!BZ177</f>
        <v>MM06 04 (200-250) 04 (250-300) 05 (200-250) 05 (250-300)</v>
      </c>
      <c r="CB177">
        <f>A!CA177</f>
        <v>45810</v>
      </c>
      <c r="CC177" t="str">
        <f>A!CB177</f>
        <v>#_a13c9c27-ac45-4ff5-8e2b-08bc80806939</v>
      </c>
      <c r="CD177" t="str">
        <f>A!CC177</f>
        <v>#_9f246735-33b9-4e3e-ba95-23ae4d4ce206</v>
      </c>
      <c r="CE177">
        <f>A!CD177</f>
        <v>0</v>
      </c>
      <c r="CF177" t="str">
        <f>A!CE177</f>
        <v>urn:immetingen:compartiment:id:1</v>
      </c>
      <c r="CG177" t="str">
        <f>A!CF177</f>
        <v>_TI-65023568</v>
      </c>
      <c r="CH177">
        <f>A!CG177</f>
        <v>45810</v>
      </c>
      <c r="CI177" t="str">
        <f>A!CH177</f>
        <v>urn:immetingen:monstertype:id:10</v>
      </c>
      <c r="CJ177" t="str">
        <f>A!CI177</f>
        <v>urn:imsikb0101:Applicaties:id:16</v>
      </c>
      <c r="CK177" t="str">
        <f>A!CJ177</f>
        <v>urn:imsikb0101:DatastroomType:id:1</v>
      </c>
      <c r="CL177">
        <f>A!CK177</f>
        <v>45811</v>
      </c>
      <c r="CM177" t="str">
        <f>A!CL177</f>
        <v>SGS, Rotterdam</v>
      </c>
      <c r="CN177" t="str">
        <f>A!CM177</f>
        <v>LABRESULTAAT SGS</v>
      </c>
      <c r="CO177">
        <f>A!CN177</f>
        <v>45811</v>
      </c>
      <c r="CP177">
        <f>A!CO177</f>
        <v>0</v>
      </c>
      <c r="CQ177">
        <f>A!CO487</f>
        <v>0</v>
      </c>
      <c r="CR177" t="e">
        <f>A!#REF!</f>
        <v>#REF!</v>
      </c>
      <c r="CS177" t="e">
        <f>A!#REF!</f>
        <v>#REF!</v>
      </c>
    </row>
    <row r="178" spans="1:97" x14ac:dyDescent="0.2">
      <c r="A178" t="str">
        <f>A!A178</f>
        <v>LABRESULTAAT</v>
      </c>
      <c r="B178">
        <f>A!B178</f>
        <v>7</v>
      </c>
      <c r="C178">
        <f>A!C178</f>
        <v>0</v>
      </c>
      <c r="D178">
        <f>A!D178</f>
        <v>0</v>
      </c>
      <c r="E178">
        <f>A!E178</f>
        <v>0</v>
      </c>
      <c r="F178">
        <f>A!F178</f>
        <v>0</v>
      </c>
      <c r="G178">
        <f>A!G178</f>
        <v>0</v>
      </c>
      <c r="H178">
        <f>A!H178</f>
        <v>0</v>
      </c>
      <c r="I178">
        <f>A!I178</f>
        <v>0</v>
      </c>
      <c r="J178">
        <f>A!J178</f>
        <v>0</v>
      </c>
      <c r="K178">
        <f>A!K178</f>
        <v>0</v>
      </c>
      <c r="L178">
        <f>A!L178</f>
        <v>0</v>
      </c>
      <c r="M178">
        <f>A!M178</f>
        <v>0</v>
      </c>
      <c r="N178">
        <f>A!N178</f>
        <v>0</v>
      </c>
      <c r="O178">
        <f>A!O178</f>
        <v>0</v>
      </c>
      <c r="P178" s="32" t="str">
        <f>IF(A!P178="","",INDEX(B!$A$1:$BT$2000,MATCH(A!P178,B!$AX$1:$AX$2000,0),D!$B$5))</f>
        <v/>
      </c>
      <c r="Q178">
        <f>A!Q178</f>
        <v>0</v>
      </c>
      <c r="R178">
        <f>A!R178</f>
        <v>0</v>
      </c>
      <c r="S178">
        <f>A!S178</f>
        <v>0</v>
      </c>
      <c r="T178">
        <f>A!T178</f>
        <v>0</v>
      </c>
      <c r="U178">
        <f>A!U178</f>
        <v>0</v>
      </c>
      <c r="V178" s="32">
        <f>IF(A!V178="&lt;",1,A!V178)</f>
        <v>0</v>
      </c>
      <c r="W178">
        <f>A!W178</f>
        <v>0</v>
      </c>
      <c r="X178">
        <f>A!X178</f>
        <v>0</v>
      </c>
      <c r="Y178">
        <f>A!Y178</f>
        <v>0</v>
      </c>
      <c r="Z178" s="32">
        <f t="shared" si="2"/>
        <v>0</v>
      </c>
      <c r="AA178">
        <f>A!Z178</f>
        <v>0</v>
      </c>
      <c r="AB178">
        <f>A!AA178</f>
        <v>0</v>
      </c>
      <c r="AC178">
        <f>A!AB178</f>
        <v>0</v>
      </c>
      <c r="AD178">
        <f>A!AC178</f>
        <v>0</v>
      </c>
      <c r="AE178">
        <f>A!AD178</f>
        <v>0</v>
      </c>
      <c r="AF178">
        <f>A!AE178</f>
        <v>0</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32"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t="str">
        <f>A!BW178</f>
        <v>_64cefbfc-c86e-49fa-99bc-0eb47d1104c4</v>
      </c>
      <c r="BY178" t="str">
        <f>A!BX178</f>
        <v>64cefbfc-c86e-49fa-99bc-0eb47d1104c4</v>
      </c>
      <c r="BZ178" t="str">
        <f>A!BY178</f>
        <v>SIKB</v>
      </c>
      <c r="CA178" t="str">
        <f>A!BZ178</f>
        <v>MM06 04 (200-250) 04 (250-300) 05 (200-250) 05 (250-300)</v>
      </c>
      <c r="CB178">
        <f>A!CA178</f>
        <v>45810</v>
      </c>
      <c r="CC178" t="str">
        <f>A!CB178</f>
        <v>#_a13c9c27-ac45-4ff5-8e2b-08bc80806939</v>
      </c>
      <c r="CD178" t="str">
        <f>A!CC178</f>
        <v>#_0cfe58a7-aed4-4d8c-b671-e2a8f957c257</v>
      </c>
      <c r="CE178">
        <f>A!CD178</f>
        <v>0</v>
      </c>
      <c r="CF178" t="str">
        <f>A!CE178</f>
        <v>urn:immetingen:compartiment:id:1</v>
      </c>
      <c r="CG178" t="str">
        <f>A!CF178</f>
        <v>_TI-65023568</v>
      </c>
      <c r="CH178">
        <f>A!CG178</f>
        <v>45810</v>
      </c>
      <c r="CI178" t="str">
        <f>A!CH178</f>
        <v>urn:immetingen:monstertype:id:10</v>
      </c>
      <c r="CJ178" t="str">
        <f>A!CI178</f>
        <v>urn:imsikb0101:Applicaties:id:16</v>
      </c>
      <c r="CK178" t="str">
        <f>A!CJ178</f>
        <v>urn:imsikb0101:DatastroomType:id:1</v>
      </c>
      <c r="CL178">
        <f>A!CK178</f>
        <v>45811</v>
      </c>
      <c r="CM178" t="str">
        <f>A!CL178</f>
        <v>SGS, Rotterdam</v>
      </c>
      <c r="CN178" t="str">
        <f>A!CM178</f>
        <v>LABRESULTAAT SGS</v>
      </c>
      <c r="CO178">
        <f>A!CN178</f>
        <v>45811</v>
      </c>
      <c r="CP178">
        <f>A!CO178</f>
        <v>0</v>
      </c>
      <c r="CQ178">
        <f>A!CO488</f>
        <v>0</v>
      </c>
      <c r="CR178" t="e">
        <f>A!#REF!</f>
        <v>#REF!</v>
      </c>
      <c r="CS178" t="e">
        <f>A!#REF!</f>
        <v>#REF!</v>
      </c>
    </row>
    <row r="179" spans="1:97" x14ac:dyDescent="0.2">
      <c r="A179" t="str">
        <f>A!A179</f>
        <v>LABRESULTAAT</v>
      </c>
      <c r="B179">
        <f>A!B179</f>
        <v>7</v>
      </c>
      <c r="C179">
        <f>A!C179</f>
        <v>0</v>
      </c>
      <c r="D179">
        <f>A!D179</f>
        <v>0</v>
      </c>
      <c r="E179">
        <f>A!E179</f>
        <v>0</v>
      </c>
      <c r="F179">
        <f>A!F179</f>
        <v>0</v>
      </c>
      <c r="G179">
        <f>A!G179</f>
        <v>0</v>
      </c>
      <c r="H179">
        <f>A!H179</f>
        <v>0</v>
      </c>
      <c r="I179">
        <f>A!I179</f>
        <v>0</v>
      </c>
      <c r="J179">
        <f>A!J179</f>
        <v>0</v>
      </c>
      <c r="K179">
        <f>A!K179</f>
        <v>0</v>
      </c>
      <c r="L179">
        <f>A!L179</f>
        <v>0</v>
      </c>
      <c r="M179">
        <f>A!M179</f>
        <v>0</v>
      </c>
      <c r="N179">
        <f>A!N179</f>
        <v>0</v>
      </c>
      <c r="O179">
        <f>A!O179</f>
        <v>0</v>
      </c>
      <c r="P179" s="32" t="str">
        <f>IF(A!P179="","",INDEX(B!$A$1:$BT$2000,MATCH(A!P179,B!$AX$1:$AX$2000,0),D!$B$5))</f>
        <v/>
      </c>
      <c r="Q179">
        <f>A!Q179</f>
        <v>0</v>
      </c>
      <c r="R179">
        <f>A!R179</f>
        <v>0</v>
      </c>
      <c r="S179">
        <f>A!S179</f>
        <v>0</v>
      </c>
      <c r="T179">
        <f>A!T179</f>
        <v>0</v>
      </c>
      <c r="U179">
        <f>A!U179</f>
        <v>0</v>
      </c>
      <c r="V179" s="32">
        <f>IF(A!V179="&lt;",1,A!V179)</f>
        <v>0</v>
      </c>
      <c r="W179">
        <f>A!W179</f>
        <v>0</v>
      </c>
      <c r="X179">
        <f>A!X179</f>
        <v>0</v>
      </c>
      <c r="Y179">
        <f>A!Y179</f>
        <v>0</v>
      </c>
      <c r="Z179" s="32">
        <f t="shared" si="2"/>
        <v>0</v>
      </c>
      <c r="AA179">
        <f>A!Z179</f>
        <v>0</v>
      </c>
      <c r="AB179">
        <f>A!AA179</f>
        <v>0</v>
      </c>
      <c r="AC179">
        <f>A!AB179</f>
        <v>0</v>
      </c>
      <c r="AD179">
        <f>A!AC179</f>
        <v>0</v>
      </c>
      <c r="AE179">
        <f>A!AD179</f>
        <v>0</v>
      </c>
      <c r="AF179">
        <f>A!AE179</f>
        <v>0</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32"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t="str">
        <f>A!BW179</f>
        <v>_64cefbfc-c86e-49fa-99bc-0eb47d1104c4</v>
      </c>
      <c r="BY179" t="str">
        <f>A!BX179</f>
        <v>64cefbfc-c86e-49fa-99bc-0eb47d1104c4</v>
      </c>
      <c r="BZ179" t="str">
        <f>A!BY179</f>
        <v>SIKB</v>
      </c>
      <c r="CA179" t="str">
        <f>A!BZ179</f>
        <v>MM06 04 (200-250) 04 (250-300) 05 (200-250) 05 (250-300)</v>
      </c>
      <c r="CB179">
        <f>A!CA179</f>
        <v>45810</v>
      </c>
      <c r="CC179" t="str">
        <f>A!CB179</f>
        <v>#_a13c9c27-ac45-4ff5-8e2b-08bc80806939</v>
      </c>
      <c r="CD179" t="str">
        <f>A!CC179</f>
        <v>#_ec0d9663-c728-4f20-8fc1-4bd4d5ae1f30</v>
      </c>
      <c r="CE179">
        <f>A!CD179</f>
        <v>0</v>
      </c>
      <c r="CF179" t="str">
        <f>A!CE179</f>
        <v>urn:immetingen:compartiment:id:1</v>
      </c>
      <c r="CG179" t="str">
        <f>A!CF179</f>
        <v>_TI-65023568</v>
      </c>
      <c r="CH179">
        <f>A!CG179</f>
        <v>45810</v>
      </c>
      <c r="CI179" t="str">
        <f>A!CH179</f>
        <v>urn:immetingen:monstertype:id:10</v>
      </c>
      <c r="CJ179" t="str">
        <f>A!CI179</f>
        <v>urn:imsikb0101:Applicaties:id:16</v>
      </c>
      <c r="CK179" t="str">
        <f>A!CJ179</f>
        <v>urn:imsikb0101:DatastroomType:id:1</v>
      </c>
      <c r="CL179">
        <f>A!CK179</f>
        <v>45811</v>
      </c>
      <c r="CM179" t="str">
        <f>A!CL179</f>
        <v>SGS, Rotterdam</v>
      </c>
      <c r="CN179" t="str">
        <f>A!CM179</f>
        <v>LABRESULTAAT SGS</v>
      </c>
      <c r="CO179">
        <f>A!CN179</f>
        <v>45811</v>
      </c>
      <c r="CP179">
        <f>A!CO179</f>
        <v>0</v>
      </c>
      <c r="CQ179">
        <f>A!CO489</f>
        <v>0</v>
      </c>
      <c r="CR179" t="e">
        <f>A!#REF!</f>
        <v>#REF!</v>
      </c>
      <c r="CS179" t="e">
        <f>A!#REF!</f>
        <v>#REF!</v>
      </c>
    </row>
    <row r="180" spans="1:97" x14ac:dyDescent="0.2">
      <c r="A180" t="str">
        <f>A!A180</f>
        <v>LABRESULTAAT</v>
      </c>
      <c r="B180">
        <f>A!B180</f>
        <v>7</v>
      </c>
      <c r="C180">
        <f>A!C180</f>
        <v>0</v>
      </c>
      <c r="D180">
        <f>A!D180</f>
        <v>0</v>
      </c>
      <c r="E180">
        <f>A!E180</f>
        <v>0</v>
      </c>
      <c r="F180">
        <f>A!F180</f>
        <v>0</v>
      </c>
      <c r="G180">
        <f>A!G180</f>
        <v>0</v>
      </c>
      <c r="H180">
        <f>A!H180</f>
        <v>0</v>
      </c>
      <c r="I180">
        <f>A!I180</f>
        <v>0</v>
      </c>
      <c r="J180">
        <f>A!J180</f>
        <v>0</v>
      </c>
      <c r="K180">
        <f>A!K180</f>
        <v>0</v>
      </c>
      <c r="L180">
        <f>A!L180</f>
        <v>0</v>
      </c>
      <c r="M180">
        <f>A!M180</f>
        <v>0</v>
      </c>
      <c r="N180">
        <f>A!N180</f>
        <v>0</v>
      </c>
      <c r="O180">
        <f>A!O180</f>
        <v>0</v>
      </c>
      <c r="P180" s="32" t="str">
        <f>IF(A!P180="","",INDEX(B!$A$1:$BT$2000,MATCH(A!P180,B!$AX$1:$AX$2000,0),D!$B$5))</f>
        <v/>
      </c>
      <c r="Q180">
        <f>A!Q180</f>
        <v>0</v>
      </c>
      <c r="R180">
        <f>A!R180</f>
        <v>0</v>
      </c>
      <c r="S180">
        <f>A!S180</f>
        <v>0</v>
      </c>
      <c r="T180">
        <f>A!T180</f>
        <v>0</v>
      </c>
      <c r="U180">
        <f>A!U180</f>
        <v>0</v>
      </c>
      <c r="V180" s="32">
        <f>IF(A!V180="&lt;",1,A!V180)</f>
        <v>0</v>
      </c>
      <c r="W180">
        <f>A!W180</f>
        <v>0</v>
      </c>
      <c r="X180">
        <f>A!X180</f>
        <v>0</v>
      </c>
      <c r="Y180">
        <f>A!Y180</f>
        <v>0</v>
      </c>
      <c r="Z180" s="32">
        <f t="shared" si="2"/>
        <v>0</v>
      </c>
      <c r="AA180">
        <f>A!Z180</f>
        <v>0</v>
      </c>
      <c r="AB180">
        <f>A!AA180</f>
        <v>0</v>
      </c>
      <c r="AC180">
        <f>A!AB180</f>
        <v>0</v>
      </c>
      <c r="AD180">
        <f>A!AC180</f>
        <v>0</v>
      </c>
      <c r="AE180">
        <f>A!AD180</f>
        <v>0</v>
      </c>
      <c r="AF180">
        <f>A!AE180</f>
        <v>0</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32"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t="str">
        <f>A!BW180</f>
        <v>_64cefbfc-c86e-49fa-99bc-0eb47d1104c4</v>
      </c>
      <c r="BY180" t="str">
        <f>A!BX180</f>
        <v>64cefbfc-c86e-49fa-99bc-0eb47d1104c4</v>
      </c>
      <c r="BZ180" t="str">
        <f>A!BY180</f>
        <v>SIKB</v>
      </c>
      <c r="CA180" t="str">
        <f>A!BZ180</f>
        <v>MM06 04 (200-250) 04 (250-300) 05 (200-250) 05 (250-300)</v>
      </c>
      <c r="CB180">
        <f>A!CA180</f>
        <v>45810</v>
      </c>
      <c r="CC180" t="str">
        <f>A!CB180</f>
        <v>#_a13c9c27-ac45-4ff5-8e2b-08bc80806939</v>
      </c>
      <c r="CD180" t="str">
        <f>A!CC180</f>
        <v>#_660f6169-e893-4ebd-889f-d890bf70a5b1</v>
      </c>
      <c r="CE180">
        <f>A!CD180</f>
        <v>0</v>
      </c>
      <c r="CF180" t="str">
        <f>A!CE180</f>
        <v>urn:immetingen:compartiment:id:1</v>
      </c>
      <c r="CG180" t="str">
        <f>A!CF180</f>
        <v>_TI-65023568</v>
      </c>
      <c r="CH180">
        <f>A!CG180</f>
        <v>45810</v>
      </c>
      <c r="CI180" t="str">
        <f>A!CH180</f>
        <v>urn:immetingen:monstertype:id:10</v>
      </c>
      <c r="CJ180" t="str">
        <f>A!CI180</f>
        <v>urn:imsikb0101:Applicaties:id:16</v>
      </c>
      <c r="CK180" t="str">
        <f>A!CJ180</f>
        <v>urn:imsikb0101:DatastroomType:id:1</v>
      </c>
      <c r="CL180">
        <f>A!CK180</f>
        <v>45811</v>
      </c>
      <c r="CM180" t="str">
        <f>A!CL180</f>
        <v>SGS, Rotterdam</v>
      </c>
      <c r="CN180" t="str">
        <f>A!CM180</f>
        <v>LABRESULTAAT SGS</v>
      </c>
      <c r="CO180">
        <f>A!CN180</f>
        <v>45811</v>
      </c>
      <c r="CP180">
        <f>A!CO180</f>
        <v>0</v>
      </c>
      <c r="CQ180">
        <f>A!CO490</f>
        <v>0</v>
      </c>
      <c r="CR180" t="e">
        <f>A!#REF!</f>
        <v>#REF!</v>
      </c>
      <c r="CS180" t="e">
        <f>A!#REF!</f>
        <v>#REF!</v>
      </c>
    </row>
    <row r="181" spans="1:97" x14ac:dyDescent="0.2">
      <c r="A181" t="str">
        <f>A!A181</f>
        <v>LABRESULTAAT</v>
      </c>
      <c r="B181">
        <f>A!B181</f>
        <v>7</v>
      </c>
      <c r="C181">
        <f>A!C181</f>
        <v>0</v>
      </c>
      <c r="D181">
        <f>A!D181</f>
        <v>0</v>
      </c>
      <c r="E181">
        <f>A!E181</f>
        <v>0</v>
      </c>
      <c r="F181">
        <f>A!F181</f>
        <v>0</v>
      </c>
      <c r="G181">
        <f>A!G181</f>
        <v>0</v>
      </c>
      <c r="H181">
        <f>A!H181</f>
        <v>0</v>
      </c>
      <c r="I181">
        <f>A!I181</f>
        <v>0</v>
      </c>
      <c r="J181">
        <f>A!J181</f>
        <v>0</v>
      </c>
      <c r="K181">
        <f>A!K181</f>
        <v>0</v>
      </c>
      <c r="L181">
        <f>A!L181</f>
        <v>0</v>
      </c>
      <c r="M181">
        <f>A!M181</f>
        <v>0</v>
      </c>
      <c r="N181">
        <f>A!N181</f>
        <v>0</v>
      </c>
      <c r="O181">
        <f>A!O181</f>
        <v>0</v>
      </c>
      <c r="P181" s="32" t="str">
        <f>IF(A!P181="","",INDEX(B!$A$1:$BT$2000,MATCH(A!P181,B!$AX$1:$AX$2000,0),D!$B$5))</f>
        <v/>
      </c>
      <c r="Q181">
        <f>A!Q181</f>
        <v>0</v>
      </c>
      <c r="R181">
        <f>A!R181</f>
        <v>0</v>
      </c>
      <c r="S181">
        <f>A!S181</f>
        <v>0</v>
      </c>
      <c r="T181">
        <f>A!T181</f>
        <v>0</v>
      </c>
      <c r="U181">
        <f>A!U181</f>
        <v>0</v>
      </c>
      <c r="V181" s="32">
        <f>IF(A!V181="&lt;",1,A!V181)</f>
        <v>0</v>
      </c>
      <c r="W181">
        <f>A!W181</f>
        <v>0</v>
      </c>
      <c r="X181">
        <f>A!X181</f>
        <v>0</v>
      </c>
      <c r="Y181">
        <f>A!Y181</f>
        <v>0</v>
      </c>
      <c r="Z181" s="32">
        <f t="shared" si="2"/>
        <v>0</v>
      </c>
      <c r="AA181">
        <f>A!Z181</f>
        <v>0</v>
      </c>
      <c r="AB181">
        <f>A!AA181</f>
        <v>0</v>
      </c>
      <c r="AC181">
        <f>A!AB181</f>
        <v>0</v>
      </c>
      <c r="AD181">
        <f>A!AC181</f>
        <v>0</v>
      </c>
      <c r="AE181">
        <f>A!AD181</f>
        <v>0</v>
      </c>
      <c r="AF181">
        <f>A!AE181</f>
        <v>0</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32"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t="str">
        <f>A!BW181</f>
        <v>_64cefbfc-c86e-49fa-99bc-0eb47d1104c4</v>
      </c>
      <c r="BY181" t="str">
        <f>A!BX181</f>
        <v>64cefbfc-c86e-49fa-99bc-0eb47d1104c4</v>
      </c>
      <c r="BZ181" t="str">
        <f>A!BY181</f>
        <v>SIKB</v>
      </c>
      <c r="CA181" t="str">
        <f>A!BZ181</f>
        <v>MM06 04 (200-250) 04 (250-300) 05 (200-250) 05 (250-300)</v>
      </c>
      <c r="CB181">
        <f>A!CA181</f>
        <v>45810</v>
      </c>
      <c r="CC181" t="str">
        <f>A!CB181</f>
        <v>#_a13c9c27-ac45-4ff5-8e2b-08bc80806939</v>
      </c>
      <c r="CD181" t="str">
        <f>A!CC181</f>
        <v>#_99aa04e7-f6e6-4752-989d-61f9fdc57e72</v>
      </c>
      <c r="CE181">
        <f>A!CD181</f>
        <v>0</v>
      </c>
      <c r="CF181" t="str">
        <f>A!CE181</f>
        <v>urn:immetingen:compartiment:id:1</v>
      </c>
      <c r="CG181" t="str">
        <f>A!CF181</f>
        <v>_TI-65023568</v>
      </c>
      <c r="CH181">
        <f>A!CG181</f>
        <v>45810</v>
      </c>
      <c r="CI181" t="str">
        <f>A!CH181</f>
        <v>urn:immetingen:monstertype:id:10</v>
      </c>
      <c r="CJ181" t="str">
        <f>A!CI181</f>
        <v>urn:imsikb0101:Applicaties:id:16</v>
      </c>
      <c r="CK181" t="str">
        <f>A!CJ181</f>
        <v>urn:imsikb0101:DatastroomType:id:1</v>
      </c>
      <c r="CL181">
        <f>A!CK181</f>
        <v>45811</v>
      </c>
      <c r="CM181" t="str">
        <f>A!CL181</f>
        <v>SGS, Rotterdam</v>
      </c>
      <c r="CN181" t="str">
        <f>A!CM181</f>
        <v>LABRESULTAAT SGS</v>
      </c>
      <c r="CO181">
        <f>A!CN181</f>
        <v>45811</v>
      </c>
      <c r="CP181">
        <f>A!CO181</f>
        <v>0</v>
      </c>
      <c r="CQ181">
        <f>A!CO491</f>
        <v>0</v>
      </c>
      <c r="CR181" t="e">
        <f>A!#REF!</f>
        <v>#REF!</v>
      </c>
      <c r="CS181" t="e">
        <f>A!#REF!</f>
        <v>#REF!</v>
      </c>
    </row>
    <row r="182" spans="1:97" x14ac:dyDescent="0.2">
      <c r="A182" t="str">
        <f>A!A182</f>
        <v>LABRESULTAAT</v>
      </c>
      <c r="B182">
        <f>A!B182</f>
        <v>7</v>
      </c>
      <c r="C182">
        <f>A!C182</f>
        <v>0</v>
      </c>
      <c r="D182">
        <f>A!D182</f>
        <v>0</v>
      </c>
      <c r="E182">
        <f>A!E182</f>
        <v>0</v>
      </c>
      <c r="F182">
        <f>A!F182</f>
        <v>0</v>
      </c>
      <c r="G182">
        <f>A!G182</f>
        <v>0</v>
      </c>
      <c r="H182">
        <f>A!H182</f>
        <v>0</v>
      </c>
      <c r="I182">
        <f>A!I182</f>
        <v>0</v>
      </c>
      <c r="J182">
        <f>A!J182</f>
        <v>0</v>
      </c>
      <c r="K182">
        <f>A!K182</f>
        <v>0</v>
      </c>
      <c r="L182">
        <f>A!L182</f>
        <v>0</v>
      </c>
      <c r="M182">
        <f>A!M182</f>
        <v>0</v>
      </c>
      <c r="N182">
        <f>A!N182</f>
        <v>0</v>
      </c>
      <c r="O182">
        <f>A!O182</f>
        <v>0</v>
      </c>
      <c r="P182" s="32" t="str">
        <f>IF(A!P182="","",INDEX(B!$A$1:$BT$2000,MATCH(A!P182,B!$AX$1:$AX$2000,0),D!$B$5))</f>
        <v/>
      </c>
      <c r="Q182">
        <f>A!Q182</f>
        <v>0</v>
      </c>
      <c r="R182">
        <f>A!R182</f>
        <v>0</v>
      </c>
      <c r="S182">
        <f>A!S182</f>
        <v>0</v>
      </c>
      <c r="T182">
        <f>A!T182</f>
        <v>0</v>
      </c>
      <c r="U182">
        <f>A!U182</f>
        <v>0</v>
      </c>
      <c r="V182" s="32">
        <f>IF(A!V182="&lt;",1,A!V182)</f>
        <v>0</v>
      </c>
      <c r="W182">
        <f>A!W182</f>
        <v>0</v>
      </c>
      <c r="X182">
        <f>A!X182</f>
        <v>0</v>
      </c>
      <c r="Y182">
        <f>A!Y182</f>
        <v>0</v>
      </c>
      <c r="Z182" s="32">
        <f t="shared" si="2"/>
        <v>0</v>
      </c>
      <c r="AA182">
        <f>A!Z182</f>
        <v>0</v>
      </c>
      <c r="AB182">
        <f>A!AA182</f>
        <v>0</v>
      </c>
      <c r="AC182">
        <f>A!AB182</f>
        <v>0</v>
      </c>
      <c r="AD182">
        <f>A!AC182</f>
        <v>0</v>
      </c>
      <c r="AE182">
        <f>A!AD182</f>
        <v>0</v>
      </c>
      <c r="AF182">
        <f>A!AE182</f>
        <v>0</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32"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t="str">
        <f>A!BW182</f>
        <v>_64cefbfc-c86e-49fa-99bc-0eb47d1104c4</v>
      </c>
      <c r="BY182" t="str">
        <f>A!BX182</f>
        <v>64cefbfc-c86e-49fa-99bc-0eb47d1104c4</v>
      </c>
      <c r="BZ182" t="str">
        <f>A!BY182</f>
        <v>SIKB</v>
      </c>
      <c r="CA182" t="str">
        <f>A!BZ182</f>
        <v>MM06 04 (200-250) 04 (250-300) 05 (200-250) 05 (250-300)</v>
      </c>
      <c r="CB182">
        <f>A!CA182</f>
        <v>45810</v>
      </c>
      <c r="CC182" t="str">
        <f>A!CB182</f>
        <v>#_a13c9c27-ac45-4ff5-8e2b-08bc80806939</v>
      </c>
      <c r="CD182" t="str">
        <f>A!CC182</f>
        <v>#_ba7321bf-8684-4a51-970d-dda789eb31ef</v>
      </c>
      <c r="CE182">
        <f>A!CD182</f>
        <v>0</v>
      </c>
      <c r="CF182" t="str">
        <f>A!CE182</f>
        <v>urn:immetingen:compartiment:id:1</v>
      </c>
      <c r="CG182" t="str">
        <f>A!CF182</f>
        <v>_TI-65023568</v>
      </c>
      <c r="CH182">
        <f>A!CG182</f>
        <v>45810</v>
      </c>
      <c r="CI182" t="str">
        <f>A!CH182</f>
        <v>urn:immetingen:monstertype:id:10</v>
      </c>
      <c r="CJ182" t="str">
        <f>A!CI182</f>
        <v>urn:imsikb0101:Applicaties:id:16</v>
      </c>
      <c r="CK182" t="str">
        <f>A!CJ182</f>
        <v>urn:imsikb0101:DatastroomType:id:1</v>
      </c>
      <c r="CL182">
        <f>A!CK182</f>
        <v>45811</v>
      </c>
      <c r="CM182" t="str">
        <f>A!CL182</f>
        <v>SGS, Rotterdam</v>
      </c>
      <c r="CN182" t="str">
        <f>A!CM182</f>
        <v>LABRESULTAAT SGS</v>
      </c>
      <c r="CO182">
        <f>A!CN182</f>
        <v>45811</v>
      </c>
      <c r="CP182">
        <f>A!CO182</f>
        <v>0</v>
      </c>
      <c r="CQ182">
        <f>A!CO492</f>
        <v>0</v>
      </c>
      <c r="CR182" t="e">
        <f>A!#REF!</f>
        <v>#REF!</v>
      </c>
      <c r="CS182" t="e">
        <f>A!#REF!</f>
        <v>#REF!</v>
      </c>
    </row>
    <row r="183" spans="1:97" x14ac:dyDescent="0.2">
      <c r="A183" t="str">
        <f>A!A183</f>
        <v>LABRESULTAAT</v>
      </c>
      <c r="B183">
        <f>A!B183</f>
        <v>7</v>
      </c>
      <c r="C183">
        <f>A!C183</f>
        <v>0</v>
      </c>
      <c r="D183">
        <f>A!D183</f>
        <v>0</v>
      </c>
      <c r="E183">
        <f>A!E183</f>
        <v>0</v>
      </c>
      <c r="F183">
        <f>A!F183</f>
        <v>0</v>
      </c>
      <c r="G183">
        <f>A!G183</f>
        <v>0</v>
      </c>
      <c r="H183">
        <f>A!H183</f>
        <v>0</v>
      </c>
      <c r="I183">
        <f>A!I183</f>
        <v>0</v>
      </c>
      <c r="J183">
        <f>A!J183</f>
        <v>0</v>
      </c>
      <c r="K183">
        <f>A!K183</f>
        <v>0</v>
      </c>
      <c r="L183">
        <f>A!L183</f>
        <v>0</v>
      </c>
      <c r="M183">
        <f>A!M183</f>
        <v>0</v>
      </c>
      <c r="N183">
        <f>A!N183</f>
        <v>0</v>
      </c>
      <c r="O183">
        <f>A!O183</f>
        <v>0</v>
      </c>
      <c r="P183" s="32" t="str">
        <f>IF(A!P183="","",INDEX(B!$A$1:$BT$2000,MATCH(A!P183,B!$AX$1:$AX$2000,0),D!$B$5))</f>
        <v/>
      </c>
      <c r="Q183">
        <f>A!Q183</f>
        <v>0</v>
      </c>
      <c r="R183">
        <f>A!R183</f>
        <v>0</v>
      </c>
      <c r="S183">
        <f>A!S183</f>
        <v>0</v>
      </c>
      <c r="T183">
        <f>A!T183</f>
        <v>0</v>
      </c>
      <c r="U183">
        <f>A!U183</f>
        <v>0</v>
      </c>
      <c r="V183" s="32">
        <f>IF(A!V183="&lt;",1,A!V183)</f>
        <v>0</v>
      </c>
      <c r="W183">
        <f>A!W183</f>
        <v>0</v>
      </c>
      <c r="X183">
        <f>A!X183</f>
        <v>0</v>
      </c>
      <c r="Y183">
        <f>A!Y183</f>
        <v>0</v>
      </c>
      <c r="Z183" s="32">
        <f t="shared" si="2"/>
        <v>0</v>
      </c>
      <c r="AA183">
        <f>A!Z183</f>
        <v>0</v>
      </c>
      <c r="AB183">
        <f>A!AA183</f>
        <v>0</v>
      </c>
      <c r="AC183">
        <f>A!AB183</f>
        <v>0</v>
      </c>
      <c r="AD183">
        <f>A!AC183</f>
        <v>0</v>
      </c>
      <c r="AE183">
        <f>A!AD183</f>
        <v>0</v>
      </c>
      <c r="AF183">
        <f>A!AE183</f>
        <v>0</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32"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t="str">
        <f>A!BW183</f>
        <v>_64cefbfc-c86e-49fa-99bc-0eb47d1104c4</v>
      </c>
      <c r="BY183" t="str">
        <f>A!BX183</f>
        <v>64cefbfc-c86e-49fa-99bc-0eb47d1104c4</v>
      </c>
      <c r="BZ183" t="str">
        <f>A!BY183</f>
        <v>SIKB</v>
      </c>
      <c r="CA183" t="str">
        <f>A!BZ183</f>
        <v>MM06 04 (200-250) 04 (250-300) 05 (200-250) 05 (250-300)</v>
      </c>
      <c r="CB183">
        <f>A!CA183</f>
        <v>45810</v>
      </c>
      <c r="CC183" t="str">
        <f>A!CB183</f>
        <v>#_a13c9c27-ac45-4ff5-8e2b-08bc80806939</v>
      </c>
      <c r="CD183" t="str">
        <f>A!CC183</f>
        <v>#_50bca4ef-f6a2-49e1-8b46-cb0122ce642b</v>
      </c>
      <c r="CE183">
        <f>A!CD183</f>
        <v>0</v>
      </c>
      <c r="CF183" t="str">
        <f>A!CE183</f>
        <v>urn:immetingen:compartiment:id:1</v>
      </c>
      <c r="CG183" t="str">
        <f>A!CF183</f>
        <v>_TI-65023568</v>
      </c>
      <c r="CH183">
        <f>A!CG183</f>
        <v>45810</v>
      </c>
      <c r="CI183" t="str">
        <f>A!CH183</f>
        <v>urn:immetingen:monstertype:id:10</v>
      </c>
      <c r="CJ183" t="str">
        <f>A!CI183</f>
        <v>urn:imsikb0101:Applicaties:id:16</v>
      </c>
      <c r="CK183" t="str">
        <f>A!CJ183</f>
        <v>urn:imsikb0101:DatastroomType:id:1</v>
      </c>
      <c r="CL183">
        <f>A!CK183</f>
        <v>45811</v>
      </c>
      <c r="CM183" t="str">
        <f>A!CL183</f>
        <v>SGS, Rotterdam</v>
      </c>
      <c r="CN183" t="str">
        <f>A!CM183</f>
        <v>LABRESULTAAT SGS</v>
      </c>
      <c r="CO183">
        <f>A!CN183</f>
        <v>45811</v>
      </c>
      <c r="CP183">
        <f>A!CO183</f>
        <v>0</v>
      </c>
      <c r="CQ183">
        <f>A!CO493</f>
        <v>0</v>
      </c>
      <c r="CR183" t="e">
        <f>A!#REF!</f>
        <v>#REF!</v>
      </c>
      <c r="CS183" t="e">
        <f>A!#REF!</f>
        <v>#REF!</v>
      </c>
    </row>
    <row r="184" spans="1:97" x14ac:dyDescent="0.2">
      <c r="A184" t="str">
        <f>A!A184</f>
        <v>LABRESULTAAT</v>
      </c>
      <c r="B184">
        <f>A!B184</f>
        <v>7</v>
      </c>
      <c r="C184">
        <f>A!C184</f>
        <v>0</v>
      </c>
      <c r="D184">
        <f>A!D184</f>
        <v>0</v>
      </c>
      <c r="E184">
        <f>A!E184</f>
        <v>0</v>
      </c>
      <c r="F184">
        <f>A!F184</f>
        <v>0</v>
      </c>
      <c r="G184">
        <f>A!G184</f>
        <v>0</v>
      </c>
      <c r="H184">
        <f>A!H184</f>
        <v>0</v>
      </c>
      <c r="I184">
        <f>A!I184</f>
        <v>0</v>
      </c>
      <c r="J184">
        <f>A!J184</f>
        <v>0</v>
      </c>
      <c r="K184">
        <f>A!K184</f>
        <v>0</v>
      </c>
      <c r="L184">
        <f>A!L184</f>
        <v>0</v>
      </c>
      <c r="M184">
        <f>A!M184</f>
        <v>0</v>
      </c>
      <c r="N184">
        <f>A!N184</f>
        <v>0</v>
      </c>
      <c r="O184">
        <f>A!O184</f>
        <v>0</v>
      </c>
      <c r="P184" s="32" t="str">
        <f>IF(A!P184="","",INDEX(B!$A$1:$BT$2000,MATCH(A!P184,B!$AX$1:$AX$2000,0),D!$B$5))</f>
        <v/>
      </c>
      <c r="Q184">
        <f>A!Q184</f>
        <v>0</v>
      </c>
      <c r="R184">
        <f>A!R184</f>
        <v>0</v>
      </c>
      <c r="S184">
        <f>A!S184</f>
        <v>0</v>
      </c>
      <c r="T184">
        <f>A!T184</f>
        <v>0</v>
      </c>
      <c r="U184">
        <f>A!U184</f>
        <v>0</v>
      </c>
      <c r="V184" s="32">
        <f>IF(A!V184="&lt;",1,A!V184)</f>
        <v>0</v>
      </c>
      <c r="W184">
        <f>A!W184</f>
        <v>0</v>
      </c>
      <c r="X184">
        <f>A!X184</f>
        <v>0</v>
      </c>
      <c r="Y184">
        <f>A!Y184</f>
        <v>0</v>
      </c>
      <c r="Z184" s="32">
        <f t="shared" si="2"/>
        <v>0</v>
      </c>
      <c r="AA184">
        <f>A!Z184</f>
        <v>0</v>
      </c>
      <c r="AB184">
        <f>A!AA184</f>
        <v>0</v>
      </c>
      <c r="AC184">
        <f>A!AB184</f>
        <v>0</v>
      </c>
      <c r="AD184">
        <f>A!AC184</f>
        <v>0</v>
      </c>
      <c r="AE184">
        <f>A!AD184</f>
        <v>0</v>
      </c>
      <c r="AF184">
        <f>A!AE184</f>
        <v>0</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32"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t="str">
        <f>A!BW184</f>
        <v>_64cefbfc-c86e-49fa-99bc-0eb47d1104c4</v>
      </c>
      <c r="BY184" t="str">
        <f>A!BX184</f>
        <v>64cefbfc-c86e-49fa-99bc-0eb47d1104c4</v>
      </c>
      <c r="BZ184" t="str">
        <f>A!BY184</f>
        <v>SIKB</v>
      </c>
      <c r="CA184" t="str">
        <f>A!BZ184</f>
        <v>MM06 04 (200-250) 04 (250-300) 05 (200-250) 05 (250-300)</v>
      </c>
      <c r="CB184">
        <f>A!CA184</f>
        <v>45810</v>
      </c>
      <c r="CC184" t="str">
        <f>A!CB184</f>
        <v>#_a13c9c27-ac45-4ff5-8e2b-08bc80806939</v>
      </c>
      <c r="CD184" t="str">
        <f>A!CC184</f>
        <v>#_52736e38-54ab-440e-853c-f9a9e2b3ad08</v>
      </c>
      <c r="CE184">
        <f>A!CD184</f>
        <v>0</v>
      </c>
      <c r="CF184" t="str">
        <f>A!CE184</f>
        <v>urn:immetingen:compartiment:id:1</v>
      </c>
      <c r="CG184" t="str">
        <f>A!CF184</f>
        <v>_TI-65023568</v>
      </c>
      <c r="CH184">
        <f>A!CG184</f>
        <v>45810</v>
      </c>
      <c r="CI184" t="str">
        <f>A!CH184</f>
        <v>urn:immetingen:monstertype:id:10</v>
      </c>
      <c r="CJ184" t="str">
        <f>A!CI184</f>
        <v>urn:imsikb0101:Applicaties:id:16</v>
      </c>
      <c r="CK184" t="str">
        <f>A!CJ184</f>
        <v>urn:imsikb0101:DatastroomType:id:1</v>
      </c>
      <c r="CL184">
        <f>A!CK184</f>
        <v>45811</v>
      </c>
      <c r="CM184" t="str">
        <f>A!CL184</f>
        <v>SGS, Rotterdam</v>
      </c>
      <c r="CN184" t="str">
        <f>A!CM184</f>
        <v>LABRESULTAAT SGS</v>
      </c>
      <c r="CO184">
        <f>A!CN184</f>
        <v>45811</v>
      </c>
      <c r="CP184">
        <f>A!CO184</f>
        <v>0</v>
      </c>
      <c r="CQ184">
        <f>A!CO494</f>
        <v>0</v>
      </c>
      <c r="CR184" t="e">
        <f>A!#REF!</f>
        <v>#REF!</v>
      </c>
      <c r="CS184" t="e">
        <f>A!#REF!</f>
        <v>#REF!</v>
      </c>
    </row>
    <row r="185" spans="1:97" x14ac:dyDescent="0.2">
      <c r="A185" t="str">
        <f>A!A185</f>
        <v>LABRESULTAAT</v>
      </c>
      <c r="B185">
        <f>A!B185</f>
        <v>7</v>
      </c>
      <c r="C185">
        <f>A!C185</f>
        <v>0</v>
      </c>
      <c r="D185">
        <f>A!D185</f>
        <v>0</v>
      </c>
      <c r="E185">
        <f>A!E185</f>
        <v>0</v>
      </c>
      <c r="F185">
        <f>A!F185</f>
        <v>0</v>
      </c>
      <c r="G185">
        <f>A!G185</f>
        <v>0</v>
      </c>
      <c r="H185">
        <f>A!H185</f>
        <v>0</v>
      </c>
      <c r="I185">
        <f>A!I185</f>
        <v>0</v>
      </c>
      <c r="J185">
        <f>A!J185</f>
        <v>0</v>
      </c>
      <c r="K185">
        <f>A!K185</f>
        <v>0</v>
      </c>
      <c r="L185">
        <f>A!L185</f>
        <v>0</v>
      </c>
      <c r="M185">
        <f>A!M185</f>
        <v>0</v>
      </c>
      <c r="N185">
        <f>A!N185</f>
        <v>0</v>
      </c>
      <c r="O185">
        <f>A!O185</f>
        <v>0</v>
      </c>
      <c r="P185" s="32" t="str">
        <f>IF(A!P185="","",INDEX(B!$A$1:$BT$2000,MATCH(A!P185,B!$AX$1:$AX$2000,0),D!$B$5))</f>
        <v/>
      </c>
      <c r="Q185">
        <f>A!Q185</f>
        <v>0</v>
      </c>
      <c r="R185">
        <f>A!R185</f>
        <v>0</v>
      </c>
      <c r="S185">
        <f>A!S185</f>
        <v>0</v>
      </c>
      <c r="T185">
        <f>A!T185</f>
        <v>0</v>
      </c>
      <c r="U185">
        <f>A!U185</f>
        <v>0</v>
      </c>
      <c r="V185" s="32">
        <f>IF(A!V185="&lt;",1,A!V185)</f>
        <v>0</v>
      </c>
      <c r="W185">
        <f>A!W185</f>
        <v>0</v>
      </c>
      <c r="X185">
        <f>A!X185</f>
        <v>0</v>
      </c>
      <c r="Y185">
        <f>A!Y185</f>
        <v>0</v>
      </c>
      <c r="Z185" s="32">
        <f t="shared" si="2"/>
        <v>0</v>
      </c>
      <c r="AA185">
        <f>A!Z185</f>
        <v>0</v>
      </c>
      <c r="AB185">
        <f>A!AA185</f>
        <v>0</v>
      </c>
      <c r="AC185">
        <f>A!AB185</f>
        <v>0</v>
      </c>
      <c r="AD185">
        <f>A!AC185</f>
        <v>0</v>
      </c>
      <c r="AE185">
        <f>A!AD185</f>
        <v>0</v>
      </c>
      <c r="AF185">
        <f>A!AE185</f>
        <v>0</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32"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t="str">
        <f>A!BW185</f>
        <v>_64cefbfc-c86e-49fa-99bc-0eb47d1104c4</v>
      </c>
      <c r="BY185" t="str">
        <f>A!BX185</f>
        <v>64cefbfc-c86e-49fa-99bc-0eb47d1104c4</v>
      </c>
      <c r="BZ185" t="str">
        <f>A!BY185</f>
        <v>SIKB</v>
      </c>
      <c r="CA185" t="str">
        <f>A!BZ185</f>
        <v>MM06 04 (200-250) 04 (250-300) 05 (200-250) 05 (250-300)</v>
      </c>
      <c r="CB185">
        <f>A!CA185</f>
        <v>45810</v>
      </c>
      <c r="CC185" t="str">
        <f>A!CB185</f>
        <v>#_a13c9c27-ac45-4ff5-8e2b-08bc80806939</v>
      </c>
      <c r="CD185" t="str">
        <f>A!CC185</f>
        <v>#_cc986c64-d347-4d4c-90ba-4469fd6ddcab</v>
      </c>
      <c r="CE185">
        <f>A!CD185</f>
        <v>0</v>
      </c>
      <c r="CF185" t="str">
        <f>A!CE185</f>
        <v>urn:immetingen:compartiment:id:1</v>
      </c>
      <c r="CG185" t="str">
        <f>A!CF185</f>
        <v>_TI-65023568</v>
      </c>
      <c r="CH185">
        <f>A!CG185</f>
        <v>45810</v>
      </c>
      <c r="CI185" t="str">
        <f>A!CH185</f>
        <v>urn:immetingen:monstertype:id:10</v>
      </c>
      <c r="CJ185" t="str">
        <f>A!CI185</f>
        <v>urn:imsikb0101:Applicaties:id:16</v>
      </c>
      <c r="CK185" t="str">
        <f>A!CJ185</f>
        <v>urn:imsikb0101:DatastroomType:id:1</v>
      </c>
      <c r="CL185">
        <f>A!CK185</f>
        <v>45811</v>
      </c>
      <c r="CM185" t="str">
        <f>A!CL185</f>
        <v>SGS, Rotterdam</v>
      </c>
      <c r="CN185" t="str">
        <f>A!CM185</f>
        <v>LABRESULTAAT SGS</v>
      </c>
      <c r="CO185">
        <f>A!CN185</f>
        <v>45811</v>
      </c>
      <c r="CP185">
        <f>A!CO185</f>
        <v>0</v>
      </c>
      <c r="CQ185">
        <f>A!CO495</f>
        <v>0</v>
      </c>
      <c r="CR185" t="e">
        <f>A!#REF!</f>
        <v>#REF!</v>
      </c>
      <c r="CS185" t="e">
        <f>A!#REF!</f>
        <v>#REF!</v>
      </c>
    </row>
    <row r="186" spans="1:97" x14ac:dyDescent="0.2">
      <c r="A186" t="str">
        <f>A!A186</f>
        <v>LABRESULTAAT</v>
      </c>
      <c r="B186">
        <f>A!B186</f>
        <v>7</v>
      </c>
      <c r="C186">
        <f>A!C186</f>
        <v>0</v>
      </c>
      <c r="D186">
        <f>A!D186</f>
        <v>0</v>
      </c>
      <c r="E186">
        <f>A!E186</f>
        <v>0</v>
      </c>
      <c r="F186">
        <f>A!F186</f>
        <v>0</v>
      </c>
      <c r="G186">
        <f>A!G186</f>
        <v>0</v>
      </c>
      <c r="H186">
        <f>A!H186</f>
        <v>0</v>
      </c>
      <c r="I186">
        <f>A!I186</f>
        <v>0</v>
      </c>
      <c r="J186">
        <f>A!J186</f>
        <v>0</v>
      </c>
      <c r="K186">
        <f>A!K186</f>
        <v>0</v>
      </c>
      <c r="L186">
        <f>A!L186</f>
        <v>0</v>
      </c>
      <c r="M186">
        <f>A!M186</f>
        <v>0</v>
      </c>
      <c r="N186">
        <f>A!N186</f>
        <v>0</v>
      </c>
      <c r="O186">
        <f>A!O186</f>
        <v>0</v>
      </c>
      <c r="P186" s="32" t="str">
        <f>IF(A!P186="","",INDEX(B!$A$1:$BT$2000,MATCH(A!P186,B!$AX$1:$AX$2000,0),D!$B$5))</f>
        <v/>
      </c>
      <c r="Q186">
        <f>A!Q186</f>
        <v>0</v>
      </c>
      <c r="R186">
        <f>A!R186</f>
        <v>0</v>
      </c>
      <c r="S186">
        <f>A!S186</f>
        <v>0</v>
      </c>
      <c r="T186">
        <f>A!T186</f>
        <v>0</v>
      </c>
      <c r="U186">
        <f>A!U186</f>
        <v>0</v>
      </c>
      <c r="V186" s="32">
        <f>IF(A!V186="&lt;",1,A!V186)</f>
        <v>0</v>
      </c>
      <c r="W186">
        <f>A!W186</f>
        <v>0</v>
      </c>
      <c r="X186">
        <f>A!X186</f>
        <v>0</v>
      </c>
      <c r="Y186">
        <f>A!Y186</f>
        <v>0</v>
      </c>
      <c r="Z186" s="32">
        <f t="shared" si="2"/>
        <v>0</v>
      </c>
      <c r="AA186">
        <f>A!Z186</f>
        <v>0</v>
      </c>
      <c r="AB186">
        <f>A!AA186</f>
        <v>0</v>
      </c>
      <c r="AC186">
        <f>A!AB186</f>
        <v>0</v>
      </c>
      <c r="AD186">
        <f>A!AC186</f>
        <v>0</v>
      </c>
      <c r="AE186">
        <f>A!AD186</f>
        <v>0</v>
      </c>
      <c r="AF186">
        <f>A!AE186</f>
        <v>0</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32"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t="str">
        <f>A!BW186</f>
        <v>_64cefbfc-c86e-49fa-99bc-0eb47d1104c4</v>
      </c>
      <c r="BY186" t="str">
        <f>A!BX186</f>
        <v>64cefbfc-c86e-49fa-99bc-0eb47d1104c4</v>
      </c>
      <c r="BZ186" t="str">
        <f>A!BY186</f>
        <v>SIKB</v>
      </c>
      <c r="CA186" t="str">
        <f>A!BZ186</f>
        <v>MM06 04 (200-250) 04 (250-300) 05 (200-250) 05 (250-300)</v>
      </c>
      <c r="CB186">
        <f>A!CA186</f>
        <v>45810</v>
      </c>
      <c r="CC186" t="str">
        <f>A!CB186</f>
        <v>#_a13c9c27-ac45-4ff5-8e2b-08bc80806939</v>
      </c>
      <c r="CD186" t="str">
        <f>A!CC186</f>
        <v>#_79741cc2-d30b-4982-aa8a-3b244bd4d227</v>
      </c>
      <c r="CE186">
        <f>A!CD186</f>
        <v>0</v>
      </c>
      <c r="CF186" t="str">
        <f>A!CE186</f>
        <v>urn:immetingen:compartiment:id:1</v>
      </c>
      <c r="CG186" t="str">
        <f>A!CF186</f>
        <v>_TI-65023568</v>
      </c>
      <c r="CH186">
        <f>A!CG186</f>
        <v>45810</v>
      </c>
      <c r="CI186" t="str">
        <f>A!CH186</f>
        <v>urn:immetingen:monstertype:id:10</v>
      </c>
      <c r="CJ186" t="str">
        <f>A!CI186</f>
        <v>urn:imsikb0101:Applicaties:id:16</v>
      </c>
      <c r="CK186" t="str">
        <f>A!CJ186</f>
        <v>urn:imsikb0101:DatastroomType:id:1</v>
      </c>
      <c r="CL186">
        <f>A!CK186</f>
        <v>45811</v>
      </c>
      <c r="CM186" t="str">
        <f>A!CL186</f>
        <v>SGS, Rotterdam</v>
      </c>
      <c r="CN186" t="str">
        <f>A!CM186</f>
        <v>LABRESULTAAT SGS</v>
      </c>
      <c r="CO186">
        <f>A!CN186</f>
        <v>45811</v>
      </c>
      <c r="CP186">
        <f>A!CO186</f>
        <v>0</v>
      </c>
      <c r="CQ186">
        <f>A!CO496</f>
        <v>0</v>
      </c>
      <c r="CR186" t="e">
        <f>A!#REF!</f>
        <v>#REF!</v>
      </c>
      <c r="CS186" t="e">
        <f>A!#REF!</f>
        <v>#REF!</v>
      </c>
    </row>
    <row r="187" spans="1:97" x14ac:dyDescent="0.2">
      <c r="A187" t="str">
        <f>A!A187</f>
        <v>LABRESULTAAT</v>
      </c>
      <c r="B187">
        <f>A!B187</f>
        <v>7</v>
      </c>
      <c r="C187">
        <f>A!C187</f>
        <v>0</v>
      </c>
      <c r="D187">
        <f>A!D187</f>
        <v>0</v>
      </c>
      <c r="E187">
        <f>A!E187</f>
        <v>0</v>
      </c>
      <c r="F187">
        <f>A!F187</f>
        <v>0</v>
      </c>
      <c r="G187">
        <f>A!G187</f>
        <v>0</v>
      </c>
      <c r="H187">
        <f>A!H187</f>
        <v>0</v>
      </c>
      <c r="I187">
        <f>A!I187</f>
        <v>0</v>
      </c>
      <c r="J187">
        <f>A!J187</f>
        <v>0</v>
      </c>
      <c r="K187">
        <f>A!K187</f>
        <v>0</v>
      </c>
      <c r="L187">
        <f>A!L187</f>
        <v>0</v>
      </c>
      <c r="M187">
        <f>A!M187</f>
        <v>0</v>
      </c>
      <c r="N187">
        <f>A!N187</f>
        <v>0</v>
      </c>
      <c r="O187">
        <f>A!O187</f>
        <v>0</v>
      </c>
      <c r="P187" s="32" t="str">
        <f>IF(A!P187="","",INDEX(B!$A$1:$BT$2000,MATCH(A!P187,B!$AX$1:$AX$2000,0),D!$B$5))</f>
        <v/>
      </c>
      <c r="Q187">
        <f>A!Q187</f>
        <v>0</v>
      </c>
      <c r="R187">
        <f>A!R187</f>
        <v>0</v>
      </c>
      <c r="S187">
        <f>A!S187</f>
        <v>0</v>
      </c>
      <c r="T187">
        <f>A!T187</f>
        <v>0</v>
      </c>
      <c r="U187">
        <f>A!U187</f>
        <v>0</v>
      </c>
      <c r="V187" s="32">
        <f>IF(A!V187="&lt;",1,A!V187)</f>
        <v>0</v>
      </c>
      <c r="W187">
        <f>A!W187</f>
        <v>0</v>
      </c>
      <c r="X187">
        <f>A!X187</f>
        <v>0</v>
      </c>
      <c r="Y187">
        <f>A!Y187</f>
        <v>0</v>
      </c>
      <c r="Z187" s="32">
        <f t="shared" si="2"/>
        <v>0</v>
      </c>
      <c r="AA187">
        <f>A!Z187</f>
        <v>0</v>
      </c>
      <c r="AB187">
        <f>A!AA187</f>
        <v>0</v>
      </c>
      <c r="AC187">
        <f>A!AB187</f>
        <v>0</v>
      </c>
      <c r="AD187">
        <f>A!AC187</f>
        <v>0</v>
      </c>
      <c r="AE187">
        <f>A!AD187</f>
        <v>0</v>
      </c>
      <c r="AF187">
        <f>A!AE187</f>
        <v>0</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32"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t="str">
        <f>A!BW187</f>
        <v>_64cefbfc-c86e-49fa-99bc-0eb47d1104c4</v>
      </c>
      <c r="BY187" t="str">
        <f>A!BX187</f>
        <v>64cefbfc-c86e-49fa-99bc-0eb47d1104c4</v>
      </c>
      <c r="BZ187" t="str">
        <f>A!BY187</f>
        <v>SIKB</v>
      </c>
      <c r="CA187" t="str">
        <f>A!BZ187</f>
        <v>MM06 04 (200-250) 04 (250-300) 05 (200-250) 05 (250-300)</v>
      </c>
      <c r="CB187">
        <f>A!CA187</f>
        <v>45810</v>
      </c>
      <c r="CC187" t="str">
        <f>A!CB187</f>
        <v>#_a13c9c27-ac45-4ff5-8e2b-08bc80806939</v>
      </c>
      <c r="CD187" t="str">
        <f>A!CC187</f>
        <v>#_c99632b0-bdfd-43c0-b931-f00d41778a98</v>
      </c>
      <c r="CE187">
        <f>A!CD187</f>
        <v>0</v>
      </c>
      <c r="CF187" t="str">
        <f>A!CE187</f>
        <v>urn:immetingen:compartiment:id:1</v>
      </c>
      <c r="CG187" t="str">
        <f>A!CF187</f>
        <v>_TI-65023568</v>
      </c>
      <c r="CH187">
        <f>A!CG187</f>
        <v>45810</v>
      </c>
      <c r="CI187" t="str">
        <f>A!CH187</f>
        <v>urn:immetingen:monstertype:id:10</v>
      </c>
      <c r="CJ187" t="str">
        <f>A!CI187</f>
        <v>urn:imsikb0101:Applicaties:id:16</v>
      </c>
      <c r="CK187" t="str">
        <f>A!CJ187</f>
        <v>urn:imsikb0101:DatastroomType:id:1</v>
      </c>
      <c r="CL187">
        <f>A!CK187</f>
        <v>45811</v>
      </c>
      <c r="CM187" t="str">
        <f>A!CL187</f>
        <v>SGS, Rotterdam</v>
      </c>
      <c r="CN187" t="str">
        <f>A!CM187</f>
        <v>LABRESULTAAT SGS</v>
      </c>
      <c r="CO187">
        <f>A!CN187</f>
        <v>45811</v>
      </c>
      <c r="CP187">
        <f>A!CO187</f>
        <v>0</v>
      </c>
      <c r="CQ187">
        <f>A!CO497</f>
        <v>0</v>
      </c>
      <c r="CR187" t="e">
        <f>A!#REF!</f>
        <v>#REF!</v>
      </c>
      <c r="CS187" t="e">
        <f>A!#REF!</f>
        <v>#REF!</v>
      </c>
    </row>
    <row r="188" spans="1:97" x14ac:dyDescent="0.2">
      <c r="A188" t="str">
        <f>A!A188</f>
        <v>LABRESULTAAT</v>
      </c>
      <c r="B188">
        <f>A!B188</f>
        <v>7</v>
      </c>
      <c r="C188">
        <f>A!C188</f>
        <v>0</v>
      </c>
      <c r="D188">
        <f>A!D188</f>
        <v>0</v>
      </c>
      <c r="E188">
        <f>A!E188</f>
        <v>0</v>
      </c>
      <c r="F188">
        <f>A!F188</f>
        <v>0</v>
      </c>
      <c r="G188">
        <f>A!G188</f>
        <v>0</v>
      </c>
      <c r="H188">
        <f>A!H188</f>
        <v>0</v>
      </c>
      <c r="I188">
        <f>A!I188</f>
        <v>0</v>
      </c>
      <c r="J188">
        <f>A!J188</f>
        <v>0</v>
      </c>
      <c r="K188">
        <f>A!K188</f>
        <v>0</v>
      </c>
      <c r="L188">
        <f>A!L188</f>
        <v>0</v>
      </c>
      <c r="M188">
        <f>A!M188</f>
        <v>0</v>
      </c>
      <c r="N188">
        <f>A!N188</f>
        <v>0</v>
      </c>
      <c r="O188">
        <f>A!O188</f>
        <v>0</v>
      </c>
      <c r="P188" s="32" t="str">
        <f>IF(A!P188="","",INDEX(B!$A$1:$BT$2000,MATCH(A!P188,B!$AX$1:$AX$2000,0),D!$B$5))</f>
        <v/>
      </c>
      <c r="Q188">
        <f>A!Q188</f>
        <v>0</v>
      </c>
      <c r="R188">
        <f>A!R188</f>
        <v>0</v>
      </c>
      <c r="S188">
        <f>A!S188</f>
        <v>0</v>
      </c>
      <c r="T188">
        <f>A!T188</f>
        <v>0</v>
      </c>
      <c r="U188">
        <f>A!U188</f>
        <v>0</v>
      </c>
      <c r="V188" s="32">
        <f>IF(A!V188="&lt;",1,A!V188)</f>
        <v>0</v>
      </c>
      <c r="W188">
        <f>A!W188</f>
        <v>0</v>
      </c>
      <c r="X188">
        <f>A!X188</f>
        <v>0</v>
      </c>
      <c r="Y188">
        <f>A!Y188</f>
        <v>0</v>
      </c>
      <c r="Z188" s="32">
        <f t="shared" si="2"/>
        <v>0</v>
      </c>
      <c r="AA188">
        <f>A!Z188</f>
        <v>0</v>
      </c>
      <c r="AB188">
        <f>A!AA188</f>
        <v>0</v>
      </c>
      <c r="AC188">
        <f>A!AB188</f>
        <v>0</v>
      </c>
      <c r="AD188">
        <f>A!AC188</f>
        <v>0</v>
      </c>
      <c r="AE188">
        <f>A!AD188</f>
        <v>0</v>
      </c>
      <c r="AF188">
        <f>A!AE188</f>
        <v>0</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32"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t="str">
        <f>A!BW188</f>
        <v>_64cefbfc-c86e-49fa-99bc-0eb47d1104c4</v>
      </c>
      <c r="BY188" t="str">
        <f>A!BX188</f>
        <v>64cefbfc-c86e-49fa-99bc-0eb47d1104c4</v>
      </c>
      <c r="BZ188" t="str">
        <f>A!BY188</f>
        <v>SIKB</v>
      </c>
      <c r="CA188" t="str">
        <f>A!BZ188</f>
        <v>MM06 04 (200-250) 04 (250-300) 05 (200-250) 05 (250-300)</v>
      </c>
      <c r="CB188">
        <f>A!CA188</f>
        <v>45810</v>
      </c>
      <c r="CC188" t="str">
        <f>A!CB188</f>
        <v>#_a13c9c27-ac45-4ff5-8e2b-08bc80806939</v>
      </c>
      <c r="CD188" t="str">
        <f>A!CC188</f>
        <v>#_564cbdbd-8997-4e42-9c83-f59689922d90</v>
      </c>
      <c r="CE188">
        <f>A!CD188</f>
        <v>0</v>
      </c>
      <c r="CF188" t="str">
        <f>A!CE188</f>
        <v>urn:immetingen:compartiment:id:1</v>
      </c>
      <c r="CG188" t="str">
        <f>A!CF188</f>
        <v>_TI-65023568</v>
      </c>
      <c r="CH188">
        <f>A!CG188</f>
        <v>45810</v>
      </c>
      <c r="CI188" t="str">
        <f>A!CH188</f>
        <v>urn:immetingen:monstertype:id:10</v>
      </c>
      <c r="CJ188" t="str">
        <f>A!CI188</f>
        <v>urn:imsikb0101:Applicaties:id:16</v>
      </c>
      <c r="CK188" t="str">
        <f>A!CJ188</f>
        <v>urn:imsikb0101:DatastroomType:id:1</v>
      </c>
      <c r="CL188">
        <f>A!CK188</f>
        <v>45811</v>
      </c>
      <c r="CM188" t="str">
        <f>A!CL188</f>
        <v>SGS, Rotterdam</v>
      </c>
      <c r="CN188" t="str">
        <f>A!CM188</f>
        <v>LABRESULTAAT SGS</v>
      </c>
      <c r="CO188">
        <f>A!CN188</f>
        <v>45811</v>
      </c>
      <c r="CP188">
        <f>A!CO188</f>
        <v>0</v>
      </c>
      <c r="CQ188">
        <f>A!CO498</f>
        <v>0</v>
      </c>
      <c r="CR188" t="e">
        <f>A!#REF!</f>
        <v>#REF!</v>
      </c>
      <c r="CS188" t="e">
        <f>A!#REF!</f>
        <v>#REF!</v>
      </c>
    </row>
    <row r="189" spans="1:97" x14ac:dyDescent="0.2">
      <c r="A189" t="str">
        <f>A!A189</f>
        <v>LABRESULTAAT</v>
      </c>
      <c r="B189">
        <f>A!B189</f>
        <v>8</v>
      </c>
      <c r="C189" t="str">
        <f>A!C189</f>
        <v>_ce6dc2cd-6ee7-44d2-8613-e70d54c7d312</v>
      </c>
      <c r="D189" t="str">
        <f>A!D189</f>
        <v>ce6dc2cd-6ee7-44d2-8613-e70d54c7d312</v>
      </c>
      <c r="E189" t="str">
        <f>A!E189</f>
        <v>SIKB</v>
      </c>
      <c r="F189" t="str">
        <f>A!F189</f>
        <v>urn:immetingen:hoedanigheid:id:93</v>
      </c>
      <c r="G189" t="str">
        <f>A!G189</f>
        <v>www.sikb.nl</v>
      </c>
      <c r="H189" t="str">
        <f>A!H189</f>
        <v>urn:immetingen:parameter:id:1200</v>
      </c>
      <c r="I189" t="str">
        <f>A!I189</f>
        <v>www.sikb.nl</v>
      </c>
      <c r="J189" t="str">
        <f>A!J189</f>
        <v>urn:immetingen:parameter:id:2725</v>
      </c>
      <c r="K189" t="str">
        <f>A!K189</f>
        <v>www.sikb.nl</v>
      </c>
      <c r="L189">
        <f>A!L189</f>
        <v>45811</v>
      </c>
      <c r="M189" t="str">
        <f>A!M189</f>
        <v>urn:immetingen:LabopdrachtStatus:id:5</v>
      </c>
      <c r="N189">
        <f>A!N189</f>
        <v>1</v>
      </c>
      <c r="O189">
        <f>A!O189</f>
        <v>1</v>
      </c>
      <c r="P189" s="32" t="str">
        <f>IF(A!P189="","",INDEX(B!$A$1:$BT$2000,MATCH(A!P189,B!$AX$1:$AX$2000,0),D!$B$5))</f>
        <v>MM05 04 (150-200) 05 (150-200)</v>
      </c>
      <c r="Q189">
        <f>A!Q189</f>
        <v>0</v>
      </c>
      <c r="R189">
        <f>A!R189</f>
        <v>0</v>
      </c>
      <c r="S189">
        <f>A!S189</f>
        <v>0</v>
      </c>
      <c r="T189" t="str">
        <f>A!T189</f>
        <v>immetingen:AnalyticResultType</v>
      </c>
      <c r="U189" t="str">
        <f>A!U189</f>
        <v>&lt;20 mg/kgds</v>
      </c>
      <c r="V189" s="32">
        <f>IF(A!V189="&lt;",1,A!V189)</f>
        <v>1</v>
      </c>
      <c r="W189">
        <f>A!W189</f>
        <v>20</v>
      </c>
      <c r="X189">
        <f>A!X189</f>
        <v>20</v>
      </c>
      <c r="Y189" t="str">
        <f>A!Y189</f>
        <v>urn:immetingen:eenheid:id:58</v>
      </c>
      <c r="Z189" s="32">
        <f t="shared" si="2"/>
        <v>58</v>
      </c>
      <c r="AA189" t="str">
        <f>A!Z189</f>
        <v>urn:immetingen:kwaliteitsoordeel:id:0</v>
      </c>
      <c r="AB189" t="str">
        <f>A!AA189</f>
        <v>www.sikb.nl</v>
      </c>
      <c r="AC189" t="str">
        <f>A!AB189</f>
        <v>urn:immetingen:waardebewerkingsmethode:id:5</v>
      </c>
      <c r="AD189" t="str">
        <f>A!AC189</f>
        <v>www.sikb.nl</v>
      </c>
      <c r="AE189" t="str">
        <f>A!AD189</f>
        <v>_adb366b3-caf0-4784-b3fd-ac2b1988015c</v>
      </c>
      <c r="AF189">
        <f>A!AE189</f>
        <v>45811.321666666663</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32"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t="str">
        <f>A!CI189</f>
        <v>urn:imsikb0101:Applicaties:id:16</v>
      </c>
      <c r="CK189" t="str">
        <f>A!CJ189</f>
        <v>urn:imsikb0101:DatastroomType:id:1</v>
      </c>
      <c r="CL189">
        <f>A!CK189</f>
        <v>45811</v>
      </c>
      <c r="CM189" t="str">
        <f>A!CL189</f>
        <v>SGS, Rotterdam</v>
      </c>
      <c r="CN189" t="str">
        <f>A!CM189</f>
        <v>LABRESULTAAT SGS</v>
      </c>
      <c r="CO189">
        <f>A!CN189</f>
        <v>45811</v>
      </c>
      <c r="CP189">
        <f>A!CO189</f>
        <v>0</v>
      </c>
      <c r="CQ189">
        <f>A!CO499</f>
        <v>0</v>
      </c>
      <c r="CR189" t="e">
        <f>A!#REF!</f>
        <v>#REF!</v>
      </c>
      <c r="CS189" t="e">
        <f>A!#REF!</f>
        <v>#REF!</v>
      </c>
    </row>
    <row r="190" spans="1:97" x14ac:dyDescent="0.2">
      <c r="A190" t="str">
        <f>A!A190</f>
        <v>LABRESULTAAT</v>
      </c>
      <c r="B190">
        <f>A!B190</f>
        <v>9</v>
      </c>
      <c r="C190" t="str">
        <f>A!C190</f>
        <v>_de7b390d-6d29-4fc2-ae5d-45bc8c119c1b</v>
      </c>
      <c r="D190" t="str">
        <f>A!D190</f>
        <v>de7b390d-6d29-4fc2-ae5d-45bc8c119c1b</v>
      </c>
      <c r="E190" t="str">
        <f>A!E190</f>
        <v>SIKB</v>
      </c>
      <c r="F190" t="str">
        <f>A!F190</f>
        <v>urn:immetingen:hoedanigheid:id:1</v>
      </c>
      <c r="G190" t="str">
        <f>A!G190</f>
        <v>www.sikb.nl</v>
      </c>
      <c r="H190" t="str">
        <f>A!H190</f>
        <v>urn:immetingen:parameter:id:1381</v>
      </c>
      <c r="I190" t="str">
        <f>A!I190</f>
        <v>www.sikb.nl</v>
      </c>
      <c r="J190" t="str">
        <f>A!J190</f>
        <v>urn:immetingen:parameter:id:2725</v>
      </c>
      <c r="K190" t="str">
        <f>A!K190</f>
        <v>www.sikb.nl</v>
      </c>
      <c r="L190">
        <f>A!L190</f>
        <v>45811</v>
      </c>
      <c r="M190" t="str">
        <f>A!M190</f>
        <v>urn:immetingen:LabopdrachtStatus:id:5</v>
      </c>
      <c r="N190">
        <f>A!N190</f>
        <v>1</v>
      </c>
      <c r="O190">
        <f>A!O190</f>
        <v>1</v>
      </c>
      <c r="P190" s="32" t="str">
        <f>IF(A!P190="","",INDEX(B!$A$1:$BT$2000,MATCH(A!P190,B!$AX$1:$AX$2000,0),D!$B$5))</f>
        <v>MM05 04 (150-200) 05 (150-200)</v>
      </c>
      <c r="Q190">
        <f>A!Q190</f>
        <v>0</v>
      </c>
      <c r="R190">
        <f>A!R190</f>
        <v>0</v>
      </c>
      <c r="S190">
        <f>A!S190</f>
        <v>0</v>
      </c>
      <c r="T190" t="str">
        <f>A!T190</f>
        <v>immetingen:AnalyticResultType</v>
      </c>
      <c r="U190" t="str">
        <f>A!U190</f>
        <v>&lt;1 µg/kgds</v>
      </c>
      <c r="V190" s="32">
        <f>IF(A!V190="&lt;",1,A!V190)</f>
        <v>1</v>
      </c>
      <c r="W190">
        <f>A!W190</f>
        <v>1</v>
      </c>
      <c r="X190">
        <f>A!X190</f>
        <v>1</v>
      </c>
      <c r="Y190" t="str">
        <f>A!Y190</f>
        <v>urn:immetingen:eenheid:id:131</v>
      </c>
      <c r="Z190" s="32">
        <f t="shared" si="2"/>
        <v>131</v>
      </c>
      <c r="AA190" t="str">
        <f>A!Z190</f>
        <v>urn:immetingen:kwaliteitsoordeel:id:0</v>
      </c>
      <c r="AB190" t="str">
        <f>A!AA190</f>
        <v>www.sikb.nl</v>
      </c>
      <c r="AC190" t="str">
        <f>A!AB190</f>
        <v>urn:immetingen:waardebewerkingsmethode:id:5</v>
      </c>
      <c r="AD190" t="str">
        <f>A!AC190</f>
        <v>www.sikb.nl</v>
      </c>
      <c r="AE190" t="str">
        <f>A!AD190</f>
        <v>_6a3f8e01-158b-44b1-866a-c9f3b292b499</v>
      </c>
      <c r="AF190">
        <f>A!AE190</f>
        <v>45811.309363425928</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32"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t="str">
        <f>A!CI190</f>
        <v>urn:imsikb0101:Applicaties:id:16</v>
      </c>
      <c r="CK190" t="str">
        <f>A!CJ190</f>
        <v>urn:imsikb0101:DatastroomType:id:1</v>
      </c>
      <c r="CL190">
        <f>A!CK190</f>
        <v>45811</v>
      </c>
      <c r="CM190" t="str">
        <f>A!CL190</f>
        <v>SGS, Rotterdam</v>
      </c>
      <c r="CN190" t="str">
        <f>A!CM190</f>
        <v>LABRESULTAAT SGS</v>
      </c>
      <c r="CO190">
        <f>A!CN190</f>
        <v>45811</v>
      </c>
      <c r="CP190">
        <f>A!CO190</f>
        <v>0</v>
      </c>
      <c r="CQ190">
        <f>A!CO500</f>
        <v>0</v>
      </c>
      <c r="CR190" t="e">
        <f>A!#REF!</f>
        <v>#REF!</v>
      </c>
      <c r="CS190" t="e">
        <f>A!#REF!</f>
        <v>#REF!</v>
      </c>
    </row>
    <row r="191" spans="1:97" x14ac:dyDescent="0.2">
      <c r="A191" t="str">
        <f>A!A191</f>
        <v>LABRESULTAAT</v>
      </c>
      <c r="B191">
        <f>A!B191</f>
        <v>10</v>
      </c>
      <c r="C191" t="str">
        <f>A!C191</f>
        <v>_0323cbaf-7e57-463d-a589-b2f3f76f065f</v>
      </c>
      <c r="D191" t="str">
        <f>A!D191</f>
        <v>0323cbaf-7e57-463d-a589-b2f3f76f065f</v>
      </c>
      <c r="E191" t="str">
        <f>A!E191</f>
        <v>SIKB</v>
      </c>
      <c r="F191" t="str">
        <f>A!F191</f>
        <v>urn:immetingen:hoedanigheid:id:1</v>
      </c>
      <c r="G191" t="str">
        <f>A!G191</f>
        <v>www.sikb.nl</v>
      </c>
      <c r="H191" t="str">
        <f>A!H191</f>
        <v>urn:immetingen:parameter:id:1382</v>
      </c>
      <c r="I191" t="str">
        <f>A!I191</f>
        <v>www.sikb.nl</v>
      </c>
      <c r="J191" t="str">
        <f>A!J191</f>
        <v>urn:immetingen:parameter:id:2725</v>
      </c>
      <c r="K191" t="str">
        <f>A!K191</f>
        <v>www.sikb.nl</v>
      </c>
      <c r="L191">
        <f>A!L191</f>
        <v>45811</v>
      </c>
      <c r="M191" t="str">
        <f>A!M191</f>
        <v>urn:immetingen:LabopdrachtStatus:id:5</v>
      </c>
      <c r="N191">
        <f>A!N191</f>
        <v>1</v>
      </c>
      <c r="O191">
        <f>A!O191</f>
        <v>1</v>
      </c>
      <c r="P191" s="32" t="str">
        <f>IF(A!P191="","",INDEX(B!$A$1:$BT$2000,MATCH(A!P191,B!$AX$1:$AX$2000,0),D!$B$5))</f>
        <v>MM05 04 (150-200) 05 (150-200)</v>
      </c>
      <c r="Q191">
        <f>A!Q191</f>
        <v>0</v>
      </c>
      <c r="R191">
        <f>A!R191</f>
        <v>0</v>
      </c>
      <c r="S191">
        <f>A!S191</f>
        <v>0</v>
      </c>
      <c r="T191" t="str">
        <f>A!T191</f>
        <v>immetingen:AnalyticResultType</v>
      </c>
      <c r="U191" t="str">
        <f>A!U191</f>
        <v>&lt;1 µg/kgds</v>
      </c>
      <c r="V191" s="32">
        <f>IF(A!V191="&lt;",1,A!V191)</f>
        <v>1</v>
      </c>
      <c r="W191">
        <f>A!W191</f>
        <v>1</v>
      </c>
      <c r="X191">
        <f>A!X191</f>
        <v>1</v>
      </c>
      <c r="Y191" t="str">
        <f>A!Y191</f>
        <v>urn:immetingen:eenheid:id:131</v>
      </c>
      <c r="Z191" s="32">
        <f t="shared" si="2"/>
        <v>131</v>
      </c>
      <c r="AA191" t="str">
        <f>A!Z191</f>
        <v>urn:immetingen:kwaliteitsoordeel:id:0</v>
      </c>
      <c r="AB191" t="str">
        <f>A!AA191</f>
        <v>www.sikb.nl</v>
      </c>
      <c r="AC191" t="str">
        <f>A!AB191</f>
        <v>urn:immetingen:waardebewerkingsmethode:id:5</v>
      </c>
      <c r="AD191" t="str">
        <f>A!AC191</f>
        <v>www.sikb.nl</v>
      </c>
      <c r="AE191" t="str">
        <f>A!AD191</f>
        <v>_629ae551-9d8a-4c6b-88ea-8e66dfdbc385</v>
      </c>
      <c r="AF191">
        <f>A!AE191</f>
        <v>45811.309363425928</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32"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t="str">
        <f>A!CI191</f>
        <v>urn:imsikb0101:Applicaties:id:16</v>
      </c>
      <c r="CK191" t="str">
        <f>A!CJ191</f>
        <v>urn:imsikb0101:DatastroomType:id:1</v>
      </c>
      <c r="CL191">
        <f>A!CK191</f>
        <v>45811</v>
      </c>
      <c r="CM191" t="str">
        <f>A!CL191</f>
        <v>SGS, Rotterdam</v>
      </c>
      <c r="CN191" t="str">
        <f>A!CM191</f>
        <v>LABRESULTAAT SGS</v>
      </c>
      <c r="CO191">
        <f>A!CN191</f>
        <v>45811</v>
      </c>
      <c r="CP191">
        <f>A!CO191</f>
        <v>0</v>
      </c>
      <c r="CQ191">
        <f>A!CO501</f>
        <v>0</v>
      </c>
      <c r="CR191" t="e">
        <f>A!#REF!</f>
        <v>#REF!</v>
      </c>
      <c r="CS191" t="e">
        <f>A!#REF!</f>
        <v>#REF!</v>
      </c>
    </row>
    <row r="192" spans="1:97" x14ac:dyDescent="0.2">
      <c r="A192" t="str">
        <f>A!A192</f>
        <v>LABRESULTAAT</v>
      </c>
      <c r="B192">
        <f>A!B192</f>
        <v>11</v>
      </c>
      <c r="C192" t="str">
        <f>A!C192</f>
        <v>_8b1913ce-8f10-4a84-89b3-2fdf32cc79aa</v>
      </c>
      <c r="D192" t="str">
        <f>A!D192</f>
        <v>8b1913ce-8f10-4a84-89b3-2fdf32cc79aa</v>
      </c>
      <c r="E192" t="str">
        <f>A!E192</f>
        <v>SIKB</v>
      </c>
      <c r="F192" t="str">
        <f>A!F192</f>
        <v>urn:immetingen:hoedanigheid:id:1</v>
      </c>
      <c r="G192" t="str">
        <f>A!G192</f>
        <v>www.sikb.nl</v>
      </c>
      <c r="H192" t="str">
        <f>A!H192</f>
        <v>urn:immetingen:parameter:id:1372</v>
      </c>
      <c r="I192" t="str">
        <f>A!I192</f>
        <v>www.sikb.nl</v>
      </c>
      <c r="J192" t="str">
        <f>A!J192</f>
        <v>urn:immetingen:parameter:id:2725</v>
      </c>
      <c r="K192" t="str">
        <f>A!K192</f>
        <v>www.sikb.nl</v>
      </c>
      <c r="L192">
        <f>A!L192</f>
        <v>45811</v>
      </c>
      <c r="M192" t="str">
        <f>A!M192</f>
        <v>urn:immetingen:LabopdrachtStatus:id:5</v>
      </c>
      <c r="N192">
        <f>A!N192</f>
        <v>1</v>
      </c>
      <c r="O192">
        <f>A!O192</f>
        <v>1</v>
      </c>
      <c r="P192" s="32" t="str">
        <f>IF(A!P192="","",INDEX(B!$A$1:$BT$2000,MATCH(A!P192,B!$AX$1:$AX$2000,0),D!$B$5))</f>
        <v>MM05 04 (150-200) 05 (150-200)</v>
      </c>
      <c r="Q192">
        <f>A!Q192</f>
        <v>0</v>
      </c>
      <c r="R192">
        <f>A!R192</f>
        <v>0</v>
      </c>
      <c r="S192">
        <f>A!S192</f>
        <v>0</v>
      </c>
      <c r="T192" t="str">
        <f>A!T192</f>
        <v>immetingen:AnalyticResultType</v>
      </c>
      <c r="U192" t="str">
        <f>A!U192</f>
        <v>&lt;1 µg/kgds</v>
      </c>
      <c r="V192" s="32">
        <f>IF(A!V192="&lt;",1,A!V192)</f>
        <v>1</v>
      </c>
      <c r="W192">
        <f>A!W192</f>
        <v>1</v>
      </c>
      <c r="X192">
        <f>A!X192</f>
        <v>1</v>
      </c>
      <c r="Y192" t="str">
        <f>A!Y192</f>
        <v>urn:immetingen:eenheid:id:131</v>
      </c>
      <c r="Z192" s="32">
        <f t="shared" si="2"/>
        <v>131</v>
      </c>
      <c r="AA192" t="str">
        <f>A!Z192</f>
        <v>urn:immetingen:kwaliteitsoordeel:id:0</v>
      </c>
      <c r="AB192" t="str">
        <f>A!AA192</f>
        <v>www.sikb.nl</v>
      </c>
      <c r="AC192" t="str">
        <f>A!AB192</f>
        <v>urn:immetingen:waardebewerkingsmethode:id:5</v>
      </c>
      <c r="AD192" t="str">
        <f>A!AC192</f>
        <v>www.sikb.nl</v>
      </c>
      <c r="AE192" t="str">
        <f>A!AD192</f>
        <v>_0f144f1c-5446-4175-9423-8a8f839f1964</v>
      </c>
      <c r="AF192">
        <f>A!AE192</f>
        <v>45811.309363425928</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32"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t="str">
        <f>A!CI192</f>
        <v>urn:imsikb0101:Applicaties:id:16</v>
      </c>
      <c r="CK192" t="str">
        <f>A!CJ192</f>
        <v>urn:imsikb0101:DatastroomType:id:1</v>
      </c>
      <c r="CL192">
        <f>A!CK192</f>
        <v>45811</v>
      </c>
      <c r="CM192" t="str">
        <f>A!CL192</f>
        <v>SGS, Rotterdam</v>
      </c>
      <c r="CN192" t="str">
        <f>A!CM192</f>
        <v>LABRESULTAAT SGS</v>
      </c>
      <c r="CO192">
        <f>A!CN192</f>
        <v>45811</v>
      </c>
      <c r="CP192">
        <f>A!CO192</f>
        <v>0</v>
      </c>
      <c r="CQ192">
        <f>A!CO502</f>
        <v>0</v>
      </c>
      <c r="CR192" t="e">
        <f>A!#REF!</f>
        <v>#REF!</v>
      </c>
      <c r="CS192" t="e">
        <f>A!#REF!</f>
        <v>#REF!</v>
      </c>
    </row>
    <row r="193" spans="1:97" x14ac:dyDescent="0.2">
      <c r="A193" t="str">
        <f>A!A193</f>
        <v>LABRESULTAAT</v>
      </c>
      <c r="B193">
        <f>A!B193</f>
        <v>12</v>
      </c>
      <c r="C193" t="str">
        <f>A!C193</f>
        <v>_cd4f2f6f-af97-43b8-a900-06e243f718af</v>
      </c>
      <c r="D193" t="str">
        <f>A!D193</f>
        <v>cd4f2f6f-af97-43b8-a900-06e243f718af</v>
      </c>
      <c r="E193" t="str">
        <f>A!E193</f>
        <v>SIKB</v>
      </c>
      <c r="F193" t="str">
        <f>A!F193</f>
        <v>urn:immetingen:hoedanigheid:id:1</v>
      </c>
      <c r="G193" t="str">
        <f>A!G193</f>
        <v>www.sikb.nl</v>
      </c>
      <c r="H193" t="str">
        <f>A!H193</f>
        <v>urn:immetingen:parameter:id:1374</v>
      </c>
      <c r="I193" t="str">
        <f>A!I193</f>
        <v>www.sikb.nl</v>
      </c>
      <c r="J193" t="str">
        <f>A!J193</f>
        <v>urn:immetingen:parameter:id:2725</v>
      </c>
      <c r="K193" t="str">
        <f>A!K193</f>
        <v>www.sikb.nl</v>
      </c>
      <c r="L193">
        <f>A!L193</f>
        <v>45811</v>
      </c>
      <c r="M193" t="str">
        <f>A!M193</f>
        <v>urn:immetingen:LabopdrachtStatus:id:5</v>
      </c>
      <c r="N193">
        <f>A!N193</f>
        <v>1</v>
      </c>
      <c r="O193">
        <f>A!O193</f>
        <v>1</v>
      </c>
      <c r="P193" s="32" t="str">
        <f>IF(A!P193="","",INDEX(B!$A$1:$BT$2000,MATCH(A!P193,B!$AX$1:$AX$2000,0),D!$B$5))</f>
        <v>MM05 04 (150-200) 05 (150-200)</v>
      </c>
      <c r="Q193">
        <f>A!Q193</f>
        <v>0</v>
      </c>
      <c r="R193">
        <f>A!R193</f>
        <v>0</v>
      </c>
      <c r="S193">
        <f>A!S193</f>
        <v>0</v>
      </c>
      <c r="T193" t="str">
        <f>A!T193</f>
        <v>immetingen:AnalyticResultType</v>
      </c>
      <c r="U193" t="str">
        <f>A!U193</f>
        <v>&lt;1 µg/kgds</v>
      </c>
      <c r="V193" s="32">
        <f>IF(A!V193="&lt;",1,A!V193)</f>
        <v>1</v>
      </c>
      <c r="W193">
        <f>A!W193</f>
        <v>1</v>
      </c>
      <c r="X193">
        <f>A!X193</f>
        <v>1</v>
      </c>
      <c r="Y193" t="str">
        <f>A!Y193</f>
        <v>urn:immetingen:eenheid:id:131</v>
      </c>
      <c r="Z193" s="32">
        <f t="shared" si="2"/>
        <v>131</v>
      </c>
      <c r="AA193" t="str">
        <f>A!Z193</f>
        <v>urn:immetingen:kwaliteitsoordeel:id:0</v>
      </c>
      <c r="AB193" t="str">
        <f>A!AA193</f>
        <v>www.sikb.nl</v>
      </c>
      <c r="AC193" t="str">
        <f>A!AB193</f>
        <v>urn:immetingen:waardebewerkingsmethode:id:5</v>
      </c>
      <c r="AD193" t="str">
        <f>A!AC193</f>
        <v>www.sikb.nl</v>
      </c>
      <c r="AE193" t="str">
        <f>A!AD193</f>
        <v>_623ec8e2-bc41-40df-890e-60c2646947eb</v>
      </c>
      <c r="AF193">
        <f>A!AE193</f>
        <v>45811.309363425928</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32"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t="str">
        <f>A!CI193</f>
        <v>urn:imsikb0101:Applicaties:id:16</v>
      </c>
      <c r="CK193" t="str">
        <f>A!CJ193</f>
        <v>urn:imsikb0101:DatastroomType:id:1</v>
      </c>
      <c r="CL193">
        <f>A!CK193</f>
        <v>45811</v>
      </c>
      <c r="CM193" t="str">
        <f>A!CL193</f>
        <v>SGS, Rotterdam</v>
      </c>
      <c r="CN193" t="str">
        <f>A!CM193</f>
        <v>LABRESULTAAT SGS</v>
      </c>
      <c r="CO193">
        <f>A!CN193</f>
        <v>45811</v>
      </c>
      <c r="CP193">
        <f>A!CO193</f>
        <v>0</v>
      </c>
      <c r="CQ193">
        <f>A!CO503</f>
        <v>0</v>
      </c>
      <c r="CR193" t="e">
        <f>A!#REF!</f>
        <v>#REF!</v>
      </c>
      <c r="CS193" t="e">
        <f>A!#REF!</f>
        <v>#REF!</v>
      </c>
    </row>
    <row r="194" spans="1:97" x14ac:dyDescent="0.2">
      <c r="A194" t="str">
        <f>A!A194</f>
        <v>LABRESULTAAT</v>
      </c>
      <c r="B194">
        <f>A!B194</f>
        <v>13</v>
      </c>
      <c r="C194" t="str">
        <f>A!C194</f>
        <v>_49fbdf4b-7d4f-4d6a-b5b9-cd9201410a78</v>
      </c>
      <c r="D194" t="str">
        <f>A!D194</f>
        <v>49fbdf4b-7d4f-4d6a-b5b9-cd9201410a78</v>
      </c>
      <c r="E194" t="str">
        <f>A!E194</f>
        <v>SIKB</v>
      </c>
      <c r="F194" t="str">
        <f>A!F194</f>
        <v>urn:immetingen:hoedanigheid:id:1</v>
      </c>
      <c r="G194" t="str">
        <f>A!G194</f>
        <v>www.sikb.nl</v>
      </c>
      <c r="H194" t="str">
        <f>A!H194</f>
        <v>urn:immetingen:parameter:id:1376</v>
      </c>
      <c r="I194" t="str">
        <f>A!I194</f>
        <v>www.sikb.nl</v>
      </c>
      <c r="J194" t="str">
        <f>A!J194</f>
        <v>urn:immetingen:parameter:id:2725</v>
      </c>
      <c r="K194" t="str">
        <f>A!K194</f>
        <v>www.sikb.nl</v>
      </c>
      <c r="L194">
        <f>A!L194</f>
        <v>45811</v>
      </c>
      <c r="M194" t="str">
        <f>A!M194</f>
        <v>urn:immetingen:LabopdrachtStatus:id:5</v>
      </c>
      <c r="N194">
        <f>A!N194</f>
        <v>1</v>
      </c>
      <c r="O194">
        <f>A!O194</f>
        <v>1</v>
      </c>
      <c r="P194" s="32" t="str">
        <f>IF(A!P194="","",INDEX(B!$A$1:$BT$2000,MATCH(A!P194,B!$AX$1:$AX$2000,0),D!$B$5))</f>
        <v>MM05 04 (150-200) 05 (150-200)</v>
      </c>
      <c r="Q194">
        <f>A!Q194</f>
        <v>0</v>
      </c>
      <c r="R194">
        <f>A!R194</f>
        <v>0</v>
      </c>
      <c r="S194">
        <f>A!S194</f>
        <v>0</v>
      </c>
      <c r="T194" t="str">
        <f>A!T194</f>
        <v>immetingen:AnalyticResultType</v>
      </c>
      <c r="U194" t="str">
        <f>A!U194</f>
        <v>&lt;1 µg/kgds</v>
      </c>
      <c r="V194" s="32">
        <f>IF(A!V194="&lt;",1,A!V194)</f>
        <v>1</v>
      </c>
      <c r="W194">
        <f>A!W194</f>
        <v>1</v>
      </c>
      <c r="X194">
        <f>A!X194</f>
        <v>1</v>
      </c>
      <c r="Y194" t="str">
        <f>A!Y194</f>
        <v>urn:immetingen:eenheid:id:131</v>
      </c>
      <c r="Z194" s="32">
        <f t="shared" si="2"/>
        <v>131</v>
      </c>
      <c r="AA194" t="str">
        <f>A!Z194</f>
        <v>urn:immetingen:kwaliteitsoordeel:id:0</v>
      </c>
      <c r="AB194" t="str">
        <f>A!AA194</f>
        <v>www.sikb.nl</v>
      </c>
      <c r="AC194" t="str">
        <f>A!AB194</f>
        <v>urn:immetingen:waardebewerkingsmethode:id:5</v>
      </c>
      <c r="AD194" t="str">
        <f>A!AC194</f>
        <v>www.sikb.nl</v>
      </c>
      <c r="AE194" t="str">
        <f>A!AD194</f>
        <v>_55dddaf2-08c3-4bd4-8ffe-bd5ce828f6d5</v>
      </c>
      <c r="AF194">
        <f>A!AE194</f>
        <v>45811.309363425928</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32"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t="str">
        <f>A!CI194</f>
        <v>urn:imsikb0101:Applicaties:id:16</v>
      </c>
      <c r="CK194" t="str">
        <f>A!CJ194</f>
        <v>urn:imsikb0101:DatastroomType:id:1</v>
      </c>
      <c r="CL194">
        <f>A!CK194</f>
        <v>45811</v>
      </c>
      <c r="CM194" t="str">
        <f>A!CL194</f>
        <v>SGS, Rotterdam</v>
      </c>
      <c r="CN194" t="str">
        <f>A!CM194</f>
        <v>LABRESULTAAT SGS</v>
      </c>
      <c r="CO194">
        <f>A!CN194</f>
        <v>45811</v>
      </c>
      <c r="CP194">
        <f>A!CO194</f>
        <v>0</v>
      </c>
      <c r="CQ194">
        <f>A!CO504</f>
        <v>0</v>
      </c>
      <c r="CR194" t="e">
        <f>A!#REF!</f>
        <v>#REF!</v>
      </c>
      <c r="CS194" t="e">
        <f>A!#REF!</f>
        <v>#REF!</v>
      </c>
    </row>
    <row r="195" spans="1:97" x14ac:dyDescent="0.2">
      <c r="A195" t="str">
        <f>A!A195</f>
        <v>LABRESULTAAT</v>
      </c>
      <c r="B195">
        <f>A!B195</f>
        <v>14</v>
      </c>
      <c r="C195" t="str">
        <f>A!C195</f>
        <v>_00ed5e89-e1b5-41b5-a9d1-1352c22544e7</v>
      </c>
      <c r="D195" t="str">
        <f>A!D195</f>
        <v>00ed5e89-e1b5-41b5-a9d1-1352c22544e7</v>
      </c>
      <c r="E195" t="str">
        <f>A!E195</f>
        <v>SIKB</v>
      </c>
      <c r="F195" t="str">
        <f>A!F195</f>
        <v>urn:immetingen:hoedanigheid:id:1</v>
      </c>
      <c r="G195" t="str">
        <f>A!G195</f>
        <v>www.sikb.nl</v>
      </c>
      <c r="H195" t="str">
        <f>A!H195</f>
        <v>urn:immetingen:parameter:id:1377</v>
      </c>
      <c r="I195" t="str">
        <f>A!I195</f>
        <v>www.sikb.nl</v>
      </c>
      <c r="J195" t="str">
        <f>A!J195</f>
        <v>urn:immetingen:parameter:id:2725</v>
      </c>
      <c r="K195" t="str">
        <f>A!K195</f>
        <v>www.sikb.nl</v>
      </c>
      <c r="L195">
        <f>A!L195</f>
        <v>45811</v>
      </c>
      <c r="M195" t="str">
        <f>A!M195</f>
        <v>urn:immetingen:LabopdrachtStatus:id:5</v>
      </c>
      <c r="N195">
        <f>A!N195</f>
        <v>1</v>
      </c>
      <c r="O195">
        <f>A!O195</f>
        <v>1</v>
      </c>
      <c r="P195" s="32" t="str">
        <f>IF(A!P195="","",INDEX(B!$A$1:$BT$2000,MATCH(A!P195,B!$AX$1:$AX$2000,0),D!$B$5))</f>
        <v>MM05 04 (150-200) 05 (150-200)</v>
      </c>
      <c r="Q195">
        <f>A!Q195</f>
        <v>0</v>
      </c>
      <c r="R195">
        <f>A!R195</f>
        <v>0</v>
      </c>
      <c r="S195">
        <f>A!S195</f>
        <v>0</v>
      </c>
      <c r="T195" t="str">
        <f>A!T195</f>
        <v>immetingen:AnalyticResultType</v>
      </c>
      <c r="U195" t="str">
        <f>A!U195</f>
        <v>&lt;1 µg/kgds</v>
      </c>
      <c r="V195" s="32">
        <f>IF(A!V195="&lt;",1,A!V195)</f>
        <v>1</v>
      </c>
      <c r="W195">
        <f>A!W195</f>
        <v>1</v>
      </c>
      <c r="X195">
        <f>A!X195</f>
        <v>1</v>
      </c>
      <c r="Y195" t="str">
        <f>A!Y195</f>
        <v>urn:immetingen:eenheid:id:131</v>
      </c>
      <c r="Z195" s="32">
        <f t="shared" si="2"/>
        <v>131</v>
      </c>
      <c r="AA195" t="str">
        <f>A!Z195</f>
        <v>urn:immetingen:kwaliteitsoordeel:id:0</v>
      </c>
      <c r="AB195" t="str">
        <f>A!AA195</f>
        <v>www.sikb.nl</v>
      </c>
      <c r="AC195" t="str">
        <f>A!AB195</f>
        <v>urn:immetingen:waardebewerkingsmethode:id:5</v>
      </c>
      <c r="AD195" t="str">
        <f>A!AC195</f>
        <v>www.sikb.nl</v>
      </c>
      <c r="AE195" t="str">
        <f>A!AD195</f>
        <v>_b0665858-516c-47c8-8916-27154b721648</v>
      </c>
      <c r="AF195">
        <f>A!AE195</f>
        <v>45811.309363425928</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32"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t="str">
        <f>A!CI195</f>
        <v>urn:imsikb0101:Applicaties:id:16</v>
      </c>
      <c r="CK195" t="str">
        <f>A!CJ195</f>
        <v>urn:imsikb0101:DatastroomType:id:1</v>
      </c>
      <c r="CL195">
        <f>A!CK195</f>
        <v>45811</v>
      </c>
      <c r="CM195" t="str">
        <f>A!CL195</f>
        <v>SGS, Rotterdam</v>
      </c>
      <c r="CN195" t="str">
        <f>A!CM195</f>
        <v>LABRESULTAAT SGS</v>
      </c>
      <c r="CO195">
        <f>A!CN195</f>
        <v>45811</v>
      </c>
      <c r="CP195">
        <f>A!CO195</f>
        <v>0</v>
      </c>
      <c r="CQ195">
        <f>A!CO505</f>
        <v>0</v>
      </c>
      <c r="CR195" t="e">
        <f>A!#REF!</f>
        <v>#REF!</v>
      </c>
      <c r="CS195" t="e">
        <f>A!#REF!</f>
        <v>#REF!</v>
      </c>
    </row>
    <row r="196" spans="1:97" x14ac:dyDescent="0.2">
      <c r="A196" t="str">
        <f>A!A196</f>
        <v>LABRESULTAAT</v>
      </c>
      <c r="B196">
        <f>A!B196</f>
        <v>15</v>
      </c>
      <c r="C196" t="str">
        <f>A!C196</f>
        <v>_6d2ba0c1-41bf-4d3b-aa93-d81905a08550</v>
      </c>
      <c r="D196" t="str">
        <f>A!D196</f>
        <v>6d2ba0c1-41bf-4d3b-aa93-d81905a08550</v>
      </c>
      <c r="E196" t="str">
        <f>A!E196</f>
        <v>SIKB</v>
      </c>
      <c r="F196" t="str">
        <f>A!F196</f>
        <v>urn:immetingen:hoedanigheid:id:1</v>
      </c>
      <c r="G196" t="str">
        <f>A!G196</f>
        <v>www.sikb.nl</v>
      </c>
      <c r="H196" t="str">
        <f>A!H196</f>
        <v>urn:immetingen:parameter:id:1380</v>
      </c>
      <c r="I196" t="str">
        <f>A!I196</f>
        <v>www.sikb.nl</v>
      </c>
      <c r="J196" t="str">
        <f>A!J196</f>
        <v>urn:immetingen:parameter:id:2725</v>
      </c>
      <c r="K196" t="str">
        <f>A!K196</f>
        <v>www.sikb.nl</v>
      </c>
      <c r="L196">
        <f>A!L196</f>
        <v>45811</v>
      </c>
      <c r="M196" t="str">
        <f>A!M196</f>
        <v>urn:immetingen:LabopdrachtStatus:id:5</v>
      </c>
      <c r="N196">
        <f>A!N196</f>
        <v>1</v>
      </c>
      <c r="O196">
        <f>A!O196</f>
        <v>1</v>
      </c>
      <c r="P196" s="32" t="str">
        <f>IF(A!P196="","",INDEX(B!$A$1:$BT$2000,MATCH(A!P196,B!$AX$1:$AX$2000,0),D!$B$5))</f>
        <v>MM05 04 (150-200) 05 (150-200)</v>
      </c>
      <c r="Q196">
        <f>A!Q196</f>
        <v>0</v>
      </c>
      <c r="R196">
        <f>A!R196</f>
        <v>0</v>
      </c>
      <c r="S196">
        <f>A!S196</f>
        <v>0</v>
      </c>
      <c r="T196" t="str">
        <f>A!T196</f>
        <v>immetingen:AnalyticResultType</v>
      </c>
      <c r="U196" t="str">
        <f>A!U196</f>
        <v>&lt;1 µg/kgds</v>
      </c>
      <c r="V196" s="32">
        <f>IF(A!V196="&lt;",1,A!V196)</f>
        <v>1</v>
      </c>
      <c r="W196">
        <f>A!W196</f>
        <v>1</v>
      </c>
      <c r="X196">
        <f>A!X196</f>
        <v>1</v>
      </c>
      <c r="Y196" t="str">
        <f>A!Y196</f>
        <v>urn:immetingen:eenheid:id:131</v>
      </c>
      <c r="Z196" s="32">
        <f t="shared" ref="Z196:Z259" si="3">_xlfn.NUMBERVALUE(MID(Y196,27,3))</f>
        <v>131</v>
      </c>
      <c r="AA196" t="str">
        <f>A!Z196</f>
        <v>urn:immetingen:kwaliteitsoordeel:id:0</v>
      </c>
      <c r="AB196" t="str">
        <f>A!AA196</f>
        <v>www.sikb.nl</v>
      </c>
      <c r="AC196" t="str">
        <f>A!AB196</f>
        <v>urn:immetingen:waardebewerkingsmethode:id:5</v>
      </c>
      <c r="AD196" t="str">
        <f>A!AC196</f>
        <v>www.sikb.nl</v>
      </c>
      <c r="AE196" t="str">
        <f>A!AD196</f>
        <v>_5c9ed31d-1215-4b45-ae85-88e77c99ffcf</v>
      </c>
      <c r="AF196">
        <f>A!AE196</f>
        <v>45811.309363425928</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32"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t="str">
        <f>A!CI196</f>
        <v>urn:imsikb0101:Applicaties:id:16</v>
      </c>
      <c r="CK196" t="str">
        <f>A!CJ196</f>
        <v>urn:imsikb0101:DatastroomType:id:1</v>
      </c>
      <c r="CL196">
        <f>A!CK196</f>
        <v>45811</v>
      </c>
      <c r="CM196" t="str">
        <f>A!CL196</f>
        <v>SGS, Rotterdam</v>
      </c>
      <c r="CN196" t="str">
        <f>A!CM196</f>
        <v>LABRESULTAAT SGS</v>
      </c>
      <c r="CO196">
        <f>A!CN196</f>
        <v>45811</v>
      </c>
      <c r="CP196">
        <f>A!CO196</f>
        <v>0</v>
      </c>
      <c r="CQ196">
        <f>A!CO506</f>
        <v>0</v>
      </c>
      <c r="CR196" t="e">
        <f>A!#REF!</f>
        <v>#REF!</v>
      </c>
      <c r="CS196" t="e">
        <f>A!#REF!</f>
        <v>#REF!</v>
      </c>
    </row>
    <row r="197" spans="1:97" x14ac:dyDescent="0.2">
      <c r="A197" t="str">
        <f>A!A197</f>
        <v>LABRESULTAAT</v>
      </c>
      <c r="B197">
        <f>A!B197</f>
        <v>16</v>
      </c>
      <c r="C197" t="str">
        <f>A!C197</f>
        <v>_fdd61583-13f6-43bb-96f7-ce86abd7b6be</v>
      </c>
      <c r="D197" t="str">
        <f>A!D197</f>
        <v>fdd61583-13f6-43bb-96f7-ce86abd7b6be</v>
      </c>
      <c r="E197" t="str">
        <f>A!E197</f>
        <v>SIKB</v>
      </c>
      <c r="F197" t="str">
        <f>A!F197</f>
        <v>urn:immetingen:hoedanigheid:id:1</v>
      </c>
      <c r="G197" t="str">
        <f>A!G197</f>
        <v>www.sikb.nl</v>
      </c>
      <c r="H197" t="str">
        <f>A!H197</f>
        <v>urn:immetingen:parameter:id:692</v>
      </c>
      <c r="I197" t="str">
        <f>A!I197</f>
        <v>www.sikb.nl</v>
      </c>
      <c r="J197" t="str">
        <f>A!J197</f>
        <v>urn:immetingen:parameter:id:2725</v>
      </c>
      <c r="K197" t="str">
        <f>A!K197</f>
        <v>www.sikb.nl</v>
      </c>
      <c r="L197">
        <f>A!L197</f>
        <v>45811</v>
      </c>
      <c r="M197" t="str">
        <f>A!M197</f>
        <v>urn:immetingen:LabopdrachtStatus:id:5</v>
      </c>
      <c r="N197">
        <f>A!N197</f>
        <v>1</v>
      </c>
      <c r="O197">
        <f>A!O197</f>
        <v>1</v>
      </c>
      <c r="P197" s="32" t="str">
        <f>IF(A!P197="","",INDEX(B!$A$1:$BT$2000,MATCH(A!P197,B!$AX$1:$AX$2000,0),D!$B$5))</f>
        <v>MM05 04 (150-200) 05 (150-200)</v>
      </c>
      <c r="Q197">
        <f>A!Q197</f>
        <v>0</v>
      </c>
      <c r="R197">
        <f>A!R197</f>
        <v>0</v>
      </c>
      <c r="S197">
        <f>A!S197</f>
        <v>0</v>
      </c>
      <c r="T197" t="str">
        <f>A!T197</f>
        <v>immetingen:AnalyticResultType</v>
      </c>
      <c r="U197" t="str">
        <f>A!U197</f>
        <v>79.5 gew.-%</v>
      </c>
      <c r="V197" s="32">
        <f>IF(A!V197="&lt;",1,A!V197)</f>
        <v>0</v>
      </c>
      <c r="W197">
        <f>A!W197</f>
        <v>79.5</v>
      </c>
      <c r="X197">
        <f>A!X197</f>
        <v>79.5</v>
      </c>
      <c r="Y197" t="str">
        <f>A!Y197</f>
        <v>urn:immetingen:eenheid:id:1</v>
      </c>
      <c r="Z197" s="32">
        <f t="shared" si="3"/>
        <v>1</v>
      </c>
      <c r="AA197" t="str">
        <f>A!Z197</f>
        <v>urn:immetingen:kwaliteitsoordeel:id:0</v>
      </c>
      <c r="AB197" t="str">
        <f>A!AA197</f>
        <v>www.sikb.nl</v>
      </c>
      <c r="AC197" t="str">
        <f>A!AB197</f>
        <v>urn:immetingen:waardebewerkingsmethode:id:5</v>
      </c>
      <c r="AD197" t="str">
        <f>A!AC197</f>
        <v>www.sikb.nl</v>
      </c>
      <c r="AE197" t="str">
        <f>A!AD197</f>
        <v>_96440462-ba9d-4311-b7d8-65db104b6a41</v>
      </c>
      <c r="AF197">
        <f>A!AE197</f>
        <v>45811.203958333332</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32"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t="str">
        <f>A!CI197</f>
        <v>urn:imsikb0101:Applicaties:id:16</v>
      </c>
      <c r="CK197" t="str">
        <f>A!CJ197</f>
        <v>urn:imsikb0101:DatastroomType:id:1</v>
      </c>
      <c r="CL197">
        <f>A!CK197</f>
        <v>45811</v>
      </c>
      <c r="CM197" t="str">
        <f>A!CL197</f>
        <v>SGS, Rotterdam</v>
      </c>
      <c r="CN197" t="str">
        <f>A!CM197</f>
        <v>LABRESULTAAT SGS</v>
      </c>
      <c r="CO197">
        <f>A!CN197</f>
        <v>45811</v>
      </c>
      <c r="CP197">
        <f>A!CO197</f>
        <v>0</v>
      </c>
      <c r="CQ197">
        <f>A!CO507</f>
        <v>0</v>
      </c>
      <c r="CR197" t="e">
        <f>A!#REF!</f>
        <v>#REF!</v>
      </c>
      <c r="CS197" t="e">
        <f>A!#REF!</f>
        <v>#REF!</v>
      </c>
    </row>
    <row r="198" spans="1:97" x14ac:dyDescent="0.2">
      <c r="A198" t="str">
        <f>A!A198</f>
        <v>LABRESULTAAT</v>
      </c>
      <c r="B198">
        <f>A!B198</f>
        <v>17</v>
      </c>
      <c r="C198" t="str">
        <f>A!C198</f>
        <v>_9504ce1c-1f54-413e-99a9-6c967b89da0e</v>
      </c>
      <c r="D198" t="str">
        <f>A!D198</f>
        <v>9504ce1c-1f54-413e-99a9-6c967b89da0e</v>
      </c>
      <c r="E198" t="str">
        <f>A!E198</f>
        <v>SIKB</v>
      </c>
      <c r="F198" t="str">
        <f>A!F198</f>
        <v>urn:immetingen:hoedanigheid:id:1</v>
      </c>
      <c r="G198" t="str">
        <f>A!G198</f>
        <v>www.sikb.nl</v>
      </c>
      <c r="H198" t="str">
        <f>A!H198</f>
        <v>urn:immetingen:parameter:id:1259</v>
      </c>
      <c r="I198" t="str">
        <f>A!I198</f>
        <v>www.sikb.nl</v>
      </c>
      <c r="J198" t="str">
        <f>A!J198</f>
        <v>urn:immetingen:parameter:id:2725</v>
      </c>
      <c r="K198" t="str">
        <f>A!K198</f>
        <v>www.sikb.nl</v>
      </c>
      <c r="L198">
        <f>A!L198</f>
        <v>45811</v>
      </c>
      <c r="M198" t="str">
        <f>A!M198</f>
        <v>urn:immetingen:LabopdrachtStatus:id:5</v>
      </c>
      <c r="N198">
        <f>A!N198</f>
        <v>1</v>
      </c>
      <c r="O198">
        <f>A!O198</f>
        <v>1</v>
      </c>
      <c r="P198" s="32" t="str">
        <f>IF(A!P198="","",INDEX(B!$A$1:$BT$2000,MATCH(A!P198,B!$AX$1:$AX$2000,0),D!$B$5))</f>
        <v>MM05 04 (150-200) 05 (150-200)</v>
      </c>
      <c r="Q198">
        <f>A!Q198</f>
        <v>0</v>
      </c>
      <c r="R198">
        <f>A!R198</f>
        <v>0</v>
      </c>
      <c r="S198">
        <f>A!S198</f>
        <v>0</v>
      </c>
      <c r="T198" t="str">
        <f>A!T198</f>
        <v>immetingen:AnalyticResultType</v>
      </c>
      <c r="U198" t="str">
        <f>A!U198</f>
        <v>&lt;0.01 mg/kgds</v>
      </c>
      <c r="V198" s="32">
        <f>IF(A!V198="&lt;",1,A!V198)</f>
        <v>1</v>
      </c>
      <c r="W198">
        <f>A!W198</f>
        <v>0.01</v>
      </c>
      <c r="X198">
        <f>A!X198</f>
        <v>0.01</v>
      </c>
      <c r="Y198" t="str">
        <f>A!Y198</f>
        <v>urn:immetingen:eenheid:id:58</v>
      </c>
      <c r="Z198" s="32">
        <f t="shared" si="3"/>
        <v>58</v>
      </c>
      <c r="AA198" t="str">
        <f>A!Z198</f>
        <v>urn:immetingen:kwaliteitsoordeel:id:0</v>
      </c>
      <c r="AB198" t="str">
        <f>A!AA198</f>
        <v>www.sikb.nl</v>
      </c>
      <c r="AC198" t="str">
        <f>A!AB198</f>
        <v>urn:immetingen:waardebewerkingsmethode:id:5</v>
      </c>
      <c r="AD198" t="str">
        <f>A!AC198</f>
        <v>www.sikb.nl</v>
      </c>
      <c r="AE198" t="str">
        <f>A!AD198</f>
        <v>_e44dd02c-0539-4ac0-a2a6-6837cf698a9e</v>
      </c>
      <c r="AF198">
        <f>A!AE198</f>
        <v>45811.309363425928</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32"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t="str">
        <f>A!CI198</f>
        <v>urn:imsikb0101:Applicaties:id:16</v>
      </c>
      <c r="CK198" t="str">
        <f>A!CJ198</f>
        <v>urn:imsikb0101:DatastroomType:id:1</v>
      </c>
      <c r="CL198">
        <f>A!CK198</f>
        <v>45811</v>
      </c>
      <c r="CM198" t="str">
        <f>A!CL198</f>
        <v>SGS, Rotterdam</v>
      </c>
      <c r="CN198" t="str">
        <f>A!CM198</f>
        <v>LABRESULTAAT SGS</v>
      </c>
      <c r="CO198">
        <f>A!CN198</f>
        <v>45811</v>
      </c>
      <c r="CP198">
        <f>A!CO198</f>
        <v>0</v>
      </c>
      <c r="CQ198">
        <f>A!CO508</f>
        <v>0</v>
      </c>
      <c r="CR198" t="e">
        <f>A!#REF!</f>
        <v>#REF!</v>
      </c>
      <c r="CS198" t="e">
        <f>A!#REF!</f>
        <v>#REF!</v>
      </c>
    </row>
    <row r="199" spans="1:97" x14ac:dyDescent="0.2">
      <c r="A199" t="str">
        <f>A!A199</f>
        <v>LABRESULTAAT</v>
      </c>
      <c r="B199">
        <f>A!B199</f>
        <v>18</v>
      </c>
      <c r="C199" t="str">
        <f>A!C199</f>
        <v>_7eece9ad-ef92-4d11-a85a-4c45ab863d15</v>
      </c>
      <c r="D199" t="str">
        <f>A!D199</f>
        <v>7eece9ad-ef92-4d11-a85a-4c45ab863d15</v>
      </c>
      <c r="E199" t="str">
        <f>A!E199</f>
        <v>SIKB</v>
      </c>
      <c r="F199" t="str">
        <f>A!F199</f>
        <v>urn:immetingen:hoedanigheid:id:1</v>
      </c>
      <c r="G199" t="str">
        <f>A!G199</f>
        <v>www.sikb.nl</v>
      </c>
      <c r="H199" t="str">
        <f>A!H199</f>
        <v>urn:immetingen:parameter:id:746</v>
      </c>
      <c r="I199" t="str">
        <f>A!I199</f>
        <v>www.sikb.nl</v>
      </c>
      <c r="J199" t="str">
        <f>A!J199</f>
        <v>urn:immetingen:parameter:id:2725</v>
      </c>
      <c r="K199" t="str">
        <f>A!K199</f>
        <v>www.sikb.nl</v>
      </c>
      <c r="L199">
        <f>A!L199</f>
        <v>45811</v>
      </c>
      <c r="M199" t="str">
        <f>A!M199</f>
        <v>urn:immetingen:LabopdrachtStatus:id:5</v>
      </c>
      <c r="N199">
        <f>A!N199</f>
        <v>1</v>
      </c>
      <c r="O199">
        <f>A!O199</f>
        <v>1</v>
      </c>
      <c r="P199" s="32" t="str">
        <f>IF(A!P199="","",INDEX(B!$A$1:$BT$2000,MATCH(A!P199,B!$AX$1:$AX$2000,0),D!$B$5))</f>
        <v>MM05 04 (150-200) 05 (150-200)</v>
      </c>
      <c r="Q199">
        <f>A!Q199</f>
        <v>0</v>
      </c>
      <c r="R199">
        <f>A!R199</f>
        <v>0</v>
      </c>
      <c r="S199">
        <f>A!S199</f>
        <v>0</v>
      </c>
      <c r="T199" t="str">
        <f>A!T199</f>
        <v>immetingen:AnalyticResultType</v>
      </c>
      <c r="U199" t="str">
        <f>A!U199</f>
        <v>&lt;0.01 mg/kgds</v>
      </c>
      <c r="V199" s="32">
        <f>IF(A!V199="&lt;",1,A!V199)</f>
        <v>1</v>
      </c>
      <c r="W199">
        <f>A!W199</f>
        <v>0.01</v>
      </c>
      <c r="X199">
        <f>A!X199</f>
        <v>0.01</v>
      </c>
      <c r="Y199" t="str">
        <f>A!Y199</f>
        <v>urn:immetingen:eenheid:id:58</v>
      </c>
      <c r="Z199" s="32">
        <f t="shared" si="3"/>
        <v>58</v>
      </c>
      <c r="AA199" t="str">
        <f>A!Z199</f>
        <v>urn:immetingen:kwaliteitsoordeel:id:0</v>
      </c>
      <c r="AB199" t="str">
        <f>A!AA199</f>
        <v>www.sikb.nl</v>
      </c>
      <c r="AC199" t="str">
        <f>A!AB199</f>
        <v>urn:immetingen:waardebewerkingsmethode:id:5</v>
      </c>
      <c r="AD199" t="str">
        <f>A!AC199</f>
        <v>www.sikb.nl</v>
      </c>
      <c r="AE199" t="str">
        <f>A!AD199</f>
        <v>_4013dea3-5783-4fe2-97d5-7a348b5efb50</v>
      </c>
      <c r="AF199">
        <f>A!AE199</f>
        <v>45811.309363425928</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32"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t="str">
        <f>A!CI199</f>
        <v>urn:imsikb0101:Applicaties:id:16</v>
      </c>
      <c r="CK199" t="str">
        <f>A!CJ199</f>
        <v>urn:imsikb0101:DatastroomType:id:1</v>
      </c>
      <c r="CL199">
        <f>A!CK199</f>
        <v>45811</v>
      </c>
      <c r="CM199" t="str">
        <f>A!CL199</f>
        <v>SGS, Rotterdam</v>
      </c>
      <c r="CN199" t="str">
        <f>A!CM199</f>
        <v>LABRESULTAAT SGS</v>
      </c>
      <c r="CO199">
        <f>A!CN199</f>
        <v>45811</v>
      </c>
      <c r="CP199">
        <f>A!CO199</f>
        <v>0</v>
      </c>
      <c r="CQ199">
        <f>A!CO509</f>
        <v>0</v>
      </c>
      <c r="CR199" t="e">
        <f>A!#REF!</f>
        <v>#REF!</v>
      </c>
      <c r="CS199" t="e">
        <f>A!#REF!</f>
        <v>#REF!</v>
      </c>
    </row>
    <row r="200" spans="1:97" x14ac:dyDescent="0.2">
      <c r="A200" t="str">
        <f>A!A200</f>
        <v>LABRESULTAAT</v>
      </c>
      <c r="B200">
        <f>A!B200</f>
        <v>19</v>
      </c>
      <c r="C200" t="str">
        <f>A!C200</f>
        <v>_3b4c4e3b-bec9-43ce-9959-459b0e537dd9</v>
      </c>
      <c r="D200" t="str">
        <f>A!D200</f>
        <v>3b4c4e3b-bec9-43ce-9959-459b0e537dd9</v>
      </c>
      <c r="E200" t="str">
        <f>A!E200</f>
        <v>SIKB</v>
      </c>
      <c r="F200" t="str">
        <f>A!F200</f>
        <v>urn:immetingen:hoedanigheid:id:1</v>
      </c>
      <c r="G200" t="str">
        <f>A!G200</f>
        <v>www.sikb.nl</v>
      </c>
      <c r="H200" t="str">
        <f>A!H200</f>
        <v>urn:immetingen:parameter:id:299</v>
      </c>
      <c r="I200" t="str">
        <f>A!I200</f>
        <v>www.sikb.nl</v>
      </c>
      <c r="J200" t="str">
        <f>A!J200</f>
        <v>urn:immetingen:parameter:id:2725</v>
      </c>
      <c r="K200" t="str">
        <f>A!K200</f>
        <v>www.sikb.nl</v>
      </c>
      <c r="L200">
        <f>A!L200</f>
        <v>45811</v>
      </c>
      <c r="M200" t="str">
        <f>A!M200</f>
        <v>urn:immetingen:LabopdrachtStatus:id:5</v>
      </c>
      <c r="N200">
        <f>A!N200</f>
        <v>1</v>
      </c>
      <c r="O200">
        <f>A!O200</f>
        <v>1</v>
      </c>
      <c r="P200" s="32" t="str">
        <f>IF(A!P200="","",INDEX(B!$A$1:$BT$2000,MATCH(A!P200,B!$AX$1:$AX$2000,0),D!$B$5))</f>
        <v>MM05 04 (150-200) 05 (150-200)</v>
      </c>
      <c r="Q200">
        <f>A!Q200</f>
        <v>0</v>
      </c>
      <c r="R200">
        <f>A!R200</f>
        <v>0</v>
      </c>
      <c r="S200">
        <f>A!S200</f>
        <v>0</v>
      </c>
      <c r="T200" t="str">
        <f>A!T200</f>
        <v>immetingen:AnalyticResultType</v>
      </c>
      <c r="U200" t="str">
        <f>A!U200</f>
        <v>&lt;0.01 mg/kgds</v>
      </c>
      <c r="V200" s="32">
        <f>IF(A!V200="&lt;",1,A!V200)</f>
        <v>1</v>
      </c>
      <c r="W200">
        <f>A!W200</f>
        <v>0.01</v>
      </c>
      <c r="X200">
        <f>A!X200</f>
        <v>0.01</v>
      </c>
      <c r="Y200" t="str">
        <f>A!Y200</f>
        <v>urn:immetingen:eenheid:id:58</v>
      </c>
      <c r="Z200" s="32">
        <f t="shared" si="3"/>
        <v>58</v>
      </c>
      <c r="AA200" t="str">
        <f>A!Z200</f>
        <v>urn:immetingen:kwaliteitsoordeel:id:0</v>
      </c>
      <c r="AB200" t="str">
        <f>A!AA200</f>
        <v>www.sikb.nl</v>
      </c>
      <c r="AC200" t="str">
        <f>A!AB200</f>
        <v>urn:immetingen:waardebewerkingsmethode:id:5</v>
      </c>
      <c r="AD200" t="str">
        <f>A!AC200</f>
        <v>www.sikb.nl</v>
      </c>
      <c r="AE200" t="str">
        <f>A!AD200</f>
        <v>_fe7276b0-e8a5-4d14-b56c-44319bc98711</v>
      </c>
      <c r="AF200">
        <f>A!AE200</f>
        <v>45811.309363425928</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32"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t="str">
        <f>A!CI200</f>
        <v>urn:imsikb0101:Applicaties:id:16</v>
      </c>
      <c r="CK200" t="str">
        <f>A!CJ200</f>
        <v>urn:imsikb0101:DatastroomType:id:1</v>
      </c>
      <c r="CL200">
        <f>A!CK200</f>
        <v>45811</v>
      </c>
      <c r="CM200" t="str">
        <f>A!CL200</f>
        <v>SGS, Rotterdam</v>
      </c>
      <c r="CN200" t="str">
        <f>A!CM200</f>
        <v>LABRESULTAAT SGS</v>
      </c>
      <c r="CO200">
        <f>A!CN200</f>
        <v>45811</v>
      </c>
      <c r="CP200">
        <f>A!CO200</f>
        <v>0</v>
      </c>
      <c r="CQ200">
        <f>A!CO510</f>
        <v>0</v>
      </c>
      <c r="CR200" t="e">
        <f>A!#REF!</f>
        <v>#REF!</v>
      </c>
      <c r="CS200" t="e">
        <f>A!#REF!</f>
        <v>#REF!</v>
      </c>
    </row>
    <row r="201" spans="1:97" x14ac:dyDescent="0.2">
      <c r="A201" t="str">
        <f>A!A201</f>
        <v>LABRESULTAAT</v>
      </c>
      <c r="B201">
        <f>A!B201</f>
        <v>20</v>
      </c>
      <c r="C201" t="str">
        <f>A!C201</f>
        <v>_66ff6ae2-1c35-4cd3-93a8-7d44ea9a4ad3</v>
      </c>
      <c r="D201" t="str">
        <f>A!D201</f>
        <v>66ff6ae2-1c35-4cd3-93a8-7d44ea9a4ad3</v>
      </c>
      <c r="E201" t="str">
        <f>A!E201</f>
        <v>SIKB</v>
      </c>
      <c r="F201" t="str">
        <f>A!F201</f>
        <v>urn:immetingen:hoedanigheid:id:1</v>
      </c>
      <c r="G201" t="str">
        <f>A!G201</f>
        <v>www.sikb.nl</v>
      </c>
      <c r="H201" t="str">
        <f>A!H201</f>
        <v>urn:immetingen:parameter:id:775</v>
      </c>
      <c r="I201" t="str">
        <f>A!I201</f>
        <v>www.sikb.nl</v>
      </c>
      <c r="J201" t="str">
        <f>A!J201</f>
        <v>urn:immetingen:parameter:id:2725</v>
      </c>
      <c r="K201" t="str">
        <f>A!K201</f>
        <v>www.sikb.nl</v>
      </c>
      <c r="L201">
        <f>A!L201</f>
        <v>45811</v>
      </c>
      <c r="M201" t="str">
        <f>A!M201</f>
        <v>urn:immetingen:LabopdrachtStatus:id:5</v>
      </c>
      <c r="N201">
        <f>A!N201</f>
        <v>1</v>
      </c>
      <c r="O201">
        <f>A!O201</f>
        <v>1</v>
      </c>
      <c r="P201" s="32" t="str">
        <f>IF(A!P201="","",INDEX(B!$A$1:$BT$2000,MATCH(A!P201,B!$AX$1:$AX$2000,0),D!$B$5))</f>
        <v>MM05 04 (150-200) 05 (150-200)</v>
      </c>
      <c r="Q201">
        <f>A!Q201</f>
        <v>0</v>
      </c>
      <c r="R201">
        <f>A!R201</f>
        <v>0</v>
      </c>
      <c r="S201">
        <f>A!S201</f>
        <v>0</v>
      </c>
      <c r="T201" t="str">
        <f>A!T201</f>
        <v>immetingen:AnalyticResultType</v>
      </c>
      <c r="U201" t="str">
        <f>A!U201</f>
        <v>&lt;0.01 mg/kgds</v>
      </c>
      <c r="V201" s="32">
        <f>IF(A!V201="&lt;",1,A!V201)</f>
        <v>1</v>
      </c>
      <c r="W201">
        <f>A!W201</f>
        <v>0.01</v>
      </c>
      <c r="X201">
        <f>A!X201</f>
        <v>0.01</v>
      </c>
      <c r="Y201" t="str">
        <f>A!Y201</f>
        <v>urn:immetingen:eenheid:id:58</v>
      </c>
      <c r="Z201" s="32">
        <f t="shared" si="3"/>
        <v>58</v>
      </c>
      <c r="AA201" t="str">
        <f>A!Z201</f>
        <v>urn:immetingen:kwaliteitsoordeel:id:0</v>
      </c>
      <c r="AB201" t="str">
        <f>A!AA201</f>
        <v>www.sikb.nl</v>
      </c>
      <c r="AC201" t="str">
        <f>A!AB201</f>
        <v>urn:immetingen:waardebewerkingsmethode:id:5</v>
      </c>
      <c r="AD201" t="str">
        <f>A!AC201</f>
        <v>www.sikb.nl</v>
      </c>
      <c r="AE201" t="str">
        <f>A!AD201</f>
        <v>_3ceb1ec7-1dfe-46b4-956a-417592cbab50</v>
      </c>
      <c r="AF201">
        <f>A!AE201</f>
        <v>45811.309363425928</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32"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t="str">
        <f>A!CI201</f>
        <v>urn:imsikb0101:Applicaties:id:16</v>
      </c>
      <c r="CK201" t="str">
        <f>A!CJ201</f>
        <v>urn:imsikb0101:DatastroomType:id:1</v>
      </c>
      <c r="CL201">
        <f>A!CK201</f>
        <v>45811</v>
      </c>
      <c r="CM201" t="str">
        <f>A!CL201</f>
        <v>SGS, Rotterdam</v>
      </c>
      <c r="CN201" t="str">
        <f>A!CM201</f>
        <v>LABRESULTAAT SGS</v>
      </c>
      <c r="CO201">
        <f>A!CN201</f>
        <v>45811</v>
      </c>
      <c r="CP201">
        <f>A!CO201</f>
        <v>0</v>
      </c>
      <c r="CQ201">
        <f>A!CO511</f>
        <v>0</v>
      </c>
      <c r="CR201" t="e">
        <f>A!#REF!</f>
        <v>#REF!</v>
      </c>
      <c r="CS201" t="e">
        <f>A!#REF!</f>
        <v>#REF!</v>
      </c>
    </row>
    <row r="202" spans="1:97" x14ac:dyDescent="0.2">
      <c r="A202" t="str">
        <f>A!A202</f>
        <v>LABRESULTAAT</v>
      </c>
      <c r="B202">
        <f>A!B202</f>
        <v>21</v>
      </c>
      <c r="C202" t="str">
        <f>A!C202</f>
        <v>_59a56961-26c4-4d14-b10c-98967fd759f6</v>
      </c>
      <c r="D202" t="str">
        <f>A!D202</f>
        <v>59a56961-26c4-4d14-b10c-98967fd759f6</v>
      </c>
      <c r="E202" t="str">
        <f>A!E202</f>
        <v>SIKB</v>
      </c>
      <c r="F202" t="str">
        <f>A!F202</f>
        <v>urn:immetingen:hoedanigheid:id:1</v>
      </c>
      <c r="G202" t="str">
        <f>A!G202</f>
        <v>www.sikb.nl</v>
      </c>
      <c r="H202" t="str">
        <f>A!H202</f>
        <v>urn:immetingen:parameter:id:518</v>
      </c>
      <c r="I202" t="str">
        <f>A!I202</f>
        <v>www.sikb.nl</v>
      </c>
      <c r="J202" t="str">
        <f>A!J202</f>
        <v>urn:immetingen:parameter:id:2725</v>
      </c>
      <c r="K202" t="str">
        <f>A!K202</f>
        <v>www.sikb.nl</v>
      </c>
      <c r="L202">
        <f>A!L202</f>
        <v>45811</v>
      </c>
      <c r="M202" t="str">
        <f>A!M202</f>
        <v>urn:immetingen:LabopdrachtStatus:id:5</v>
      </c>
      <c r="N202">
        <f>A!N202</f>
        <v>1</v>
      </c>
      <c r="O202">
        <f>A!O202</f>
        <v>1</v>
      </c>
      <c r="P202" s="32" t="str">
        <f>IF(A!P202="","",INDEX(B!$A$1:$BT$2000,MATCH(A!P202,B!$AX$1:$AX$2000,0),D!$B$5))</f>
        <v>MM05 04 (150-200) 05 (150-200)</v>
      </c>
      <c r="Q202">
        <f>A!Q202</f>
        <v>0</v>
      </c>
      <c r="R202">
        <f>A!R202</f>
        <v>0</v>
      </c>
      <c r="S202">
        <f>A!S202</f>
        <v>0</v>
      </c>
      <c r="T202" t="str">
        <f>A!T202</f>
        <v>immetingen:AnalyticResultType</v>
      </c>
      <c r="U202" t="str">
        <f>A!U202</f>
        <v>&lt;0.01 mg/kgds</v>
      </c>
      <c r="V202" s="32">
        <f>IF(A!V202="&lt;",1,A!V202)</f>
        <v>1</v>
      </c>
      <c r="W202">
        <f>A!W202</f>
        <v>0.01</v>
      </c>
      <c r="X202">
        <f>A!X202</f>
        <v>0.01</v>
      </c>
      <c r="Y202" t="str">
        <f>A!Y202</f>
        <v>urn:immetingen:eenheid:id:58</v>
      </c>
      <c r="Z202" s="32">
        <f t="shared" si="3"/>
        <v>58</v>
      </c>
      <c r="AA202" t="str">
        <f>A!Z202</f>
        <v>urn:immetingen:kwaliteitsoordeel:id:0</v>
      </c>
      <c r="AB202" t="str">
        <f>A!AA202</f>
        <v>www.sikb.nl</v>
      </c>
      <c r="AC202" t="str">
        <f>A!AB202</f>
        <v>urn:immetingen:waardebewerkingsmethode:id:5</v>
      </c>
      <c r="AD202" t="str">
        <f>A!AC202</f>
        <v>www.sikb.nl</v>
      </c>
      <c r="AE202" t="str">
        <f>A!AD202</f>
        <v>_c3cfe6dd-5477-4ff9-9f28-d8e15a1702e1</v>
      </c>
      <c r="AF202">
        <f>A!AE202</f>
        <v>45811.309363425928</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32"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t="str">
        <f>A!CI202</f>
        <v>urn:imsikb0101:Applicaties:id:16</v>
      </c>
      <c r="CK202" t="str">
        <f>A!CJ202</f>
        <v>urn:imsikb0101:DatastroomType:id:1</v>
      </c>
      <c r="CL202">
        <f>A!CK202</f>
        <v>45811</v>
      </c>
      <c r="CM202" t="str">
        <f>A!CL202</f>
        <v>SGS, Rotterdam</v>
      </c>
      <c r="CN202" t="str">
        <f>A!CM202</f>
        <v>LABRESULTAAT SGS</v>
      </c>
      <c r="CO202">
        <f>A!CN202</f>
        <v>45811</v>
      </c>
      <c r="CP202">
        <f>A!CO202</f>
        <v>0</v>
      </c>
      <c r="CQ202">
        <f>A!CO512</f>
        <v>0</v>
      </c>
      <c r="CR202" t="e">
        <f>A!#REF!</f>
        <v>#REF!</v>
      </c>
      <c r="CS202" t="e">
        <f>A!#REF!</f>
        <v>#REF!</v>
      </c>
    </row>
    <row r="203" spans="1:97" x14ac:dyDescent="0.2">
      <c r="A203" t="str">
        <f>A!A203</f>
        <v>LABRESULTAAT</v>
      </c>
      <c r="B203">
        <f>A!B203</f>
        <v>22</v>
      </c>
      <c r="C203" t="str">
        <f>A!C203</f>
        <v>_182504d9-ab1c-4795-8408-cdc6d62fa196</v>
      </c>
      <c r="D203" t="str">
        <f>A!D203</f>
        <v>182504d9-ab1c-4795-8408-cdc6d62fa196</v>
      </c>
      <c r="E203" t="str">
        <f>A!E203</f>
        <v>SIKB</v>
      </c>
      <c r="F203" t="str">
        <f>A!F203</f>
        <v>urn:immetingen:hoedanigheid:id:1</v>
      </c>
      <c r="G203" t="str">
        <f>A!G203</f>
        <v>www.sikb.nl</v>
      </c>
      <c r="H203" t="str">
        <f>A!H203</f>
        <v>urn:immetingen:parameter:id:353</v>
      </c>
      <c r="I203" t="str">
        <f>A!I203</f>
        <v>www.sikb.nl</v>
      </c>
      <c r="J203" t="str">
        <f>A!J203</f>
        <v>urn:immetingen:parameter:id:2725</v>
      </c>
      <c r="K203" t="str">
        <f>A!K203</f>
        <v>www.sikb.nl</v>
      </c>
      <c r="L203">
        <f>A!L203</f>
        <v>45811</v>
      </c>
      <c r="M203" t="str">
        <f>A!M203</f>
        <v>urn:immetingen:LabopdrachtStatus:id:5</v>
      </c>
      <c r="N203">
        <f>A!N203</f>
        <v>1</v>
      </c>
      <c r="O203">
        <f>A!O203</f>
        <v>1</v>
      </c>
      <c r="P203" s="32" t="str">
        <f>IF(A!P203="","",INDEX(B!$A$1:$BT$2000,MATCH(A!P203,B!$AX$1:$AX$2000,0),D!$B$5))</f>
        <v>MM05 04 (150-200) 05 (150-200)</v>
      </c>
      <c r="Q203">
        <f>A!Q203</f>
        <v>0</v>
      </c>
      <c r="R203">
        <f>A!R203</f>
        <v>0</v>
      </c>
      <c r="S203">
        <f>A!S203</f>
        <v>0</v>
      </c>
      <c r="T203" t="str">
        <f>A!T203</f>
        <v>immetingen:AnalyticResultType</v>
      </c>
      <c r="U203" t="str">
        <f>A!U203</f>
        <v>&lt;0.01 mg/kgds</v>
      </c>
      <c r="V203" s="32">
        <f>IF(A!V203="&lt;",1,A!V203)</f>
        <v>1</v>
      </c>
      <c r="W203">
        <f>A!W203</f>
        <v>0.01</v>
      </c>
      <c r="X203">
        <f>A!X203</f>
        <v>0.01</v>
      </c>
      <c r="Y203" t="str">
        <f>A!Y203</f>
        <v>urn:immetingen:eenheid:id:58</v>
      </c>
      <c r="Z203" s="32">
        <f t="shared" si="3"/>
        <v>58</v>
      </c>
      <c r="AA203" t="str">
        <f>A!Z203</f>
        <v>urn:immetingen:kwaliteitsoordeel:id:0</v>
      </c>
      <c r="AB203" t="str">
        <f>A!AA203</f>
        <v>www.sikb.nl</v>
      </c>
      <c r="AC203" t="str">
        <f>A!AB203</f>
        <v>urn:immetingen:waardebewerkingsmethode:id:5</v>
      </c>
      <c r="AD203" t="str">
        <f>A!AC203</f>
        <v>www.sikb.nl</v>
      </c>
      <c r="AE203" t="str">
        <f>A!AD203</f>
        <v>_0dff5a36-b879-47e8-8d0d-f3160634da07</v>
      </c>
      <c r="AF203">
        <f>A!AE203</f>
        <v>45811.309363425928</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32"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t="str">
        <f>A!CI203</f>
        <v>urn:imsikb0101:Applicaties:id:16</v>
      </c>
      <c r="CK203" t="str">
        <f>A!CJ203</f>
        <v>urn:imsikb0101:DatastroomType:id:1</v>
      </c>
      <c r="CL203">
        <f>A!CK203</f>
        <v>45811</v>
      </c>
      <c r="CM203" t="str">
        <f>A!CL203</f>
        <v>SGS, Rotterdam</v>
      </c>
      <c r="CN203" t="str">
        <f>A!CM203</f>
        <v>LABRESULTAAT SGS</v>
      </c>
      <c r="CO203">
        <f>A!CN203</f>
        <v>45811</v>
      </c>
      <c r="CP203">
        <f>A!CO203</f>
        <v>0</v>
      </c>
      <c r="CQ203">
        <f>A!CO513</f>
        <v>0</v>
      </c>
      <c r="CR203" t="e">
        <f>A!#REF!</f>
        <v>#REF!</v>
      </c>
      <c r="CS203" t="e">
        <f>A!#REF!</f>
        <v>#REF!</v>
      </c>
    </row>
    <row r="204" spans="1:97" x14ac:dyDescent="0.2">
      <c r="A204" t="str">
        <f>A!A204</f>
        <v>LABRESULTAAT</v>
      </c>
      <c r="B204">
        <f>A!B204</f>
        <v>23</v>
      </c>
      <c r="C204" t="str">
        <f>A!C204</f>
        <v>_59362024-007e-4562-aa9e-f4b60e2ee4e6</v>
      </c>
      <c r="D204" t="str">
        <f>A!D204</f>
        <v>59362024-007e-4562-aa9e-f4b60e2ee4e6</v>
      </c>
      <c r="E204" t="str">
        <f>A!E204</f>
        <v>SIKB</v>
      </c>
      <c r="F204" t="str">
        <f>A!F204</f>
        <v>urn:immetingen:hoedanigheid:id:1</v>
      </c>
      <c r="G204" t="str">
        <f>A!G204</f>
        <v>www.sikb.nl</v>
      </c>
      <c r="H204" t="str">
        <f>A!H204</f>
        <v>urn:immetingen:parameter:id:346</v>
      </c>
      <c r="I204" t="str">
        <f>A!I204</f>
        <v>www.sikb.nl</v>
      </c>
      <c r="J204" t="str">
        <f>A!J204</f>
        <v>urn:immetingen:parameter:id:2725</v>
      </c>
      <c r="K204" t="str">
        <f>A!K204</f>
        <v>www.sikb.nl</v>
      </c>
      <c r="L204">
        <f>A!L204</f>
        <v>45811</v>
      </c>
      <c r="M204" t="str">
        <f>A!M204</f>
        <v>urn:immetingen:LabopdrachtStatus:id:5</v>
      </c>
      <c r="N204">
        <f>A!N204</f>
        <v>1</v>
      </c>
      <c r="O204">
        <f>A!O204</f>
        <v>1</v>
      </c>
      <c r="P204" s="32" t="str">
        <f>IF(A!P204="","",INDEX(B!$A$1:$BT$2000,MATCH(A!P204,B!$AX$1:$AX$2000,0),D!$B$5))</f>
        <v>MM05 04 (150-200) 05 (150-200)</v>
      </c>
      <c r="Q204">
        <f>A!Q204</f>
        <v>0</v>
      </c>
      <c r="R204">
        <f>A!R204</f>
        <v>0</v>
      </c>
      <c r="S204">
        <f>A!S204</f>
        <v>0</v>
      </c>
      <c r="T204" t="str">
        <f>A!T204</f>
        <v>immetingen:AnalyticResultType</v>
      </c>
      <c r="U204" t="str">
        <f>A!U204</f>
        <v>&lt;0.01 mg/kgds</v>
      </c>
      <c r="V204" s="32">
        <f>IF(A!V204="&lt;",1,A!V204)</f>
        <v>1</v>
      </c>
      <c r="W204">
        <f>A!W204</f>
        <v>0.01</v>
      </c>
      <c r="X204">
        <f>A!X204</f>
        <v>0.01</v>
      </c>
      <c r="Y204" t="str">
        <f>A!Y204</f>
        <v>urn:immetingen:eenheid:id:58</v>
      </c>
      <c r="Z204" s="32">
        <f t="shared" si="3"/>
        <v>58</v>
      </c>
      <c r="AA204" t="str">
        <f>A!Z204</f>
        <v>urn:immetingen:kwaliteitsoordeel:id:0</v>
      </c>
      <c r="AB204" t="str">
        <f>A!AA204</f>
        <v>www.sikb.nl</v>
      </c>
      <c r="AC204" t="str">
        <f>A!AB204</f>
        <v>urn:immetingen:waardebewerkingsmethode:id:5</v>
      </c>
      <c r="AD204" t="str">
        <f>A!AC204</f>
        <v>www.sikb.nl</v>
      </c>
      <c r="AE204" t="str">
        <f>A!AD204</f>
        <v>_ebc56409-1a25-422b-9fef-6f69a23c048d</v>
      </c>
      <c r="AF204">
        <f>A!AE204</f>
        <v>45811.309363425928</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32"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t="str">
        <f>A!CI204</f>
        <v>urn:imsikb0101:Applicaties:id:16</v>
      </c>
      <c r="CK204" t="str">
        <f>A!CJ204</f>
        <v>urn:imsikb0101:DatastroomType:id:1</v>
      </c>
      <c r="CL204">
        <f>A!CK204</f>
        <v>45811</v>
      </c>
      <c r="CM204" t="str">
        <f>A!CL204</f>
        <v>SGS, Rotterdam</v>
      </c>
      <c r="CN204" t="str">
        <f>A!CM204</f>
        <v>LABRESULTAAT SGS</v>
      </c>
      <c r="CO204">
        <f>A!CN204</f>
        <v>45811</v>
      </c>
      <c r="CP204">
        <f>A!CO204</f>
        <v>0</v>
      </c>
      <c r="CQ204">
        <f>A!CO514</f>
        <v>0</v>
      </c>
      <c r="CR204" t="e">
        <f>A!#REF!</f>
        <v>#REF!</v>
      </c>
      <c r="CS204" t="e">
        <f>A!#REF!</f>
        <v>#REF!</v>
      </c>
    </row>
    <row r="205" spans="1:97" x14ac:dyDescent="0.2">
      <c r="A205" t="str">
        <f>A!A205</f>
        <v>LABRESULTAAT</v>
      </c>
      <c r="B205">
        <f>A!B205</f>
        <v>24</v>
      </c>
      <c r="C205" t="str">
        <f>A!C205</f>
        <v>_f31f0918-d287-4020-bfad-7172da6385e3</v>
      </c>
      <c r="D205" t="str">
        <f>A!D205</f>
        <v>f31f0918-d287-4020-bfad-7172da6385e3</v>
      </c>
      <c r="E205" t="str">
        <f>A!E205</f>
        <v>SIKB</v>
      </c>
      <c r="F205" t="str">
        <f>A!F205</f>
        <v>urn:immetingen:hoedanigheid:id:1</v>
      </c>
      <c r="G205" t="str">
        <f>A!G205</f>
        <v>www.sikb.nl</v>
      </c>
      <c r="H205" t="str">
        <f>A!H205</f>
        <v>urn:immetingen:parameter:id:351</v>
      </c>
      <c r="I205" t="str">
        <f>A!I205</f>
        <v>www.sikb.nl</v>
      </c>
      <c r="J205" t="str">
        <f>A!J205</f>
        <v>urn:immetingen:parameter:id:2725</v>
      </c>
      <c r="K205" t="str">
        <f>A!K205</f>
        <v>www.sikb.nl</v>
      </c>
      <c r="L205">
        <f>A!L205</f>
        <v>45811</v>
      </c>
      <c r="M205" t="str">
        <f>A!M205</f>
        <v>urn:immetingen:LabopdrachtStatus:id:5</v>
      </c>
      <c r="N205">
        <f>A!N205</f>
        <v>1</v>
      </c>
      <c r="O205">
        <f>A!O205</f>
        <v>1</v>
      </c>
      <c r="P205" s="32" t="str">
        <f>IF(A!P205="","",INDEX(B!$A$1:$BT$2000,MATCH(A!P205,B!$AX$1:$AX$2000,0),D!$B$5))</f>
        <v>MM05 04 (150-200) 05 (150-200)</v>
      </c>
      <c r="Q205">
        <f>A!Q205</f>
        <v>0</v>
      </c>
      <c r="R205">
        <f>A!R205</f>
        <v>0</v>
      </c>
      <c r="S205">
        <f>A!S205</f>
        <v>0</v>
      </c>
      <c r="T205" t="str">
        <f>A!T205</f>
        <v>immetingen:AnalyticResultType</v>
      </c>
      <c r="U205" t="str">
        <f>A!U205</f>
        <v>&lt;0.01 mg/kgds</v>
      </c>
      <c r="V205" s="32">
        <f>IF(A!V205="&lt;",1,A!V205)</f>
        <v>1</v>
      </c>
      <c r="W205">
        <f>A!W205</f>
        <v>0.01</v>
      </c>
      <c r="X205">
        <f>A!X205</f>
        <v>0.01</v>
      </c>
      <c r="Y205" t="str">
        <f>A!Y205</f>
        <v>urn:immetingen:eenheid:id:58</v>
      </c>
      <c r="Z205" s="32">
        <f t="shared" si="3"/>
        <v>58</v>
      </c>
      <c r="AA205" t="str">
        <f>A!Z205</f>
        <v>urn:immetingen:kwaliteitsoordeel:id:0</v>
      </c>
      <c r="AB205" t="str">
        <f>A!AA205</f>
        <v>www.sikb.nl</v>
      </c>
      <c r="AC205" t="str">
        <f>A!AB205</f>
        <v>urn:immetingen:waardebewerkingsmethode:id:5</v>
      </c>
      <c r="AD205" t="str">
        <f>A!AC205</f>
        <v>www.sikb.nl</v>
      </c>
      <c r="AE205" t="str">
        <f>A!AD205</f>
        <v>_c032baee-d149-433c-aaf1-b2467d0a0178</v>
      </c>
      <c r="AF205">
        <f>A!AE205</f>
        <v>45811.309363425928</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32"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t="str">
        <f>A!CI205</f>
        <v>urn:imsikb0101:Applicaties:id:16</v>
      </c>
      <c r="CK205" t="str">
        <f>A!CJ205</f>
        <v>urn:imsikb0101:DatastroomType:id:1</v>
      </c>
      <c r="CL205">
        <f>A!CK205</f>
        <v>45811</v>
      </c>
      <c r="CM205" t="str">
        <f>A!CL205</f>
        <v>SGS, Rotterdam</v>
      </c>
      <c r="CN205" t="str">
        <f>A!CM205</f>
        <v>LABRESULTAAT SGS</v>
      </c>
      <c r="CO205">
        <f>A!CN205</f>
        <v>45811</v>
      </c>
      <c r="CP205">
        <f>A!CO205</f>
        <v>0</v>
      </c>
      <c r="CQ205">
        <f>A!CO515</f>
        <v>0</v>
      </c>
      <c r="CR205" t="e">
        <f>A!#REF!</f>
        <v>#REF!</v>
      </c>
      <c r="CS205" t="e">
        <f>A!#REF!</f>
        <v>#REF!</v>
      </c>
    </row>
    <row r="206" spans="1:97" x14ac:dyDescent="0.2">
      <c r="A206" t="str">
        <f>A!A206</f>
        <v>LABRESULTAAT</v>
      </c>
      <c r="B206">
        <f>A!B206</f>
        <v>25</v>
      </c>
      <c r="C206" t="str">
        <f>A!C206</f>
        <v>_c21b1980-6e25-487c-8479-6260e3a2e7c8</v>
      </c>
      <c r="D206" t="str">
        <f>A!D206</f>
        <v>c21b1980-6e25-487c-8479-6260e3a2e7c8</v>
      </c>
      <c r="E206" t="str">
        <f>A!E206</f>
        <v>SIKB</v>
      </c>
      <c r="F206" t="str">
        <f>A!F206</f>
        <v>urn:immetingen:hoedanigheid:id:1</v>
      </c>
      <c r="G206" t="str">
        <f>A!G206</f>
        <v>www.sikb.nl</v>
      </c>
      <c r="H206" t="str">
        <f>A!H206</f>
        <v>urn:immetingen:parameter:id:882</v>
      </c>
      <c r="I206" t="str">
        <f>A!I206</f>
        <v>www.sikb.nl</v>
      </c>
      <c r="J206" t="str">
        <f>A!J206</f>
        <v>urn:immetingen:parameter:id:2725</v>
      </c>
      <c r="K206" t="str">
        <f>A!K206</f>
        <v>www.sikb.nl</v>
      </c>
      <c r="L206">
        <f>A!L206</f>
        <v>45811</v>
      </c>
      <c r="M206" t="str">
        <f>A!M206</f>
        <v>urn:immetingen:LabopdrachtStatus:id:5</v>
      </c>
      <c r="N206">
        <f>A!N206</f>
        <v>1</v>
      </c>
      <c r="O206">
        <f>A!O206</f>
        <v>1</v>
      </c>
      <c r="P206" s="32" t="str">
        <f>IF(A!P206="","",INDEX(B!$A$1:$BT$2000,MATCH(A!P206,B!$AX$1:$AX$2000,0),D!$B$5))</f>
        <v>MM05 04 (150-200) 05 (150-200)</v>
      </c>
      <c r="Q206">
        <f>A!Q206</f>
        <v>0</v>
      </c>
      <c r="R206">
        <f>A!R206</f>
        <v>0</v>
      </c>
      <c r="S206">
        <f>A!S206</f>
        <v>0</v>
      </c>
      <c r="T206" t="str">
        <f>A!T206</f>
        <v>immetingen:AnalyticResultType</v>
      </c>
      <c r="U206" t="str">
        <f>A!U206</f>
        <v>&lt;0.01 mg/kgds</v>
      </c>
      <c r="V206" s="32">
        <f>IF(A!V206="&lt;",1,A!V206)</f>
        <v>1</v>
      </c>
      <c r="W206">
        <f>A!W206</f>
        <v>0.01</v>
      </c>
      <c r="X206">
        <f>A!X206</f>
        <v>0.01</v>
      </c>
      <c r="Y206" t="str">
        <f>A!Y206</f>
        <v>urn:immetingen:eenheid:id:58</v>
      </c>
      <c r="Z206" s="32">
        <f t="shared" si="3"/>
        <v>58</v>
      </c>
      <c r="AA206" t="str">
        <f>A!Z206</f>
        <v>urn:immetingen:kwaliteitsoordeel:id:0</v>
      </c>
      <c r="AB206" t="str">
        <f>A!AA206</f>
        <v>www.sikb.nl</v>
      </c>
      <c r="AC206" t="str">
        <f>A!AB206</f>
        <v>urn:immetingen:waardebewerkingsmethode:id:5</v>
      </c>
      <c r="AD206" t="str">
        <f>A!AC206</f>
        <v>www.sikb.nl</v>
      </c>
      <c r="AE206" t="str">
        <f>A!AD206</f>
        <v>_1c2f0a1c-7c65-4b3f-94f2-b8ada44dcfc1</v>
      </c>
      <c r="AF206">
        <f>A!AE206</f>
        <v>45811.309363425928</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32"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t="str">
        <f>A!CI206</f>
        <v>urn:imsikb0101:Applicaties:id:16</v>
      </c>
      <c r="CK206" t="str">
        <f>A!CJ206</f>
        <v>urn:imsikb0101:DatastroomType:id:1</v>
      </c>
      <c r="CL206">
        <f>A!CK206</f>
        <v>45811</v>
      </c>
      <c r="CM206" t="str">
        <f>A!CL206</f>
        <v>SGS, Rotterdam</v>
      </c>
      <c r="CN206" t="str">
        <f>A!CM206</f>
        <v>LABRESULTAAT SGS</v>
      </c>
      <c r="CO206">
        <f>A!CN206</f>
        <v>45811</v>
      </c>
      <c r="CP206">
        <f>A!CO206</f>
        <v>0</v>
      </c>
      <c r="CQ206">
        <f>A!CO516</f>
        <v>0</v>
      </c>
      <c r="CR206" t="e">
        <f>A!#REF!</f>
        <v>#REF!</v>
      </c>
      <c r="CS206" t="e">
        <f>A!#REF!</f>
        <v>#REF!</v>
      </c>
    </row>
    <row r="207" spans="1:97" x14ac:dyDescent="0.2">
      <c r="A207" t="str">
        <f>A!A207</f>
        <v>LABRESULTAAT</v>
      </c>
      <c r="B207">
        <f>A!B207</f>
        <v>26</v>
      </c>
      <c r="C207" t="str">
        <f>A!C207</f>
        <v>_5ce8240e-7c40-44a0-a8b6-8194c2934572</v>
      </c>
      <c r="D207" t="str">
        <f>A!D207</f>
        <v>5ce8240e-7c40-44a0-a8b6-8194c2934572</v>
      </c>
      <c r="E207" t="str">
        <f>A!E207</f>
        <v>SIKB</v>
      </c>
      <c r="F207" t="str">
        <f>A!F207</f>
        <v>urn:immetingen:hoedanigheid:id:1</v>
      </c>
      <c r="G207" t="str">
        <f>A!G207</f>
        <v>www.sikb.nl</v>
      </c>
      <c r="H207" t="str">
        <f>A!H207</f>
        <v>urn:immetingen:parameter:id:345</v>
      </c>
      <c r="I207" t="str">
        <f>A!I207</f>
        <v>www.sikb.nl</v>
      </c>
      <c r="J207" t="str">
        <f>A!J207</f>
        <v>urn:immetingen:parameter:id:2725</v>
      </c>
      <c r="K207" t="str">
        <f>A!K207</f>
        <v>www.sikb.nl</v>
      </c>
      <c r="L207">
        <f>A!L207</f>
        <v>45811</v>
      </c>
      <c r="M207" t="str">
        <f>A!M207</f>
        <v>urn:immetingen:LabopdrachtStatus:id:5</v>
      </c>
      <c r="N207">
        <f>A!N207</f>
        <v>1</v>
      </c>
      <c r="O207">
        <f>A!O207</f>
        <v>1</v>
      </c>
      <c r="P207" s="32" t="str">
        <f>IF(A!P207="","",INDEX(B!$A$1:$BT$2000,MATCH(A!P207,B!$AX$1:$AX$2000,0),D!$B$5))</f>
        <v>MM05 04 (150-200) 05 (150-200)</v>
      </c>
      <c r="Q207">
        <f>A!Q207</f>
        <v>0</v>
      </c>
      <c r="R207">
        <f>A!R207</f>
        <v>0</v>
      </c>
      <c r="S207">
        <f>A!S207</f>
        <v>0</v>
      </c>
      <c r="T207" t="str">
        <f>A!T207</f>
        <v>immetingen:AnalyticResultType</v>
      </c>
      <c r="U207" t="str">
        <f>A!U207</f>
        <v>&lt;0.01 mg/kgds</v>
      </c>
      <c r="V207" s="32">
        <f>IF(A!V207="&lt;",1,A!V207)</f>
        <v>1</v>
      </c>
      <c r="W207">
        <f>A!W207</f>
        <v>0.01</v>
      </c>
      <c r="X207">
        <f>A!X207</f>
        <v>0.01</v>
      </c>
      <c r="Y207" t="str">
        <f>A!Y207</f>
        <v>urn:immetingen:eenheid:id:58</v>
      </c>
      <c r="Z207" s="32">
        <f t="shared" si="3"/>
        <v>58</v>
      </c>
      <c r="AA207" t="str">
        <f>A!Z207</f>
        <v>urn:immetingen:kwaliteitsoordeel:id:0</v>
      </c>
      <c r="AB207" t="str">
        <f>A!AA207</f>
        <v>www.sikb.nl</v>
      </c>
      <c r="AC207" t="str">
        <f>A!AB207</f>
        <v>urn:immetingen:waardebewerkingsmethode:id:5</v>
      </c>
      <c r="AD207" t="str">
        <f>A!AC207</f>
        <v>www.sikb.nl</v>
      </c>
      <c r="AE207" t="str">
        <f>A!AD207</f>
        <v>_58138adb-2dce-485b-b158-380b06d006ff</v>
      </c>
      <c r="AF207">
        <f>A!AE207</f>
        <v>45811.309363425928</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32"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t="str">
        <f>A!CI207</f>
        <v>urn:imsikb0101:Applicaties:id:16</v>
      </c>
      <c r="CK207" t="str">
        <f>A!CJ207</f>
        <v>urn:imsikb0101:DatastroomType:id:1</v>
      </c>
      <c r="CL207">
        <f>A!CK207</f>
        <v>45811</v>
      </c>
      <c r="CM207" t="str">
        <f>A!CL207</f>
        <v>SGS, Rotterdam</v>
      </c>
      <c r="CN207" t="str">
        <f>A!CM207</f>
        <v>LABRESULTAAT SGS</v>
      </c>
      <c r="CO207">
        <f>A!CN207</f>
        <v>45811</v>
      </c>
      <c r="CP207">
        <f>A!CO207</f>
        <v>0</v>
      </c>
      <c r="CQ207">
        <f>A!CO517</f>
        <v>0</v>
      </c>
      <c r="CR207" t="e">
        <f>A!#REF!</f>
        <v>#REF!</v>
      </c>
      <c r="CS207" t="e">
        <f>A!#REF!</f>
        <v>#REF!</v>
      </c>
    </row>
    <row r="208" spans="1:97" x14ac:dyDescent="0.2">
      <c r="A208" t="str">
        <f>A!A208</f>
        <v>LABRESULTAAT</v>
      </c>
      <c r="B208">
        <f>A!B208</f>
        <v>27</v>
      </c>
      <c r="C208" t="str">
        <f>A!C208</f>
        <v>_0af4a9bb-d3db-4b54-829b-cdfd6e7e2cb0</v>
      </c>
      <c r="D208" t="str">
        <f>A!D208</f>
        <v>0af4a9bb-d3db-4b54-829b-cdfd6e7e2cb0</v>
      </c>
      <c r="E208" t="str">
        <f>A!E208</f>
        <v>SIKB</v>
      </c>
      <c r="F208" t="str">
        <f>A!F208</f>
        <v>urn:immetingen:hoedanigheid:id:2</v>
      </c>
      <c r="G208" t="str">
        <f>A!G208</f>
        <v>www.sikb.nl</v>
      </c>
      <c r="H208">
        <f>A!H208</f>
        <v>0</v>
      </c>
      <c r="I208">
        <f>A!I208</f>
        <v>0</v>
      </c>
      <c r="J208" t="str">
        <f>A!J208</f>
        <v>urn:immetingen:parameter:id:1118</v>
      </c>
      <c r="K208" t="str">
        <f>A!K208</f>
        <v>www.sikb.nl</v>
      </c>
      <c r="L208">
        <f>A!L208</f>
        <v>45811</v>
      </c>
      <c r="M208" t="str">
        <f>A!M208</f>
        <v>urn:immetingen:LabopdrachtStatus:id:5</v>
      </c>
      <c r="N208">
        <f>A!N208</f>
        <v>1</v>
      </c>
      <c r="O208">
        <f>A!O208</f>
        <v>1</v>
      </c>
      <c r="P208" s="32" t="str">
        <f>IF(A!P208="","",INDEX(B!$A$1:$BT$2000,MATCH(A!P208,B!$AX$1:$AX$2000,0),D!$B$5))</f>
        <v>MM05 04 (150-200) 05 (150-200)</v>
      </c>
      <c r="Q208">
        <f>A!Q208</f>
        <v>0</v>
      </c>
      <c r="R208">
        <f>A!R208</f>
        <v>0</v>
      </c>
      <c r="S208">
        <f>A!S208</f>
        <v>0</v>
      </c>
      <c r="T208" t="str">
        <f>A!T208</f>
        <v>immetingen:AnalyticResultType</v>
      </c>
      <c r="U208" t="str">
        <f>A!U208</f>
        <v>11 % vd DS</v>
      </c>
      <c r="V208" s="32">
        <f>IF(A!V208="&lt;",1,A!V208)</f>
        <v>0</v>
      </c>
      <c r="W208">
        <f>A!W208</f>
        <v>11</v>
      </c>
      <c r="X208">
        <f>A!X208</f>
        <v>11</v>
      </c>
      <c r="Y208" t="str">
        <f>A!Y208</f>
        <v>urn:immetingen:eenheid:id:1</v>
      </c>
      <c r="Z208" s="32">
        <f t="shared" si="3"/>
        <v>1</v>
      </c>
      <c r="AA208" t="str">
        <f>A!Z208</f>
        <v>urn:immetingen:kwaliteitsoordeel:id:0</v>
      </c>
      <c r="AB208" t="str">
        <f>A!AA208</f>
        <v>www.sikb.nl</v>
      </c>
      <c r="AC208" t="str">
        <f>A!AB208</f>
        <v>urn:immetingen:waardebewerkingsmethode:id:5</v>
      </c>
      <c r="AD208" t="str">
        <f>A!AC208</f>
        <v>www.sikb.nl</v>
      </c>
      <c r="AE208" t="str">
        <f>A!AD208</f>
        <v>_b9fca609-952f-4ea2-bb76-bda42c47b6f7</v>
      </c>
      <c r="AF208">
        <f>A!AE208</f>
        <v>45811.548900462964</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32"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t="str">
        <f>A!CI208</f>
        <v>urn:imsikb0101:Applicaties:id:16</v>
      </c>
      <c r="CK208" t="str">
        <f>A!CJ208</f>
        <v>urn:imsikb0101:DatastroomType:id:1</v>
      </c>
      <c r="CL208">
        <f>A!CK208</f>
        <v>45811</v>
      </c>
      <c r="CM208" t="str">
        <f>A!CL208</f>
        <v>SGS, Rotterdam</v>
      </c>
      <c r="CN208" t="str">
        <f>A!CM208</f>
        <v>LABRESULTAAT SGS</v>
      </c>
      <c r="CO208">
        <f>A!CN208</f>
        <v>45811</v>
      </c>
      <c r="CP208">
        <f>A!CO208</f>
        <v>0</v>
      </c>
      <c r="CQ208">
        <f>A!CO518</f>
        <v>0</v>
      </c>
      <c r="CR208" t="e">
        <f>A!#REF!</f>
        <v>#REF!</v>
      </c>
      <c r="CS208" t="e">
        <f>A!#REF!</f>
        <v>#REF!</v>
      </c>
    </row>
    <row r="209" spans="1:97" x14ac:dyDescent="0.2">
      <c r="A209" t="str">
        <f>A!A209</f>
        <v>LABRESULTAAT</v>
      </c>
      <c r="B209">
        <f>A!B209</f>
        <v>28</v>
      </c>
      <c r="C209" t="str">
        <f>A!C209</f>
        <v>_1477bbba-4016-4797-a87a-7a2a8838812b</v>
      </c>
      <c r="D209" t="str">
        <f>A!D209</f>
        <v>1477bbba-4016-4797-a87a-7a2a8838812b</v>
      </c>
      <c r="E209" t="str">
        <f>A!E209</f>
        <v>SIKB</v>
      </c>
      <c r="F209" t="str">
        <f>A!F209</f>
        <v>urn:immetingen:hoedanigheid:id:1</v>
      </c>
      <c r="G209" t="str">
        <f>A!G209</f>
        <v>www.sikb.nl</v>
      </c>
      <c r="H209" t="str">
        <f>A!H209</f>
        <v>urn:immetingen:parameter:id:1319</v>
      </c>
      <c r="I209" t="str">
        <f>A!I209</f>
        <v>www.sikb.nl</v>
      </c>
      <c r="J209" t="str">
        <f>A!J209</f>
        <v>urn:immetingen:parameter:id:2725</v>
      </c>
      <c r="K209" t="str">
        <f>A!K209</f>
        <v>www.sikb.nl</v>
      </c>
      <c r="L209">
        <f>A!L209</f>
        <v>45811</v>
      </c>
      <c r="M209" t="str">
        <f>A!M209</f>
        <v>urn:immetingen:LabopdrachtStatus:id:5</v>
      </c>
      <c r="N209">
        <f>A!N209</f>
        <v>1</v>
      </c>
      <c r="O209">
        <f>A!O209</f>
        <v>1</v>
      </c>
      <c r="P209" s="32" t="str">
        <f>IF(A!P209="","",INDEX(B!$A$1:$BT$2000,MATCH(A!P209,B!$AX$1:$AX$2000,0),D!$B$5))</f>
        <v>MM05 04 (150-200) 05 (150-200)</v>
      </c>
      <c r="Q209">
        <f>A!Q209</f>
        <v>0</v>
      </c>
      <c r="R209">
        <f>A!R209</f>
        <v>0</v>
      </c>
      <c r="S209">
        <f>A!S209</f>
        <v>0</v>
      </c>
      <c r="T209" t="str">
        <f>A!T209</f>
        <v>immetingen:AnalyticResultType</v>
      </c>
      <c r="U209" t="str">
        <f>A!U209</f>
        <v>1.2 % vd DS</v>
      </c>
      <c r="V209" s="32">
        <f>IF(A!V209="&lt;",1,A!V209)</f>
        <v>0</v>
      </c>
      <c r="W209">
        <f>A!W209</f>
        <v>1.2</v>
      </c>
      <c r="X209">
        <f>A!X209</f>
        <v>1.2</v>
      </c>
      <c r="Y209" t="str">
        <f>A!Y209</f>
        <v>urn:immetingen:eenheid:id:1</v>
      </c>
      <c r="Z209" s="32">
        <f t="shared" si="3"/>
        <v>1</v>
      </c>
      <c r="AA209" t="str">
        <f>A!Z209</f>
        <v>urn:immetingen:kwaliteitsoordeel:id:0</v>
      </c>
      <c r="AB209" t="str">
        <f>A!AA209</f>
        <v>www.sikb.nl</v>
      </c>
      <c r="AC209" t="str">
        <f>A!AB209</f>
        <v>urn:immetingen:waardebewerkingsmethode:id:5</v>
      </c>
      <c r="AD209" t="str">
        <f>A!AC209</f>
        <v>www.sikb.nl</v>
      </c>
      <c r="AE209" t="str">
        <f>A!AD209</f>
        <v>_2a308ca1-2f75-4c0e-89dd-56380bd4cd73</v>
      </c>
      <c r="AF209">
        <f>A!AE209</f>
        <v>45811.649965277778</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32"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t="str">
        <f>A!CI209</f>
        <v>urn:imsikb0101:Applicaties:id:16</v>
      </c>
      <c r="CK209" t="str">
        <f>A!CJ209</f>
        <v>urn:imsikb0101:DatastroomType:id:1</v>
      </c>
      <c r="CL209">
        <f>A!CK209</f>
        <v>45811</v>
      </c>
      <c r="CM209" t="str">
        <f>A!CL209</f>
        <v>SGS, Rotterdam</v>
      </c>
      <c r="CN209" t="str">
        <f>A!CM209</f>
        <v>LABRESULTAAT SGS</v>
      </c>
      <c r="CO209">
        <f>A!CN209</f>
        <v>45811</v>
      </c>
      <c r="CP209">
        <f>A!CO209</f>
        <v>0</v>
      </c>
      <c r="CQ209">
        <f>A!CO519</f>
        <v>0</v>
      </c>
      <c r="CR209" t="e">
        <f>A!#REF!</f>
        <v>#REF!</v>
      </c>
      <c r="CS209" t="e">
        <f>A!#REF!</f>
        <v>#REF!</v>
      </c>
    </row>
    <row r="210" spans="1:97" x14ac:dyDescent="0.2">
      <c r="A210" t="str">
        <f>A!A210</f>
        <v>LABRESULTAAT</v>
      </c>
      <c r="B210">
        <f>A!B210</f>
        <v>29</v>
      </c>
      <c r="C210" t="str">
        <f>A!C210</f>
        <v>_0cb2a81d-2581-4d4d-934d-8982d55bba8a</v>
      </c>
      <c r="D210" t="str">
        <f>A!D210</f>
        <v>0cb2a81d-2581-4d4d-934d-8982d55bba8a</v>
      </c>
      <c r="E210" t="str">
        <f>A!E210</f>
        <v>SIKB</v>
      </c>
      <c r="F210" t="str">
        <f>A!F210</f>
        <v>urn:immetingen:hoedanigheid:id:1</v>
      </c>
      <c r="G210" t="str">
        <f>A!G210</f>
        <v>www.sikb.nl</v>
      </c>
      <c r="H210" t="str">
        <f>A!H210</f>
        <v>urn:immetingen:parameter:id:1365</v>
      </c>
      <c r="I210" t="str">
        <f>A!I210</f>
        <v>www.sikb.nl</v>
      </c>
      <c r="J210" t="str">
        <f>A!J210</f>
        <v>urn:immetingen:parameter:id:2725</v>
      </c>
      <c r="K210" t="str">
        <f>A!K210</f>
        <v>www.sikb.nl</v>
      </c>
      <c r="L210">
        <f>A!L210</f>
        <v>45811</v>
      </c>
      <c r="M210" t="str">
        <f>A!M210</f>
        <v>urn:immetingen:LabopdrachtStatus:id:5</v>
      </c>
      <c r="N210">
        <f>A!N210</f>
        <v>1</v>
      </c>
      <c r="O210">
        <f>A!O210</f>
        <v>1</v>
      </c>
      <c r="P210" s="32" t="str">
        <f>IF(A!P210="","",INDEX(B!$A$1:$BT$2000,MATCH(A!P210,B!$AX$1:$AX$2000,0),D!$B$5))</f>
        <v>MM05 04 (150-200) 05 (150-200)</v>
      </c>
      <c r="Q210">
        <f>A!Q210</f>
        <v>0</v>
      </c>
      <c r="R210">
        <f>A!R210</f>
        <v>0</v>
      </c>
      <c r="S210">
        <f>A!S210</f>
        <v>0</v>
      </c>
      <c r="T210" t="str">
        <f>A!T210</f>
        <v>immetingen:AnalyticResultType</v>
      </c>
      <c r="U210" t="str">
        <f>A!U210</f>
        <v>4.9 µg/kgds</v>
      </c>
      <c r="V210" s="32">
        <f>IF(A!V210="&lt;",1,A!V210)</f>
        <v>0</v>
      </c>
      <c r="W210">
        <f>A!W210</f>
        <v>4.9000000000000004</v>
      </c>
      <c r="X210">
        <f>A!X210</f>
        <v>4.9000000000000004</v>
      </c>
      <c r="Y210" t="str">
        <f>A!Y210</f>
        <v>urn:immetingen:eenheid:id:131</v>
      </c>
      <c r="Z210" s="32">
        <f t="shared" si="3"/>
        <v>131</v>
      </c>
      <c r="AA210" t="str">
        <f>A!Z210</f>
        <v>urn:immetingen:kwaliteitsoordeel:id:0</v>
      </c>
      <c r="AB210" t="str">
        <f>A!AA210</f>
        <v>www.sikb.nl</v>
      </c>
      <c r="AC210" t="str">
        <f>A!AB210</f>
        <v>urn:immetingen:waardebewerkingsmethode:id:5</v>
      </c>
      <c r="AD210" t="str">
        <f>A!AC210</f>
        <v>www.sikb.nl</v>
      </c>
      <c r="AE210" t="str">
        <f>A!AD210</f>
        <v>_45038a55-7382-4240-a48e-c50f3b386687</v>
      </c>
      <c r="AF210">
        <f>A!AE210</f>
        <v>45811.30976851852</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32"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t="str">
        <f>A!CI210</f>
        <v>urn:imsikb0101:Applicaties:id:16</v>
      </c>
      <c r="CK210" t="str">
        <f>A!CJ210</f>
        <v>urn:imsikb0101:DatastroomType:id:1</v>
      </c>
      <c r="CL210">
        <f>A!CK210</f>
        <v>45811</v>
      </c>
      <c r="CM210" t="str">
        <f>A!CL210</f>
        <v>SGS, Rotterdam</v>
      </c>
      <c r="CN210" t="str">
        <f>A!CM210</f>
        <v>LABRESULTAAT SGS</v>
      </c>
      <c r="CO210">
        <f>A!CN210</f>
        <v>45811</v>
      </c>
      <c r="CP210">
        <f>A!CO210</f>
        <v>0</v>
      </c>
      <c r="CQ210">
        <f>A!CO520</f>
        <v>0</v>
      </c>
      <c r="CR210" t="e">
        <f>A!#REF!</f>
        <v>#REF!</v>
      </c>
      <c r="CS210" t="e">
        <f>A!#REF!</f>
        <v>#REF!</v>
      </c>
    </row>
    <row r="211" spans="1:97" x14ac:dyDescent="0.2">
      <c r="A211" t="str">
        <f>A!A211</f>
        <v>LABRESULTAAT</v>
      </c>
      <c r="B211">
        <f>A!B211</f>
        <v>30</v>
      </c>
      <c r="C211" t="str">
        <f>A!C211</f>
        <v>_89aa348b-a066-4b4b-802c-71429ac832df</v>
      </c>
      <c r="D211" t="str">
        <f>A!D211</f>
        <v>89aa348b-a066-4b4b-802c-71429ac832df</v>
      </c>
      <c r="E211" t="str">
        <f>A!E211</f>
        <v>SIKB</v>
      </c>
      <c r="F211" t="str">
        <f>A!F211</f>
        <v>urn:immetingen:hoedanigheid:id:1</v>
      </c>
      <c r="G211" t="str">
        <f>A!G211</f>
        <v>www.sikb.nl</v>
      </c>
      <c r="H211" t="str">
        <f>A!H211</f>
        <v>urn:immetingen:parameter:id:1352</v>
      </c>
      <c r="I211" t="str">
        <f>A!I211</f>
        <v>www.sikb.nl</v>
      </c>
      <c r="J211" t="str">
        <f>A!J211</f>
        <v>urn:immetingen:parameter:id:2725</v>
      </c>
      <c r="K211" t="str">
        <f>A!K211</f>
        <v>www.sikb.nl</v>
      </c>
      <c r="L211">
        <f>A!L211</f>
        <v>45811</v>
      </c>
      <c r="M211" t="str">
        <f>A!M211</f>
        <v>urn:immetingen:LabopdrachtStatus:id:5</v>
      </c>
      <c r="N211">
        <f>A!N211</f>
        <v>1</v>
      </c>
      <c r="O211">
        <f>A!O211</f>
        <v>1</v>
      </c>
      <c r="P211" s="32" t="str">
        <f>IF(A!P211="","",INDEX(B!$A$1:$BT$2000,MATCH(A!P211,B!$AX$1:$AX$2000,0),D!$B$5))</f>
        <v>MM05 04 (150-200) 05 (150-200)</v>
      </c>
      <c r="Q211">
        <f>A!Q211</f>
        <v>0</v>
      </c>
      <c r="R211">
        <f>A!R211</f>
        <v>0</v>
      </c>
      <c r="S211">
        <f>A!S211</f>
        <v>0</v>
      </c>
      <c r="T211" t="str">
        <f>A!T211</f>
        <v>immetingen:AnalyticResultType</v>
      </c>
      <c r="U211" t="str">
        <f>A!U211</f>
        <v>0.07 mg/kgds</v>
      </c>
      <c r="V211" s="32">
        <f>IF(A!V211="&lt;",1,A!V211)</f>
        <v>0</v>
      </c>
      <c r="W211">
        <f>A!W211</f>
        <v>7.0000000000000007E-2</v>
      </c>
      <c r="X211">
        <f>A!X211</f>
        <v>7.0000000000000007E-2</v>
      </c>
      <c r="Y211" t="str">
        <f>A!Y211</f>
        <v>urn:immetingen:eenheid:id:58</v>
      </c>
      <c r="Z211" s="32">
        <f t="shared" si="3"/>
        <v>58</v>
      </c>
      <c r="AA211" t="str">
        <f>A!Z211</f>
        <v>urn:immetingen:kwaliteitsoordeel:id:0</v>
      </c>
      <c r="AB211" t="str">
        <f>A!AA211</f>
        <v>www.sikb.nl</v>
      </c>
      <c r="AC211" t="str">
        <f>A!AB211</f>
        <v>urn:immetingen:waardebewerkingsmethode:id:5</v>
      </c>
      <c r="AD211" t="str">
        <f>A!AC211</f>
        <v>www.sikb.nl</v>
      </c>
      <c r="AE211" t="str">
        <f>A!AD211</f>
        <v>_a6dd6275-5af9-456d-9dc3-424ce808d701</v>
      </c>
      <c r="AF211">
        <f>A!AE211</f>
        <v>45811.30976851852</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32"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t="str">
        <f>A!CI211</f>
        <v>urn:imsikb0101:Applicaties:id:16</v>
      </c>
      <c r="CK211" t="str">
        <f>A!CJ211</f>
        <v>urn:imsikb0101:DatastroomType:id:1</v>
      </c>
      <c r="CL211">
        <f>A!CK211</f>
        <v>45811</v>
      </c>
      <c r="CM211" t="str">
        <f>A!CL211</f>
        <v>SGS, Rotterdam</v>
      </c>
      <c r="CN211" t="str">
        <f>A!CM211</f>
        <v>LABRESULTAAT SGS</v>
      </c>
      <c r="CO211">
        <f>A!CN211</f>
        <v>45811</v>
      </c>
      <c r="CP211">
        <f>A!CO211</f>
        <v>0</v>
      </c>
      <c r="CQ211">
        <f>A!CO521</f>
        <v>0</v>
      </c>
      <c r="CR211" t="e">
        <f>A!#REF!</f>
        <v>#REF!</v>
      </c>
      <c r="CS211" t="e">
        <f>A!#REF!</f>
        <v>#REF!</v>
      </c>
    </row>
    <row r="212" spans="1:97" x14ac:dyDescent="0.2">
      <c r="A212" t="str">
        <f>A!A212</f>
        <v>LABRESULTAAT</v>
      </c>
      <c r="B212">
        <f>A!B212</f>
        <v>31</v>
      </c>
      <c r="C212" t="str">
        <f>A!C212</f>
        <v>_c7a8c7e9-2021-4261-a093-e9594eb98839</v>
      </c>
      <c r="D212" t="str">
        <f>A!D212</f>
        <v>c7a8c7e9-2021-4261-a093-e9594eb98839</v>
      </c>
      <c r="E212" t="str">
        <f>A!E212</f>
        <v>SIKB</v>
      </c>
      <c r="F212" t="str">
        <f>A!F212</f>
        <v>urn:immetingen:hoedanigheid:id:1</v>
      </c>
      <c r="G212" t="str">
        <f>A!G212</f>
        <v>www.sikb.nl</v>
      </c>
      <c r="H212" t="str">
        <f>A!H212</f>
        <v>urn:immetingen:parameter:id:333</v>
      </c>
      <c r="I212" t="str">
        <f>A!I212</f>
        <v>www.sikb.nl</v>
      </c>
      <c r="J212" t="str">
        <f>A!J212</f>
        <v>urn:immetingen:parameter:id:2725</v>
      </c>
      <c r="K212" t="str">
        <f>A!K212</f>
        <v>www.sikb.nl</v>
      </c>
      <c r="L212">
        <f>A!L212</f>
        <v>45811</v>
      </c>
      <c r="M212" t="str">
        <f>A!M212</f>
        <v>urn:immetingen:LabopdrachtStatus:id:5</v>
      </c>
      <c r="N212">
        <f>A!N212</f>
        <v>1</v>
      </c>
      <c r="O212">
        <f>A!O212</f>
        <v>1</v>
      </c>
      <c r="P212" s="32" t="str">
        <f>IF(A!P212="","",INDEX(B!$A$1:$BT$2000,MATCH(A!P212,B!$AX$1:$AX$2000,0),D!$B$5))</f>
        <v>MM05 04 (150-200) 05 (150-200)</v>
      </c>
      <c r="Q212">
        <f>A!Q212</f>
        <v>0</v>
      </c>
      <c r="R212">
        <f>A!R212</f>
        <v>0</v>
      </c>
      <c r="S212">
        <f>A!S212</f>
        <v>0</v>
      </c>
      <c r="T212" t="str">
        <f>A!T212</f>
        <v>immetingen:AnalyticResultType</v>
      </c>
      <c r="U212" t="str">
        <f>A!U212</f>
        <v>&lt;20 mg/kgds</v>
      </c>
      <c r="V212" s="32">
        <f>IF(A!V212="&lt;",1,A!V212)</f>
        <v>1</v>
      </c>
      <c r="W212">
        <f>A!W212</f>
        <v>20</v>
      </c>
      <c r="X212">
        <f>A!X212</f>
        <v>20</v>
      </c>
      <c r="Y212" t="str">
        <f>A!Y212</f>
        <v>urn:immetingen:eenheid:id:58</v>
      </c>
      <c r="Z212" s="32">
        <f t="shared" si="3"/>
        <v>58</v>
      </c>
      <c r="AA212" t="str">
        <f>A!Z212</f>
        <v>urn:immetingen:kwaliteitsoordeel:id:0</v>
      </c>
      <c r="AB212" t="str">
        <f>A!AA212</f>
        <v>www.sikb.nl</v>
      </c>
      <c r="AC212" t="str">
        <f>A!AB212</f>
        <v>urn:immetingen:waardebewerkingsmethode:id:5</v>
      </c>
      <c r="AD212" t="str">
        <f>A!AC212</f>
        <v>www.sikb.nl</v>
      </c>
      <c r="AE212" t="str">
        <f>A!AD212</f>
        <v>_c35f9651-330a-4318-a3b8-3d4e44bf4da7</v>
      </c>
      <c r="AF212">
        <f>A!AE212</f>
        <v>45811.649583333332</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32"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t="str">
        <f>A!CI212</f>
        <v>urn:imsikb0101:Applicaties:id:16</v>
      </c>
      <c r="CK212" t="str">
        <f>A!CJ212</f>
        <v>urn:imsikb0101:DatastroomType:id:1</v>
      </c>
      <c r="CL212">
        <f>A!CK212</f>
        <v>45811</v>
      </c>
      <c r="CM212" t="str">
        <f>A!CL212</f>
        <v>SGS, Rotterdam</v>
      </c>
      <c r="CN212" t="str">
        <f>A!CM212</f>
        <v>LABRESULTAAT SGS</v>
      </c>
      <c r="CO212">
        <f>A!CN212</f>
        <v>45811</v>
      </c>
      <c r="CP212">
        <f>A!CO212</f>
        <v>0</v>
      </c>
      <c r="CQ212">
        <f>A!CO522</f>
        <v>0</v>
      </c>
      <c r="CR212" t="e">
        <f>A!#REF!</f>
        <v>#REF!</v>
      </c>
      <c r="CS212" t="e">
        <f>A!#REF!</f>
        <v>#REF!</v>
      </c>
    </row>
    <row r="213" spans="1:97" x14ac:dyDescent="0.2">
      <c r="A213" t="str">
        <f>A!A213</f>
        <v>LABRESULTAAT</v>
      </c>
      <c r="B213">
        <f>A!B213</f>
        <v>32</v>
      </c>
      <c r="C213" t="str">
        <f>A!C213</f>
        <v>_83ed301e-6add-473f-9804-6e0be0720fa8</v>
      </c>
      <c r="D213" t="str">
        <f>A!D213</f>
        <v>83ed301e-6add-473f-9804-6e0be0720fa8</v>
      </c>
      <c r="E213" t="str">
        <f>A!E213</f>
        <v>SIKB</v>
      </c>
      <c r="F213" t="str">
        <f>A!F213</f>
        <v>urn:immetingen:hoedanigheid:id:1</v>
      </c>
      <c r="G213" t="str">
        <f>A!G213</f>
        <v>www.sikb.nl</v>
      </c>
      <c r="H213" t="str">
        <f>A!H213</f>
        <v>urn:immetingen:parameter:id:1693</v>
      </c>
      <c r="I213" t="str">
        <f>A!I213</f>
        <v>www.sikb.nl</v>
      </c>
      <c r="J213" t="str">
        <f>A!J213</f>
        <v>urn:immetingen:parameter:id:2725</v>
      </c>
      <c r="K213" t="str">
        <f>A!K213</f>
        <v>www.sikb.nl</v>
      </c>
      <c r="L213">
        <f>A!L213</f>
        <v>45811</v>
      </c>
      <c r="M213" t="str">
        <f>A!M213</f>
        <v>urn:immetingen:LabopdrachtStatus:id:5</v>
      </c>
      <c r="N213">
        <f>A!N213</f>
        <v>1</v>
      </c>
      <c r="O213">
        <f>A!O213</f>
        <v>1</v>
      </c>
      <c r="P213" s="32" t="str">
        <f>IF(A!P213="","",INDEX(B!$A$1:$BT$2000,MATCH(A!P213,B!$AX$1:$AX$2000,0),D!$B$5))</f>
        <v>MM05 04 (150-200) 05 (150-200)</v>
      </c>
      <c r="Q213">
        <f>A!Q213</f>
        <v>0</v>
      </c>
      <c r="R213">
        <f>A!R213</f>
        <v>0</v>
      </c>
      <c r="S213">
        <f>A!S213</f>
        <v>0</v>
      </c>
      <c r="T213" t="str">
        <f>A!T213</f>
        <v>immetingen:AnalyticResultType</v>
      </c>
      <c r="U213" t="str">
        <f>A!U213</f>
        <v>21 mg/kgds</v>
      </c>
      <c r="V213" s="32">
        <f>IF(A!V213="&lt;",1,A!V213)</f>
        <v>0</v>
      </c>
      <c r="W213">
        <f>A!W213</f>
        <v>21</v>
      </c>
      <c r="X213">
        <f>A!X213</f>
        <v>21</v>
      </c>
      <c r="Y213" t="str">
        <f>A!Y213</f>
        <v>urn:immetingen:eenheid:id:58</v>
      </c>
      <c r="Z213" s="32">
        <f t="shared" si="3"/>
        <v>58</v>
      </c>
      <c r="AA213" t="str">
        <f>A!Z213</f>
        <v>urn:immetingen:kwaliteitsoordeel:id:0</v>
      </c>
      <c r="AB213" t="str">
        <f>A!AA213</f>
        <v>www.sikb.nl</v>
      </c>
      <c r="AC213" t="str">
        <f>A!AB213</f>
        <v>urn:immetingen:waardebewerkingsmethode:id:5</v>
      </c>
      <c r="AD213" t="str">
        <f>A!AC213</f>
        <v>www.sikb.nl</v>
      </c>
      <c r="AE213" t="str">
        <f>A!AD213</f>
        <v>_e741f450-d379-4311-ad0f-3c9ee2cac129</v>
      </c>
      <c r="AF213">
        <f>A!AE213</f>
        <v>45811.649583333332</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32"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t="str">
        <f>A!CI213</f>
        <v>urn:imsikb0101:Applicaties:id:16</v>
      </c>
      <c r="CK213" t="str">
        <f>A!CJ213</f>
        <v>urn:imsikb0101:DatastroomType:id:1</v>
      </c>
      <c r="CL213">
        <f>A!CK213</f>
        <v>45811</v>
      </c>
      <c r="CM213" t="str">
        <f>A!CL213</f>
        <v>SGS, Rotterdam</v>
      </c>
      <c r="CN213" t="str">
        <f>A!CM213</f>
        <v>LABRESULTAAT SGS</v>
      </c>
      <c r="CO213">
        <f>A!CN213</f>
        <v>45811</v>
      </c>
      <c r="CP213">
        <f>A!CO213</f>
        <v>0</v>
      </c>
      <c r="CQ213">
        <f>A!CO523</f>
        <v>0</v>
      </c>
      <c r="CR213" t="e">
        <f>A!#REF!</f>
        <v>#REF!</v>
      </c>
      <c r="CS213" t="e">
        <f>A!#REF!</f>
        <v>#REF!</v>
      </c>
    </row>
    <row r="214" spans="1:97" x14ac:dyDescent="0.2">
      <c r="A214" t="str">
        <f>A!A214</f>
        <v>LABRESULTAAT</v>
      </c>
      <c r="B214">
        <f>A!B214</f>
        <v>33</v>
      </c>
      <c r="C214" t="str">
        <f>A!C214</f>
        <v>_e411bc2d-c0be-4e60-955f-ca7629e4ca98</v>
      </c>
      <c r="D214" t="str">
        <f>A!D214</f>
        <v>e411bc2d-c0be-4e60-955f-ca7629e4ca98</v>
      </c>
      <c r="E214" t="str">
        <f>A!E214</f>
        <v>SIKB</v>
      </c>
      <c r="F214" t="str">
        <f>A!F214</f>
        <v>urn:immetingen:hoedanigheid:id:1</v>
      </c>
      <c r="G214" t="str">
        <f>A!G214</f>
        <v>www.sikb.nl</v>
      </c>
      <c r="H214" t="str">
        <f>A!H214</f>
        <v>urn:immetingen:parameter:id:310</v>
      </c>
      <c r="I214" t="str">
        <f>A!I214</f>
        <v>www.sikb.nl</v>
      </c>
      <c r="J214" t="str">
        <f>A!J214</f>
        <v>urn:immetingen:parameter:id:2725</v>
      </c>
      <c r="K214" t="str">
        <f>A!K214</f>
        <v>www.sikb.nl</v>
      </c>
      <c r="L214">
        <f>A!L214</f>
        <v>45811</v>
      </c>
      <c r="M214" t="str">
        <f>A!M214</f>
        <v>urn:immetingen:LabopdrachtStatus:id:5</v>
      </c>
      <c r="N214">
        <f>A!N214</f>
        <v>1</v>
      </c>
      <c r="O214">
        <f>A!O214</f>
        <v>1</v>
      </c>
      <c r="P214" s="32" t="str">
        <f>IF(A!P214="","",INDEX(B!$A$1:$BT$2000,MATCH(A!P214,B!$AX$1:$AX$2000,0),D!$B$5))</f>
        <v>MM05 04 (150-200) 05 (150-200)</v>
      </c>
      <c r="Q214">
        <f>A!Q214</f>
        <v>0</v>
      </c>
      <c r="R214">
        <f>A!R214</f>
        <v>0</v>
      </c>
      <c r="S214">
        <f>A!S214</f>
        <v>0</v>
      </c>
      <c r="T214" t="str">
        <f>A!T214</f>
        <v>immetingen:AnalyticResultType</v>
      </c>
      <c r="U214" t="str">
        <f>A!U214</f>
        <v>4.4 mg/kgds</v>
      </c>
      <c r="V214" s="32">
        <f>IF(A!V214="&lt;",1,A!V214)</f>
        <v>0</v>
      </c>
      <c r="W214">
        <f>A!W214</f>
        <v>4.4000000000000004</v>
      </c>
      <c r="X214">
        <f>A!X214</f>
        <v>4.4000000000000004</v>
      </c>
      <c r="Y214" t="str">
        <f>A!Y214</f>
        <v>urn:immetingen:eenheid:id:58</v>
      </c>
      <c r="Z214" s="32">
        <f t="shared" si="3"/>
        <v>58</v>
      </c>
      <c r="AA214" t="str">
        <f>A!Z214</f>
        <v>urn:immetingen:kwaliteitsoordeel:id:0</v>
      </c>
      <c r="AB214" t="str">
        <f>A!AA214</f>
        <v>www.sikb.nl</v>
      </c>
      <c r="AC214" t="str">
        <f>A!AB214</f>
        <v>urn:immetingen:waardebewerkingsmethode:id:5</v>
      </c>
      <c r="AD214" t="str">
        <f>A!AC214</f>
        <v>www.sikb.nl</v>
      </c>
      <c r="AE214" t="str">
        <f>A!AD214</f>
        <v>_df196e0a-f509-4af0-864b-c4741dcdf1c2</v>
      </c>
      <c r="AF214">
        <f>A!AE214</f>
        <v>45811.649583333332</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32"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t="str">
        <f>A!CI214</f>
        <v>urn:imsikb0101:Applicaties:id:16</v>
      </c>
      <c r="CK214" t="str">
        <f>A!CJ214</f>
        <v>urn:imsikb0101:DatastroomType:id:1</v>
      </c>
      <c r="CL214">
        <f>A!CK214</f>
        <v>45811</v>
      </c>
      <c r="CM214" t="str">
        <f>A!CL214</f>
        <v>SGS, Rotterdam</v>
      </c>
      <c r="CN214" t="str">
        <f>A!CM214</f>
        <v>LABRESULTAAT SGS</v>
      </c>
      <c r="CO214">
        <f>A!CN214</f>
        <v>45811</v>
      </c>
      <c r="CP214">
        <f>A!CO214</f>
        <v>0</v>
      </c>
      <c r="CQ214">
        <f>A!CO524</f>
        <v>0</v>
      </c>
      <c r="CR214" t="e">
        <f>A!#REF!</f>
        <v>#REF!</v>
      </c>
      <c r="CS214" t="e">
        <f>A!#REF!</f>
        <v>#REF!</v>
      </c>
    </row>
    <row r="215" spans="1:97" x14ac:dyDescent="0.2">
      <c r="A215" t="str">
        <f>A!A215</f>
        <v>LABRESULTAAT</v>
      </c>
      <c r="B215">
        <f>A!B215</f>
        <v>34</v>
      </c>
      <c r="C215" t="str">
        <f>A!C215</f>
        <v>_db14d09c-633a-443a-b078-3fd76b8b2e20</v>
      </c>
      <c r="D215" t="str">
        <f>A!D215</f>
        <v>db14d09c-633a-443a-b078-3fd76b8b2e20</v>
      </c>
      <c r="E215" t="str">
        <f>A!E215</f>
        <v>SIKB</v>
      </c>
      <c r="F215" t="str">
        <f>A!F215</f>
        <v>urn:immetingen:hoedanigheid:id:1</v>
      </c>
      <c r="G215" t="str">
        <f>A!G215</f>
        <v>www.sikb.nl</v>
      </c>
      <c r="H215" t="str">
        <f>A!H215</f>
        <v>urn:immetingen:parameter:id:441</v>
      </c>
      <c r="I215" t="str">
        <f>A!I215</f>
        <v>www.sikb.nl</v>
      </c>
      <c r="J215" t="str">
        <f>A!J215</f>
        <v>urn:immetingen:parameter:id:2725</v>
      </c>
      <c r="K215" t="str">
        <f>A!K215</f>
        <v>www.sikb.nl</v>
      </c>
      <c r="L215">
        <f>A!L215</f>
        <v>45811</v>
      </c>
      <c r="M215" t="str">
        <f>A!M215</f>
        <v>urn:immetingen:LabopdrachtStatus:id:5</v>
      </c>
      <c r="N215">
        <f>A!N215</f>
        <v>1</v>
      </c>
      <c r="O215">
        <f>A!O215</f>
        <v>1</v>
      </c>
      <c r="P215" s="32" t="str">
        <f>IF(A!P215="","",INDEX(B!$A$1:$BT$2000,MATCH(A!P215,B!$AX$1:$AX$2000,0),D!$B$5))</f>
        <v>MM05 04 (150-200) 05 (150-200)</v>
      </c>
      <c r="Q215">
        <f>A!Q215</f>
        <v>0</v>
      </c>
      <c r="R215">
        <f>A!R215</f>
        <v>0</v>
      </c>
      <c r="S215">
        <f>A!S215</f>
        <v>0</v>
      </c>
      <c r="T215" t="str">
        <f>A!T215</f>
        <v>immetingen:AnalyticResultType</v>
      </c>
      <c r="U215" t="str">
        <f>A!U215</f>
        <v>&lt;0.2 mg/kgds</v>
      </c>
      <c r="V215" s="32">
        <f>IF(A!V215="&lt;",1,A!V215)</f>
        <v>1</v>
      </c>
      <c r="W215">
        <f>A!W215</f>
        <v>0.2</v>
      </c>
      <c r="X215">
        <f>A!X215</f>
        <v>0.2</v>
      </c>
      <c r="Y215" t="str">
        <f>A!Y215</f>
        <v>urn:immetingen:eenheid:id:58</v>
      </c>
      <c r="Z215" s="32">
        <f t="shared" si="3"/>
        <v>58</v>
      </c>
      <c r="AA215" t="str">
        <f>A!Z215</f>
        <v>urn:immetingen:kwaliteitsoordeel:id:0</v>
      </c>
      <c r="AB215" t="str">
        <f>A!AA215</f>
        <v>www.sikb.nl</v>
      </c>
      <c r="AC215" t="str">
        <f>A!AB215</f>
        <v>urn:immetingen:waardebewerkingsmethode:id:5</v>
      </c>
      <c r="AD215" t="str">
        <f>A!AC215</f>
        <v>www.sikb.nl</v>
      </c>
      <c r="AE215" t="str">
        <f>A!AD215</f>
        <v>_106fea4d-652c-46c6-a8df-e79b61b8dc99</v>
      </c>
      <c r="AF215">
        <f>A!AE215</f>
        <v>45811.649583333332</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32"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t="str">
        <f>A!CI215</f>
        <v>urn:imsikb0101:Applicaties:id:16</v>
      </c>
      <c r="CK215" t="str">
        <f>A!CJ215</f>
        <v>urn:imsikb0101:DatastroomType:id:1</v>
      </c>
      <c r="CL215">
        <f>A!CK215</f>
        <v>45811</v>
      </c>
      <c r="CM215" t="str">
        <f>A!CL215</f>
        <v>SGS, Rotterdam</v>
      </c>
      <c r="CN215" t="str">
        <f>A!CM215</f>
        <v>LABRESULTAAT SGS</v>
      </c>
      <c r="CO215">
        <f>A!CN215</f>
        <v>45811</v>
      </c>
      <c r="CP215">
        <f>A!CO215</f>
        <v>0</v>
      </c>
      <c r="CQ215">
        <f>A!CO525</f>
        <v>0</v>
      </c>
      <c r="CR215" t="e">
        <f>A!#REF!</f>
        <v>#REF!</v>
      </c>
      <c r="CS215" t="e">
        <f>A!#REF!</f>
        <v>#REF!</v>
      </c>
    </row>
    <row r="216" spans="1:97" x14ac:dyDescent="0.2">
      <c r="A216" t="str">
        <f>A!A216</f>
        <v>LABRESULTAAT</v>
      </c>
      <c r="B216">
        <f>A!B216</f>
        <v>35</v>
      </c>
      <c r="C216" t="str">
        <f>A!C216</f>
        <v>_c911dc74-4552-4856-a7e6-b3fe5b1a951b</v>
      </c>
      <c r="D216" t="str">
        <f>A!D216</f>
        <v>c911dc74-4552-4856-a7e6-b3fe5b1a951b</v>
      </c>
      <c r="E216" t="str">
        <f>A!E216</f>
        <v>SIKB</v>
      </c>
      <c r="F216" t="str">
        <f>A!F216</f>
        <v>urn:immetingen:hoedanigheid:id:1</v>
      </c>
      <c r="G216" t="str">
        <f>A!G216</f>
        <v>www.sikb.nl</v>
      </c>
      <c r="H216" t="str">
        <f>A!H216</f>
        <v>urn:immetingen:parameter:id:527</v>
      </c>
      <c r="I216" t="str">
        <f>A!I216</f>
        <v>www.sikb.nl</v>
      </c>
      <c r="J216" t="str">
        <f>A!J216</f>
        <v>urn:immetingen:parameter:id:2725</v>
      </c>
      <c r="K216" t="str">
        <f>A!K216</f>
        <v>www.sikb.nl</v>
      </c>
      <c r="L216">
        <f>A!L216</f>
        <v>45811</v>
      </c>
      <c r="M216" t="str">
        <f>A!M216</f>
        <v>urn:immetingen:LabopdrachtStatus:id:5</v>
      </c>
      <c r="N216">
        <f>A!N216</f>
        <v>1</v>
      </c>
      <c r="O216">
        <f>A!O216</f>
        <v>1</v>
      </c>
      <c r="P216" s="32" t="str">
        <f>IF(A!P216="","",INDEX(B!$A$1:$BT$2000,MATCH(A!P216,B!$AX$1:$AX$2000,0),D!$B$5))</f>
        <v>MM05 04 (150-200) 05 (150-200)</v>
      </c>
      <c r="Q216">
        <f>A!Q216</f>
        <v>0</v>
      </c>
      <c r="R216">
        <f>A!R216</f>
        <v>0</v>
      </c>
      <c r="S216">
        <f>A!S216</f>
        <v>0</v>
      </c>
      <c r="T216" t="str">
        <f>A!T216</f>
        <v>immetingen:AnalyticResultType</v>
      </c>
      <c r="U216" t="str">
        <f>A!U216</f>
        <v>4.1 mg/kgds</v>
      </c>
      <c r="V216" s="32">
        <f>IF(A!V216="&lt;",1,A!V216)</f>
        <v>0</v>
      </c>
      <c r="W216">
        <f>A!W216</f>
        <v>4.0999999999999996</v>
      </c>
      <c r="X216">
        <f>A!X216</f>
        <v>4.0999999999999996</v>
      </c>
      <c r="Y216" t="str">
        <f>A!Y216</f>
        <v>urn:immetingen:eenheid:id:58</v>
      </c>
      <c r="Z216" s="32">
        <f t="shared" si="3"/>
        <v>58</v>
      </c>
      <c r="AA216" t="str">
        <f>A!Z216</f>
        <v>urn:immetingen:kwaliteitsoordeel:id:0</v>
      </c>
      <c r="AB216" t="str">
        <f>A!AA216</f>
        <v>www.sikb.nl</v>
      </c>
      <c r="AC216" t="str">
        <f>A!AB216</f>
        <v>urn:immetingen:waardebewerkingsmethode:id:5</v>
      </c>
      <c r="AD216" t="str">
        <f>A!AC216</f>
        <v>www.sikb.nl</v>
      </c>
      <c r="AE216" t="str">
        <f>A!AD216</f>
        <v>_13d94dc8-340b-41d2-a4a3-538a22c3513f</v>
      </c>
      <c r="AF216">
        <f>A!AE216</f>
        <v>45811.649583333332</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32"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t="str">
        <f>A!CI216</f>
        <v>urn:imsikb0101:Applicaties:id:16</v>
      </c>
      <c r="CK216" t="str">
        <f>A!CJ216</f>
        <v>urn:imsikb0101:DatastroomType:id:1</v>
      </c>
      <c r="CL216">
        <f>A!CK216</f>
        <v>45811</v>
      </c>
      <c r="CM216" t="str">
        <f>A!CL216</f>
        <v>SGS, Rotterdam</v>
      </c>
      <c r="CN216" t="str">
        <f>A!CM216</f>
        <v>LABRESULTAAT SGS</v>
      </c>
      <c r="CO216">
        <f>A!CN216</f>
        <v>45811</v>
      </c>
      <c r="CP216">
        <f>A!CO216</f>
        <v>0</v>
      </c>
      <c r="CQ216">
        <f>A!CO526</f>
        <v>0</v>
      </c>
      <c r="CR216" t="e">
        <f>A!#REF!</f>
        <v>#REF!</v>
      </c>
      <c r="CS216" t="e">
        <f>A!#REF!</f>
        <v>#REF!</v>
      </c>
    </row>
    <row r="217" spans="1:97" x14ac:dyDescent="0.2">
      <c r="A217" t="str">
        <f>A!A217</f>
        <v>LABRESULTAAT</v>
      </c>
      <c r="B217">
        <f>A!B217</f>
        <v>36</v>
      </c>
      <c r="C217" t="str">
        <f>A!C217</f>
        <v>_94eca948-f57d-4a1a-9f91-1f7b870b21cb</v>
      </c>
      <c r="D217" t="str">
        <f>A!D217</f>
        <v>94eca948-f57d-4a1a-9f91-1f7b870b21cb</v>
      </c>
      <c r="E217" t="str">
        <f>A!E217</f>
        <v>SIKB</v>
      </c>
      <c r="F217" t="str">
        <f>A!F217</f>
        <v>urn:immetingen:hoedanigheid:id:1</v>
      </c>
      <c r="G217" t="str">
        <f>A!G217</f>
        <v>www.sikb.nl</v>
      </c>
      <c r="H217" t="str">
        <f>A!H217</f>
        <v>urn:immetingen:parameter:id:971</v>
      </c>
      <c r="I217" t="str">
        <f>A!I217</f>
        <v>www.sikb.nl</v>
      </c>
      <c r="J217" t="str">
        <f>A!J217</f>
        <v>urn:immetingen:parameter:id:2725</v>
      </c>
      <c r="K217" t="str">
        <f>A!K217</f>
        <v>www.sikb.nl</v>
      </c>
      <c r="L217">
        <f>A!L217</f>
        <v>45811</v>
      </c>
      <c r="M217" t="str">
        <f>A!M217</f>
        <v>urn:immetingen:LabopdrachtStatus:id:5</v>
      </c>
      <c r="N217">
        <f>A!N217</f>
        <v>1</v>
      </c>
      <c r="O217">
        <f>A!O217</f>
        <v>1</v>
      </c>
      <c r="P217" s="32" t="str">
        <f>IF(A!P217="","",INDEX(B!$A$1:$BT$2000,MATCH(A!P217,B!$AX$1:$AX$2000,0),D!$B$5))</f>
        <v>MM05 04 (150-200) 05 (150-200)</v>
      </c>
      <c r="Q217">
        <f>A!Q217</f>
        <v>0</v>
      </c>
      <c r="R217">
        <f>A!R217</f>
        <v>0</v>
      </c>
      <c r="S217">
        <f>A!S217</f>
        <v>0</v>
      </c>
      <c r="T217" t="str">
        <f>A!T217</f>
        <v>immetingen:AnalyticResultType</v>
      </c>
      <c r="U217" t="str">
        <f>A!U217</f>
        <v>&lt;5 mg/kgds</v>
      </c>
      <c r="V217" s="32">
        <f>IF(A!V217="&lt;",1,A!V217)</f>
        <v>1</v>
      </c>
      <c r="W217">
        <f>A!W217</f>
        <v>5</v>
      </c>
      <c r="X217">
        <f>A!X217</f>
        <v>5</v>
      </c>
      <c r="Y217" t="str">
        <f>A!Y217</f>
        <v>urn:immetingen:eenheid:id:58</v>
      </c>
      <c r="Z217" s="32">
        <f t="shared" si="3"/>
        <v>58</v>
      </c>
      <c r="AA217" t="str">
        <f>A!Z217</f>
        <v>urn:immetingen:kwaliteitsoordeel:id:0</v>
      </c>
      <c r="AB217" t="str">
        <f>A!AA217</f>
        <v>www.sikb.nl</v>
      </c>
      <c r="AC217" t="str">
        <f>A!AB217</f>
        <v>urn:immetingen:waardebewerkingsmethode:id:5</v>
      </c>
      <c r="AD217" t="str">
        <f>A!AC217</f>
        <v>www.sikb.nl</v>
      </c>
      <c r="AE217" t="str">
        <f>A!AD217</f>
        <v>_fc87f458-9e37-4574-8c38-18ce814a7276</v>
      </c>
      <c r="AF217">
        <f>A!AE217</f>
        <v>45811.649583333332</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32"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t="str">
        <f>A!CI217</f>
        <v>urn:imsikb0101:Applicaties:id:16</v>
      </c>
      <c r="CK217" t="str">
        <f>A!CJ217</f>
        <v>urn:imsikb0101:DatastroomType:id:1</v>
      </c>
      <c r="CL217">
        <f>A!CK217</f>
        <v>45811</v>
      </c>
      <c r="CM217" t="str">
        <f>A!CL217</f>
        <v>SGS, Rotterdam</v>
      </c>
      <c r="CN217" t="str">
        <f>A!CM217</f>
        <v>LABRESULTAAT SGS</v>
      </c>
      <c r="CO217">
        <f>A!CN217</f>
        <v>45811</v>
      </c>
      <c r="CP217">
        <f>A!CO217</f>
        <v>0</v>
      </c>
      <c r="CQ217">
        <f>A!CO527</f>
        <v>0</v>
      </c>
      <c r="CR217" t="e">
        <f>A!#REF!</f>
        <v>#REF!</v>
      </c>
      <c r="CS217" t="e">
        <f>A!#REF!</f>
        <v>#REF!</v>
      </c>
    </row>
    <row r="218" spans="1:97" x14ac:dyDescent="0.2">
      <c r="A218" t="str">
        <f>A!A218</f>
        <v>LABRESULTAAT</v>
      </c>
      <c r="B218">
        <f>A!B218</f>
        <v>37</v>
      </c>
      <c r="C218" t="str">
        <f>A!C218</f>
        <v>_0731400c-fbb2-4b82-a9a0-e7066e7ef3b4</v>
      </c>
      <c r="D218" t="str">
        <f>A!D218</f>
        <v>0731400c-fbb2-4b82-a9a0-e7066e7ef3b4</v>
      </c>
      <c r="E218" t="str">
        <f>A!E218</f>
        <v>SIKB</v>
      </c>
      <c r="F218" t="str">
        <f>A!F218</f>
        <v>urn:immetingen:hoedanigheid:id:1</v>
      </c>
      <c r="G218" t="str">
        <f>A!G218</f>
        <v>www.sikb.nl</v>
      </c>
      <c r="H218" t="str">
        <f>A!H218</f>
        <v>urn:immetingen:parameter:id:1097</v>
      </c>
      <c r="I218" t="str">
        <f>A!I218</f>
        <v>www.sikb.nl</v>
      </c>
      <c r="J218" t="str">
        <f>A!J218</f>
        <v>urn:immetingen:parameter:id:2725</v>
      </c>
      <c r="K218" t="str">
        <f>A!K218</f>
        <v>www.sikb.nl</v>
      </c>
      <c r="L218">
        <f>A!L218</f>
        <v>45811</v>
      </c>
      <c r="M218" t="str">
        <f>A!M218</f>
        <v>urn:immetingen:LabopdrachtStatus:id:5</v>
      </c>
      <c r="N218">
        <f>A!N218</f>
        <v>1</v>
      </c>
      <c r="O218">
        <f>A!O218</f>
        <v>1</v>
      </c>
      <c r="P218" s="32" t="str">
        <f>IF(A!P218="","",INDEX(B!$A$1:$BT$2000,MATCH(A!P218,B!$AX$1:$AX$2000,0),D!$B$5))</f>
        <v>MM05 04 (150-200) 05 (150-200)</v>
      </c>
      <c r="Q218">
        <f>A!Q218</f>
        <v>0</v>
      </c>
      <c r="R218">
        <f>A!R218</f>
        <v>0</v>
      </c>
      <c r="S218">
        <f>A!S218</f>
        <v>0</v>
      </c>
      <c r="T218" t="str">
        <f>A!T218</f>
        <v>immetingen:AnalyticResultType</v>
      </c>
      <c r="U218" t="str">
        <f>A!U218</f>
        <v>&lt;0.05 mg/kgds</v>
      </c>
      <c r="V218" s="32">
        <f>IF(A!V218="&lt;",1,A!V218)</f>
        <v>1</v>
      </c>
      <c r="W218">
        <f>A!W218</f>
        <v>0.05</v>
      </c>
      <c r="X218">
        <f>A!X218</f>
        <v>0.05</v>
      </c>
      <c r="Y218" t="str">
        <f>A!Y218</f>
        <v>urn:immetingen:eenheid:id:58</v>
      </c>
      <c r="Z218" s="32">
        <f t="shared" si="3"/>
        <v>58</v>
      </c>
      <c r="AA218" t="str">
        <f>A!Z218</f>
        <v>urn:immetingen:kwaliteitsoordeel:id:0</v>
      </c>
      <c r="AB218" t="str">
        <f>A!AA218</f>
        <v>www.sikb.nl</v>
      </c>
      <c r="AC218" t="str">
        <f>A!AB218</f>
        <v>urn:immetingen:waardebewerkingsmethode:id:5</v>
      </c>
      <c r="AD218" t="str">
        <f>A!AC218</f>
        <v>www.sikb.nl</v>
      </c>
      <c r="AE218" t="str">
        <f>A!AD218</f>
        <v>_53c57913-7791-4458-8872-4cb22592fc7c</v>
      </c>
      <c r="AF218">
        <f>A!AE218</f>
        <v>45811.649583333332</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32"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t="str">
        <f>A!CI218</f>
        <v>urn:imsikb0101:Applicaties:id:16</v>
      </c>
      <c r="CK218" t="str">
        <f>A!CJ218</f>
        <v>urn:imsikb0101:DatastroomType:id:1</v>
      </c>
      <c r="CL218">
        <f>A!CK218</f>
        <v>45811</v>
      </c>
      <c r="CM218" t="str">
        <f>A!CL218</f>
        <v>SGS, Rotterdam</v>
      </c>
      <c r="CN218" t="str">
        <f>A!CM218</f>
        <v>LABRESULTAAT SGS</v>
      </c>
      <c r="CO218">
        <f>A!CN218</f>
        <v>45811</v>
      </c>
      <c r="CP218">
        <f>A!CO218</f>
        <v>0</v>
      </c>
      <c r="CQ218">
        <f>A!CO528</f>
        <v>0</v>
      </c>
      <c r="CR218" t="e">
        <f>A!#REF!</f>
        <v>#REF!</v>
      </c>
      <c r="CS218" t="e">
        <f>A!#REF!</f>
        <v>#REF!</v>
      </c>
    </row>
    <row r="219" spans="1:97" x14ac:dyDescent="0.2">
      <c r="A219" t="str">
        <f>A!A219</f>
        <v>LABRESULTAAT</v>
      </c>
      <c r="B219">
        <f>A!B219</f>
        <v>38</v>
      </c>
      <c r="C219" t="str">
        <f>A!C219</f>
        <v>_e2a740c4-bcc7-4f06-bee5-74d2df442db1</v>
      </c>
      <c r="D219" t="str">
        <f>A!D219</f>
        <v>e2a740c4-bcc7-4f06-bee5-74d2df442db1</v>
      </c>
      <c r="E219" t="str">
        <f>A!E219</f>
        <v>SIKB</v>
      </c>
      <c r="F219" t="str">
        <f>A!F219</f>
        <v>urn:immetingen:hoedanigheid:id:1</v>
      </c>
      <c r="G219" t="str">
        <f>A!G219</f>
        <v>www.sikb.nl</v>
      </c>
      <c r="H219" t="str">
        <f>A!H219</f>
        <v>urn:immetingen:parameter:id:1243</v>
      </c>
      <c r="I219" t="str">
        <f>A!I219</f>
        <v>www.sikb.nl</v>
      </c>
      <c r="J219" t="str">
        <f>A!J219</f>
        <v>urn:immetingen:parameter:id:2725</v>
      </c>
      <c r="K219" t="str">
        <f>A!K219</f>
        <v>www.sikb.nl</v>
      </c>
      <c r="L219">
        <f>A!L219</f>
        <v>45811</v>
      </c>
      <c r="M219" t="str">
        <f>A!M219</f>
        <v>urn:immetingen:LabopdrachtStatus:id:5</v>
      </c>
      <c r="N219">
        <f>A!N219</f>
        <v>1</v>
      </c>
      <c r="O219">
        <f>A!O219</f>
        <v>1</v>
      </c>
      <c r="P219" s="32" t="str">
        <f>IF(A!P219="","",INDEX(B!$A$1:$BT$2000,MATCH(A!P219,B!$AX$1:$AX$2000,0),D!$B$5))</f>
        <v>MM05 04 (150-200) 05 (150-200)</v>
      </c>
      <c r="Q219">
        <f>A!Q219</f>
        <v>0</v>
      </c>
      <c r="R219">
        <f>A!R219</f>
        <v>0</v>
      </c>
      <c r="S219">
        <f>A!S219</f>
        <v>0</v>
      </c>
      <c r="T219" t="str">
        <f>A!T219</f>
        <v>immetingen:AnalyticResultType</v>
      </c>
      <c r="U219" t="str">
        <f>A!U219</f>
        <v>&lt;1.5 mg/kgds</v>
      </c>
      <c r="V219" s="32">
        <f>IF(A!V219="&lt;",1,A!V219)</f>
        <v>1</v>
      </c>
      <c r="W219">
        <f>A!W219</f>
        <v>1.5</v>
      </c>
      <c r="X219">
        <f>A!X219</f>
        <v>1.5</v>
      </c>
      <c r="Y219" t="str">
        <f>A!Y219</f>
        <v>urn:immetingen:eenheid:id:58</v>
      </c>
      <c r="Z219" s="32">
        <f t="shared" si="3"/>
        <v>58</v>
      </c>
      <c r="AA219" t="str">
        <f>A!Z219</f>
        <v>urn:immetingen:kwaliteitsoordeel:id:0</v>
      </c>
      <c r="AB219" t="str">
        <f>A!AA219</f>
        <v>www.sikb.nl</v>
      </c>
      <c r="AC219" t="str">
        <f>A!AB219</f>
        <v>urn:immetingen:waardebewerkingsmethode:id:5</v>
      </c>
      <c r="AD219" t="str">
        <f>A!AC219</f>
        <v>www.sikb.nl</v>
      </c>
      <c r="AE219" t="str">
        <f>A!AD219</f>
        <v>_190f9d09-1024-44c7-bd08-5e95e17da5fc</v>
      </c>
      <c r="AF219">
        <f>A!AE219</f>
        <v>45811.649583333332</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32"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t="str">
        <f>A!CI219</f>
        <v>urn:imsikb0101:Applicaties:id:16</v>
      </c>
      <c r="CK219" t="str">
        <f>A!CJ219</f>
        <v>urn:imsikb0101:DatastroomType:id:1</v>
      </c>
      <c r="CL219">
        <f>A!CK219</f>
        <v>45811</v>
      </c>
      <c r="CM219" t="str">
        <f>A!CL219</f>
        <v>SGS, Rotterdam</v>
      </c>
      <c r="CN219" t="str">
        <f>A!CM219</f>
        <v>LABRESULTAAT SGS</v>
      </c>
      <c r="CO219">
        <f>A!CN219</f>
        <v>45811</v>
      </c>
      <c r="CP219">
        <f>A!CO219</f>
        <v>0</v>
      </c>
      <c r="CQ219">
        <f>A!CO529</f>
        <v>0</v>
      </c>
      <c r="CR219" t="e">
        <f>A!#REF!</f>
        <v>#REF!</v>
      </c>
      <c r="CS219" t="e">
        <f>A!#REF!</f>
        <v>#REF!</v>
      </c>
    </row>
    <row r="220" spans="1:97" x14ac:dyDescent="0.2">
      <c r="A220" t="str">
        <f>A!A220</f>
        <v>LABRESULTAAT</v>
      </c>
      <c r="B220">
        <f>A!B220</f>
        <v>39</v>
      </c>
      <c r="C220" t="str">
        <f>A!C220</f>
        <v>_89d4fc7d-9715-4687-8abf-8127b9c44bf9</v>
      </c>
      <c r="D220" t="str">
        <f>A!D220</f>
        <v>89d4fc7d-9715-4687-8abf-8127b9c44bf9</v>
      </c>
      <c r="E220" t="str">
        <f>A!E220</f>
        <v>SIKB</v>
      </c>
      <c r="F220" t="str">
        <f>A!F220</f>
        <v>urn:immetingen:hoedanigheid:id:1</v>
      </c>
      <c r="G220" t="str">
        <f>A!G220</f>
        <v>www.sikb.nl</v>
      </c>
      <c r="H220" t="str">
        <f>A!H220</f>
        <v>urn:immetingen:parameter:id:1267</v>
      </c>
      <c r="I220" t="str">
        <f>A!I220</f>
        <v>www.sikb.nl</v>
      </c>
      <c r="J220" t="str">
        <f>A!J220</f>
        <v>urn:immetingen:parameter:id:2725</v>
      </c>
      <c r="K220" t="str">
        <f>A!K220</f>
        <v>www.sikb.nl</v>
      </c>
      <c r="L220">
        <f>A!L220</f>
        <v>45811</v>
      </c>
      <c r="M220" t="str">
        <f>A!M220</f>
        <v>urn:immetingen:LabopdrachtStatus:id:5</v>
      </c>
      <c r="N220">
        <f>A!N220</f>
        <v>1</v>
      </c>
      <c r="O220">
        <f>A!O220</f>
        <v>1</v>
      </c>
      <c r="P220" s="32" t="str">
        <f>IF(A!P220="","",INDEX(B!$A$1:$BT$2000,MATCH(A!P220,B!$AX$1:$AX$2000,0),D!$B$5))</f>
        <v>MM05 04 (150-200) 05 (150-200)</v>
      </c>
      <c r="Q220">
        <f>A!Q220</f>
        <v>0</v>
      </c>
      <c r="R220">
        <f>A!R220</f>
        <v>0</v>
      </c>
      <c r="S220">
        <f>A!S220</f>
        <v>0</v>
      </c>
      <c r="T220" t="str">
        <f>A!T220</f>
        <v>immetingen:AnalyticResultType</v>
      </c>
      <c r="U220" t="str">
        <f>A!U220</f>
        <v>13 mg/kgds</v>
      </c>
      <c r="V220" s="32">
        <f>IF(A!V220="&lt;",1,A!V220)</f>
        <v>0</v>
      </c>
      <c r="W220">
        <f>A!W220</f>
        <v>13</v>
      </c>
      <c r="X220">
        <f>A!X220</f>
        <v>13</v>
      </c>
      <c r="Y220" t="str">
        <f>A!Y220</f>
        <v>urn:immetingen:eenheid:id:58</v>
      </c>
      <c r="Z220" s="32">
        <f t="shared" si="3"/>
        <v>58</v>
      </c>
      <c r="AA220" t="str">
        <f>A!Z220</f>
        <v>urn:immetingen:kwaliteitsoordeel:id:0</v>
      </c>
      <c r="AB220" t="str">
        <f>A!AA220</f>
        <v>www.sikb.nl</v>
      </c>
      <c r="AC220" t="str">
        <f>A!AB220</f>
        <v>urn:immetingen:waardebewerkingsmethode:id:5</v>
      </c>
      <c r="AD220" t="str">
        <f>A!AC220</f>
        <v>www.sikb.nl</v>
      </c>
      <c r="AE220" t="str">
        <f>A!AD220</f>
        <v>_53010179-0764-48f1-b129-21bcb03bba25</v>
      </c>
      <c r="AF220">
        <f>A!AE220</f>
        <v>45811.649583333332</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32"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t="str">
        <f>A!CI220</f>
        <v>urn:imsikb0101:Applicaties:id:16</v>
      </c>
      <c r="CK220" t="str">
        <f>A!CJ220</f>
        <v>urn:imsikb0101:DatastroomType:id:1</v>
      </c>
      <c r="CL220">
        <f>A!CK220</f>
        <v>45811</v>
      </c>
      <c r="CM220" t="str">
        <f>A!CL220</f>
        <v>SGS, Rotterdam</v>
      </c>
      <c r="CN220" t="str">
        <f>A!CM220</f>
        <v>LABRESULTAAT SGS</v>
      </c>
      <c r="CO220">
        <f>A!CN220</f>
        <v>45811</v>
      </c>
      <c r="CP220">
        <f>A!CO220</f>
        <v>0</v>
      </c>
      <c r="CQ220">
        <f>A!CO530</f>
        <v>0</v>
      </c>
      <c r="CR220" t="e">
        <f>A!#REF!</f>
        <v>#REF!</v>
      </c>
      <c r="CS220" t="e">
        <f>A!#REF!</f>
        <v>#REF!</v>
      </c>
    </row>
    <row r="221" spans="1:97" x14ac:dyDescent="0.2">
      <c r="A221" t="str">
        <f>A!A221</f>
        <v>LABRESULTAAT</v>
      </c>
      <c r="B221">
        <f>A!B221</f>
        <v>40</v>
      </c>
      <c r="C221" t="str">
        <f>A!C221</f>
        <v>_1e356a8d-880e-4f71-ba7c-b2ae1769eb4c</v>
      </c>
      <c r="D221" t="str">
        <f>A!D221</f>
        <v>1e356a8d-880e-4f71-ba7c-b2ae1769eb4c</v>
      </c>
      <c r="E221" t="str">
        <f>A!E221</f>
        <v>SIKB</v>
      </c>
      <c r="F221" t="str">
        <f>A!F221</f>
        <v>urn:immetingen:hoedanigheid:id:1</v>
      </c>
      <c r="G221" t="str">
        <f>A!G221</f>
        <v>www.sikb.nl</v>
      </c>
      <c r="H221" t="str">
        <f>A!H221</f>
        <v>urn:immetingen:parameter:id:1116</v>
      </c>
      <c r="I221" t="str">
        <f>A!I221</f>
        <v>www.sikb.nl</v>
      </c>
      <c r="J221" t="str">
        <f>A!J221</f>
        <v>urn:immetingen:parameter:id:2725</v>
      </c>
      <c r="K221" t="str">
        <f>A!K221</f>
        <v>www.sikb.nl</v>
      </c>
      <c r="L221">
        <f>A!L221</f>
        <v>45811</v>
      </c>
      <c r="M221" t="str">
        <f>A!M221</f>
        <v>urn:immetingen:LabopdrachtStatus:id:5</v>
      </c>
      <c r="N221">
        <f>A!N221</f>
        <v>1</v>
      </c>
      <c r="O221">
        <f>A!O221</f>
        <v>1</v>
      </c>
      <c r="P221" s="32" t="str">
        <f>IF(A!P221="","",INDEX(B!$A$1:$BT$2000,MATCH(A!P221,B!$AX$1:$AX$2000,0),D!$B$5))</f>
        <v>MM05 04 (150-200) 05 (150-200)</v>
      </c>
      <c r="Q221">
        <f>A!Q221</f>
        <v>0</v>
      </c>
      <c r="R221">
        <f>A!R221</f>
        <v>0</v>
      </c>
      <c r="S221">
        <f>A!S221</f>
        <v>0</v>
      </c>
      <c r="T221" t="str">
        <f>A!T221</f>
        <v>immetingen:AnalyticResultType</v>
      </c>
      <c r="U221" t="str">
        <f>A!U221</f>
        <v>&lt;10 mg/kgds</v>
      </c>
      <c r="V221" s="32">
        <f>IF(A!V221="&lt;",1,A!V221)</f>
        <v>1</v>
      </c>
      <c r="W221">
        <f>A!W221</f>
        <v>10</v>
      </c>
      <c r="X221">
        <f>A!X221</f>
        <v>10</v>
      </c>
      <c r="Y221" t="str">
        <f>A!Y221</f>
        <v>urn:immetingen:eenheid:id:58</v>
      </c>
      <c r="Z221" s="32">
        <f t="shared" si="3"/>
        <v>58</v>
      </c>
      <c r="AA221" t="str">
        <f>A!Z221</f>
        <v>urn:immetingen:kwaliteitsoordeel:id:0</v>
      </c>
      <c r="AB221" t="str">
        <f>A!AA221</f>
        <v>www.sikb.nl</v>
      </c>
      <c r="AC221" t="str">
        <f>A!AB221</f>
        <v>urn:immetingen:waardebewerkingsmethode:id:5</v>
      </c>
      <c r="AD221" t="str">
        <f>A!AC221</f>
        <v>www.sikb.nl</v>
      </c>
      <c r="AE221" t="str">
        <f>A!AD221</f>
        <v>_98b4ac51-cfe6-4643-a010-eb90fe8f2150</v>
      </c>
      <c r="AF221">
        <f>A!AE221</f>
        <v>45811.649583333332</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32"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t="str">
        <f>A!CI221</f>
        <v>urn:imsikb0101:Applicaties:id:16</v>
      </c>
      <c r="CK221" t="str">
        <f>A!CJ221</f>
        <v>urn:imsikb0101:DatastroomType:id:1</v>
      </c>
      <c r="CL221">
        <f>A!CK221</f>
        <v>45811</v>
      </c>
      <c r="CM221" t="str">
        <f>A!CL221</f>
        <v>SGS, Rotterdam</v>
      </c>
      <c r="CN221" t="str">
        <f>A!CM221</f>
        <v>LABRESULTAAT SGS</v>
      </c>
      <c r="CO221">
        <f>A!CN221</f>
        <v>45811</v>
      </c>
      <c r="CP221">
        <f>A!CO221</f>
        <v>0</v>
      </c>
      <c r="CQ221">
        <f>A!CO531</f>
        <v>0</v>
      </c>
      <c r="CR221" t="e">
        <f>A!#REF!</f>
        <v>#REF!</v>
      </c>
      <c r="CS221" t="e">
        <f>A!#REF!</f>
        <v>#REF!</v>
      </c>
    </row>
    <row r="222" spans="1:97" x14ac:dyDescent="0.2">
      <c r="A222" t="str">
        <f>A!A222</f>
        <v>LABRESULTAAT</v>
      </c>
      <c r="B222">
        <f>A!B222</f>
        <v>41</v>
      </c>
      <c r="C222" t="str">
        <f>A!C222</f>
        <v>_b99065b0-ca05-4476-9762-bf8a7f484436</v>
      </c>
      <c r="D222" t="str">
        <f>A!D222</f>
        <v>b99065b0-ca05-4476-9762-bf8a7f484436</v>
      </c>
      <c r="E222" t="str">
        <f>A!E222</f>
        <v>SIKB</v>
      </c>
      <c r="F222" t="str">
        <f>A!F222</f>
        <v>urn:immetingen:hoedanigheid:id:1</v>
      </c>
      <c r="G222" t="str">
        <f>A!G222</f>
        <v>www.sikb.nl</v>
      </c>
      <c r="H222" t="str">
        <f>A!H222</f>
        <v>urn:immetingen:parameter:id:5996</v>
      </c>
      <c r="I222" t="str">
        <f>A!I222</f>
        <v>www.sikb.nl</v>
      </c>
      <c r="J222" t="str">
        <f>A!J222</f>
        <v>urn:immetingen:parameter:id:2725</v>
      </c>
      <c r="K222" t="str">
        <f>A!K222</f>
        <v>www.sikb.nl</v>
      </c>
      <c r="L222">
        <f>A!L222</f>
        <v>45811</v>
      </c>
      <c r="M222" t="str">
        <f>A!M222</f>
        <v>urn:immetingen:LabopdrachtStatus:id:5</v>
      </c>
      <c r="N222">
        <f>A!N222</f>
        <v>1</v>
      </c>
      <c r="O222">
        <f>A!O222</f>
        <v>1</v>
      </c>
      <c r="P222" s="32" t="str">
        <f>IF(A!P222="","",INDEX(B!$A$1:$BT$2000,MATCH(A!P222,B!$AX$1:$AX$2000,0),D!$B$5))</f>
        <v>MM05 04 (150-200) 05 (150-200)</v>
      </c>
      <c r="Q222">
        <f>A!Q222</f>
        <v>0</v>
      </c>
      <c r="R222">
        <f>A!R222</f>
        <v>0</v>
      </c>
      <c r="S222">
        <f>A!S222</f>
        <v>0</v>
      </c>
      <c r="T222" t="str">
        <f>A!T222</f>
        <v>immetingen:AnalyticResultType</v>
      </c>
      <c r="U222" t="str">
        <f>A!U222</f>
        <v>&lt;0.1 µg/kgds</v>
      </c>
      <c r="V222" s="32">
        <f>IF(A!V222="&lt;",1,A!V222)</f>
        <v>1</v>
      </c>
      <c r="W222">
        <f>A!W222</f>
        <v>0.1</v>
      </c>
      <c r="X222">
        <f>A!X222</f>
        <v>0.1</v>
      </c>
      <c r="Y222" t="str">
        <f>A!Y222</f>
        <v>urn:immetingen:eenheid:id:131</v>
      </c>
      <c r="Z222" s="32">
        <f t="shared" si="3"/>
        <v>131</v>
      </c>
      <c r="AA222" t="str">
        <f>A!Z222</f>
        <v>urn:immetingen:kwaliteitsoordeel:id:0</v>
      </c>
      <c r="AB222" t="str">
        <f>A!AA222</f>
        <v>www.sikb.nl</v>
      </c>
      <c r="AC222" t="str">
        <f>A!AB222</f>
        <v>urn:immetingen:waardebewerkingsmethode:id:5</v>
      </c>
      <c r="AD222" t="str">
        <f>A!AC222</f>
        <v>www.sikb.nl</v>
      </c>
      <c r="AE222" t="str">
        <f>A!AD222</f>
        <v>_056d9bf9-3c42-4f96-8cb3-383c2c4c8426</v>
      </c>
      <c r="AF222">
        <f>A!AE222</f>
        <v>45811.618148148147</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32"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t="str">
        <f>A!CI222</f>
        <v>urn:imsikb0101:Applicaties:id:16</v>
      </c>
      <c r="CK222" t="str">
        <f>A!CJ222</f>
        <v>urn:imsikb0101:DatastroomType:id:1</v>
      </c>
      <c r="CL222">
        <f>A!CK222</f>
        <v>45811</v>
      </c>
      <c r="CM222" t="str">
        <f>A!CL222</f>
        <v>SGS, Rotterdam</v>
      </c>
      <c r="CN222" t="str">
        <f>A!CM222</f>
        <v>LABRESULTAAT SGS</v>
      </c>
      <c r="CO222">
        <f>A!CN222</f>
        <v>45811</v>
      </c>
      <c r="CP222">
        <f>A!CO222</f>
        <v>0</v>
      </c>
      <c r="CQ222">
        <f>A!CO532</f>
        <v>0</v>
      </c>
      <c r="CR222" t="e">
        <f>A!#REF!</f>
        <v>#REF!</v>
      </c>
      <c r="CS222" t="e">
        <f>A!#REF!</f>
        <v>#REF!</v>
      </c>
    </row>
    <row r="223" spans="1:97" x14ac:dyDescent="0.2">
      <c r="A223" t="str">
        <f>A!A223</f>
        <v>LABRESULTAAT</v>
      </c>
      <c r="B223">
        <f>A!B223</f>
        <v>42</v>
      </c>
      <c r="C223" t="str">
        <f>A!C223</f>
        <v>_9bf33ea0-7dc1-4cac-809e-0e488916c9a6</v>
      </c>
      <c r="D223" t="str">
        <f>A!D223</f>
        <v>9bf33ea0-7dc1-4cac-809e-0e488916c9a6</v>
      </c>
      <c r="E223" t="str">
        <f>A!E223</f>
        <v>SIKB</v>
      </c>
      <c r="F223" t="str">
        <f>A!F223</f>
        <v>urn:immetingen:hoedanigheid:id:1</v>
      </c>
      <c r="G223" t="str">
        <f>A!G223</f>
        <v>www.sikb.nl</v>
      </c>
      <c r="H223" t="str">
        <f>A!H223</f>
        <v>urn:immetingen:parameter:id:5517</v>
      </c>
      <c r="I223" t="str">
        <f>A!I223</f>
        <v>www.sikb.nl</v>
      </c>
      <c r="J223" t="str">
        <f>A!J223</f>
        <v>urn:immetingen:parameter:id:2725</v>
      </c>
      <c r="K223" t="str">
        <f>A!K223</f>
        <v>www.sikb.nl</v>
      </c>
      <c r="L223">
        <f>A!L223</f>
        <v>45811</v>
      </c>
      <c r="M223" t="str">
        <f>A!M223</f>
        <v>urn:immetingen:LabopdrachtStatus:id:5</v>
      </c>
      <c r="N223">
        <f>A!N223</f>
        <v>1</v>
      </c>
      <c r="O223">
        <f>A!O223</f>
        <v>1</v>
      </c>
      <c r="P223" s="32" t="str">
        <f>IF(A!P223="","",INDEX(B!$A$1:$BT$2000,MATCH(A!P223,B!$AX$1:$AX$2000,0),D!$B$5))</f>
        <v>MM05 04 (150-200) 05 (150-200)</v>
      </c>
      <c r="Q223">
        <f>A!Q223</f>
        <v>0</v>
      </c>
      <c r="R223">
        <f>A!R223</f>
        <v>0</v>
      </c>
      <c r="S223">
        <f>A!S223</f>
        <v>0</v>
      </c>
      <c r="T223" t="str">
        <f>A!T223</f>
        <v>immetingen:AnalyticResultType</v>
      </c>
      <c r="U223" t="str">
        <f>A!U223</f>
        <v>&lt;0.1 µg/kgds</v>
      </c>
      <c r="V223" s="32">
        <f>IF(A!V223="&lt;",1,A!V223)</f>
        <v>1</v>
      </c>
      <c r="W223">
        <f>A!W223</f>
        <v>0.1</v>
      </c>
      <c r="X223">
        <f>A!X223</f>
        <v>0.1</v>
      </c>
      <c r="Y223" t="str">
        <f>A!Y223</f>
        <v>urn:immetingen:eenheid:id:131</v>
      </c>
      <c r="Z223" s="32">
        <f t="shared" si="3"/>
        <v>131</v>
      </c>
      <c r="AA223" t="str">
        <f>A!Z223</f>
        <v>urn:immetingen:kwaliteitsoordeel:id:0</v>
      </c>
      <c r="AB223" t="str">
        <f>A!AA223</f>
        <v>www.sikb.nl</v>
      </c>
      <c r="AC223" t="str">
        <f>A!AB223</f>
        <v>urn:immetingen:waardebewerkingsmethode:id:5</v>
      </c>
      <c r="AD223" t="str">
        <f>A!AC223</f>
        <v>www.sikb.nl</v>
      </c>
      <c r="AE223" t="str">
        <f>A!AD223</f>
        <v>_91aa7c4f-52dd-458a-a957-687d2a2121d8</v>
      </c>
      <c r="AF223">
        <f>A!AE223</f>
        <v>45811.618148148147</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32"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t="str">
        <f>A!CI223</f>
        <v>urn:imsikb0101:Applicaties:id:16</v>
      </c>
      <c r="CK223" t="str">
        <f>A!CJ223</f>
        <v>urn:imsikb0101:DatastroomType:id:1</v>
      </c>
      <c r="CL223">
        <f>A!CK223</f>
        <v>45811</v>
      </c>
      <c r="CM223" t="str">
        <f>A!CL223</f>
        <v>SGS, Rotterdam</v>
      </c>
      <c r="CN223" t="str">
        <f>A!CM223</f>
        <v>LABRESULTAAT SGS</v>
      </c>
      <c r="CO223">
        <f>A!CN223</f>
        <v>45811</v>
      </c>
      <c r="CP223">
        <f>A!CO223</f>
        <v>0</v>
      </c>
      <c r="CQ223">
        <f>A!CO533</f>
        <v>0</v>
      </c>
      <c r="CR223" t="e">
        <f>A!#REF!</f>
        <v>#REF!</v>
      </c>
      <c r="CS223" t="e">
        <f>A!#REF!</f>
        <v>#REF!</v>
      </c>
    </row>
    <row r="224" spans="1:97" x14ac:dyDescent="0.2">
      <c r="A224" t="str">
        <f>A!A224</f>
        <v>LABRESULTAAT</v>
      </c>
      <c r="B224">
        <f>A!B224</f>
        <v>43</v>
      </c>
      <c r="C224" t="str">
        <f>A!C224</f>
        <v>_eda1819c-3eb2-4492-b4b8-de2a07a4caf7</v>
      </c>
      <c r="D224" t="str">
        <f>A!D224</f>
        <v>eda1819c-3eb2-4492-b4b8-de2a07a4caf7</v>
      </c>
      <c r="E224" t="str">
        <f>A!E224</f>
        <v>SIKB</v>
      </c>
      <c r="F224" t="str">
        <f>A!F224</f>
        <v>urn:immetingen:hoedanigheid:id:1</v>
      </c>
      <c r="G224" t="str">
        <f>A!G224</f>
        <v>www.sikb.nl</v>
      </c>
      <c r="H224" t="str">
        <f>A!H224</f>
        <v>urn:immetingen:parameter:id:5830</v>
      </c>
      <c r="I224" t="str">
        <f>A!I224</f>
        <v>www.sikb.nl</v>
      </c>
      <c r="J224" t="str">
        <f>A!J224</f>
        <v>urn:immetingen:parameter:id:2725</v>
      </c>
      <c r="K224" t="str">
        <f>A!K224</f>
        <v>www.sikb.nl</v>
      </c>
      <c r="L224">
        <f>A!L224</f>
        <v>45811</v>
      </c>
      <c r="M224" t="str">
        <f>A!M224</f>
        <v>urn:immetingen:LabopdrachtStatus:id:5</v>
      </c>
      <c r="N224">
        <f>A!N224</f>
        <v>1</v>
      </c>
      <c r="O224">
        <f>A!O224</f>
        <v>1</v>
      </c>
      <c r="P224" s="32" t="str">
        <f>IF(A!P224="","",INDEX(B!$A$1:$BT$2000,MATCH(A!P224,B!$AX$1:$AX$2000,0),D!$B$5))</f>
        <v>MM05 04 (150-200) 05 (150-200)</v>
      </c>
      <c r="Q224">
        <f>A!Q224</f>
        <v>0</v>
      </c>
      <c r="R224">
        <f>A!R224</f>
        <v>0</v>
      </c>
      <c r="S224">
        <f>A!S224</f>
        <v>0</v>
      </c>
      <c r="T224" t="str">
        <f>A!T224</f>
        <v>immetingen:AnalyticResultType</v>
      </c>
      <c r="U224" t="str">
        <f>A!U224</f>
        <v>&lt;0.1 µg/kgds</v>
      </c>
      <c r="V224" s="32">
        <f>IF(A!V224="&lt;",1,A!V224)</f>
        <v>1</v>
      </c>
      <c r="W224">
        <f>A!W224</f>
        <v>0.1</v>
      </c>
      <c r="X224">
        <f>A!X224</f>
        <v>0.1</v>
      </c>
      <c r="Y224" t="str">
        <f>A!Y224</f>
        <v>urn:immetingen:eenheid:id:131</v>
      </c>
      <c r="Z224" s="32">
        <f t="shared" si="3"/>
        <v>131</v>
      </c>
      <c r="AA224" t="str">
        <f>A!Z224</f>
        <v>urn:immetingen:kwaliteitsoordeel:id:0</v>
      </c>
      <c r="AB224" t="str">
        <f>A!AA224</f>
        <v>www.sikb.nl</v>
      </c>
      <c r="AC224" t="str">
        <f>A!AB224</f>
        <v>urn:immetingen:waardebewerkingsmethode:id:5</v>
      </c>
      <c r="AD224" t="str">
        <f>A!AC224</f>
        <v>www.sikb.nl</v>
      </c>
      <c r="AE224" t="str">
        <f>A!AD224</f>
        <v>_ebe190bf-18a6-4fe8-bf9a-699e13ea1e7e</v>
      </c>
      <c r="AF224">
        <f>A!AE224</f>
        <v>45811.618148148147</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32"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t="str">
        <f>A!CI224</f>
        <v>urn:imsikb0101:Applicaties:id:16</v>
      </c>
      <c r="CK224" t="str">
        <f>A!CJ224</f>
        <v>urn:imsikb0101:DatastroomType:id:1</v>
      </c>
      <c r="CL224">
        <f>A!CK224</f>
        <v>45811</v>
      </c>
      <c r="CM224" t="str">
        <f>A!CL224</f>
        <v>SGS, Rotterdam</v>
      </c>
      <c r="CN224" t="str">
        <f>A!CM224</f>
        <v>LABRESULTAAT SGS</v>
      </c>
      <c r="CO224">
        <f>A!CN224</f>
        <v>45811</v>
      </c>
      <c r="CP224">
        <f>A!CO224</f>
        <v>0</v>
      </c>
      <c r="CQ224">
        <f>A!CO534</f>
        <v>0</v>
      </c>
      <c r="CR224" t="e">
        <f>A!#REF!</f>
        <v>#REF!</v>
      </c>
      <c r="CS224" t="e">
        <f>A!#REF!</f>
        <v>#REF!</v>
      </c>
    </row>
    <row r="225" spans="1:97" x14ac:dyDescent="0.2">
      <c r="A225" t="str">
        <f>A!A225</f>
        <v>LABRESULTAAT</v>
      </c>
      <c r="B225">
        <f>A!B225</f>
        <v>44</v>
      </c>
      <c r="C225" t="str">
        <f>A!C225</f>
        <v>_dc72abff-785f-447f-95a9-b4f036a7079b</v>
      </c>
      <c r="D225" t="str">
        <f>A!D225</f>
        <v>dc72abff-785f-447f-95a9-b4f036a7079b</v>
      </c>
      <c r="E225" t="str">
        <f>A!E225</f>
        <v>SIKB</v>
      </c>
      <c r="F225" t="str">
        <f>A!F225</f>
        <v>urn:immetingen:hoedanigheid:id:1</v>
      </c>
      <c r="G225" t="str">
        <f>A!G225</f>
        <v>www.sikb.nl</v>
      </c>
      <c r="H225" t="str">
        <f>A!H225</f>
        <v>urn:immetingen:parameter:id:3895</v>
      </c>
      <c r="I225" t="str">
        <f>A!I225</f>
        <v>www.sikb.nl</v>
      </c>
      <c r="J225" t="str">
        <f>A!J225</f>
        <v>urn:immetingen:parameter:id:2725</v>
      </c>
      <c r="K225" t="str">
        <f>A!K225</f>
        <v>www.sikb.nl</v>
      </c>
      <c r="L225">
        <f>A!L225</f>
        <v>45811</v>
      </c>
      <c r="M225" t="str">
        <f>A!M225</f>
        <v>urn:immetingen:LabopdrachtStatus:id:5</v>
      </c>
      <c r="N225">
        <f>A!N225</f>
        <v>1</v>
      </c>
      <c r="O225">
        <f>A!O225</f>
        <v>1</v>
      </c>
      <c r="P225" s="32" t="str">
        <f>IF(A!P225="","",INDEX(B!$A$1:$BT$2000,MATCH(A!P225,B!$AX$1:$AX$2000,0),D!$B$5))</f>
        <v>MM05 04 (150-200) 05 (150-200)</v>
      </c>
      <c r="Q225">
        <f>A!Q225</f>
        <v>0</v>
      </c>
      <c r="R225">
        <f>A!R225</f>
        <v>0</v>
      </c>
      <c r="S225">
        <f>A!S225</f>
        <v>0</v>
      </c>
      <c r="T225" t="str">
        <f>A!T225</f>
        <v>immetingen:AnalyticResultType</v>
      </c>
      <c r="U225" t="str">
        <f>A!U225</f>
        <v>&lt;0.1 µg/kgds</v>
      </c>
      <c r="V225" s="32">
        <f>IF(A!V225="&lt;",1,A!V225)</f>
        <v>1</v>
      </c>
      <c r="W225">
        <f>A!W225</f>
        <v>0.1</v>
      </c>
      <c r="X225">
        <f>A!X225</f>
        <v>0.1</v>
      </c>
      <c r="Y225" t="str">
        <f>A!Y225</f>
        <v>urn:immetingen:eenheid:id:131</v>
      </c>
      <c r="Z225" s="32">
        <f t="shared" si="3"/>
        <v>131</v>
      </c>
      <c r="AA225" t="str">
        <f>A!Z225</f>
        <v>urn:immetingen:kwaliteitsoordeel:id:0</v>
      </c>
      <c r="AB225" t="str">
        <f>A!AA225</f>
        <v>www.sikb.nl</v>
      </c>
      <c r="AC225" t="str">
        <f>A!AB225</f>
        <v>urn:immetingen:waardebewerkingsmethode:id:5</v>
      </c>
      <c r="AD225" t="str">
        <f>A!AC225</f>
        <v>www.sikb.nl</v>
      </c>
      <c r="AE225" t="str">
        <f>A!AD225</f>
        <v>_bb119942-aaa6-449f-a164-10687cff45ff</v>
      </c>
      <c r="AF225">
        <f>A!AE225</f>
        <v>45811.618148148147</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32"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t="str">
        <f>A!CI225</f>
        <v>urn:imsikb0101:Applicaties:id:16</v>
      </c>
      <c r="CK225" t="str">
        <f>A!CJ225</f>
        <v>urn:imsikb0101:DatastroomType:id:1</v>
      </c>
      <c r="CL225">
        <f>A!CK225</f>
        <v>45811</v>
      </c>
      <c r="CM225" t="str">
        <f>A!CL225</f>
        <v>SGS, Rotterdam</v>
      </c>
      <c r="CN225" t="str">
        <f>A!CM225</f>
        <v>LABRESULTAAT SGS</v>
      </c>
      <c r="CO225">
        <f>A!CN225</f>
        <v>45811</v>
      </c>
      <c r="CP225">
        <f>A!CO225</f>
        <v>0</v>
      </c>
      <c r="CQ225">
        <f>A!CO535</f>
        <v>0</v>
      </c>
      <c r="CR225" t="e">
        <f>A!#REF!</f>
        <v>#REF!</v>
      </c>
      <c r="CS225" t="e">
        <f>A!#REF!</f>
        <v>#REF!</v>
      </c>
    </row>
    <row r="226" spans="1:97" x14ac:dyDescent="0.2">
      <c r="A226" t="str">
        <f>A!A226</f>
        <v>LABRESULTAAT</v>
      </c>
      <c r="B226">
        <f>A!B226</f>
        <v>45</v>
      </c>
      <c r="C226" t="str">
        <f>A!C226</f>
        <v>_809c8c7c-1dd2-441a-a0c4-b0e5e962e18f</v>
      </c>
      <c r="D226" t="str">
        <f>A!D226</f>
        <v>809c8c7c-1dd2-441a-a0c4-b0e5e962e18f</v>
      </c>
      <c r="E226" t="str">
        <f>A!E226</f>
        <v>SIKB</v>
      </c>
      <c r="F226" t="str">
        <f>A!F226</f>
        <v>urn:immetingen:hoedanigheid:id:1</v>
      </c>
      <c r="G226" t="str">
        <f>A!G226</f>
        <v>www.sikb.nl</v>
      </c>
      <c r="H226" t="str">
        <f>A!H226</f>
        <v>urn:immetingen:parameter:id:4437</v>
      </c>
      <c r="I226" t="str">
        <f>A!I226</f>
        <v>www.sikb.nl</v>
      </c>
      <c r="J226" t="str">
        <f>A!J226</f>
        <v>urn:immetingen:parameter:id:2725</v>
      </c>
      <c r="K226" t="str">
        <f>A!K226</f>
        <v>www.sikb.nl</v>
      </c>
      <c r="L226">
        <f>A!L226</f>
        <v>45811</v>
      </c>
      <c r="M226" t="str">
        <f>A!M226</f>
        <v>urn:immetingen:LabopdrachtStatus:id:5</v>
      </c>
      <c r="N226">
        <f>A!N226</f>
        <v>1</v>
      </c>
      <c r="O226">
        <f>A!O226</f>
        <v>1</v>
      </c>
      <c r="P226" s="32" t="str">
        <f>IF(A!P226="","",INDEX(B!$A$1:$BT$2000,MATCH(A!P226,B!$AX$1:$AX$2000,0),D!$B$5))</f>
        <v>MM05 04 (150-200) 05 (150-200)</v>
      </c>
      <c r="Q226">
        <f>A!Q226</f>
        <v>0</v>
      </c>
      <c r="R226">
        <f>A!R226</f>
        <v>0</v>
      </c>
      <c r="S226">
        <f>A!S226</f>
        <v>0</v>
      </c>
      <c r="T226" t="str">
        <f>A!T226</f>
        <v>immetingen:AnalyticResultType</v>
      </c>
      <c r="U226" t="str">
        <f>A!U226</f>
        <v>&lt;0.1 µg/kgds</v>
      </c>
      <c r="V226" s="32">
        <f>IF(A!V226="&lt;",1,A!V226)</f>
        <v>1</v>
      </c>
      <c r="W226">
        <f>A!W226</f>
        <v>0.1</v>
      </c>
      <c r="X226">
        <f>A!X226</f>
        <v>0.1</v>
      </c>
      <c r="Y226" t="str">
        <f>A!Y226</f>
        <v>urn:immetingen:eenheid:id:131</v>
      </c>
      <c r="Z226" s="32">
        <f t="shared" si="3"/>
        <v>131</v>
      </c>
      <c r="AA226" t="str">
        <f>A!Z226</f>
        <v>urn:immetingen:kwaliteitsoordeel:id:0</v>
      </c>
      <c r="AB226" t="str">
        <f>A!AA226</f>
        <v>www.sikb.nl</v>
      </c>
      <c r="AC226" t="str">
        <f>A!AB226</f>
        <v>urn:immetingen:waardebewerkingsmethode:id:5</v>
      </c>
      <c r="AD226" t="str">
        <f>A!AC226</f>
        <v>www.sikb.nl</v>
      </c>
      <c r="AE226" t="str">
        <f>A!AD226</f>
        <v>_ff243617-83d9-427b-bb25-a67f6f72a06f</v>
      </c>
      <c r="AF226">
        <f>A!AE226</f>
        <v>45811.618136574078</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32"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t="str">
        <f>A!CI226</f>
        <v>urn:imsikb0101:Applicaties:id:16</v>
      </c>
      <c r="CK226" t="str">
        <f>A!CJ226</f>
        <v>urn:imsikb0101:DatastroomType:id:1</v>
      </c>
      <c r="CL226">
        <f>A!CK226</f>
        <v>45811</v>
      </c>
      <c r="CM226" t="str">
        <f>A!CL226</f>
        <v>SGS, Rotterdam</v>
      </c>
      <c r="CN226" t="str">
        <f>A!CM226</f>
        <v>LABRESULTAAT SGS</v>
      </c>
      <c r="CO226">
        <f>A!CN226</f>
        <v>45811</v>
      </c>
      <c r="CP226">
        <f>A!CO226</f>
        <v>0</v>
      </c>
      <c r="CQ226">
        <f>A!CO536</f>
        <v>0</v>
      </c>
      <c r="CR226" t="e">
        <f>A!#REF!</f>
        <v>#REF!</v>
      </c>
      <c r="CS226" t="e">
        <f>A!#REF!</f>
        <v>#REF!</v>
      </c>
    </row>
    <row r="227" spans="1:97" x14ac:dyDescent="0.2">
      <c r="A227" t="str">
        <f>A!A227</f>
        <v>LABRESULTAAT</v>
      </c>
      <c r="B227">
        <f>A!B227</f>
        <v>46</v>
      </c>
      <c r="C227" t="str">
        <f>A!C227</f>
        <v>_e67e612e-698d-4c27-aed5-46e57f6404a2</v>
      </c>
      <c r="D227" t="str">
        <f>A!D227</f>
        <v>e67e612e-698d-4c27-aed5-46e57f6404a2</v>
      </c>
      <c r="E227" t="str">
        <f>A!E227</f>
        <v>SIKB</v>
      </c>
      <c r="F227" t="str">
        <f>A!F227</f>
        <v>urn:immetingen:hoedanigheid:id:1</v>
      </c>
      <c r="G227" t="str">
        <f>A!G227</f>
        <v>www.sikb.nl</v>
      </c>
      <c r="H227" t="str">
        <f>A!H227</f>
        <v>urn:immetingen:parameter:id:3898</v>
      </c>
      <c r="I227" t="str">
        <f>A!I227</f>
        <v>www.sikb.nl</v>
      </c>
      <c r="J227" t="str">
        <f>A!J227</f>
        <v>urn:immetingen:parameter:id:2725</v>
      </c>
      <c r="K227" t="str">
        <f>A!K227</f>
        <v>www.sikb.nl</v>
      </c>
      <c r="L227">
        <f>A!L227</f>
        <v>45811</v>
      </c>
      <c r="M227" t="str">
        <f>A!M227</f>
        <v>urn:immetingen:LabopdrachtStatus:id:5</v>
      </c>
      <c r="N227">
        <f>A!N227</f>
        <v>1</v>
      </c>
      <c r="O227">
        <f>A!O227</f>
        <v>1</v>
      </c>
      <c r="P227" s="32" t="str">
        <f>IF(A!P227="","",INDEX(B!$A$1:$BT$2000,MATCH(A!P227,B!$AX$1:$AX$2000,0),D!$B$5))</f>
        <v>MM05 04 (150-200) 05 (150-200)</v>
      </c>
      <c r="Q227">
        <f>A!Q227</f>
        <v>0</v>
      </c>
      <c r="R227">
        <f>A!R227</f>
        <v>0</v>
      </c>
      <c r="S227">
        <f>A!S227</f>
        <v>0</v>
      </c>
      <c r="T227" t="str">
        <f>A!T227</f>
        <v>immetingen:AnalyticResultType</v>
      </c>
      <c r="U227" t="str">
        <f>A!U227</f>
        <v>&lt;0.1 µg/kgds</v>
      </c>
      <c r="V227" s="32">
        <f>IF(A!V227="&lt;",1,A!V227)</f>
        <v>1</v>
      </c>
      <c r="W227">
        <f>A!W227</f>
        <v>0.1</v>
      </c>
      <c r="X227">
        <f>A!X227</f>
        <v>0.1</v>
      </c>
      <c r="Y227" t="str">
        <f>A!Y227</f>
        <v>urn:immetingen:eenheid:id:131</v>
      </c>
      <c r="Z227" s="32">
        <f t="shared" si="3"/>
        <v>131</v>
      </c>
      <c r="AA227" t="str">
        <f>A!Z227</f>
        <v>urn:immetingen:kwaliteitsoordeel:id:0</v>
      </c>
      <c r="AB227" t="str">
        <f>A!AA227</f>
        <v>www.sikb.nl</v>
      </c>
      <c r="AC227" t="str">
        <f>A!AB227</f>
        <v>urn:immetingen:waardebewerkingsmethode:id:5</v>
      </c>
      <c r="AD227" t="str">
        <f>A!AC227</f>
        <v>www.sikb.nl</v>
      </c>
      <c r="AE227" t="str">
        <f>A!AD227</f>
        <v>_06c9a3d6-07e8-4908-be10-2be66f067bd9</v>
      </c>
      <c r="AF227">
        <f>A!AE227</f>
        <v>45811.618148148147</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32"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t="str">
        <f>A!CI227</f>
        <v>urn:imsikb0101:Applicaties:id:16</v>
      </c>
      <c r="CK227" t="str">
        <f>A!CJ227</f>
        <v>urn:imsikb0101:DatastroomType:id:1</v>
      </c>
      <c r="CL227">
        <f>A!CK227</f>
        <v>45811</v>
      </c>
      <c r="CM227" t="str">
        <f>A!CL227</f>
        <v>SGS, Rotterdam</v>
      </c>
      <c r="CN227" t="str">
        <f>A!CM227</f>
        <v>LABRESULTAAT SGS</v>
      </c>
      <c r="CO227">
        <f>A!CN227</f>
        <v>45811</v>
      </c>
      <c r="CP227">
        <f>A!CO227</f>
        <v>0</v>
      </c>
      <c r="CQ227">
        <f>A!CO537</f>
        <v>0</v>
      </c>
      <c r="CR227" t="e">
        <f>A!#REF!</f>
        <v>#REF!</v>
      </c>
      <c r="CS227" t="e">
        <f>A!#REF!</f>
        <v>#REF!</v>
      </c>
    </row>
    <row r="228" spans="1:97" x14ac:dyDescent="0.2">
      <c r="A228" t="str">
        <f>A!A228</f>
        <v>LABRESULTAAT</v>
      </c>
      <c r="B228">
        <f>A!B228</f>
        <v>47</v>
      </c>
      <c r="C228" t="str">
        <f>A!C228</f>
        <v>_bb1046c7-0391-40b7-9454-f37a3bb162ea</v>
      </c>
      <c r="D228" t="str">
        <f>A!D228</f>
        <v>bb1046c7-0391-40b7-9454-f37a3bb162ea</v>
      </c>
      <c r="E228" t="str">
        <f>A!E228</f>
        <v>SIKB</v>
      </c>
      <c r="F228" t="str">
        <f>A!F228</f>
        <v>urn:immetingen:hoedanigheid:id:1</v>
      </c>
      <c r="G228" t="str">
        <f>A!G228</f>
        <v>www.sikb.nl</v>
      </c>
      <c r="H228" t="str">
        <f>A!H228</f>
        <v>urn:immetingen:parameter:id:4438</v>
      </c>
      <c r="I228" t="str">
        <f>A!I228</f>
        <v>www.sikb.nl</v>
      </c>
      <c r="J228" t="str">
        <f>A!J228</f>
        <v>urn:immetingen:parameter:id:2725</v>
      </c>
      <c r="K228" t="str">
        <f>A!K228</f>
        <v>www.sikb.nl</v>
      </c>
      <c r="L228">
        <f>A!L228</f>
        <v>45811</v>
      </c>
      <c r="M228" t="str">
        <f>A!M228</f>
        <v>urn:immetingen:LabopdrachtStatus:id:5</v>
      </c>
      <c r="N228">
        <f>A!N228</f>
        <v>1</v>
      </c>
      <c r="O228">
        <f>A!O228</f>
        <v>1</v>
      </c>
      <c r="P228" s="32" t="str">
        <f>IF(A!P228="","",INDEX(B!$A$1:$BT$2000,MATCH(A!P228,B!$AX$1:$AX$2000,0),D!$B$5))</f>
        <v>MM05 04 (150-200) 05 (150-200)</v>
      </c>
      <c r="Q228">
        <f>A!Q228</f>
        <v>0</v>
      </c>
      <c r="R228">
        <f>A!R228</f>
        <v>0</v>
      </c>
      <c r="S228">
        <f>A!S228</f>
        <v>0</v>
      </c>
      <c r="T228" t="str">
        <f>A!T228</f>
        <v>immetingen:AnalyticResultType</v>
      </c>
      <c r="U228" t="str">
        <f>A!U228</f>
        <v>&lt;0.1 µg/kgds</v>
      </c>
      <c r="V228" s="32">
        <f>IF(A!V228="&lt;",1,A!V228)</f>
        <v>1</v>
      </c>
      <c r="W228">
        <f>A!W228</f>
        <v>0.1</v>
      </c>
      <c r="X228">
        <f>A!X228</f>
        <v>0.1</v>
      </c>
      <c r="Y228" t="str">
        <f>A!Y228</f>
        <v>urn:immetingen:eenheid:id:131</v>
      </c>
      <c r="Z228" s="32">
        <f t="shared" si="3"/>
        <v>131</v>
      </c>
      <c r="AA228" t="str">
        <f>A!Z228</f>
        <v>urn:immetingen:kwaliteitsoordeel:id:0</v>
      </c>
      <c r="AB228" t="str">
        <f>A!AA228</f>
        <v>www.sikb.nl</v>
      </c>
      <c r="AC228" t="str">
        <f>A!AB228</f>
        <v>urn:immetingen:waardebewerkingsmethode:id:5</v>
      </c>
      <c r="AD228" t="str">
        <f>A!AC228</f>
        <v>www.sikb.nl</v>
      </c>
      <c r="AE228" t="str">
        <f>A!AD228</f>
        <v>_d0943890-6031-4e45-85ef-464201b44b3f</v>
      </c>
      <c r="AF228">
        <f>A!AE228</f>
        <v>45811.618136574078</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32"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t="str">
        <f>A!CI228</f>
        <v>urn:imsikb0101:Applicaties:id:16</v>
      </c>
      <c r="CK228" t="str">
        <f>A!CJ228</f>
        <v>urn:imsikb0101:DatastroomType:id:1</v>
      </c>
      <c r="CL228">
        <f>A!CK228</f>
        <v>45811</v>
      </c>
      <c r="CM228" t="str">
        <f>A!CL228</f>
        <v>SGS, Rotterdam</v>
      </c>
      <c r="CN228" t="str">
        <f>A!CM228</f>
        <v>LABRESULTAAT SGS</v>
      </c>
      <c r="CO228">
        <f>A!CN228</f>
        <v>45811</v>
      </c>
      <c r="CP228">
        <f>A!CO228</f>
        <v>0</v>
      </c>
      <c r="CQ228">
        <f>A!CO538</f>
        <v>0</v>
      </c>
      <c r="CR228" t="e">
        <f>A!#REF!</f>
        <v>#REF!</v>
      </c>
      <c r="CS228" t="e">
        <f>A!#REF!</f>
        <v>#REF!</v>
      </c>
    </row>
    <row r="229" spans="1:97" x14ac:dyDescent="0.2">
      <c r="A229" t="str">
        <f>A!A229</f>
        <v>LABRESULTAAT</v>
      </c>
      <c r="B229">
        <f>A!B229</f>
        <v>48</v>
      </c>
      <c r="C229" t="str">
        <f>A!C229</f>
        <v>_1644c892-1342-4cef-b31a-75f1295dcd33</v>
      </c>
      <c r="D229" t="str">
        <f>A!D229</f>
        <v>1644c892-1342-4cef-b31a-75f1295dcd33</v>
      </c>
      <c r="E229" t="str">
        <f>A!E229</f>
        <v>SIKB</v>
      </c>
      <c r="F229" t="str">
        <f>A!F229</f>
        <v>urn:immetingen:hoedanigheid:id:1</v>
      </c>
      <c r="G229" t="str">
        <f>A!G229</f>
        <v>www.sikb.nl</v>
      </c>
      <c r="H229" t="str">
        <f>A!H229</f>
        <v>urn:immetingen:parameter:id:4439</v>
      </c>
      <c r="I229" t="str">
        <f>A!I229</f>
        <v>www.sikb.nl</v>
      </c>
      <c r="J229" t="str">
        <f>A!J229</f>
        <v>urn:immetingen:parameter:id:2725</v>
      </c>
      <c r="K229" t="str">
        <f>A!K229</f>
        <v>www.sikb.nl</v>
      </c>
      <c r="L229">
        <f>A!L229</f>
        <v>45811</v>
      </c>
      <c r="M229" t="str">
        <f>A!M229</f>
        <v>urn:immetingen:LabopdrachtStatus:id:5</v>
      </c>
      <c r="N229">
        <f>A!N229</f>
        <v>1</v>
      </c>
      <c r="O229">
        <f>A!O229</f>
        <v>1</v>
      </c>
      <c r="P229" s="32" t="str">
        <f>IF(A!P229="","",INDEX(B!$A$1:$BT$2000,MATCH(A!P229,B!$AX$1:$AX$2000,0),D!$B$5))</f>
        <v>MM05 04 (150-200) 05 (150-200)</v>
      </c>
      <c r="Q229">
        <f>A!Q229</f>
        <v>0</v>
      </c>
      <c r="R229">
        <f>A!R229</f>
        <v>0</v>
      </c>
      <c r="S229">
        <f>A!S229</f>
        <v>0</v>
      </c>
      <c r="T229" t="str">
        <f>A!T229</f>
        <v>immetingen:AnalyticResultType</v>
      </c>
      <c r="U229" t="str">
        <f>A!U229</f>
        <v>&lt;0.1 µg/kgds</v>
      </c>
      <c r="V229" s="32">
        <f>IF(A!V229="&lt;",1,A!V229)</f>
        <v>1</v>
      </c>
      <c r="W229">
        <f>A!W229</f>
        <v>0.1</v>
      </c>
      <c r="X229">
        <f>A!X229</f>
        <v>0.1</v>
      </c>
      <c r="Y229" t="str">
        <f>A!Y229</f>
        <v>urn:immetingen:eenheid:id:131</v>
      </c>
      <c r="Z229" s="32">
        <f t="shared" si="3"/>
        <v>131</v>
      </c>
      <c r="AA229" t="str">
        <f>A!Z229</f>
        <v>urn:immetingen:kwaliteitsoordeel:id:0</v>
      </c>
      <c r="AB229" t="str">
        <f>A!AA229</f>
        <v>www.sikb.nl</v>
      </c>
      <c r="AC229" t="str">
        <f>A!AB229</f>
        <v>urn:immetingen:waardebewerkingsmethode:id:5</v>
      </c>
      <c r="AD229" t="str">
        <f>A!AC229</f>
        <v>www.sikb.nl</v>
      </c>
      <c r="AE229" t="str">
        <f>A!AD229</f>
        <v>_e12a81bc-89e2-4a5c-931c-1e0f1e036ee8</v>
      </c>
      <c r="AF229">
        <f>A!AE229</f>
        <v>45811.618148148147</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32"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t="str">
        <f>A!CI229</f>
        <v>urn:imsikb0101:Applicaties:id:16</v>
      </c>
      <c r="CK229" t="str">
        <f>A!CJ229</f>
        <v>urn:imsikb0101:DatastroomType:id:1</v>
      </c>
      <c r="CL229">
        <f>A!CK229</f>
        <v>45811</v>
      </c>
      <c r="CM229" t="str">
        <f>A!CL229</f>
        <v>SGS, Rotterdam</v>
      </c>
      <c r="CN229" t="str">
        <f>A!CM229</f>
        <v>LABRESULTAAT SGS</v>
      </c>
      <c r="CO229">
        <f>A!CN229</f>
        <v>45811</v>
      </c>
      <c r="CP229">
        <f>A!CO229</f>
        <v>0</v>
      </c>
      <c r="CQ229">
        <f>A!CO539</f>
        <v>0</v>
      </c>
      <c r="CR229" t="e">
        <f>A!#REF!</f>
        <v>#REF!</v>
      </c>
      <c r="CS229" t="e">
        <f>A!#REF!</f>
        <v>#REF!</v>
      </c>
    </row>
    <row r="230" spans="1:97" x14ac:dyDescent="0.2">
      <c r="A230" t="str">
        <f>A!A230</f>
        <v>LABRESULTAAT</v>
      </c>
      <c r="B230">
        <f>A!B230</f>
        <v>49</v>
      </c>
      <c r="C230" t="str">
        <f>A!C230</f>
        <v>_8f7c2bed-654b-4b7b-bf6e-db5e07d64523</v>
      </c>
      <c r="D230" t="str">
        <f>A!D230</f>
        <v>8f7c2bed-654b-4b7b-bf6e-db5e07d64523</v>
      </c>
      <c r="E230" t="str">
        <f>A!E230</f>
        <v>SIKB</v>
      </c>
      <c r="F230" t="str">
        <f>A!F230</f>
        <v>urn:immetingen:hoedanigheid:id:1</v>
      </c>
      <c r="G230" t="str">
        <f>A!G230</f>
        <v>www.sikb.nl</v>
      </c>
      <c r="H230" t="str">
        <f>A!H230</f>
        <v>urn:immetingen:parameter:id:3931</v>
      </c>
      <c r="I230" t="str">
        <f>A!I230</f>
        <v>www.sikb.nl</v>
      </c>
      <c r="J230" t="str">
        <f>A!J230</f>
        <v>urn:immetingen:parameter:id:2725</v>
      </c>
      <c r="K230" t="str">
        <f>A!K230</f>
        <v>www.sikb.nl</v>
      </c>
      <c r="L230">
        <f>A!L230</f>
        <v>45811</v>
      </c>
      <c r="M230" t="str">
        <f>A!M230</f>
        <v>urn:immetingen:LabopdrachtStatus:id:5</v>
      </c>
      <c r="N230">
        <f>A!N230</f>
        <v>1</v>
      </c>
      <c r="O230">
        <f>A!O230</f>
        <v>1</v>
      </c>
      <c r="P230" s="32" t="str">
        <f>IF(A!P230="","",INDEX(B!$A$1:$BT$2000,MATCH(A!P230,B!$AX$1:$AX$2000,0),D!$B$5))</f>
        <v>MM05 04 (150-200) 05 (150-200)</v>
      </c>
      <c r="Q230">
        <f>A!Q230</f>
        <v>0</v>
      </c>
      <c r="R230">
        <f>A!R230</f>
        <v>0</v>
      </c>
      <c r="S230">
        <f>A!S230</f>
        <v>0</v>
      </c>
      <c r="T230" t="str">
        <f>A!T230</f>
        <v>immetingen:AnalyticResultType</v>
      </c>
      <c r="U230" t="str">
        <f>A!U230</f>
        <v>&lt;0.1 µg/kgds</v>
      </c>
      <c r="V230" s="32">
        <f>IF(A!V230="&lt;",1,A!V230)</f>
        <v>1</v>
      </c>
      <c r="W230">
        <f>A!W230</f>
        <v>0.1</v>
      </c>
      <c r="X230">
        <f>A!X230</f>
        <v>0.1</v>
      </c>
      <c r="Y230" t="str">
        <f>A!Y230</f>
        <v>urn:immetingen:eenheid:id:131</v>
      </c>
      <c r="Z230" s="32">
        <f t="shared" si="3"/>
        <v>131</v>
      </c>
      <c r="AA230" t="str">
        <f>A!Z230</f>
        <v>urn:immetingen:kwaliteitsoordeel:id:0</v>
      </c>
      <c r="AB230" t="str">
        <f>A!AA230</f>
        <v>www.sikb.nl</v>
      </c>
      <c r="AC230" t="str">
        <f>A!AB230</f>
        <v>urn:immetingen:waardebewerkingsmethode:id:5</v>
      </c>
      <c r="AD230" t="str">
        <f>A!AC230</f>
        <v>www.sikb.nl</v>
      </c>
      <c r="AE230" t="str">
        <f>A!AD230</f>
        <v>_3a4161db-6b5b-4b3c-8f51-dadaf0cab858</v>
      </c>
      <c r="AF230">
        <f>A!AE230</f>
        <v>45811.618148148147</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32"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t="str">
        <f>A!CI230</f>
        <v>urn:imsikb0101:Applicaties:id:16</v>
      </c>
      <c r="CK230" t="str">
        <f>A!CJ230</f>
        <v>urn:imsikb0101:DatastroomType:id:1</v>
      </c>
      <c r="CL230">
        <f>A!CK230</f>
        <v>45811</v>
      </c>
      <c r="CM230" t="str">
        <f>A!CL230</f>
        <v>SGS, Rotterdam</v>
      </c>
      <c r="CN230" t="str">
        <f>A!CM230</f>
        <v>LABRESULTAAT SGS</v>
      </c>
      <c r="CO230">
        <f>A!CN230</f>
        <v>45811</v>
      </c>
      <c r="CP230">
        <f>A!CO230</f>
        <v>0</v>
      </c>
      <c r="CQ230">
        <f>A!CO540</f>
        <v>0</v>
      </c>
      <c r="CR230" t="e">
        <f>A!#REF!</f>
        <v>#REF!</v>
      </c>
      <c r="CS230" t="e">
        <f>A!#REF!</f>
        <v>#REF!</v>
      </c>
    </row>
    <row r="231" spans="1:97" x14ac:dyDescent="0.2">
      <c r="A231" t="str">
        <f>A!A231</f>
        <v>LABRESULTAAT</v>
      </c>
      <c r="B231">
        <f>A!B231</f>
        <v>50</v>
      </c>
      <c r="C231" t="str">
        <f>A!C231</f>
        <v>_996174d8-b5c7-4e07-b97a-be789db1bce8</v>
      </c>
      <c r="D231" t="str">
        <f>A!D231</f>
        <v>996174d8-b5c7-4e07-b97a-be789db1bce8</v>
      </c>
      <c r="E231" t="str">
        <f>A!E231</f>
        <v>SIKB</v>
      </c>
      <c r="F231" t="str">
        <f>A!F231</f>
        <v>urn:immetingen:hoedanigheid:id:1</v>
      </c>
      <c r="G231" t="str">
        <f>A!G231</f>
        <v>www.sikb.nl</v>
      </c>
      <c r="H231" t="str">
        <f>A!H231</f>
        <v>urn:immetingen:parameter:id:4440</v>
      </c>
      <c r="I231" t="str">
        <f>A!I231</f>
        <v>www.sikb.nl</v>
      </c>
      <c r="J231" t="str">
        <f>A!J231</f>
        <v>urn:immetingen:parameter:id:2725</v>
      </c>
      <c r="K231" t="str">
        <f>A!K231</f>
        <v>www.sikb.nl</v>
      </c>
      <c r="L231">
        <f>A!L231</f>
        <v>45811</v>
      </c>
      <c r="M231" t="str">
        <f>A!M231</f>
        <v>urn:immetingen:LabopdrachtStatus:id:5</v>
      </c>
      <c r="N231">
        <f>A!N231</f>
        <v>1</v>
      </c>
      <c r="O231">
        <f>A!O231</f>
        <v>1</v>
      </c>
      <c r="P231" s="32" t="str">
        <f>IF(A!P231="","",INDEX(B!$A$1:$BT$2000,MATCH(A!P231,B!$AX$1:$AX$2000,0),D!$B$5))</f>
        <v>MM05 04 (150-200) 05 (150-200)</v>
      </c>
      <c r="Q231">
        <f>A!Q231</f>
        <v>0</v>
      </c>
      <c r="R231">
        <f>A!R231</f>
        <v>0</v>
      </c>
      <c r="S231">
        <f>A!S231</f>
        <v>0</v>
      </c>
      <c r="T231" t="str">
        <f>A!T231</f>
        <v>immetingen:AnalyticResultType</v>
      </c>
      <c r="U231" t="str">
        <f>A!U231</f>
        <v>&lt;0.1 µg/kgds</v>
      </c>
      <c r="V231" s="32">
        <f>IF(A!V231="&lt;",1,A!V231)</f>
        <v>1</v>
      </c>
      <c r="W231">
        <f>A!W231</f>
        <v>0.1</v>
      </c>
      <c r="X231">
        <f>A!X231</f>
        <v>0.1</v>
      </c>
      <c r="Y231" t="str">
        <f>A!Y231</f>
        <v>urn:immetingen:eenheid:id:131</v>
      </c>
      <c r="Z231" s="32">
        <f t="shared" si="3"/>
        <v>131</v>
      </c>
      <c r="AA231" t="str">
        <f>A!Z231</f>
        <v>urn:immetingen:kwaliteitsoordeel:id:0</v>
      </c>
      <c r="AB231" t="str">
        <f>A!AA231</f>
        <v>www.sikb.nl</v>
      </c>
      <c r="AC231" t="str">
        <f>A!AB231</f>
        <v>urn:immetingen:waardebewerkingsmethode:id:5</v>
      </c>
      <c r="AD231" t="str">
        <f>A!AC231</f>
        <v>www.sikb.nl</v>
      </c>
      <c r="AE231" t="str">
        <f>A!AD231</f>
        <v>_bf31c90a-81df-42c1-9d89-7048ee4893bc</v>
      </c>
      <c r="AF231">
        <f>A!AE231</f>
        <v>45811.618136574078</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32"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t="str">
        <f>A!CI231</f>
        <v>urn:imsikb0101:Applicaties:id:16</v>
      </c>
      <c r="CK231" t="str">
        <f>A!CJ231</f>
        <v>urn:imsikb0101:DatastroomType:id:1</v>
      </c>
      <c r="CL231">
        <f>A!CK231</f>
        <v>45811</v>
      </c>
      <c r="CM231" t="str">
        <f>A!CL231</f>
        <v>SGS, Rotterdam</v>
      </c>
      <c r="CN231" t="str">
        <f>A!CM231</f>
        <v>LABRESULTAAT SGS</v>
      </c>
      <c r="CO231">
        <f>A!CN231</f>
        <v>45811</v>
      </c>
      <c r="CP231">
        <f>A!CO231</f>
        <v>0</v>
      </c>
      <c r="CQ231">
        <f>A!CO541</f>
        <v>0</v>
      </c>
      <c r="CR231" t="e">
        <f>A!#REF!</f>
        <v>#REF!</v>
      </c>
      <c r="CS231" t="e">
        <f>A!#REF!</f>
        <v>#REF!</v>
      </c>
    </row>
    <row r="232" spans="1:97" x14ac:dyDescent="0.2">
      <c r="A232" t="str">
        <f>A!A232</f>
        <v>LABRESULTAAT</v>
      </c>
      <c r="B232">
        <f>A!B232</f>
        <v>51</v>
      </c>
      <c r="C232" t="str">
        <f>A!C232</f>
        <v>_0cb6fa0b-22ca-4356-9ab1-82745d943625</v>
      </c>
      <c r="D232" t="str">
        <f>A!D232</f>
        <v>0cb6fa0b-22ca-4356-9ab1-82745d943625</v>
      </c>
      <c r="E232" t="str">
        <f>A!E232</f>
        <v>SIKB</v>
      </c>
      <c r="F232" t="str">
        <f>A!F232</f>
        <v>urn:immetingen:hoedanigheid:id:1</v>
      </c>
      <c r="G232" t="str">
        <f>A!G232</f>
        <v>www.sikb.nl</v>
      </c>
      <c r="H232" t="str">
        <f>A!H232</f>
        <v>urn:immetingen:parameter:id:3932</v>
      </c>
      <c r="I232" t="str">
        <f>A!I232</f>
        <v>www.sikb.nl</v>
      </c>
      <c r="J232" t="str">
        <f>A!J232</f>
        <v>urn:immetingen:parameter:id:2725</v>
      </c>
      <c r="K232" t="str">
        <f>A!K232</f>
        <v>www.sikb.nl</v>
      </c>
      <c r="L232">
        <f>A!L232</f>
        <v>45811</v>
      </c>
      <c r="M232" t="str">
        <f>A!M232</f>
        <v>urn:immetingen:LabopdrachtStatus:id:5</v>
      </c>
      <c r="N232">
        <f>A!N232</f>
        <v>1</v>
      </c>
      <c r="O232">
        <f>A!O232</f>
        <v>1</v>
      </c>
      <c r="P232" s="32" t="str">
        <f>IF(A!P232="","",INDEX(B!$A$1:$BT$2000,MATCH(A!P232,B!$AX$1:$AX$2000,0),D!$B$5))</f>
        <v>MM05 04 (150-200) 05 (150-200)</v>
      </c>
      <c r="Q232">
        <f>A!Q232</f>
        <v>0</v>
      </c>
      <c r="R232">
        <f>A!R232</f>
        <v>0</v>
      </c>
      <c r="S232">
        <f>A!S232</f>
        <v>0</v>
      </c>
      <c r="T232" t="str">
        <f>A!T232</f>
        <v>immetingen:AnalyticResultType</v>
      </c>
      <c r="U232" t="str">
        <f>A!U232</f>
        <v>&lt;0.1 µg/kgds</v>
      </c>
      <c r="V232" s="32">
        <f>IF(A!V232="&lt;",1,A!V232)</f>
        <v>1</v>
      </c>
      <c r="W232">
        <f>A!W232</f>
        <v>0.1</v>
      </c>
      <c r="X232">
        <f>A!X232</f>
        <v>0.1</v>
      </c>
      <c r="Y232" t="str">
        <f>A!Y232</f>
        <v>urn:immetingen:eenheid:id:131</v>
      </c>
      <c r="Z232" s="32">
        <f t="shared" si="3"/>
        <v>131</v>
      </c>
      <c r="AA232" t="str">
        <f>A!Z232</f>
        <v>urn:immetingen:kwaliteitsoordeel:id:0</v>
      </c>
      <c r="AB232" t="str">
        <f>A!AA232</f>
        <v>www.sikb.nl</v>
      </c>
      <c r="AC232" t="str">
        <f>A!AB232</f>
        <v>urn:immetingen:waardebewerkingsmethode:id:5</v>
      </c>
      <c r="AD232" t="str">
        <f>A!AC232</f>
        <v>www.sikb.nl</v>
      </c>
      <c r="AE232" t="str">
        <f>A!AD232</f>
        <v>_012b5d8a-e262-422b-b216-cb69ad7fa33b</v>
      </c>
      <c r="AF232">
        <f>A!AE232</f>
        <v>45811.618148148147</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32"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t="str">
        <f>A!CI232</f>
        <v>urn:imsikb0101:Applicaties:id:16</v>
      </c>
      <c r="CK232" t="str">
        <f>A!CJ232</f>
        <v>urn:imsikb0101:DatastroomType:id:1</v>
      </c>
      <c r="CL232">
        <f>A!CK232</f>
        <v>45811</v>
      </c>
      <c r="CM232" t="str">
        <f>A!CL232</f>
        <v>SGS, Rotterdam</v>
      </c>
      <c r="CN232" t="str">
        <f>A!CM232</f>
        <v>LABRESULTAAT SGS</v>
      </c>
      <c r="CO232">
        <f>A!CN232</f>
        <v>45811</v>
      </c>
      <c r="CP232">
        <f>A!CO232</f>
        <v>0</v>
      </c>
      <c r="CQ232">
        <f>A!CO542</f>
        <v>0</v>
      </c>
      <c r="CR232" t="e">
        <f>A!#REF!</f>
        <v>#REF!</v>
      </c>
      <c r="CS232" t="e">
        <f>A!#REF!</f>
        <v>#REF!</v>
      </c>
    </row>
    <row r="233" spans="1:97" x14ac:dyDescent="0.2">
      <c r="A233" t="str">
        <f>A!A233</f>
        <v>LABRESULTAAT</v>
      </c>
      <c r="B233">
        <f>A!B233</f>
        <v>52</v>
      </c>
      <c r="C233" t="str">
        <f>A!C233</f>
        <v>_10134bbc-f182-42d6-9e38-e38c78a866ea</v>
      </c>
      <c r="D233" t="str">
        <f>A!D233</f>
        <v>10134bbc-f182-42d6-9e38-e38c78a866ea</v>
      </c>
      <c r="E233" t="str">
        <f>A!E233</f>
        <v>SIKB</v>
      </c>
      <c r="F233" t="str">
        <f>A!F233</f>
        <v>urn:immetingen:hoedanigheid:id:1</v>
      </c>
      <c r="G233" t="str">
        <f>A!G233</f>
        <v>www.sikb.nl</v>
      </c>
      <c r="H233" t="str">
        <f>A!H233</f>
        <v>urn:immetingen:parameter:id:4441</v>
      </c>
      <c r="I233" t="str">
        <f>A!I233</f>
        <v>www.sikb.nl</v>
      </c>
      <c r="J233" t="str">
        <f>A!J233</f>
        <v>urn:immetingen:parameter:id:2725</v>
      </c>
      <c r="K233" t="str">
        <f>A!K233</f>
        <v>www.sikb.nl</v>
      </c>
      <c r="L233">
        <f>A!L233</f>
        <v>45811</v>
      </c>
      <c r="M233" t="str">
        <f>A!M233</f>
        <v>urn:immetingen:LabopdrachtStatus:id:5</v>
      </c>
      <c r="N233">
        <f>A!N233</f>
        <v>1</v>
      </c>
      <c r="O233">
        <f>A!O233</f>
        <v>1</v>
      </c>
      <c r="P233" s="32" t="str">
        <f>IF(A!P233="","",INDEX(B!$A$1:$BT$2000,MATCH(A!P233,B!$AX$1:$AX$2000,0),D!$B$5))</f>
        <v>MM05 04 (150-200) 05 (150-200)</v>
      </c>
      <c r="Q233">
        <f>A!Q233</f>
        <v>0</v>
      </c>
      <c r="R233">
        <f>A!R233</f>
        <v>0</v>
      </c>
      <c r="S233">
        <f>A!S233</f>
        <v>0</v>
      </c>
      <c r="T233" t="str">
        <f>A!T233</f>
        <v>immetingen:AnalyticResultType</v>
      </c>
      <c r="U233" t="str">
        <f>A!U233</f>
        <v>&lt;0.1 µg/kgds</v>
      </c>
      <c r="V233" s="32">
        <f>IF(A!V233="&lt;",1,A!V233)</f>
        <v>1</v>
      </c>
      <c r="W233">
        <f>A!W233</f>
        <v>0.1</v>
      </c>
      <c r="X233">
        <f>A!X233</f>
        <v>0.1</v>
      </c>
      <c r="Y233" t="str">
        <f>A!Y233</f>
        <v>urn:immetingen:eenheid:id:131</v>
      </c>
      <c r="Z233" s="32">
        <f t="shared" si="3"/>
        <v>131</v>
      </c>
      <c r="AA233" t="str">
        <f>A!Z233</f>
        <v>urn:immetingen:kwaliteitsoordeel:id:0</v>
      </c>
      <c r="AB233" t="str">
        <f>A!AA233</f>
        <v>www.sikb.nl</v>
      </c>
      <c r="AC233" t="str">
        <f>A!AB233</f>
        <v>urn:immetingen:waardebewerkingsmethode:id:5</v>
      </c>
      <c r="AD233" t="str">
        <f>A!AC233</f>
        <v>www.sikb.nl</v>
      </c>
      <c r="AE233" t="str">
        <f>A!AD233</f>
        <v>_ec298a31-ad7d-4ad5-b2be-931194fb3608</v>
      </c>
      <c r="AF233">
        <f>A!AE233</f>
        <v>45811.618136574078</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32"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t="str">
        <f>A!CI233</f>
        <v>urn:imsikb0101:Applicaties:id:16</v>
      </c>
      <c r="CK233" t="str">
        <f>A!CJ233</f>
        <v>urn:imsikb0101:DatastroomType:id:1</v>
      </c>
      <c r="CL233">
        <f>A!CK233</f>
        <v>45811</v>
      </c>
      <c r="CM233" t="str">
        <f>A!CL233</f>
        <v>SGS, Rotterdam</v>
      </c>
      <c r="CN233" t="str">
        <f>A!CM233</f>
        <v>LABRESULTAAT SGS</v>
      </c>
      <c r="CO233">
        <f>A!CN233</f>
        <v>45811</v>
      </c>
      <c r="CP233">
        <f>A!CO233</f>
        <v>0</v>
      </c>
      <c r="CQ233">
        <f>A!CO543</f>
        <v>0</v>
      </c>
      <c r="CR233" t="e">
        <f>A!#REF!</f>
        <v>#REF!</v>
      </c>
      <c r="CS233" t="e">
        <f>A!#REF!</f>
        <v>#REF!</v>
      </c>
    </row>
    <row r="234" spans="1:97" x14ac:dyDescent="0.2">
      <c r="A234" t="str">
        <f>A!A234</f>
        <v>LABRESULTAAT</v>
      </c>
      <c r="B234">
        <f>A!B234</f>
        <v>53</v>
      </c>
      <c r="C234" t="str">
        <f>A!C234</f>
        <v>_8e0576ba-d28e-42ff-8925-e75f0f88cf14</v>
      </c>
      <c r="D234" t="str">
        <f>A!D234</f>
        <v>8e0576ba-d28e-42ff-8925-e75f0f88cf14</v>
      </c>
      <c r="E234" t="str">
        <f>A!E234</f>
        <v>SIKB</v>
      </c>
      <c r="F234" t="str">
        <f>A!F234</f>
        <v>urn:immetingen:hoedanigheid:id:1</v>
      </c>
      <c r="G234" t="str">
        <f>A!G234</f>
        <v>www.sikb.nl</v>
      </c>
      <c r="H234" t="str">
        <f>A!H234</f>
        <v>urn:immetingen:parameter:id:4442</v>
      </c>
      <c r="I234" t="str">
        <f>A!I234</f>
        <v>www.sikb.nl</v>
      </c>
      <c r="J234" t="str">
        <f>A!J234</f>
        <v>urn:immetingen:parameter:id:2725</v>
      </c>
      <c r="K234" t="str">
        <f>A!K234</f>
        <v>www.sikb.nl</v>
      </c>
      <c r="L234">
        <f>A!L234</f>
        <v>45811</v>
      </c>
      <c r="M234" t="str">
        <f>A!M234</f>
        <v>urn:immetingen:LabopdrachtStatus:id:5</v>
      </c>
      <c r="N234">
        <f>A!N234</f>
        <v>1</v>
      </c>
      <c r="O234">
        <f>A!O234</f>
        <v>1</v>
      </c>
      <c r="P234" s="32" t="str">
        <f>IF(A!P234="","",INDEX(B!$A$1:$BT$2000,MATCH(A!P234,B!$AX$1:$AX$2000,0),D!$B$5))</f>
        <v>MM05 04 (150-200) 05 (150-200)</v>
      </c>
      <c r="Q234">
        <f>A!Q234</f>
        <v>0</v>
      </c>
      <c r="R234">
        <f>A!R234</f>
        <v>0</v>
      </c>
      <c r="S234">
        <f>A!S234</f>
        <v>0</v>
      </c>
      <c r="T234" t="str">
        <f>A!T234</f>
        <v>immetingen:AnalyticResultType</v>
      </c>
      <c r="U234" t="str">
        <f>A!U234</f>
        <v>&lt;0.1 µg/kgds</v>
      </c>
      <c r="V234" s="32">
        <f>IF(A!V234="&lt;",1,A!V234)</f>
        <v>1</v>
      </c>
      <c r="W234">
        <f>A!W234</f>
        <v>0.1</v>
      </c>
      <c r="X234">
        <f>A!X234</f>
        <v>0.1</v>
      </c>
      <c r="Y234" t="str">
        <f>A!Y234</f>
        <v>urn:immetingen:eenheid:id:131</v>
      </c>
      <c r="Z234" s="32">
        <f t="shared" si="3"/>
        <v>131</v>
      </c>
      <c r="AA234" t="str">
        <f>A!Z234</f>
        <v>urn:immetingen:kwaliteitsoordeel:id:0</v>
      </c>
      <c r="AB234" t="str">
        <f>A!AA234</f>
        <v>www.sikb.nl</v>
      </c>
      <c r="AC234" t="str">
        <f>A!AB234</f>
        <v>urn:immetingen:waardebewerkingsmethode:id:5</v>
      </c>
      <c r="AD234" t="str">
        <f>A!AC234</f>
        <v>www.sikb.nl</v>
      </c>
      <c r="AE234" t="str">
        <f>A!AD234</f>
        <v>_6eafc9ac-5a2f-434e-8fa8-faea1f3e4d77</v>
      </c>
      <c r="AF234">
        <f>A!AE234</f>
        <v>45811.618136574078</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32"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t="str">
        <f>A!CI234</f>
        <v>urn:imsikb0101:Applicaties:id:16</v>
      </c>
      <c r="CK234" t="str">
        <f>A!CJ234</f>
        <v>urn:imsikb0101:DatastroomType:id:1</v>
      </c>
      <c r="CL234">
        <f>A!CK234</f>
        <v>45811</v>
      </c>
      <c r="CM234" t="str">
        <f>A!CL234</f>
        <v>SGS, Rotterdam</v>
      </c>
      <c r="CN234" t="str">
        <f>A!CM234</f>
        <v>LABRESULTAAT SGS</v>
      </c>
      <c r="CO234">
        <f>A!CN234</f>
        <v>45811</v>
      </c>
      <c r="CP234">
        <f>A!CO234</f>
        <v>0</v>
      </c>
      <c r="CQ234">
        <f>A!CO544</f>
        <v>0</v>
      </c>
      <c r="CR234" t="e">
        <f>A!#REF!</f>
        <v>#REF!</v>
      </c>
      <c r="CS234" t="e">
        <f>A!#REF!</f>
        <v>#REF!</v>
      </c>
    </row>
    <row r="235" spans="1:97" x14ac:dyDescent="0.2">
      <c r="A235" t="str">
        <f>A!A235</f>
        <v>LABRESULTAAT</v>
      </c>
      <c r="B235">
        <f>A!B235</f>
        <v>54</v>
      </c>
      <c r="C235" t="str">
        <f>A!C235</f>
        <v>_de3272e9-86d2-48ea-8e5b-690a73b83748</v>
      </c>
      <c r="D235" t="str">
        <f>A!D235</f>
        <v>de3272e9-86d2-48ea-8e5b-690a73b83748</v>
      </c>
      <c r="E235" t="str">
        <f>A!E235</f>
        <v>SIKB</v>
      </c>
      <c r="F235" t="str">
        <f>A!F235</f>
        <v>urn:immetingen:hoedanigheid:id:1</v>
      </c>
      <c r="G235" t="str">
        <f>A!G235</f>
        <v>www.sikb.nl</v>
      </c>
      <c r="H235" t="str">
        <f>A!H235</f>
        <v>urn:immetingen:parameter:id:4446</v>
      </c>
      <c r="I235" t="str">
        <f>A!I235</f>
        <v>www.sikb.nl</v>
      </c>
      <c r="J235" t="str">
        <f>A!J235</f>
        <v>urn:immetingen:parameter:id:2725</v>
      </c>
      <c r="K235" t="str">
        <f>A!K235</f>
        <v>www.sikb.nl</v>
      </c>
      <c r="L235">
        <f>A!L235</f>
        <v>45811</v>
      </c>
      <c r="M235" t="str">
        <f>A!M235</f>
        <v>urn:immetingen:LabopdrachtStatus:id:5</v>
      </c>
      <c r="N235">
        <f>A!N235</f>
        <v>1</v>
      </c>
      <c r="O235">
        <f>A!O235</f>
        <v>1</v>
      </c>
      <c r="P235" s="32" t="str">
        <f>IF(A!P235="","",INDEX(B!$A$1:$BT$2000,MATCH(A!P235,B!$AX$1:$AX$2000,0),D!$B$5))</f>
        <v>MM05 04 (150-200) 05 (150-200)</v>
      </c>
      <c r="Q235">
        <f>A!Q235</f>
        <v>0</v>
      </c>
      <c r="R235">
        <f>A!R235</f>
        <v>0</v>
      </c>
      <c r="S235">
        <f>A!S235</f>
        <v>0</v>
      </c>
      <c r="T235" t="str">
        <f>A!T235</f>
        <v>immetingen:AnalyticResultType</v>
      </c>
      <c r="U235" t="str">
        <f>A!U235</f>
        <v>&lt;0.1 µg/kgds</v>
      </c>
      <c r="V235" s="32">
        <f>IF(A!V235="&lt;",1,A!V235)</f>
        <v>1</v>
      </c>
      <c r="W235">
        <f>A!W235</f>
        <v>0.1</v>
      </c>
      <c r="X235">
        <f>A!X235</f>
        <v>0.1</v>
      </c>
      <c r="Y235" t="str">
        <f>A!Y235</f>
        <v>urn:immetingen:eenheid:id:131</v>
      </c>
      <c r="Z235" s="32">
        <f t="shared" si="3"/>
        <v>131</v>
      </c>
      <c r="AA235" t="str">
        <f>A!Z235</f>
        <v>urn:immetingen:kwaliteitsoordeel:id:0</v>
      </c>
      <c r="AB235" t="str">
        <f>A!AA235</f>
        <v>www.sikb.nl</v>
      </c>
      <c r="AC235" t="str">
        <f>A!AB235</f>
        <v>urn:immetingen:waardebewerkingsmethode:id:5</v>
      </c>
      <c r="AD235" t="str">
        <f>A!AC235</f>
        <v>www.sikb.nl</v>
      </c>
      <c r="AE235" t="str">
        <f>A!AD235</f>
        <v>_4e1696a6-6be6-4080-81b9-4da0a3ddf393</v>
      </c>
      <c r="AF235">
        <f>A!AE235</f>
        <v>45811.618148148147</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32"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t="str">
        <f>A!CI235</f>
        <v>urn:imsikb0101:Applicaties:id:16</v>
      </c>
      <c r="CK235" t="str">
        <f>A!CJ235</f>
        <v>urn:imsikb0101:DatastroomType:id:1</v>
      </c>
      <c r="CL235">
        <f>A!CK235</f>
        <v>45811</v>
      </c>
      <c r="CM235" t="str">
        <f>A!CL235</f>
        <v>SGS, Rotterdam</v>
      </c>
      <c r="CN235" t="str">
        <f>A!CM235</f>
        <v>LABRESULTAAT SGS</v>
      </c>
      <c r="CO235">
        <f>A!CN235</f>
        <v>45811</v>
      </c>
      <c r="CP235">
        <f>A!CO235</f>
        <v>0</v>
      </c>
      <c r="CQ235">
        <f>A!CO545</f>
        <v>0</v>
      </c>
      <c r="CR235" t="e">
        <f>A!#REF!</f>
        <v>#REF!</v>
      </c>
      <c r="CS235" t="e">
        <f>A!#REF!</f>
        <v>#REF!</v>
      </c>
    </row>
    <row r="236" spans="1:97" x14ac:dyDescent="0.2">
      <c r="A236" t="str">
        <f>A!A236</f>
        <v>LABRESULTAAT</v>
      </c>
      <c r="B236">
        <f>A!B236</f>
        <v>55</v>
      </c>
      <c r="C236" t="str">
        <f>A!C236</f>
        <v>_fdac6b24-744c-425d-94e9-5ebb600d79f9</v>
      </c>
      <c r="D236" t="str">
        <f>A!D236</f>
        <v>fdac6b24-744c-425d-94e9-5ebb600d79f9</v>
      </c>
      <c r="E236" t="str">
        <f>A!E236</f>
        <v>SIKB</v>
      </c>
      <c r="F236" t="str">
        <f>A!F236</f>
        <v>urn:immetingen:hoedanigheid:id:1</v>
      </c>
      <c r="G236" t="str">
        <f>A!G236</f>
        <v>www.sikb.nl</v>
      </c>
      <c r="H236" t="str">
        <f>A!H236</f>
        <v>urn:immetingen:parameter:id:4445</v>
      </c>
      <c r="I236" t="str">
        <f>A!I236</f>
        <v>www.sikb.nl</v>
      </c>
      <c r="J236" t="str">
        <f>A!J236</f>
        <v>urn:immetingen:parameter:id:2725</v>
      </c>
      <c r="K236" t="str">
        <f>A!K236</f>
        <v>www.sikb.nl</v>
      </c>
      <c r="L236">
        <f>A!L236</f>
        <v>45811</v>
      </c>
      <c r="M236" t="str">
        <f>A!M236</f>
        <v>urn:immetingen:LabopdrachtStatus:id:5</v>
      </c>
      <c r="N236">
        <f>A!N236</f>
        <v>1</v>
      </c>
      <c r="O236">
        <f>A!O236</f>
        <v>1</v>
      </c>
      <c r="P236" s="32" t="str">
        <f>IF(A!P236="","",INDEX(B!$A$1:$BT$2000,MATCH(A!P236,B!$AX$1:$AX$2000,0),D!$B$5))</f>
        <v>MM05 04 (150-200) 05 (150-200)</v>
      </c>
      <c r="Q236">
        <f>A!Q236</f>
        <v>0</v>
      </c>
      <c r="R236">
        <f>A!R236</f>
        <v>0</v>
      </c>
      <c r="S236">
        <f>A!S236</f>
        <v>0</v>
      </c>
      <c r="T236" t="str">
        <f>A!T236</f>
        <v>immetingen:AnalyticResultType</v>
      </c>
      <c r="U236" t="str">
        <f>A!U236</f>
        <v>&lt;0.1 µg/kgds</v>
      </c>
      <c r="V236" s="32">
        <f>IF(A!V236="&lt;",1,A!V236)</f>
        <v>1</v>
      </c>
      <c r="W236">
        <f>A!W236</f>
        <v>0.1</v>
      </c>
      <c r="X236">
        <f>A!X236</f>
        <v>0.1</v>
      </c>
      <c r="Y236" t="str">
        <f>A!Y236</f>
        <v>urn:immetingen:eenheid:id:131</v>
      </c>
      <c r="Z236" s="32">
        <f t="shared" si="3"/>
        <v>131</v>
      </c>
      <c r="AA236" t="str">
        <f>A!Z236</f>
        <v>urn:immetingen:kwaliteitsoordeel:id:0</v>
      </c>
      <c r="AB236" t="str">
        <f>A!AA236</f>
        <v>www.sikb.nl</v>
      </c>
      <c r="AC236" t="str">
        <f>A!AB236</f>
        <v>urn:immetingen:waardebewerkingsmethode:id:5</v>
      </c>
      <c r="AD236" t="str">
        <f>A!AC236</f>
        <v>www.sikb.nl</v>
      </c>
      <c r="AE236" t="str">
        <f>A!AD236</f>
        <v>_b1cde6ec-f164-4f11-846d-6ee030376ff8</v>
      </c>
      <c r="AF236">
        <f>A!AE236</f>
        <v>45811.618148148147</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32"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t="str">
        <f>A!CI236</f>
        <v>urn:imsikb0101:Applicaties:id:16</v>
      </c>
      <c r="CK236" t="str">
        <f>A!CJ236</f>
        <v>urn:imsikb0101:DatastroomType:id:1</v>
      </c>
      <c r="CL236">
        <f>A!CK236</f>
        <v>45811</v>
      </c>
      <c r="CM236" t="str">
        <f>A!CL236</f>
        <v>SGS, Rotterdam</v>
      </c>
      <c r="CN236" t="str">
        <f>A!CM236</f>
        <v>LABRESULTAAT SGS</v>
      </c>
      <c r="CO236">
        <f>A!CN236</f>
        <v>45811</v>
      </c>
      <c r="CP236">
        <f>A!CO236</f>
        <v>0</v>
      </c>
      <c r="CQ236">
        <f>A!CO546</f>
        <v>0</v>
      </c>
      <c r="CR236" t="e">
        <f>A!#REF!</f>
        <v>#REF!</v>
      </c>
      <c r="CS236" t="e">
        <f>A!#REF!</f>
        <v>#REF!</v>
      </c>
    </row>
    <row r="237" spans="1:97" x14ac:dyDescent="0.2">
      <c r="A237" t="str">
        <f>A!A237</f>
        <v>LABRESULTAAT</v>
      </c>
      <c r="B237">
        <f>A!B237</f>
        <v>56</v>
      </c>
      <c r="C237" t="str">
        <f>A!C237</f>
        <v>_60d783d2-b186-4d27-92c1-5a6204dee375</v>
      </c>
      <c r="D237" t="str">
        <f>A!D237</f>
        <v>60d783d2-b186-4d27-92c1-5a6204dee375</v>
      </c>
      <c r="E237" t="str">
        <f>A!E237</f>
        <v>SIKB</v>
      </c>
      <c r="F237" t="str">
        <f>A!F237</f>
        <v>urn:immetingen:hoedanigheid:id:1</v>
      </c>
      <c r="G237" t="str">
        <f>A!G237</f>
        <v>www.sikb.nl</v>
      </c>
      <c r="H237" t="str">
        <f>A!H237</f>
        <v>urn:immetingen:parameter:id:6040</v>
      </c>
      <c r="I237" t="str">
        <f>A!I237</f>
        <v>www.sikb.nl</v>
      </c>
      <c r="J237" t="str">
        <f>A!J237</f>
        <v>urn:immetingen:parameter:id:2725</v>
      </c>
      <c r="K237" t="str">
        <f>A!K237</f>
        <v>www.sikb.nl</v>
      </c>
      <c r="L237">
        <f>A!L237</f>
        <v>45811</v>
      </c>
      <c r="M237" t="str">
        <f>A!M237</f>
        <v>urn:immetingen:LabopdrachtStatus:id:5</v>
      </c>
      <c r="N237">
        <f>A!N237</f>
        <v>1</v>
      </c>
      <c r="O237">
        <f>A!O237</f>
        <v>1</v>
      </c>
      <c r="P237" s="32" t="str">
        <f>IF(A!P237="","",INDEX(B!$A$1:$BT$2000,MATCH(A!P237,B!$AX$1:$AX$2000,0),D!$B$5))</f>
        <v>MM05 04 (150-200) 05 (150-200)</v>
      </c>
      <c r="Q237">
        <f>A!Q237</f>
        <v>0</v>
      </c>
      <c r="R237">
        <f>A!R237</f>
        <v>0</v>
      </c>
      <c r="S237">
        <f>A!S237</f>
        <v>0</v>
      </c>
      <c r="T237" t="str">
        <f>A!T237</f>
        <v>immetingen:AnalyticResultType</v>
      </c>
      <c r="U237" t="str">
        <f>A!U237</f>
        <v>0.1 µg/kgds</v>
      </c>
      <c r="V237" s="32">
        <f>IF(A!V237="&lt;",1,A!V237)</f>
        <v>0</v>
      </c>
      <c r="W237">
        <f>A!W237</f>
        <v>0.1</v>
      </c>
      <c r="X237">
        <f>A!X237</f>
        <v>0.1</v>
      </c>
      <c r="Y237" t="str">
        <f>A!Y237</f>
        <v>urn:immetingen:eenheid:id:131</v>
      </c>
      <c r="Z237" s="32">
        <f t="shared" si="3"/>
        <v>131</v>
      </c>
      <c r="AA237" t="str">
        <f>A!Z237</f>
        <v>urn:immetingen:kwaliteitsoordeel:id:0</v>
      </c>
      <c r="AB237" t="str">
        <f>A!AA237</f>
        <v>www.sikb.nl</v>
      </c>
      <c r="AC237" t="str">
        <f>A!AB237</f>
        <v>urn:immetingen:waardebewerkingsmethode:id:5</v>
      </c>
      <c r="AD237" t="str">
        <f>A!AC237</f>
        <v>www.sikb.nl</v>
      </c>
      <c r="AE237" t="str">
        <f>A!AD237</f>
        <v>_af8cdac8-44d0-4aa2-a65a-89221e5f06c0</v>
      </c>
      <c r="AF237">
        <f>A!AE237</f>
        <v>45811.618368055555</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32"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t="str">
        <f>A!CI237</f>
        <v>urn:imsikb0101:Applicaties:id:16</v>
      </c>
      <c r="CK237" t="str">
        <f>A!CJ237</f>
        <v>urn:imsikb0101:DatastroomType:id:1</v>
      </c>
      <c r="CL237">
        <f>A!CK237</f>
        <v>45811</v>
      </c>
      <c r="CM237" t="str">
        <f>A!CL237</f>
        <v>SGS, Rotterdam</v>
      </c>
      <c r="CN237" t="str">
        <f>A!CM237</f>
        <v>LABRESULTAAT SGS</v>
      </c>
      <c r="CO237">
        <f>A!CN237</f>
        <v>45811</v>
      </c>
      <c r="CP237">
        <f>A!CO237</f>
        <v>0</v>
      </c>
      <c r="CQ237">
        <f>A!CO547</f>
        <v>0</v>
      </c>
      <c r="CR237" t="e">
        <f>A!#REF!</f>
        <v>#REF!</v>
      </c>
      <c r="CS237" t="e">
        <f>A!#REF!</f>
        <v>#REF!</v>
      </c>
    </row>
    <row r="238" spans="1:97" x14ac:dyDescent="0.2">
      <c r="A238" t="str">
        <f>A!A238</f>
        <v>LABRESULTAAT</v>
      </c>
      <c r="B238">
        <f>A!B238</f>
        <v>57</v>
      </c>
      <c r="C238" t="str">
        <f>A!C238</f>
        <v>_15495938-74f9-4dd4-a62e-5b8095b716e2</v>
      </c>
      <c r="D238" t="str">
        <f>A!D238</f>
        <v>15495938-74f9-4dd4-a62e-5b8095b716e2</v>
      </c>
      <c r="E238" t="str">
        <f>A!E238</f>
        <v>SIKB</v>
      </c>
      <c r="F238" t="str">
        <f>A!F238</f>
        <v>urn:immetingen:hoedanigheid:id:1</v>
      </c>
      <c r="G238" t="str">
        <f>A!G238</f>
        <v>www.sikb.nl</v>
      </c>
      <c r="H238" t="str">
        <f>A!H238</f>
        <v>urn:immetingen:parameter:id:5518</v>
      </c>
      <c r="I238" t="str">
        <f>A!I238</f>
        <v>www.sikb.nl</v>
      </c>
      <c r="J238" t="str">
        <f>A!J238</f>
        <v>urn:immetingen:parameter:id:2725</v>
      </c>
      <c r="K238" t="str">
        <f>A!K238</f>
        <v>www.sikb.nl</v>
      </c>
      <c r="L238">
        <f>A!L238</f>
        <v>45811</v>
      </c>
      <c r="M238" t="str">
        <f>A!M238</f>
        <v>urn:immetingen:LabopdrachtStatus:id:5</v>
      </c>
      <c r="N238">
        <f>A!N238</f>
        <v>1</v>
      </c>
      <c r="O238">
        <f>A!O238</f>
        <v>1</v>
      </c>
      <c r="P238" s="32" t="str">
        <f>IF(A!P238="","",INDEX(B!$A$1:$BT$2000,MATCH(A!P238,B!$AX$1:$AX$2000,0),D!$B$5))</f>
        <v>MM05 04 (150-200) 05 (150-200)</v>
      </c>
      <c r="Q238">
        <f>A!Q238</f>
        <v>0</v>
      </c>
      <c r="R238">
        <f>A!R238</f>
        <v>0</v>
      </c>
      <c r="S238">
        <f>A!S238</f>
        <v>0</v>
      </c>
      <c r="T238" t="str">
        <f>A!T238</f>
        <v>immetingen:AnalyticResultType</v>
      </c>
      <c r="U238" t="str">
        <f>A!U238</f>
        <v>&lt;0.1 µg/kgds</v>
      </c>
      <c r="V238" s="32">
        <f>IF(A!V238="&lt;",1,A!V238)</f>
        <v>1</v>
      </c>
      <c r="W238">
        <f>A!W238</f>
        <v>0.1</v>
      </c>
      <c r="X238">
        <f>A!X238</f>
        <v>0.1</v>
      </c>
      <c r="Y238" t="str">
        <f>A!Y238</f>
        <v>urn:immetingen:eenheid:id:131</v>
      </c>
      <c r="Z238" s="32">
        <f t="shared" si="3"/>
        <v>131</v>
      </c>
      <c r="AA238" t="str">
        <f>A!Z238</f>
        <v>urn:immetingen:kwaliteitsoordeel:id:0</v>
      </c>
      <c r="AB238" t="str">
        <f>A!AA238</f>
        <v>www.sikb.nl</v>
      </c>
      <c r="AC238" t="str">
        <f>A!AB238</f>
        <v>urn:immetingen:waardebewerkingsmethode:id:5</v>
      </c>
      <c r="AD238" t="str">
        <f>A!AC238</f>
        <v>www.sikb.nl</v>
      </c>
      <c r="AE238" t="str">
        <f>A!AD238</f>
        <v>_3b8a020a-cbc4-45b8-8a60-86184564c371</v>
      </c>
      <c r="AF238">
        <f>A!AE238</f>
        <v>45811.618148148147</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32"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t="str">
        <f>A!CI238</f>
        <v>urn:imsikb0101:Applicaties:id:16</v>
      </c>
      <c r="CK238" t="str">
        <f>A!CJ238</f>
        <v>urn:imsikb0101:DatastroomType:id:1</v>
      </c>
      <c r="CL238">
        <f>A!CK238</f>
        <v>45811</v>
      </c>
      <c r="CM238" t="str">
        <f>A!CL238</f>
        <v>SGS, Rotterdam</v>
      </c>
      <c r="CN238" t="str">
        <f>A!CM238</f>
        <v>LABRESULTAAT SGS</v>
      </c>
      <c r="CO238">
        <f>A!CN238</f>
        <v>45811</v>
      </c>
      <c r="CP238">
        <f>A!CO238</f>
        <v>0</v>
      </c>
      <c r="CQ238">
        <f>A!CO548</f>
        <v>0</v>
      </c>
      <c r="CR238" t="e">
        <f>A!#REF!</f>
        <v>#REF!</v>
      </c>
      <c r="CS238" t="e">
        <f>A!#REF!</f>
        <v>#REF!</v>
      </c>
    </row>
    <row r="239" spans="1:97" x14ac:dyDescent="0.2">
      <c r="A239" t="str">
        <f>A!A239</f>
        <v>LABRESULTAAT</v>
      </c>
      <c r="B239">
        <f>A!B239</f>
        <v>58</v>
      </c>
      <c r="C239" t="str">
        <f>A!C239</f>
        <v>_ef2f86f9-879e-4a9c-b43d-6e4fc3cfae96</v>
      </c>
      <c r="D239" t="str">
        <f>A!D239</f>
        <v>ef2f86f9-879e-4a9c-b43d-6e4fc3cfae96</v>
      </c>
      <c r="E239" t="str">
        <f>A!E239</f>
        <v>SIKB</v>
      </c>
      <c r="F239" t="str">
        <f>A!F239</f>
        <v>urn:immetingen:hoedanigheid:id:1</v>
      </c>
      <c r="G239" t="str">
        <f>A!G239</f>
        <v>www.sikb.nl</v>
      </c>
      <c r="H239" t="str">
        <f>A!H239</f>
        <v>urn:immetingen:parameter:id:4443</v>
      </c>
      <c r="I239" t="str">
        <f>A!I239</f>
        <v>www.sikb.nl</v>
      </c>
      <c r="J239" t="str">
        <f>A!J239</f>
        <v>urn:immetingen:parameter:id:2725</v>
      </c>
      <c r="K239" t="str">
        <f>A!K239</f>
        <v>www.sikb.nl</v>
      </c>
      <c r="L239">
        <f>A!L239</f>
        <v>45811</v>
      </c>
      <c r="M239" t="str">
        <f>A!M239</f>
        <v>urn:immetingen:LabopdrachtStatus:id:5</v>
      </c>
      <c r="N239">
        <f>A!N239</f>
        <v>1</v>
      </c>
      <c r="O239">
        <f>A!O239</f>
        <v>1</v>
      </c>
      <c r="P239" s="32" t="str">
        <f>IF(A!P239="","",INDEX(B!$A$1:$BT$2000,MATCH(A!P239,B!$AX$1:$AX$2000,0),D!$B$5))</f>
        <v>MM05 04 (150-200) 05 (150-200)</v>
      </c>
      <c r="Q239">
        <f>A!Q239</f>
        <v>0</v>
      </c>
      <c r="R239">
        <f>A!R239</f>
        <v>0</v>
      </c>
      <c r="S239">
        <f>A!S239</f>
        <v>0</v>
      </c>
      <c r="T239" t="str">
        <f>A!T239</f>
        <v>immetingen:AnalyticResultType</v>
      </c>
      <c r="U239" t="str">
        <f>A!U239</f>
        <v>&lt;0.1 µg/kgds</v>
      </c>
      <c r="V239" s="32">
        <f>IF(A!V239="&lt;",1,A!V239)</f>
        <v>1</v>
      </c>
      <c r="W239">
        <f>A!W239</f>
        <v>0.1</v>
      </c>
      <c r="X239">
        <f>A!X239</f>
        <v>0.1</v>
      </c>
      <c r="Y239" t="str">
        <f>A!Y239</f>
        <v>urn:immetingen:eenheid:id:131</v>
      </c>
      <c r="Z239" s="32">
        <f t="shared" si="3"/>
        <v>131</v>
      </c>
      <c r="AA239" t="str">
        <f>A!Z239</f>
        <v>urn:immetingen:kwaliteitsoordeel:id:0</v>
      </c>
      <c r="AB239" t="str">
        <f>A!AA239</f>
        <v>www.sikb.nl</v>
      </c>
      <c r="AC239" t="str">
        <f>A!AB239</f>
        <v>urn:immetingen:waardebewerkingsmethode:id:5</v>
      </c>
      <c r="AD239" t="str">
        <f>A!AC239</f>
        <v>www.sikb.nl</v>
      </c>
      <c r="AE239" t="str">
        <f>A!AD239</f>
        <v>_c0dcfe12-3c01-4111-8db0-c66c377899fe</v>
      </c>
      <c r="AF239">
        <f>A!AE239</f>
        <v>45811.618136574078</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32"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t="str">
        <f>A!CI239</f>
        <v>urn:imsikb0101:Applicaties:id:16</v>
      </c>
      <c r="CK239" t="str">
        <f>A!CJ239</f>
        <v>urn:imsikb0101:DatastroomType:id:1</v>
      </c>
      <c r="CL239">
        <f>A!CK239</f>
        <v>45811</v>
      </c>
      <c r="CM239" t="str">
        <f>A!CL239</f>
        <v>SGS, Rotterdam</v>
      </c>
      <c r="CN239" t="str">
        <f>A!CM239</f>
        <v>LABRESULTAAT SGS</v>
      </c>
      <c r="CO239">
        <f>A!CN239</f>
        <v>45811</v>
      </c>
      <c r="CP239">
        <f>A!CO239</f>
        <v>0</v>
      </c>
      <c r="CQ239">
        <f>A!CO549</f>
        <v>0</v>
      </c>
      <c r="CR239" t="e">
        <f>A!#REF!</f>
        <v>#REF!</v>
      </c>
      <c r="CS239" t="e">
        <f>A!#REF!</f>
        <v>#REF!</v>
      </c>
    </row>
    <row r="240" spans="1:97" x14ac:dyDescent="0.2">
      <c r="A240" t="str">
        <f>A!A240</f>
        <v>LABRESULTAAT</v>
      </c>
      <c r="B240">
        <f>A!B240</f>
        <v>59</v>
      </c>
      <c r="C240" t="str">
        <f>A!C240</f>
        <v>_368e1c9c-192e-48d9-b42c-40a51edcbc40</v>
      </c>
      <c r="D240" t="str">
        <f>A!D240</f>
        <v>368e1c9c-192e-48d9-b42c-40a51edcbc40</v>
      </c>
      <c r="E240" t="str">
        <f>A!E240</f>
        <v>SIKB</v>
      </c>
      <c r="F240" t="str">
        <f>A!F240</f>
        <v>urn:immetingen:hoedanigheid:id:1</v>
      </c>
      <c r="G240" t="str">
        <f>A!G240</f>
        <v>www.sikb.nl</v>
      </c>
      <c r="H240" t="str">
        <f>A!H240</f>
        <v>urn:immetingen:parameter:id:6039</v>
      </c>
      <c r="I240" t="str">
        <f>A!I240</f>
        <v>www.sikb.nl</v>
      </c>
      <c r="J240" t="str">
        <f>A!J240</f>
        <v>urn:immetingen:parameter:id:2725</v>
      </c>
      <c r="K240" t="str">
        <f>A!K240</f>
        <v>www.sikb.nl</v>
      </c>
      <c r="L240">
        <f>A!L240</f>
        <v>45811</v>
      </c>
      <c r="M240" t="str">
        <f>A!M240</f>
        <v>urn:immetingen:LabopdrachtStatus:id:5</v>
      </c>
      <c r="N240">
        <f>A!N240</f>
        <v>1</v>
      </c>
      <c r="O240">
        <f>A!O240</f>
        <v>1</v>
      </c>
      <c r="P240" s="32" t="str">
        <f>IF(A!P240="","",INDEX(B!$A$1:$BT$2000,MATCH(A!P240,B!$AX$1:$AX$2000,0),D!$B$5))</f>
        <v>MM05 04 (150-200) 05 (150-200)</v>
      </c>
      <c r="Q240">
        <f>A!Q240</f>
        <v>0</v>
      </c>
      <c r="R240">
        <f>A!R240</f>
        <v>0</v>
      </c>
      <c r="S240">
        <f>A!S240</f>
        <v>0</v>
      </c>
      <c r="T240" t="str">
        <f>A!T240</f>
        <v>immetingen:AnalyticResultType</v>
      </c>
      <c r="U240" t="str">
        <f>A!U240</f>
        <v>0.1 µg/kgds</v>
      </c>
      <c r="V240" s="32">
        <f>IF(A!V240="&lt;",1,A!V240)</f>
        <v>0</v>
      </c>
      <c r="W240">
        <f>A!W240</f>
        <v>0.1</v>
      </c>
      <c r="X240">
        <f>A!X240</f>
        <v>0.1</v>
      </c>
      <c r="Y240" t="str">
        <f>A!Y240</f>
        <v>urn:immetingen:eenheid:id:131</v>
      </c>
      <c r="Z240" s="32">
        <f t="shared" si="3"/>
        <v>131</v>
      </c>
      <c r="AA240" t="str">
        <f>A!Z240</f>
        <v>urn:immetingen:kwaliteitsoordeel:id:0</v>
      </c>
      <c r="AB240" t="str">
        <f>A!AA240</f>
        <v>www.sikb.nl</v>
      </c>
      <c r="AC240" t="str">
        <f>A!AB240</f>
        <v>urn:immetingen:waardebewerkingsmethode:id:5</v>
      </c>
      <c r="AD240" t="str">
        <f>A!AC240</f>
        <v>www.sikb.nl</v>
      </c>
      <c r="AE240" t="str">
        <f>A!AD240</f>
        <v>_802f9fd6-f131-458a-a9e0-7a22539a1d8f</v>
      </c>
      <c r="AF240">
        <f>A!AE240</f>
        <v>45811.618368055555</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32"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t="str">
        <f>A!CI240</f>
        <v>urn:imsikb0101:Applicaties:id:16</v>
      </c>
      <c r="CK240" t="str">
        <f>A!CJ240</f>
        <v>urn:imsikb0101:DatastroomType:id:1</v>
      </c>
      <c r="CL240">
        <f>A!CK240</f>
        <v>45811</v>
      </c>
      <c r="CM240" t="str">
        <f>A!CL240</f>
        <v>SGS, Rotterdam</v>
      </c>
      <c r="CN240" t="str">
        <f>A!CM240</f>
        <v>LABRESULTAAT SGS</v>
      </c>
      <c r="CO240">
        <f>A!CN240</f>
        <v>45811</v>
      </c>
      <c r="CP240">
        <f>A!CO240</f>
        <v>0</v>
      </c>
      <c r="CQ240">
        <f>A!CO550</f>
        <v>0</v>
      </c>
      <c r="CR240" t="e">
        <f>A!#REF!</f>
        <v>#REF!</v>
      </c>
      <c r="CS240" t="e">
        <f>A!#REF!</f>
        <v>#REF!</v>
      </c>
    </row>
    <row r="241" spans="1:97" x14ac:dyDescent="0.2">
      <c r="A241" t="str">
        <f>A!A241</f>
        <v>LABRESULTAAT</v>
      </c>
      <c r="B241">
        <f>A!B241</f>
        <v>60</v>
      </c>
      <c r="C241" t="str">
        <f>A!C241</f>
        <v>_7414c10f-39a3-44fc-b416-118db3f20264</v>
      </c>
      <c r="D241" t="str">
        <f>A!D241</f>
        <v>7414c10f-39a3-44fc-b416-118db3f20264</v>
      </c>
      <c r="E241" t="str">
        <f>A!E241</f>
        <v>SIKB</v>
      </c>
      <c r="F241" t="str">
        <f>A!F241</f>
        <v>urn:immetingen:hoedanigheid:id:1</v>
      </c>
      <c r="G241" t="str">
        <f>A!G241</f>
        <v>www.sikb.nl</v>
      </c>
      <c r="H241" t="str">
        <f>A!H241</f>
        <v>urn:immetingen:parameter:id:5577</v>
      </c>
      <c r="I241" t="str">
        <f>A!I241</f>
        <v>www.sikb.nl</v>
      </c>
      <c r="J241" t="str">
        <f>A!J241</f>
        <v>urn:immetingen:parameter:id:2725</v>
      </c>
      <c r="K241" t="str">
        <f>A!K241</f>
        <v>www.sikb.nl</v>
      </c>
      <c r="L241">
        <f>A!L241</f>
        <v>45811</v>
      </c>
      <c r="M241" t="str">
        <f>A!M241</f>
        <v>urn:immetingen:LabopdrachtStatus:id:5</v>
      </c>
      <c r="N241">
        <f>A!N241</f>
        <v>1</v>
      </c>
      <c r="O241">
        <f>A!O241</f>
        <v>1</v>
      </c>
      <c r="P241" s="32" t="str">
        <f>IF(A!P241="","",INDEX(B!$A$1:$BT$2000,MATCH(A!P241,B!$AX$1:$AX$2000,0),D!$B$5))</f>
        <v>MM05 04 (150-200) 05 (150-200)</v>
      </c>
      <c r="Q241">
        <f>A!Q241</f>
        <v>0</v>
      </c>
      <c r="R241">
        <f>A!R241</f>
        <v>0</v>
      </c>
      <c r="S241">
        <f>A!S241</f>
        <v>0</v>
      </c>
      <c r="T241" t="str">
        <f>A!T241</f>
        <v>immetingen:AnalyticResultType</v>
      </c>
      <c r="U241" t="str">
        <f>A!U241</f>
        <v>&lt;0.1 µg/kgds</v>
      </c>
      <c r="V241" s="32">
        <f>IF(A!V241="&lt;",1,A!V241)</f>
        <v>1</v>
      </c>
      <c r="W241">
        <f>A!W241</f>
        <v>0.1</v>
      </c>
      <c r="X241">
        <f>A!X241</f>
        <v>0.1</v>
      </c>
      <c r="Y241" t="str">
        <f>A!Y241</f>
        <v>urn:immetingen:eenheid:id:131</v>
      </c>
      <c r="Z241" s="32">
        <f t="shared" si="3"/>
        <v>131</v>
      </c>
      <c r="AA241" t="str">
        <f>A!Z241</f>
        <v>urn:immetingen:kwaliteitsoordeel:id:0</v>
      </c>
      <c r="AB241" t="str">
        <f>A!AA241</f>
        <v>www.sikb.nl</v>
      </c>
      <c r="AC241" t="str">
        <f>A!AB241</f>
        <v>urn:immetingen:waardebewerkingsmethode:id:5</v>
      </c>
      <c r="AD241" t="str">
        <f>A!AC241</f>
        <v>www.sikb.nl</v>
      </c>
      <c r="AE241" t="str">
        <f>A!AD241</f>
        <v>_d3bd1a9e-7dab-46d5-bfa7-400f2a9e2711</v>
      </c>
      <c r="AF241">
        <f>A!AE241</f>
        <v>45811.618136574078</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32"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t="str">
        <f>A!CI241</f>
        <v>urn:imsikb0101:Applicaties:id:16</v>
      </c>
      <c r="CK241" t="str">
        <f>A!CJ241</f>
        <v>urn:imsikb0101:DatastroomType:id:1</v>
      </c>
      <c r="CL241">
        <f>A!CK241</f>
        <v>45811</v>
      </c>
      <c r="CM241" t="str">
        <f>A!CL241</f>
        <v>SGS, Rotterdam</v>
      </c>
      <c r="CN241" t="str">
        <f>A!CM241</f>
        <v>LABRESULTAAT SGS</v>
      </c>
      <c r="CO241">
        <f>A!CN241</f>
        <v>45811</v>
      </c>
      <c r="CP241">
        <f>A!CO241</f>
        <v>0</v>
      </c>
      <c r="CQ241">
        <f>A!CO551</f>
        <v>0</v>
      </c>
      <c r="CR241" t="e">
        <f>A!#REF!</f>
        <v>#REF!</v>
      </c>
      <c r="CS241" t="e">
        <f>A!#REF!</f>
        <v>#REF!</v>
      </c>
    </row>
    <row r="242" spans="1:97" x14ac:dyDescent="0.2">
      <c r="A242" t="str">
        <f>A!A242</f>
        <v>LABRESULTAAT</v>
      </c>
      <c r="B242">
        <f>A!B242</f>
        <v>61</v>
      </c>
      <c r="C242" t="str">
        <f>A!C242</f>
        <v>_0952d15e-7792-4802-a7fc-727edf90a573</v>
      </c>
      <c r="D242" t="str">
        <f>A!D242</f>
        <v>0952d15e-7792-4802-a7fc-727edf90a573</v>
      </c>
      <c r="E242" t="str">
        <f>A!E242</f>
        <v>SIKB</v>
      </c>
      <c r="F242" t="str">
        <f>A!F242</f>
        <v>urn:immetingen:hoedanigheid:id:1</v>
      </c>
      <c r="G242" t="str">
        <f>A!G242</f>
        <v>www.sikb.nl</v>
      </c>
      <c r="H242" t="str">
        <f>A!H242</f>
        <v>urn:immetingen:parameter:id:5935</v>
      </c>
      <c r="I242" t="str">
        <f>A!I242</f>
        <v>www.sikb.nl</v>
      </c>
      <c r="J242" t="str">
        <f>A!J242</f>
        <v>urn:immetingen:parameter:id:2725</v>
      </c>
      <c r="K242" t="str">
        <f>A!K242</f>
        <v>www.sikb.nl</v>
      </c>
      <c r="L242">
        <f>A!L242</f>
        <v>45811</v>
      </c>
      <c r="M242" t="str">
        <f>A!M242</f>
        <v>urn:immetingen:LabopdrachtStatus:id:5</v>
      </c>
      <c r="N242">
        <f>A!N242</f>
        <v>1</v>
      </c>
      <c r="O242">
        <f>A!O242</f>
        <v>1</v>
      </c>
      <c r="P242" s="32" t="str">
        <f>IF(A!P242="","",INDEX(B!$A$1:$BT$2000,MATCH(A!P242,B!$AX$1:$AX$2000,0),D!$B$5))</f>
        <v>MM05 04 (150-200) 05 (150-200)</v>
      </c>
      <c r="Q242">
        <f>A!Q242</f>
        <v>0</v>
      </c>
      <c r="R242">
        <f>A!R242</f>
        <v>0</v>
      </c>
      <c r="S242">
        <f>A!S242</f>
        <v>0</v>
      </c>
      <c r="T242" t="str">
        <f>A!T242</f>
        <v>immetingen:AnalyticResultType</v>
      </c>
      <c r="U242" t="str">
        <f>A!U242</f>
        <v>&lt;0.1 µg/kgds</v>
      </c>
      <c r="V242" s="32">
        <f>IF(A!V242="&lt;",1,A!V242)</f>
        <v>1</v>
      </c>
      <c r="W242">
        <f>A!W242</f>
        <v>0.1</v>
      </c>
      <c r="X242">
        <f>A!X242</f>
        <v>0.1</v>
      </c>
      <c r="Y242" t="str">
        <f>A!Y242</f>
        <v>urn:immetingen:eenheid:id:131</v>
      </c>
      <c r="Z242" s="32">
        <f t="shared" si="3"/>
        <v>131</v>
      </c>
      <c r="AA242" t="str">
        <f>A!Z242</f>
        <v>urn:immetingen:kwaliteitsoordeel:id:0</v>
      </c>
      <c r="AB242" t="str">
        <f>A!AA242</f>
        <v>www.sikb.nl</v>
      </c>
      <c r="AC242" t="str">
        <f>A!AB242</f>
        <v>urn:immetingen:waardebewerkingsmethode:id:5</v>
      </c>
      <c r="AD242" t="str">
        <f>A!AC242</f>
        <v>www.sikb.nl</v>
      </c>
      <c r="AE242" t="str">
        <f>A!AD242</f>
        <v>_a12a3212-3353-4212-b5d9-4d6332628124</v>
      </c>
      <c r="AF242">
        <f>A!AE242</f>
        <v>45811.618148148147</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32"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t="str">
        <f>A!CI242</f>
        <v>urn:imsikb0101:Applicaties:id:16</v>
      </c>
      <c r="CK242" t="str">
        <f>A!CJ242</f>
        <v>urn:imsikb0101:DatastroomType:id:1</v>
      </c>
      <c r="CL242">
        <f>A!CK242</f>
        <v>45811</v>
      </c>
      <c r="CM242" t="str">
        <f>A!CL242</f>
        <v>SGS, Rotterdam</v>
      </c>
      <c r="CN242" t="str">
        <f>A!CM242</f>
        <v>LABRESULTAAT SGS</v>
      </c>
      <c r="CO242">
        <f>A!CN242</f>
        <v>45811</v>
      </c>
      <c r="CP242">
        <f>A!CO242</f>
        <v>0</v>
      </c>
      <c r="CQ242">
        <f>A!CO552</f>
        <v>0</v>
      </c>
      <c r="CR242" t="e">
        <f>A!#REF!</f>
        <v>#REF!</v>
      </c>
      <c r="CS242" t="e">
        <f>A!#REF!</f>
        <v>#REF!</v>
      </c>
    </row>
    <row r="243" spans="1:97" x14ac:dyDescent="0.2">
      <c r="A243" t="str">
        <f>A!A243</f>
        <v>LABRESULTAAT</v>
      </c>
      <c r="B243">
        <f>A!B243</f>
        <v>62</v>
      </c>
      <c r="C243" t="str">
        <f>A!C243</f>
        <v>_bd098b04-ecb5-41c6-ba19-91e2e1f175f7</v>
      </c>
      <c r="D243" t="str">
        <f>A!D243</f>
        <v>bd098b04-ecb5-41c6-ba19-91e2e1f175f7</v>
      </c>
      <c r="E243" t="str">
        <f>A!E243</f>
        <v>SIKB</v>
      </c>
      <c r="F243" t="str">
        <f>A!F243</f>
        <v>urn:immetingen:hoedanigheid:id:1</v>
      </c>
      <c r="G243" t="str">
        <f>A!G243</f>
        <v>www.sikb.nl</v>
      </c>
      <c r="H243" t="str">
        <f>A!H243</f>
        <v>urn:immetingen:parameter:id:4448</v>
      </c>
      <c r="I243" t="str">
        <f>A!I243</f>
        <v>www.sikb.nl</v>
      </c>
      <c r="J243" t="str">
        <f>A!J243</f>
        <v>urn:immetingen:parameter:id:2725</v>
      </c>
      <c r="K243" t="str">
        <f>A!K243</f>
        <v>www.sikb.nl</v>
      </c>
      <c r="L243">
        <f>A!L243</f>
        <v>45811</v>
      </c>
      <c r="M243" t="str">
        <f>A!M243</f>
        <v>urn:immetingen:LabopdrachtStatus:id:5</v>
      </c>
      <c r="N243">
        <f>A!N243</f>
        <v>1</v>
      </c>
      <c r="O243">
        <f>A!O243</f>
        <v>1</v>
      </c>
      <c r="P243" s="32" t="str">
        <f>IF(A!P243="","",INDEX(B!$A$1:$BT$2000,MATCH(A!P243,B!$AX$1:$AX$2000,0),D!$B$5))</f>
        <v>MM05 04 (150-200) 05 (150-200)</v>
      </c>
      <c r="Q243">
        <f>A!Q243</f>
        <v>0</v>
      </c>
      <c r="R243">
        <f>A!R243</f>
        <v>0</v>
      </c>
      <c r="S243">
        <f>A!S243</f>
        <v>0</v>
      </c>
      <c r="T243" t="str">
        <f>A!T243</f>
        <v>immetingen:AnalyticResultType</v>
      </c>
      <c r="U243" t="str">
        <f>A!U243</f>
        <v>&lt;0.1 µg/kgds</v>
      </c>
      <c r="V243" s="32">
        <f>IF(A!V243="&lt;",1,A!V243)</f>
        <v>1</v>
      </c>
      <c r="W243">
        <f>A!W243</f>
        <v>0.1</v>
      </c>
      <c r="X243">
        <f>A!X243</f>
        <v>0.1</v>
      </c>
      <c r="Y243" t="str">
        <f>A!Y243</f>
        <v>urn:immetingen:eenheid:id:131</v>
      </c>
      <c r="Z243" s="32">
        <f t="shared" si="3"/>
        <v>131</v>
      </c>
      <c r="AA243" t="str">
        <f>A!Z243</f>
        <v>urn:immetingen:kwaliteitsoordeel:id:0</v>
      </c>
      <c r="AB243" t="str">
        <f>A!AA243</f>
        <v>www.sikb.nl</v>
      </c>
      <c r="AC243" t="str">
        <f>A!AB243</f>
        <v>urn:immetingen:waardebewerkingsmethode:id:5</v>
      </c>
      <c r="AD243" t="str">
        <f>A!AC243</f>
        <v>www.sikb.nl</v>
      </c>
      <c r="AE243" t="str">
        <f>A!AD243</f>
        <v>_2bb1f7bb-3a15-4388-94bc-54047c7293e7</v>
      </c>
      <c r="AF243">
        <f>A!AE243</f>
        <v>45811.618136574078</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32"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t="str">
        <f>A!CI243</f>
        <v>urn:imsikb0101:Applicaties:id:16</v>
      </c>
      <c r="CK243" t="str">
        <f>A!CJ243</f>
        <v>urn:imsikb0101:DatastroomType:id:1</v>
      </c>
      <c r="CL243">
        <f>A!CK243</f>
        <v>45811</v>
      </c>
      <c r="CM243" t="str">
        <f>A!CL243</f>
        <v>SGS, Rotterdam</v>
      </c>
      <c r="CN243" t="str">
        <f>A!CM243</f>
        <v>LABRESULTAAT SGS</v>
      </c>
      <c r="CO243">
        <f>A!CN243</f>
        <v>45811</v>
      </c>
      <c r="CP243">
        <f>A!CO243</f>
        <v>0</v>
      </c>
      <c r="CQ243">
        <f>A!CO553</f>
        <v>0</v>
      </c>
      <c r="CR243" t="e">
        <f>A!#REF!</f>
        <v>#REF!</v>
      </c>
      <c r="CS243" t="e">
        <f>A!#REF!</f>
        <v>#REF!</v>
      </c>
    </row>
    <row r="244" spans="1:97" x14ac:dyDescent="0.2">
      <c r="A244" t="str">
        <f>A!A244</f>
        <v>LABRESULTAAT</v>
      </c>
      <c r="B244">
        <f>A!B244</f>
        <v>63</v>
      </c>
      <c r="C244" t="str">
        <f>A!C244</f>
        <v>_d7512183-2f89-48ec-88ee-b753822b4e1b</v>
      </c>
      <c r="D244" t="str">
        <f>A!D244</f>
        <v>d7512183-2f89-48ec-88ee-b753822b4e1b</v>
      </c>
      <c r="E244" t="str">
        <f>A!E244</f>
        <v>SIKB</v>
      </c>
      <c r="F244" t="str">
        <f>A!F244</f>
        <v>urn:immetingen:hoedanigheid:id:1</v>
      </c>
      <c r="G244" t="str">
        <f>A!G244</f>
        <v>www.sikb.nl</v>
      </c>
      <c r="H244" t="str">
        <f>A!H244</f>
        <v>urn:immetingen:parameter:id:4451</v>
      </c>
      <c r="I244" t="str">
        <f>A!I244</f>
        <v>www.sikb.nl</v>
      </c>
      <c r="J244" t="str">
        <f>A!J244</f>
        <v>urn:immetingen:parameter:id:2725</v>
      </c>
      <c r="K244" t="str">
        <f>A!K244</f>
        <v>www.sikb.nl</v>
      </c>
      <c r="L244">
        <f>A!L244</f>
        <v>45811</v>
      </c>
      <c r="M244" t="str">
        <f>A!M244</f>
        <v>urn:immetingen:LabopdrachtStatus:id:5</v>
      </c>
      <c r="N244">
        <f>A!N244</f>
        <v>1</v>
      </c>
      <c r="O244">
        <f>A!O244</f>
        <v>1</v>
      </c>
      <c r="P244" s="32" t="str">
        <f>IF(A!P244="","",INDEX(B!$A$1:$BT$2000,MATCH(A!P244,B!$AX$1:$AX$2000,0),D!$B$5))</f>
        <v>MM05 04 (150-200) 05 (150-200)</v>
      </c>
      <c r="Q244">
        <f>A!Q244</f>
        <v>0</v>
      </c>
      <c r="R244">
        <f>A!R244</f>
        <v>0</v>
      </c>
      <c r="S244">
        <f>A!S244</f>
        <v>0</v>
      </c>
      <c r="T244" t="str">
        <f>A!T244</f>
        <v>immetingen:AnalyticResultType</v>
      </c>
      <c r="U244" t="str">
        <f>A!U244</f>
        <v>&lt;0.1 µg/kgds</v>
      </c>
      <c r="V244" s="32">
        <f>IF(A!V244="&lt;",1,A!V244)</f>
        <v>1</v>
      </c>
      <c r="W244">
        <f>A!W244</f>
        <v>0.1</v>
      </c>
      <c r="X244">
        <f>A!X244</f>
        <v>0.1</v>
      </c>
      <c r="Y244" t="str">
        <f>A!Y244</f>
        <v>urn:immetingen:eenheid:id:131</v>
      </c>
      <c r="Z244" s="32">
        <f t="shared" si="3"/>
        <v>131</v>
      </c>
      <c r="AA244" t="str">
        <f>A!Z244</f>
        <v>urn:immetingen:kwaliteitsoordeel:id:0</v>
      </c>
      <c r="AB244" t="str">
        <f>A!AA244</f>
        <v>www.sikb.nl</v>
      </c>
      <c r="AC244" t="str">
        <f>A!AB244</f>
        <v>urn:immetingen:waardebewerkingsmethode:id:5</v>
      </c>
      <c r="AD244" t="str">
        <f>A!AC244</f>
        <v>www.sikb.nl</v>
      </c>
      <c r="AE244" t="str">
        <f>A!AD244</f>
        <v>_c09e86b1-164e-41cc-bcfb-db856f6fc460</v>
      </c>
      <c r="AF244">
        <f>A!AE244</f>
        <v>45811.618136574078</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32"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t="str">
        <f>A!CI244</f>
        <v>urn:imsikb0101:Applicaties:id:16</v>
      </c>
      <c r="CK244" t="str">
        <f>A!CJ244</f>
        <v>urn:imsikb0101:DatastroomType:id:1</v>
      </c>
      <c r="CL244">
        <f>A!CK244</f>
        <v>45811</v>
      </c>
      <c r="CM244" t="str">
        <f>A!CL244</f>
        <v>SGS, Rotterdam</v>
      </c>
      <c r="CN244" t="str">
        <f>A!CM244</f>
        <v>LABRESULTAAT SGS</v>
      </c>
      <c r="CO244">
        <f>A!CN244</f>
        <v>45811</v>
      </c>
      <c r="CP244">
        <f>A!CO244</f>
        <v>0</v>
      </c>
      <c r="CQ244">
        <f>A!CO554</f>
        <v>0</v>
      </c>
      <c r="CR244" t="e">
        <f>A!#REF!</f>
        <v>#REF!</v>
      </c>
      <c r="CS244" t="e">
        <f>A!#REF!</f>
        <v>#REF!</v>
      </c>
    </row>
    <row r="245" spans="1:97" x14ac:dyDescent="0.2">
      <c r="A245" t="str">
        <f>A!A245</f>
        <v>LABRESULTAAT</v>
      </c>
      <c r="B245">
        <f>A!B245</f>
        <v>64</v>
      </c>
      <c r="C245" t="str">
        <f>A!C245</f>
        <v>_ae2a2607-d21c-4c3c-8929-f5e10cd44e82</v>
      </c>
      <c r="D245" t="str">
        <f>A!D245</f>
        <v>ae2a2607-d21c-4c3c-8929-f5e10cd44e82</v>
      </c>
      <c r="E245" t="str">
        <f>A!E245</f>
        <v>SIKB</v>
      </c>
      <c r="F245" t="str">
        <f>A!F245</f>
        <v>urn:immetingen:hoedanigheid:id:86</v>
      </c>
      <c r="G245" t="str">
        <f>A!G245</f>
        <v>www.sikb.nl</v>
      </c>
      <c r="H245" t="str">
        <f>A!H245</f>
        <v>urn:immetingen:parameter:id:1200</v>
      </c>
      <c r="I245" t="str">
        <f>A!I245</f>
        <v>www.sikb.nl</v>
      </c>
      <c r="J245" t="str">
        <f>A!J245</f>
        <v>urn:immetingen:parameter:id:2725</v>
      </c>
      <c r="K245" t="str">
        <f>A!K245</f>
        <v>www.sikb.nl</v>
      </c>
      <c r="L245">
        <f>A!L245</f>
        <v>45811</v>
      </c>
      <c r="M245" t="str">
        <f>A!M245</f>
        <v>urn:immetingen:LabopdrachtStatus:id:5</v>
      </c>
      <c r="N245">
        <f>A!N245</f>
        <v>1</v>
      </c>
      <c r="O245">
        <f>A!O245</f>
        <v>1</v>
      </c>
      <c r="P245" s="32" t="str">
        <f>IF(A!P245="","",INDEX(B!$A$1:$BT$2000,MATCH(A!P245,B!$AX$1:$AX$2000,0),D!$B$5))</f>
        <v>MM05 04 (150-200) 05 (150-200)</v>
      </c>
      <c r="Q245">
        <f>A!Q245</f>
        <v>0</v>
      </c>
      <c r="R245">
        <f>A!R245</f>
        <v>0</v>
      </c>
      <c r="S245">
        <f>A!S245</f>
        <v>0</v>
      </c>
      <c r="T245" t="str">
        <f>A!T245</f>
        <v>immetingen:AnalyticResultType</v>
      </c>
      <c r="U245" t="str">
        <f>A!U245</f>
        <v>&lt;5 mg/kgds</v>
      </c>
      <c r="V245" s="32">
        <f>IF(A!V245="&lt;",1,A!V245)</f>
        <v>1</v>
      </c>
      <c r="W245">
        <f>A!W245</f>
        <v>5</v>
      </c>
      <c r="X245">
        <f>A!X245</f>
        <v>5</v>
      </c>
      <c r="Y245" t="str">
        <f>A!Y245</f>
        <v>urn:immetingen:eenheid:id:58</v>
      </c>
      <c r="Z245" s="32">
        <f t="shared" si="3"/>
        <v>58</v>
      </c>
      <c r="AA245" t="str">
        <f>A!Z245</f>
        <v>urn:immetingen:kwaliteitsoordeel:id:0</v>
      </c>
      <c r="AB245" t="str">
        <f>A!AA245</f>
        <v>www.sikb.nl</v>
      </c>
      <c r="AC245" t="str">
        <f>A!AB245</f>
        <v>urn:immetingen:waardebewerkingsmethode:id:5</v>
      </c>
      <c r="AD245" t="str">
        <f>A!AC245</f>
        <v>www.sikb.nl</v>
      </c>
      <c r="AE245" t="str">
        <f>A!AD245</f>
        <v>_1d9bf51b-0807-48ca-97d8-e50127886902</v>
      </c>
      <c r="AF245">
        <f>A!AE245</f>
        <v>45811.321574074071</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32"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t="str">
        <f>A!CI245</f>
        <v>urn:imsikb0101:Applicaties:id:16</v>
      </c>
      <c r="CK245" t="str">
        <f>A!CJ245</f>
        <v>urn:imsikb0101:DatastroomType:id:1</v>
      </c>
      <c r="CL245">
        <f>A!CK245</f>
        <v>45811</v>
      </c>
      <c r="CM245" t="str">
        <f>A!CL245</f>
        <v>SGS, Rotterdam</v>
      </c>
      <c r="CN245" t="str">
        <f>A!CM245</f>
        <v>LABRESULTAAT SGS</v>
      </c>
      <c r="CO245">
        <f>A!CN245</f>
        <v>45811</v>
      </c>
      <c r="CP245">
        <f>A!CO245</f>
        <v>0</v>
      </c>
      <c r="CQ245">
        <f>A!CO555</f>
        <v>0</v>
      </c>
      <c r="CR245" t="e">
        <f>A!#REF!</f>
        <v>#REF!</v>
      </c>
      <c r="CS245" t="e">
        <f>A!#REF!</f>
        <v>#REF!</v>
      </c>
    </row>
    <row r="246" spans="1:97" x14ac:dyDescent="0.2">
      <c r="A246" t="str">
        <f>A!A246</f>
        <v>LABRESULTAAT</v>
      </c>
      <c r="B246">
        <f>A!B246</f>
        <v>65</v>
      </c>
      <c r="C246" t="str">
        <f>A!C246</f>
        <v>_f8608ba2-06fe-4632-a705-031c8c397a90</v>
      </c>
      <c r="D246" t="str">
        <f>A!D246</f>
        <v>f8608ba2-06fe-4632-a705-031c8c397a90</v>
      </c>
      <c r="E246" t="str">
        <f>A!E246</f>
        <v>SIKB</v>
      </c>
      <c r="F246" t="str">
        <f>A!F246</f>
        <v>urn:immetingen:hoedanigheid:id:99</v>
      </c>
      <c r="G246" t="str">
        <f>A!G246</f>
        <v>www.sikb.nl</v>
      </c>
      <c r="H246" t="str">
        <f>A!H246</f>
        <v>urn:immetingen:parameter:id:1200</v>
      </c>
      <c r="I246" t="str">
        <f>A!I246</f>
        <v>www.sikb.nl</v>
      </c>
      <c r="J246" t="str">
        <f>A!J246</f>
        <v>urn:immetingen:parameter:id:2725</v>
      </c>
      <c r="K246" t="str">
        <f>A!K246</f>
        <v>www.sikb.nl</v>
      </c>
      <c r="L246">
        <f>A!L246</f>
        <v>45811</v>
      </c>
      <c r="M246" t="str">
        <f>A!M246</f>
        <v>urn:immetingen:LabopdrachtStatus:id:5</v>
      </c>
      <c r="N246">
        <f>A!N246</f>
        <v>1</v>
      </c>
      <c r="O246">
        <f>A!O246</f>
        <v>1</v>
      </c>
      <c r="P246" s="32" t="str">
        <f>IF(A!P246="","",INDEX(B!$A$1:$BT$2000,MATCH(A!P246,B!$AX$1:$AX$2000,0),D!$B$5))</f>
        <v>MM05 04 (150-200) 05 (150-200)</v>
      </c>
      <c r="Q246">
        <f>A!Q246</f>
        <v>0</v>
      </c>
      <c r="R246">
        <f>A!R246</f>
        <v>0</v>
      </c>
      <c r="S246">
        <f>A!S246</f>
        <v>0</v>
      </c>
      <c r="T246" t="str">
        <f>A!T246</f>
        <v>immetingen:AnalyticResultType</v>
      </c>
      <c r="U246" t="str">
        <f>A!U246</f>
        <v>&lt;5 mg/kgds</v>
      </c>
      <c r="V246" s="32">
        <f>IF(A!V246="&lt;",1,A!V246)</f>
        <v>1</v>
      </c>
      <c r="W246">
        <f>A!W246</f>
        <v>5</v>
      </c>
      <c r="X246">
        <f>A!X246</f>
        <v>5</v>
      </c>
      <c r="Y246" t="str">
        <f>A!Y246</f>
        <v>urn:immetingen:eenheid:id:58</v>
      </c>
      <c r="Z246" s="32">
        <f t="shared" si="3"/>
        <v>58</v>
      </c>
      <c r="AA246" t="str">
        <f>A!Z246</f>
        <v>urn:immetingen:kwaliteitsoordeel:id:0</v>
      </c>
      <c r="AB246" t="str">
        <f>A!AA246</f>
        <v>www.sikb.nl</v>
      </c>
      <c r="AC246" t="str">
        <f>A!AB246</f>
        <v>urn:immetingen:waardebewerkingsmethode:id:5</v>
      </c>
      <c r="AD246" t="str">
        <f>A!AC246</f>
        <v>www.sikb.nl</v>
      </c>
      <c r="AE246" t="str">
        <f>A!AD246</f>
        <v>_5c304c63-dff5-488c-9868-9347ca34cffc</v>
      </c>
      <c r="AF246">
        <f>A!AE246</f>
        <v>45811.321574074071</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32"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t="str">
        <f>A!CI246</f>
        <v>urn:imsikb0101:Applicaties:id:16</v>
      </c>
      <c r="CK246" t="str">
        <f>A!CJ246</f>
        <v>urn:imsikb0101:DatastroomType:id:1</v>
      </c>
      <c r="CL246">
        <f>A!CK246</f>
        <v>45811</v>
      </c>
      <c r="CM246" t="str">
        <f>A!CL246</f>
        <v>SGS, Rotterdam</v>
      </c>
      <c r="CN246" t="str">
        <f>A!CM246</f>
        <v>LABRESULTAAT SGS</v>
      </c>
      <c r="CO246">
        <f>A!CN246</f>
        <v>45811</v>
      </c>
      <c r="CP246">
        <f>A!CO246</f>
        <v>0</v>
      </c>
      <c r="CQ246">
        <f>A!CO556</f>
        <v>0</v>
      </c>
      <c r="CR246" t="e">
        <f>A!#REF!</f>
        <v>#REF!</v>
      </c>
      <c r="CS246" t="e">
        <f>A!#REF!</f>
        <v>#REF!</v>
      </c>
    </row>
    <row r="247" spans="1:97" x14ac:dyDescent="0.2">
      <c r="A247" t="str">
        <f>A!A247</f>
        <v>LABRESULTAAT</v>
      </c>
      <c r="B247">
        <f>A!B247</f>
        <v>66</v>
      </c>
      <c r="C247" t="str">
        <f>A!C247</f>
        <v>_ea98ce30-b48e-40e2-a389-84dc49799fab</v>
      </c>
      <c r="D247" t="str">
        <f>A!D247</f>
        <v>ea98ce30-b48e-40e2-a389-84dc49799fab</v>
      </c>
      <c r="E247" t="str">
        <f>A!E247</f>
        <v>SIKB</v>
      </c>
      <c r="F247" t="str">
        <f>A!F247</f>
        <v>urn:immetingen:hoedanigheid:id:114</v>
      </c>
      <c r="G247" t="str">
        <f>A!G247</f>
        <v>www.sikb.nl</v>
      </c>
      <c r="H247" t="str">
        <f>A!H247</f>
        <v>urn:immetingen:parameter:id:1200</v>
      </c>
      <c r="I247" t="str">
        <f>A!I247</f>
        <v>www.sikb.nl</v>
      </c>
      <c r="J247" t="str">
        <f>A!J247</f>
        <v>urn:immetingen:parameter:id:2725</v>
      </c>
      <c r="K247" t="str">
        <f>A!K247</f>
        <v>www.sikb.nl</v>
      </c>
      <c r="L247">
        <f>A!L247</f>
        <v>45811</v>
      </c>
      <c r="M247" t="str">
        <f>A!M247</f>
        <v>urn:immetingen:LabopdrachtStatus:id:5</v>
      </c>
      <c r="N247">
        <f>A!N247</f>
        <v>1</v>
      </c>
      <c r="O247">
        <f>A!O247</f>
        <v>1</v>
      </c>
      <c r="P247" s="32" t="str">
        <f>IF(A!P247="","",INDEX(B!$A$1:$BT$2000,MATCH(A!P247,B!$AX$1:$AX$2000,0),D!$B$5))</f>
        <v>MM05 04 (150-200) 05 (150-200)</v>
      </c>
      <c r="Q247">
        <f>A!Q247</f>
        <v>0</v>
      </c>
      <c r="R247">
        <f>A!R247</f>
        <v>0</v>
      </c>
      <c r="S247">
        <f>A!S247</f>
        <v>0</v>
      </c>
      <c r="T247" t="str">
        <f>A!T247</f>
        <v>immetingen:AnalyticResultType</v>
      </c>
      <c r="U247" t="str">
        <f>A!U247</f>
        <v>&lt;5 mg/kgds</v>
      </c>
      <c r="V247" s="32">
        <f>IF(A!V247="&lt;",1,A!V247)</f>
        <v>1</v>
      </c>
      <c r="W247">
        <f>A!W247</f>
        <v>5</v>
      </c>
      <c r="X247">
        <f>A!X247</f>
        <v>5</v>
      </c>
      <c r="Y247" t="str">
        <f>A!Y247</f>
        <v>urn:immetingen:eenheid:id:58</v>
      </c>
      <c r="Z247" s="32">
        <f t="shared" si="3"/>
        <v>58</v>
      </c>
      <c r="AA247" t="str">
        <f>A!Z247</f>
        <v>urn:immetingen:kwaliteitsoordeel:id:0</v>
      </c>
      <c r="AB247" t="str">
        <f>A!AA247</f>
        <v>www.sikb.nl</v>
      </c>
      <c r="AC247" t="str">
        <f>A!AB247</f>
        <v>urn:immetingen:waardebewerkingsmethode:id:5</v>
      </c>
      <c r="AD247" t="str">
        <f>A!AC247</f>
        <v>www.sikb.nl</v>
      </c>
      <c r="AE247" t="str">
        <f>A!AD247</f>
        <v>_a8a14a97-0fc7-470c-bac9-8485900e5326</v>
      </c>
      <c r="AF247">
        <f>A!AE247</f>
        <v>45811.321574074071</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32"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t="str">
        <f>A!CI247</f>
        <v>urn:imsikb0101:Applicaties:id:16</v>
      </c>
      <c r="CK247" t="str">
        <f>A!CJ247</f>
        <v>urn:imsikb0101:DatastroomType:id:1</v>
      </c>
      <c r="CL247">
        <f>A!CK247</f>
        <v>45811</v>
      </c>
      <c r="CM247" t="str">
        <f>A!CL247</f>
        <v>SGS, Rotterdam</v>
      </c>
      <c r="CN247" t="str">
        <f>A!CM247</f>
        <v>LABRESULTAAT SGS</v>
      </c>
      <c r="CO247">
        <f>A!CN247</f>
        <v>45811</v>
      </c>
      <c r="CP247">
        <f>A!CO247</f>
        <v>0</v>
      </c>
      <c r="CQ247">
        <f>A!CO557</f>
        <v>0</v>
      </c>
      <c r="CR247" t="e">
        <f>A!#REF!</f>
        <v>#REF!</v>
      </c>
      <c r="CS247" t="e">
        <f>A!#REF!</f>
        <v>#REF!</v>
      </c>
    </row>
    <row r="248" spans="1:97" x14ac:dyDescent="0.2">
      <c r="A248" t="str">
        <f>A!A248</f>
        <v>LABRESULTAAT</v>
      </c>
      <c r="B248">
        <f>A!B248</f>
        <v>67</v>
      </c>
      <c r="C248" t="str">
        <f>A!C248</f>
        <v>_679f615b-206f-4b50-9f52-cdf4c63d1925</v>
      </c>
      <c r="D248" t="str">
        <f>A!D248</f>
        <v>679f615b-206f-4b50-9f52-cdf4c63d1925</v>
      </c>
      <c r="E248" t="str">
        <f>A!E248</f>
        <v>SIKB</v>
      </c>
      <c r="F248" t="str">
        <f>A!F248</f>
        <v>urn:immetingen:hoedanigheid:id:122</v>
      </c>
      <c r="G248" t="str">
        <f>A!G248</f>
        <v>www.sikb.nl</v>
      </c>
      <c r="H248" t="str">
        <f>A!H248</f>
        <v>urn:immetingen:parameter:id:1200</v>
      </c>
      <c r="I248" t="str">
        <f>A!I248</f>
        <v>www.sikb.nl</v>
      </c>
      <c r="J248" t="str">
        <f>A!J248</f>
        <v>urn:immetingen:parameter:id:2725</v>
      </c>
      <c r="K248" t="str">
        <f>A!K248</f>
        <v>www.sikb.nl</v>
      </c>
      <c r="L248">
        <f>A!L248</f>
        <v>45811</v>
      </c>
      <c r="M248" t="str">
        <f>A!M248</f>
        <v>urn:immetingen:LabopdrachtStatus:id:5</v>
      </c>
      <c r="N248">
        <f>A!N248</f>
        <v>1</v>
      </c>
      <c r="O248">
        <f>A!O248</f>
        <v>1</v>
      </c>
      <c r="P248" s="32" t="str">
        <f>IF(A!P248="","",INDEX(B!$A$1:$BT$2000,MATCH(A!P248,B!$AX$1:$AX$2000,0),D!$B$5))</f>
        <v>MM05 04 (150-200) 05 (150-200)</v>
      </c>
      <c r="Q248">
        <f>A!Q248</f>
        <v>0</v>
      </c>
      <c r="R248">
        <f>A!R248</f>
        <v>0</v>
      </c>
      <c r="S248">
        <f>A!S248</f>
        <v>0</v>
      </c>
      <c r="T248" t="str">
        <f>A!T248</f>
        <v>immetingen:AnalyticResultType</v>
      </c>
      <c r="U248" t="str">
        <f>A!U248</f>
        <v>&lt;5 mg/kgds</v>
      </c>
      <c r="V248" s="32">
        <f>IF(A!V248="&lt;",1,A!V248)</f>
        <v>1</v>
      </c>
      <c r="W248">
        <f>A!W248</f>
        <v>5</v>
      </c>
      <c r="X248">
        <f>A!X248</f>
        <v>5</v>
      </c>
      <c r="Y248" t="str">
        <f>A!Y248</f>
        <v>urn:immetingen:eenheid:id:58</v>
      </c>
      <c r="Z248" s="32">
        <f t="shared" si="3"/>
        <v>58</v>
      </c>
      <c r="AA248" t="str">
        <f>A!Z248</f>
        <v>urn:immetingen:kwaliteitsoordeel:id:0</v>
      </c>
      <c r="AB248" t="str">
        <f>A!AA248</f>
        <v>www.sikb.nl</v>
      </c>
      <c r="AC248" t="str">
        <f>A!AB248</f>
        <v>urn:immetingen:waardebewerkingsmethode:id:5</v>
      </c>
      <c r="AD248" t="str">
        <f>A!AC248</f>
        <v>www.sikb.nl</v>
      </c>
      <c r="AE248" t="str">
        <f>A!AD248</f>
        <v>_91525d15-6023-4b69-aaa4-2cbfd81de143</v>
      </c>
      <c r="AF248">
        <f>A!AE248</f>
        <v>45811.321574074071</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32"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t="str">
        <f>A!CI248</f>
        <v>urn:imsikb0101:Applicaties:id:16</v>
      </c>
      <c r="CK248" t="str">
        <f>A!CJ248</f>
        <v>urn:imsikb0101:DatastroomType:id:1</v>
      </c>
      <c r="CL248">
        <f>A!CK248</f>
        <v>45811</v>
      </c>
      <c r="CM248" t="str">
        <f>A!CL248</f>
        <v>SGS, Rotterdam</v>
      </c>
      <c r="CN248" t="str">
        <f>A!CM248</f>
        <v>LABRESULTAAT SGS</v>
      </c>
      <c r="CO248">
        <f>A!CN248</f>
        <v>45811</v>
      </c>
      <c r="CP248">
        <f>A!CO248</f>
        <v>0</v>
      </c>
      <c r="CQ248">
        <f>A!CO558</f>
        <v>0</v>
      </c>
      <c r="CR248" t="e">
        <f>A!#REF!</f>
        <v>#REF!</v>
      </c>
      <c r="CS248" t="e">
        <f>A!#REF!</f>
        <v>#REF!</v>
      </c>
    </row>
    <row r="249" spans="1:97" x14ac:dyDescent="0.2">
      <c r="A249" t="str">
        <f>A!A249</f>
        <v>LABRESULTAAT</v>
      </c>
      <c r="B249">
        <f>A!B249</f>
        <v>68</v>
      </c>
      <c r="C249" t="str">
        <f>A!C249</f>
        <v>_55f00512-94e3-4b53-8078-4b4792ba6247</v>
      </c>
      <c r="D249" t="str">
        <f>A!D249</f>
        <v>55f00512-94e3-4b53-8078-4b4792ba6247</v>
      </c>
      <c r="E249" t="str">
        <f>A!E249</f>
        <v>SIKB</v>
      </c>
      <c r="F249" t="str">
        <f>A!F249</f>
        <v>urn:immetingen:hoedanigheid:id:93</v>
      </c>
      <c r="G249" t="str">
        <f>A!G249</f>
        <v>www.sikb.nl</v>
      </c>
      <c r="H249" t="str">
        <f>A!H249</f>
        <v>urn:immetingen:parameter:id:1200</v>
      </c>
      <c r="I249" t="str">
        <f>A!I249</f>
        <v>www.sikb.nl</v>
      </c>
      <c r="J249" t="str">
        <f>A!J249</f>
        <v>urn:immetingen:parameter:id:2725</v>
      </c>
      <c r="K249" t="str">
        <f>A!K249</f>
        <v>www.sikb.nl</v>
      </c>
      <c r="L249">
        <f>A!L249</f>
        <v>45811</v>
      </c>
      <c r="M249" t="str">
        <f>A!M249</f>
        <v>urn:immetingen:LabopdrachtStatus:id:5</v>
      </c>
      <c r="N249">
        <f>A!N249</f>
        <v>1</v>
      </c>
      <c r="O249">
        <f>A!O249</f>
        <v>1</v>
      </c>
      <c r="P249" s="32" t="str">
        <f>IF(A!P249="","",INDEX(B!$A$1:$BT$2000,MATCH(A!P249,B!$AX$1:$AX$2000,0),D!$B$5))</f>
        <v>MM04 04 (100-150) 05 (100-150)</v>
      </c>
      <c r="Q249">
        <f>A!Q249</f>
        <v>0</v>
      </c>
      <c r="R249">
        <f>A!R249</f>
        <v>0</v>
      </c>
      <c r="S249">
        <f>A!S249</f>
        <v>0</v>
      </c>
      <c r="T249" t="str">
        <f>A!T249</f>
        <v>immetingen:AnalyticResultType</v>
      </c>
      <c r="U249" t="str">
        <f>A!U249</f>
        <v>&lt;20 mg/kgds</v>
      </c>
      <c r="V249" s="32">
        <f>IF(A!V249="&lt;",1,A!V249)</f>
        <v>1</v>
      </c>
      <c r="W249">
        <f>A!W249</f>
        <v>20</v>
      </c>
      <c r="X249">
        <f>A!X249</f>
        <v>20</v>
      </c>
      <c r="Y249" t="str">
        <f>A!Y249</f>
        <v>urn:immetingen:eenheid:id:58</v>
      </c>
      <c r="Z249" s="32">
        <f t="shared" si="3"/>
        <v>58</v>
      </c>
      <c r="AA249" t="str">
        <f>A!Z249</f>
        <v>urn:immetingen:kwaliteitsoordeel:id:0</v>
      </c>
      <c r="AB249" t="str">
        <f>A!AA249</f>
        <v>www.sikb.nl</v>
      </c>
      <c r="AC249" t="str">
        <f>A!AB249</f>
        <v>urn:immetingen:waardebewerkingsmethode:id:5</v>
      </c>
      <c r="AD249" t="str">
        <f>A!AC249</f>
        <v>www.sikb.nl</v>
      </c>
      <c r="AE249" t="str">
        <f>A!AD249</f>
        <v>_bafc8f9d-5427-460e-83ae-f2359ac5eb77</v>
      </c>
      <c r="AF249">
        <f>A!AE249</f>
        <v>45811.321909722225</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32"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t="str">
        <f>A!CI249</f>
        <v>urn:imsikb0101:Applicaties:id:16</v>
      </c>
      <c r="CK249" t="str">
        <f>A!CJ249</f>
        <v>urn:imsikb0101:DatastroomType:id:1</v>
      </c>
      <c r="CL249">
        <f>A!CK249</f>
        <v>45811</v>
      </c>
      <c r="CM249" t="str">
        <f>A!CL249</f>
        <v>SGS, Rotterdam</v>
      </c>
      <c r="CN249" t="str">
        <f>A!CM249</f>
        <v>LABRESULTAAT SGS</v>
      </c>
      <c r="CO249">
        <f>A!CN249</f>
        <v>45811</v>
      </c>
      <c r="CP249">
        <f>A!CO249</f>
        <v>0</v>
      </c>
      <c r="CQ249">
        <f>A!CO559</f>
        <v>0</v>
      </c>
      <c r="CR249" t="e">
        <f>A!#REF!</f>
        <v>#REF!</v>
      </c>
      <c r="CS249" t="e">
        <f>A!#REF!</f>
        <v>#REF!</v>
      </c>
    </row>
    <row r="250" spans="1:97" x14ac:dyDescent="0.2">
      <c r="A250" t="str">
        <f>A!A250</f>
        <v>LABRESULTAAT</v>
      </c>
      <c r="B250">
        <f>A!B250</f>
        <v>69</v>
      </c>
      <c r="C250" t="str">
        <f>A!C250</f>
        <v>_e7dc3946-9714-41e3-80f9-51ad0cd40ebc</v>
      </c>
      <c r="D250" t="str">
        <f>A!D250</f>
        <v>e7dc3946-9714-41e3-80f9-51ad0cd40ebc</v>
      </c>
      <c r="E250" t="str">
        <f>A!E250</f>
        <v>SIKB</v>
      </c>
      <c r="F250" t="str">
        <f>A!F250</f>
        <v>urn:immetingen:hoedanigheid:id:1</v>
      </c>
      <c r="G250" t="str">
        <f>A!G250</f>
        <v>www.sikb.nl</v>
      </c>
      <c r="H250" t="str">
        <f>A!H250</f>
        <v>urn:immetingen:parameter:id:1381</v>
      </c>
      <c r="I250" t="str">
        <f>A!I250</f>
        <v>www.sikb.nl</v>
      </c>
      <c r="J250" t="str">
        <f>A!J250</f>
        <v>urn:immetingen:parameter:id:2725</v>
      </c>
      <c r="K250" t="str">
        <f>A!K250</f>
        <v>www.sikb.nl</v>
      </c>
      <c r="L250">
        <f>A!L250</f>
        <v>45811</v>
      </c>
      <c r="M250" t="str">
        <f>A!M250</f>
        <v>urn:immetingen:LabopdrachtStatus:id:5</v>
      </c>
      <c r="N250">
        <f>A!N250</f>
        <v>1</v>
      </c>
      <c r="O250">
        <f>A!O250</f>
        <v>1</v>
      </c>
      <c r="P250" s="32" t="str">
        <f>IF(A!P250="","",INDEX(B!$A$1:$BT$2000,MATCH(A!P250,B!$AX$1:$AX$2000,0),D!$B$5))</f>
        <v>MM04 04 (100-150) 05 (100-150)</v>
      </c>
      <c r="Q250">
        <f>A!Q250</f>
        <v>0</v>
      </c>
      <c r="R250">
        <f>A!R250</f>
        <v>0</v>
      </c>
      <c r="S250">
        <f>A!S250</f>
        <v>0</v>
      </c>
      <c r="T250" t="str">
        <f>A!T250</f>
        <v>immetingen:AnalyticResultType</v>
      </c>
      <c r="U250" t="str">
        <f>A!U250</f>
        <v>&lt;1 µg/kgds</v>
      </c>
      <c r="V250" s="32">
        <f>IF(A!V250="&lt;",1,A!V250)</f>
        <v>1</v>
      </c>
      <c r="W250">
        <f>A!W250</f>
        <v>1</v>
      </c>
      <c r="X250">
        <f>A!X250</f>
        <v>1</v>
      </c>
      <c r="Y250" t="str">
        <f>A!Y250</f>
        <v>urn:immetingen:eenheid:id:131</v>
      </c>
      <c r="Z250" s="32">
        <f t="shared" si="3"/>
        <v>131</v>
      </c>
      <c r="AA250" t="str">
        <f>A!Z250</f>
        <v>urn:immetingen:kwaliteitsoordeel:id:0</v>
      </c>
      <c r="AB250" t="str">
        <f>A!AA250</f>
        <v>www.sikb.nl</v>
      </c>
      <c r="AC250" t="str">
        <f>A!AB250</f>
        <v>urn:immetingen:waardebewerkingsmethode:id:5</v>
      </c>
      <c r="AD250" t="str">
        <f>A!AC250</f>
        <v>www.sikb.nl</v>
      </c>
      <c r="AE250" t="str">
        <f>A!AD250</f>
        <v>_d00bb7ea-f007-40c8-af1c-bdba818523ba</v>
      </c>
      <c r="AF250">
        <f>A!AE250</f>
        <v>45811.309270833335</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32"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t="str">
        <f>A!CI250</f>
        <v>urn:imsikb0101:Applicaties:id:16</v>
      </c>
      <c r="CK250" t="str">
        <f>A!CJ250</f>
        <v>urn:imsikb0101:DatastroomType:id:1</v>
      </c>
      <c r="CL250">
        <f>A!CK250</f>
        <v>45811</v>
      </c>
      <c r="CM250" t="str">
        <f>A!CL250</f>
        <v>SGS, Rotterdam</v>
      </c>
      <c r="CN250" t="str">
        <f>A!CM250</f>
        <v>LABRESULTAAT SGS</v>
      </c>
      <c r="CO250">
        <f>A!CN250</f>
        <v>45811</v>
      </c>
      <c r="CP250">
        <f>A!CO250</f>
        <v>0</v>
      </c>
      <c r="CQ250">
        <f>A!CO560</f>
        <v>0</v>
      </c>
      <c r="CR250" t="e">
        <f>A!#REF!</f>
        <v>#REF!</v>
      </c>
      <c r="CS250" t="e">
        <f>A!#REF!</f>
        <v>#REF!</v>
      </c>
    </row>
    <row r="251" spans="1:97" x14ac:dyDescent="0.2">
      <c r="A251" t="str">
        <f>A!A251</f>
        <v>LABRESULTAAT</v>
      </c>
      <c r="B251">
        <f>A!B251</f>
        <v>70</v>
      </c>
      <c r="C251" t="str">
        <f>A!C251</f>
        <v>_d16e0444-c88b-47c7-90af-a115205c2e0c</v>
      </c>
      <c r="D251" t="str">
        <f>A!D251</f>
        <v>d16e0444-c88b-47c7-90af-a115205c2e0c</v>
      </c>
      <c r="E251" t="str">
        <f>A!E251</f>
        <v>SIKB</v>
      </c>
      <c r="F251" t="str">
        <f>A!F251</f>
        <v>urn:immetingen:hoedanigheid:id:1</v>
      </c>
      <c r="G251" t="str">
        <f>A!G251</f>
        <v>www.sikb.nl</v>
      </c>
      <c r="H251" t="str">
        <f>A!H251</f>
        <v>urn:immetingen:parameter:id:1382</v>
      </c>
      <c r="I251" t="str">
        <f>A!I251</f>
        <v>www.sikb.nl</v>
      </c>
      <c r="J251" t="str">
        <f>A!J251</f>
        <v>urn:immetingen:parameter:id:2725</v>
      </c>
      <c r="K251" t="str">
        <f>A!K251</f>
        <v>www.sikb.nl</v>
      </c>
      <c r="L251">
        <f>A!L251</f>
        <v>45811</v>
      </c>
      <c r="M251" t="str">
        <f>A!M251</f>
        <v>urn:immetingen:LabopdrachtStatus:id:5</v>
      </c>
      <c r="N251">
        <f>A!N251</f>
        <v>1</v>
      </c>
      <c r="O251">
        <f>A!O251</f>
        <v>1</v>
      </c>
      <c r="P251" s="32" t="str">
        <f>IF(A!P251="","",INDEX(B!$A$1:$BT$2000,MATCH(A!P251,B!$AX$1:$AX$2000,0),D!$B$5))</f>
        <v>MM04 04 (100-150) 05 (100-150)</v>
      </c>
      <c r="Q251">
        <f>A!Q251</f>
        <v>0</v>
      </c>
      <c r="R251">
        <f>A!R251</f>
        <v>0</v>
      </c>
      <c r="S251">
        <f>A!S251</f>
        <v>0</v>
      </c>
      <c r="T251" t="str">
        <f>A!T251</f>
        <v>immetingen:AnalyticResultType</v>
      </c>
      <c r="U251" t="str">
        <f>A!U251</f>
        <v>&lt;1 µg/kgds</v>
      </c>
      <c r="V251" s="32">
        <f>IF(A!V251="&lt;",1,A!V251)</f>
        <v>1</v>
      </c>
      <c r="W251">
        <f>A!W251</f>
        <v>1</v>
      </c>
      <c r="X251">
        <f>A!X251</f>
        <v>1</v>
      </c>
      <c r="Y251" t="str">
        <f>A!Y251</f>
        <v>urn:immetingen:eenheid:id:131</v>
      </c>
      <c r="Z251" s="32">
        <f t="shared" si="3"/>
        <v>131</v>
      </c>
      <c r="AA251" t="str">
        <f>A!Z251</f>
        <v>urn:immetingen:kwaliteitsoordeel:id:0</v>
      </c>
      <c r="AB251" t="str">
        <f>A!AA251</f>
        <v>www.sikb.nl</v>
      </c>
      <c r="AC251" t="str">
        <f>A!AB251</f>
        <v>urn:immetingen:waardebewerkingsmethode:id:5</v>
      </c>
      <c r="AD251" t="str">
        <f>A!AC251</f>
        <v>www.sikb.nl</v>
      </c>
      <c r="AE251" t="str">
        <f>A!AD251</f>
        <v>_43a0c249-e062-453a-b6b0-3f54411c2ecd</v>
      </c>
      <c r="AF251">
        <f>A!AE251</f>
        <v>45811.309270833335</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32"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t="str">
        <f>A!CI251</f>
        <v>urn:imsikb0101:Applicaties:id:16</v>
      </c>
      <c r="CK251" t="str">
        <f>A!CJ251</f>
        <v>urn:imsikb0101:DatastroomType:id:1</v>
      </c>
      <c r="CL251">
        <f>A!CK251</f>
        <v>45811</v>
      </c>
      <c r="CM251" t="str">
        <f>A!CL251</f>
        <v>SGS, Rotterdam</v>
      </c>
      <c r="CN251" t="str">
        <f>A!CM251</f>
        <v>LABRESULTAAT SGS</v>
      </c>
      <c r="CO251">
        <f>A!CN251</f>
        <v>45811</v>
      </c>
      <c r="CP251">
        <f>A!CO251</f>
        <v>0</v>
      </c>
      <c r="CQ251">
        <f>A!CO561</f>
        <v>0</v>
      </c>
      <c r="CR251" t="e">
        <f>A!#REF!</f>
        <v>#REF!</v>
      </c>
      <c r="CS251" t="e">
        <f>A!#REF!</f>
        <v>#REF!</v>
      </c>
    </row>
    <row r="252" spans="1:97" x14ac:dyDescent="0.2">
      <c r="A252" t="str">
        <f>A!A252</f>
        <v>LABRESULTAAT</v>
      </c>
      <c r="B252">
        <f>A!B252</f>
        <v>71</v>
      </c>
      <c r="C252" t="str">
        <f>A!C252</f>
        <v>_c72f398f-9225-4fe5-a215-22a613464617</v>
      </c>
      <c r="D252" t="str">
        <f>A!D252</f>
        <v>c72f398f-9225-4fe5-a215-22a613464617</v>
      </c>
      <c r="E252" t="str">
        <f>A!E252</f>
        <v>SIKB</v>
      </c>
      <c r="F252" t="str">
        <f>A!F252</f>
        <v>urn:immetingen:hoedanigheid:id:1</v>
      </c>
      <c r="G252" t="str">
        <f>A!G252</f>
        <v>www.sikb.nl</v>
      </c>
      <c r="H252" t="str">
        <f>A!H252</f>
        <v>urn:immetingen:parameter:id:1372</v>
      </c>
      <c r="I252" t="str">
        <f>A!I252</f>
        <v>www.sikb.nl</v>
      </c>
      <c r="J252" t="str">
        <f>A!J252</f>
        <v>urn:immetingen:parameter:id:2725</v>
      </c>
      <c r="K252" t="str">
        <f>A!K252</f>
        <v>www.sikb.nl</v>
      </c>
      <c r="L252">
        <f>A!L252</f>
        <v>45811</v>
      </c>
      <c r="M252" t="str">
        <f>A!M252</f>
        <v>urn:immetingen:LabopdrachtStatus:id:5</v>
      </c>
      <c r="N252">
        <f>A!N252</f>
        <v>1</v>
      </c>
      <c r="O252">
        <f>A!O252</f>
        <v>1</v>
      </c>
      <c r="P252" s="32" t="str">
        <f>IF(A!P252="","",INDEX(B!$A$1:$BT$2000,MATCH(A!P252,B!$AX$1:$AX$2000,0),D!$B$5))</f>
        <v>MM04 04 (100-150) 05 (100-150)</v>
      </c>
      <c r="Q252">
        <f>A!Q252</f>
        <v>0</v>
      </c>
      <c r="R252">
        <f>A!R252</f>
        <v>0</v>
      </c>
      <c r="S252">
        <f>A!S252</f>
        <v>0</v>
      </c>
      <c r="T252" t="str">
        <f>A!T252</f>
        <v>immetingen:AnalyticResultType</v>
      </c>
      <c r="U252" t="str">
        <f>A!U252</f>
        <v>&lt;1 µg/kgds</v>
      </c>
      <c r="V252" s="32">
        <f>IF(A!V252="&lt;",1,A!V252)</f>
        <v>1</v>
      </c>
      <c r="W252">
        <f>A!W252</f>
        <v>1</v>
      </c>
      <c r="X252">
        <f>A!X252</f>
        <v>1</v>
      </c>
      <c r="Y252" t="str">
        <f>A!Y252</f>
        <v>urn:immetingen:eenheid:id:131</v>
      </c>
      <c r="Z252" s="32">
        <f t="shared" si="3"/>
        <v>131</v>
      </c>
      <c r="AA252" t="str">
        <f>A!Z252</f>
        <v>urn:immetingen:kwaliteitsoordeel:id:0</v>
      </c>
      <c r="AB252" t="str">
        <f>A!AA252</f>
        <v>www.sikb.nl</v>
      </c>
      <c r="AC252" t="str">
        <f>A!AB252</f>
        <v>urn:immetingen:waardebewerkingsmethode:id:5</v>
      </c>
      <c r="AD252" t="str">
        <f>A!AC252</f>
        <v>www.sikb.nl</v>
      </c>
      <c r="AE252" t="str">
        <f>A!AD252</f>
        <v>_c0ad35ed-2607-485d-aff9-16e3438ad064</v>
      </c>
      <c r="AF252">
        <f>A!AE252</f>
        <v>45811.309270833335</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32"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t="str">
        <f>A!CI252</f>
        <v>urn:imsikb0101:Applicaties:id:16</v>
      </c>
      <c r="CK252" t="str">
        <f>A!CJ252</f>
        <v>urn:imsikb0101:DatastroomType:id:1</v>
      </c>
      <c r="CL252">
        <f>A!CK252</f>
        <v>45811</v>
      </c>
      <c r="CM252" t="str">
        <f>A!CL252</f>
        <v>SGS, Rotterdam</v>
      </c>
      <c r="CN252" t="str">
        <f>A!CM252</f>
        <v>LABRESULTAAT SGS</v>
      </c>
      <c r="CO252">
        <f>A!CN252</f>
        <v>45811</v>
      </c>
      <c r="CP252">
        <f>A!CO252</f>
        <v>0</v>
      </c>
      <c r="CQ252">
        <f>A!CO562</f>
        <v>0</v>
      </c>
      <c r="CR252" t="e">
        <f>A!#REF!</f>
        <v>#REF!</v>
      </c>
      <c r="CS252" t="e">
        <f>A!#REF!</f>
        <v>#REF!</v>
      </c>
    </row>
    <row r="253" spans="1:97" x14ac:dyDescent="0.2">
      <c r="A253" t="str">
        <f>A!A253</f>
        <v>LABRESULTAAT</v>
      </c>
      <c r="B253">
        <f>A!B253</f>
        <v>72</v>
      </c>
      <c r="C253" t="str">
        <f>A!C253</f>
        <v>_190197eb-62a7-4c1e-87b3-c64eed20d0f5</v>
      </c>
      <c r="D253" t="str">
        <f>A!D253</f>
        <v>190197eb-62a7-4c1e-87b3-c64eed20d0f5</v>
      </c>
      <c r="E253" t="str">
        <f>A!E253</f>
        <v>SIKB</v>
      </c>
      <c r="F253" t="str">
        <f>A!F253</f>
        <v>urn:immetingen:hoedanigheid:id:1</v>
      </c>
      <c r="G253" t="str">
        <f>A!G253</f>
        <v>www.sikb.nl</v>
      </c>
      <c r="H253" t="str">
        <f>A!H253</f>
        <v>urn:immetingen:parameter:id:1374</v>
      </c>
      <c r="I253" t="str">
        <f>A!I253</f>
        <v>www.sikb.nl</v>
      </c>
      <c r="J253" t="str">
        <f>A!J253</f>
        <v>urn:immetingen:parameter:id:2725</v>
      </c>
      <c r="K253" t="str">
        <f>A!K253</f>
        <v>www.sikb.nl</v>
      </c>
      <c r="L253">
        <f>A!L253</f>
        <v>45811</v>
      </c>
      <c r="M253" t="str">
        <f>A!M253</f>
        <v>urn:immetingen:LabopdrachtStatus:id:5</v>
      </c>
      <c r="N253">
        <f>A!N253</f>
        <v>1</v>
      </c>
      <c r="O253">
        <f>A!O253</f>
        <v>1</v>
      </c>
      <c r="P253" s="32" t="str">
        <f>IF(A!P253="","",INDEX(B!$A$1:$BT$2000,MATCH(A!P253,B!$AX$1:$AX$2000,0),D!$B$5))</f>
        <v>MM04 04 (100-150) 05 (100-150)</v>
      </c>
      <c r="Q253">
        <f>A!Q253</f>
        <v>0</v>
      </c>
      <c r="R253">
        <f>A!R253</f>
        <v>0</v>
      </c>
      <c r="S253">
        <f>A!S253</f>
        <v>0</v>
      </c>
      <c r="T253" t="str">
        <f>A!T253</f>
        <v>immetingen:AnalyticResultType</v>
      </c>
      <c r="U253" t="str">
        <f>A!U253</f>
        <v>&lt;1 µg/kgds</v>
      </c>
      <c r="V253" s="32">
        <f>IF(A!V253="&lt;",1,A!V253)</f>
        <v>1</v>
      </c>
      <c r="W253">
        <f>A!W253</f>
        <v>1</v>
      </c>
      <c r="X253">
        <f>A!X253</f>
        <v>1</v>
      </c>
      <c r="Y253" t="str">
        <f>A!Y253</f>
        <v>urn:immetingen:eenheid:id:131</v>
      </c>
      <c r="Z253" s="32">
        <f t="shared" si="3"/>
        <v>131</v>
      </c>
      <c r="AA253" t="str">
        <f>A!Z253</f>
        <v>urn:immetingen:kwaliteitsoordeel:id:0</v>
      </c>
      <c r="AB253" t="str">
        <f>A!AA253</f>
        <v>www.sikb.nl</v>
      </c>
      <c r="AC253" t="str">
        <f>A!AB253</f>
        <v>urn:immetingen:waardebewerkingsmethode:id:5</v>
      </c>
      <c r="AD253" t="str">
        <f>A!AC253</f>
        <v>www.sikb.nl</v>
      </c>
      <c r="AE253" t="str">
        <f>A!AD253</f>
        <v>_4d10eb0c-9f05-4473-9dc8-f116069a6442</v>
      </c>
      <c r="AF253">
        <f>A!AE253</f>
        <v>45811.309270833335</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32"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t="str">
        <f>A!CI253</f>
        <v>urn:imsikb0101:Applicaties:id:16</v>
      </c>
      <c r="CK253" t="str">
        <f>A!CJ253</f>
        <v>urn:imsikb0101:DatastroomType:id:1</v>
      </c>
      <c r="CL253">
        <f>A!CK253</f>
        <v>45811</v>
      </c>
      <c r="CM253" t="str">
        <f>A!CL253</f>
        <v>SGS, Rotterdam</v>
      </c>
      <c r="CN253" t="str">
        <f>A!CM253</f>
        <v>LABRESULTAAT SGS</v>
      </c>
      <c r="CO253">
        <f>A!CN253</f>
        <v>45811</v>
      </c>
      <c r="CP253">
        <f>A!CO253</f>
        <v>0</v>
      </c>
      <c r="CQ253">
        <f>A!CO563</f>
        <v>0</v>
      </c>
      <c r="CR253" t="e">
        <f>A!#REF!</f>
        <v>#REF!</v>
      </c>
      <c r="CS253" t="e">
        <f>A!#REF!</f>
        <v>#REF!</v>
      </c>
    </row>
    <row r="254" spans="1:97" x14ac:dyDescent="0.2">
      <c r="A254" t="str">
        <f>A!A254</f>
        <v>LABRESULTAAT</v>
      </c>
      <c r="B254">
        <f>A!B254</f>
        <v>73</v>
      </c>
      <c r="C254" t="str">
        <f>A!C254</f>
        <v>_149a9ddd-16d6-438d-965b-3eaf92afdc46</v>
      </c>
      <c r="D254" t="str">
        <f>A!D254</f>
        <v>149a9ddd-16d6-438d-965b-3eaf92afdc46</v>
      </c>
      <c r="E254" t="str">
        <f>A!E254</f>
        <v>SIKB</v>
      </c>
      <c r="F254" t="str">
        <f>A!F254</f>
        <v>urn:immetingen:hoedanigheid:id:1</v>
      </c>
      <c r="G254" t="str">
        <f>A!G254</f>
        <v>www.sikb.nl</v>
      </c>
      <c r="H254" t="str">
        <f>A!H254</f>
        <v>urn:immetingen:parameter:id:1376</v>
      </c>
      <c r="I254" t="str">
        <f>A!I254</f>
        <v>www.sikb.nl</v>
      </c>
      <c r="J254" t="str">
        <f>A!J254</f>
        <v>urn:immetingen:parameter:id:2725</v>
      </c>
      <c r="K254" t="str">
        <f>A!K254</f>
        <v>www.sikb.nl</v>
      </c>
      <c r="L254">
        <f>A!L254</f>
        <v>45811</v>
      </c>
      <c r="M254" t="str">
        <f>A!M254</f>
        <v>urn:immetingen:LabopdrachtStatus:id:5</v>
      </c>
      <c r="N254">
        <f>A!N254</f>
        <v>1</v>
      </c>
      <c r="O254">
        <f>A!O254</f>
        <v>1</v>
      </c>
      <c r="P254" s="32" t="str">
        <f>IF(A!P254="","",INDEX(B!$A$1:$BT$2000,MATCH(A!P254,B!$AX$1:$AX$2000,0),D!$B$5))</f>
        <v>MM04 04 (100-150) 05 (100-150)</v>
      </c>
      <c r="Q254">
        <f>A!Q254</f>
        <v>0</v>
      </c>
      <c r="R254">
        <f>A!R254</f>
        <v>0</v>
      </c>
      <c r="S254">
        <f>A!S254</f>
        <v>0</v>
      </c>
      <c r="T254" t="str">
        <f>A!T254</f>
        <v>immetingen:AnalyticResultType</v>
      </c>
      <c r="U254" t="str">
        <f>A!U254</f>
        <v>&lt;1 µg/kgds</v>
      </c>
      <c r="V254" s="32">
        <f>IF(A!V254="&lt;",1,A!V254)</f>
        <v>1</v>
      </c>
      <c r="W254">
        <f>A!W254</f>
        <v>1</v>
      </c>
      <c r="X254">
        <f>A!X254</f>
        <v>1</v>
      </c>
      <c r="Y254" t="str">
        <f>A!Y254</f>
        <v>urn:immetingen:eenheid:id:131</v>
      </c>
      <c r="Z254" s="32">
        <f t="shared" si="3"/>
        <v>131</v>
      </c>
      <c r="AA254" t="str">
        <f>A!Z254</f>
        <v>urn:immetingen:kwaliteitsoordeel:id:0</v>
      </c>
      <c r="AB254" t="str">
        <f>A!AA254</f>
        <v>www.sikb.nl</v>
      </c>
      <c r="AC254" t="str">
        <f>A!AB254</f>
        <v>urn:immetingen:waardebewerkingsmethode:id:5</v>
      </c>
      <c r="AD254" t="str">
        <f>A!AC254</f>
        <v>www.sikb.nl</v>
      </c>
      <c r="AE254" t="str">
        <f>A!AD254</f>
        <v>_28c3f87a-ca8f-4bf2-94f8-5e8a11a2f02f</v>
      </c>
      <c r="AF254">
        <f>A!AE254</f>
        <v>45811.309270833335</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32"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t="str">
        <f>A!CI254</f>
        <v>urn:imsikb0101:Applicaties:id:16</v>
      </c>
      <c r="CK254" t="str">
        <f>A!CJ254</f>
        <v>urn:imsikb0101:DatastroomType:id:1</v>
      </c>
      <c r="CL254">
        <f>A!CK254</f>
        <v>45811</v>
      </c>
      <c r="CM254" t="str">
        <f>A!CL254</f>
        <v>SGS, Rotterdam</v>
      </c>
      <c r="CN254" t="str">
        <f>A!CM254</f>
        <v>LABRESULTAAT SGS</v>
      </c>
      <c r="CO254">
        <f>A!CN254</f>
        <v>45811</v>
      </c>
      <c r="CP254">
        <f>A!CO254</f>
        <v>0</v>
      </c>
      <c r="CQ254">
        <f>A!CO564</f>
        <v>0</v>
      </c>
      <c r="CR254" t="e">
        <f>A!#REF!</f>
        <v>#REF!</v>
      </c>
      <c r="CS254" t="e">
        <f>A!#REF!</f>
        <v>#REF!</v>
      </c>
    </row>
    <row r="255" spans="1:97" x14ac:dyDescent="0.2">
      <c r="A255" t="str">
        <f>A!A255</f>
        <v>LABRESULTAAT</v>
      </c>
      <c r="B255">
        <f>A!B255</f>
        <v>74</v>
      </c>
      <c r="C255" t="str">
        <f>A!C255</f>
        <v>_01afd261-22b4-4b08-9ed9-32d4834fa97e</v>
      </c>
      <c r="D255" t="str">
        <f>A!D255</f>
        <v>01afd261-22b4-4b08-9ed9-32d4834fa97e</v>
      </c>
      <c r="E255" t="str">
        <f>A!E255</f>
        <v>SIKB</v>
      </c>
      <c r="F255" t="str">
        <f>A!F255</f>
        <v>urn:immetingen:hoedanigheid:id:1</v>
      </c>
      <c r="G255" t="str">
        <f>A!G255</f>
        <v>www.sikb.nl</v>
      </c>
      <c r="H255" t="str">
        <f>A!H255</f>
        <v>urn:immetingen:parameter:id:1377</v>
      </c>
      <c r="I255" t="str">
        <f>A!I255</f>
        <v>www.sikb.nl</v>
      </c>
      <c r="J255" t="str">
        <f>A!J255</f>
        <v>urn:immetingen:parameter:id:2725</v>
      </c>
      <c r="K255" t="str">
        <f>A!K255</f>
        <v>www.sikb.nl</v>
      </c>
      <c r="L255">
        <f>A!L255</f>
        <v>45811</v>
      </c>
      <c r="M255" t="str">
        <f>A!M255</f>
        <v>urn:immetingen:LabopdrachtStatus:id:5</v>
      </c>
      <c r="N255">
        <f>A!N255</f>
        <v>1</v>
      </c>
      <c r="O255">
        <f>A!O255</f>
        <v>1</v>
      </c>
      <c r="P255" s="32" t="str">
        <f>IF(A!P255="","",INDEX(B!$A$1:$BT$2000,MATCH(A!P255,B!$AX$1:$AX$2000,0),D!$B$5))</f>
        <v>MM04 04 (100-150) 05 (100-150)</v>
      </c>
      <c r="Q255">
        <f>A!Q255</f>
        <v>0</v>
      </c>
      <c r="R255">
        <f>A!R255</f>
        <v>0</v>
      </c>
      <c r="S255">
        <f>A!S255</f>
        <v>0</v>
      </c>
      <c r="T255" t="str">
        <f>A!T255</f>
        <v>immetingen:AnalyticResultType</v>
      </c>
      <c r="U255" t="str">
        <f>A!U255</f>
        <v>&lt;1 µg/kgds</v>
      </c>
      <c r="V255" s="32">
        <f>IF(A!V255="&lt;",1,A!V255)</f>
        <v>1</v>
      </c>
      <c r="W255">
        <f>A!W255</f>
        <v>1</v>
      </c>
      <c r="X255">
        <f>A!X255</f>
        <v>1</v>
      </c>
      <c r="Y255" t="str">
        <f>A!Y255</f>
        <v>urn:immetingen:eenheid:id:131</v>
      </c>
      <c r="Z255" s="32">
        <f t="shared" si="3"/>
        <v>131</v>
      </c>
      <c r="AA255" t="str">
        <f>A!Z255</f>
        <v>urn:immetingen:kwaliteitsoordeel:id:0</v>
      </c>
      <c r="AB255" t="str">
        <f>A!AA255</f>
        <v>www.sikb.nl</v>
      </c>
      <c r="AC255" t="str">
        <f>A!AB255</f>
        <v>urn:immetingen:waardebewerkingsmethode:id:5</v>
      </c>
      <c r="AD255" t="str">
        <f>A!AC255</f>
        <v>www.sikb.nl</v>
      </c>
      <c r="AE255" t="str">
        <f>A!AD255</f>
        <v>_66126a7f-6b1c-4e12-b419-8c9f0ae2881d</v>
      </c>
      <c r="AF255">
        <f>A!AE255</f>
        <v>45811.309270833335</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32"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t="str">
        <f>A!CI255</f>
        <v>urn:imsikb0101:Applicaties:id:16</v>
      </c>
      <c r="CK255" t="str">
        <f>A!CJ255</f>
        <v>urn:imsikb0101:DatastroomType:id:1</v>
      </c>
      <c r="CL255">
        <f>A!CK255</f>
        <v>45811</v>
      </c>
      <c r="CM255" t="str">
        <f>A!CL255</f>
        <v>SGS, Rotterdam</v>
      </c>
      <c r="CN255" t="str">
        <f>A!CM255</f>
        <v>LABRESULTAAT SGS</v>
      </c>
      <c r="CO255">
        <f>A!CN255</f>
        <v>45811</v>
      </c>
      <c r="CP255">
        <f>A!CO255</f>
        <v>0</v>
      </c>
      <c r="CQ255">
        <f>A!CO565</f>
        <v>0</v>
      </c>
      <c r="CR255" t="e">
        <f>A!#REF!</f>
        <v>#REF!</v>
      </c>
      <c r="CS255" t="e">
        <f>A!#REF!</f>
        <v>#REF!</v>
      </c>
    </row>
    <row r="256" spans="1:97" x14ac:dyDescent="0.2">
      <c r="A256" t="str">
        <f>A!A256</f>
        <v>LABRESULTAAT</v>
      </c>
      <c r="B256">
        <f>A!B256</f>
        <v>75</v>
      </c>
      <c r="C256" t="str">
        <f>A!C256</f>
        <v>_5eceeaf7-1c1e-4012-89c3-45473674117f</v>
      </c>
      <c r="D256" t="str">
        <f>A!D256</f>
        <v>5eceeaf7-1c1e-4012-89c3-45473674117f</v>
      </c>
      <c r="E256" t="str">
        <f>A!E256</f>
        <v>SIKB</v>
      </c>
      <c r="F256" t="str">
        <f>A!F256</f>
        <v>urn:immetingen:hoedanigheid:id:1</v>
      </c>
      <c r="G256" t="str">
        <f>A!G256</f>
        <v>www.sikb.nl</v>
      </c>
      <c r="H256" t="str">
        <f>A!H256</f>
        <v>urn:immetingen:parameter:id:1380</v>
      </c>
      <c r="I256" t="str">
        <f>A!I256</f>
        <v>www.sikb.nl</v>
      </c>
      <c r="J256" t="str">
        <f>A!J256</f>
        <v>urn:immetingen:parameter:id:2725</v>
      </c>
      <c r="K256" t="str">
        <f>A!K256</f>
        <v>www.sikb.nl</v>
      </c>
      <c r="L256">
        <f>A!L256</f>
        <v>45811</v>
      </c>
      <c r="M256" t="str">
        <f>A!M256</f>
        <v>urn:immetingen:LabopdrachtStatus:id:5</v>
      </c>
      <c r="N256">
        <f>A!N256</f>
        <v>1</v>
      </c>
      <c r="O256">
        <f>A!O256</f>
        <v>1</v>
      </c>
      <c r="P256" s="32" t="str">
        <f>IF(A!P256="","",INDEX(B!$A$1:$BT$2000,MATCH(A!P256,B!$AX$1:$AX$2000,0),D!$B$5))</f>
        <v>MM04 04 (100-150) 05 (100-150)</v>
      </c>
      <c r="Q256">
        <f>A!Q256</f>
        <v>0</v>
      </c>
      <c r="R256">
        <f>A!R256</f>
        <v>0</v>
      </c>
      <c r="S256">
        <f>A!S256</f>
        <v>0</v>
      </c>
      <c r="T256" t="str">
        <f>A!T256</f>
        <v>immetingen:AnalyticResultType</v>
      </c>
      <c r="U256" t="str">
        <f>A!U256</f>
        <v>&lt;1 µg/kgds</v>
      </c>
      <c r="V256" s="32">
        <f>IF(A!V256="&lt;",1,A!V256)</f>
        <v>1</v>
      </c>
      <c r="W256">
        <f>A!W256</f>
        <v>1</v>
      </c>
      <c r="X256">
        <f>A!X256</f>
        <v>1</v>
      </c>
      <c r="Y256" t="str">
        <f>A!Y256</f>
        <v>urn:immetingen:eenheid:id:131</v>
      </c>
      <c r="Z256" s="32">
        <f t="shared" si="3"/>
        <v>131</v>
      </c>
      <c r="AA256" t="str">
        <f>A!Z256</f>
        <v>urn:immetingen:kwaliteitsoordeel:id:0</v>
      </c>
      <c r="AB256" t="str">
        <f>A!AA256</f>
        <v>www.sikb.nl</v>
      </c>
      <c r="AC256" t="str">
        <f>A!AB256</f>
        <v>urn:immetingen:waardebewerkingsmethode:id:5</v>
      </c>
      <c r="AD256" t="str">
        <f>A!AC256</f>
        <v>www.sikb.nl</v>
      </c>
      <c r="AE256" t="str">
        <f>A!AD256</f>
        <v>_ea391d32-ce07-4133-9890-672adee2b05b</v>
      </c>
      <c r="AF256">
        <f>A!AE256</f>
        <v>45811.309270833335</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32"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t="str">
        <f>A!CI256</f>
        <v>urn:imsikb0101:Applicaties:id:16</v>
      </c>
      <c r="CK256" t="str">
        <f>A!CJ256</f>
        <v>urn:imsikb0101:DatastroomType:id:1</v>
      </c>
      <c r="CL256">
        <f>A!CK256</f>
        <v>45811</v>
      </c>
      <c r="CM256" t="str">
        <f>A!CL256</f>
        <v>SGS, Rotterdam</v>
      </c>
      <c r="CN256" t="str">
        <f>A!CM256</f>
        <v>LABRESULTAAT SGS</v>
      </c>
      <c r="CO256">
        <f>A!CN256</f>
        <v>45811</v>
      </c>
      <c r="CP256">
        <f>A!CO256</f>
        <v>0</v>
      </c>
      <c r="CQ256">
        <f>A!CO566</f>
        <v>0</v>
      </c>
      <c r="CR256" t="e">
        <f>A!#REF!</f>
        <v>#REF!</v>
      </c>
      <c r="CS256" t="e">
        <f>A!#REF!</f>
        <v>#REF!</v>
      </c>
    </row>
    <row r="257" spans="1:97" x14ac:dyDescent="0.2">
      <c r="A257" t="str">
        <f>A!A257</f>
        <v>LABRESULTAAT</v>
      </c>
      <c r="B257">
        <f>A!B257</f>
        <v>76</v>
      </c>
      <c r="C257" t="str">
        <f>A!C257</f>
        <v>_ca9c34d8-cf41-4b81-94f0-2b2d17a9ef49</v>
      </c>
      <c r="D257" t="str">
        <f>A!D257</f>
        <v>ca9c34d8-cf41-4b81-94f0-2b2d17a9ef49</v>
      </c>
      <c r="E257" t="str">
        <f>A!E257</f>
        <v>SIKB</v>
      </c>
      <c r="F257" t="str">
        <f>A!F257</f>
        <v>urn:immetingen:hoedanigheid:id:1</v>
      </c>
      <c r="G257" t="str">
        <f>A!G257</f>
        <v>www.sikb.nl</v>
      </c>
      <c r="H257" t="str">
        <f>A!H257</f>
        <v>urn:immetingen:parameter:id:692</v>
      </c>
      <c r="I257" t="str">
        <f>A!I257</f>
        <v>www.sikb.nl</v>
      </c>
      <c r="J257" t="str">
        <f>A!J257</f>
        <v>urn:immetingen:parameter:id:2725</v>
      </c>
      <c r="K257" t="str">
        <f>A!K257</f>
        <v>www.sikb.nl</v>
      </c>
      <c r="L257">
        <f>A!L257</f>
        <v>45811</v>
      </c>
      <c r="M257" t="str">
        <f>A!M257</f>
        <v>urn:immetingen:LabopdrachtStatus:id:5</v>
      </c>
      <c r="N257">
        <f>A!N257</f>
        <v>1</v>
      </c>
      <c r="O257">
        <f>A!O257</f>
        <v>1</v>
      </c>
      <c r="P257" s="32" t="str">
        <f>IF(A!P257="","",INDEX(B!$A$1:$BT$2000,MATCH(A!P257,B!$AX$1:$AX$2000,0),D!$B$5))</f>
        <v>MM04 04 (100-150) 05 (100-150)</v>
      </c>
      <c r="Q257">
        <f>A!Q257</f>
        <v>0</v>
      </c>
      <c r="R257">
        <f>A!R257</f>
        <v>0</v>
      </c>
      <c r="S257">
        <f>A!S257</f>
        <v>0</v>
      </c>
      <c r="T257" t="str">
        <f>A!T257</f>
        <v>immetingen:AnalyticResultType</v>
      </c>
      <c r="U257" t="str">
        <f>A!U257</f>
        <v>78.5 gew.-%</v>
      </c>
      <c r="V257" s="32">
        <f>IF(A!V257="&lt;",1,A!V257)</f>
        <v>0</v>
      </c>
      <c r="W257">
        <f>A!W257</f>
        <v>78.5</v>
      </c>
      <c r="X257">
        <f>A!X257</f>
        <v>78.5</v>
      </c>
      <c r="Y257" t="str">
        <f>A!Y257</f>
        <v>urn:immetingen:eenheid:id:1</v>
      </c>
      <c r="Z257" s="32">
        <f t="shared" si="3"/>
        <v>1</v>
      </c>
      <c r="AA257" t="str">
        <f>A!Z257</f>
        <v>urn:immetingen:kwaliteitsoordeel:id:0</v>
      </c>
      <c r="AB257" t="str">
        <f>A!AA257</f>
        <v>www.sikb.nl</v>
      </c>
      <c r="AC257" t="str">
        <f>A!AB257</f>
        <v>urn:immetingen:waardebewerkingsmethode:id:5</v>
      </c>
      <c r="AD257" t="str">
        <f>A!AC257</f>
        <v>www.sikb.nl</v>
      </c>
      <c r="AE257" t="str">
        <f>A!AD257</f>
        <v>_bf907127-fd1f-43b3-acf0-61a8e6c4898d</v>
      </c>
      <c r="AF257">
        <f>A!AE257</f>
        <v>45811.204201388886</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32"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t="str">
        <f>A!CI257</f>
        <v>urn:imsikb0101:Applicaties:id:16</v>
      </c>
      <c r="CK257" t="str">
        <f>A!CJ257</f>
        <v>urn:imsikb0101:DatastroomType:id:1</v>
      </c>
      <c r="CL257">
        <f>A!CK257</f>
        <v>45811</v>
      </c>
      <c r="CM257" t="str">
        <f>A!CL257</f>
        <v>SGS, Rotterdam</v>
      </c>
      <c r="CN257" t="str">
        <f>A!CM257</f>
        <v>LABRESULTAAT SGS</v>
      </c>
      <c r="CO257">
        <f>A!CN257</f>
        <v>45811</v>
      </c>
      <c r="CP257">
        <f>A!CO257</f>
        <v>0</v>
      </c>
      <c r="CQ257">
        <f>A!CO567</f>
        <v>0</v>
      </c>
      <c r="CR257" t="e">
        <f>A!#REF!</f>
        <v>#REF!</v>
      </c>
      <c r="CS257" t="e">
        <f>A!#REF!</f>
        <v>#REF!</v>
      </c>
    </row>
    <row r="258" spans="1:97" x14ac:dyDescent="0.2">
      <c r="A258" t="str">
        <f>A!A258</f>
        <v>LABRESULTAAT</v>
      </c>
      <c r="B258">
        <f>A!B258</f>
        <v>77</v>
      </c>
      <c r="C258" t="str">
        <f>A!C258</f>
        <v>_de4ed049-6ba8-4b39-9375-c55135b13228</v>
      </c>
      <c r="D258" t="str">
        <f>A!D258</f>
        <v>de4ed049-6ba8-4b39-9375-c55135b13228</v>
      </c>
      <c r="E258" t="str">
        <f>A!E258</f>
        <v>SIKB</v>
      </c>
      <c r="F258" t="str">
        <f>A!F258</f>
        <v>urn:immetingen:hoedanigheid:id:1</v>
      </c>
      <c r="G258" t="str">
        <f>A!G258</f>
        <v>www.sikb.nl</v>
      </c>
      <c r="H258" t="str">
        <f>A!H258</f>
        <v>urn:immetingen:parameter:id:1259</v>
      </c>
      <c r="I258" t="str">
        <f>A!I258</f>
        <v>www.sikb.nl</v>
      </c>
      <c r="J258" t="str">
        <f>A!J258</f>
        <v>urn:immetingen:parameter:id:2725</v>
      </c>
      <c r="K258" t="str">
        <f>A!K258</f>
        <v>www.sikb.nl</v>
      </c>
      <c r="L258">
        <f>A!L258</f>
        <v>45811</v>
      </c>
      <c r="M258" t="str">
        <f>A!M258</f>
        <v>urn:immetingen:LabopdrachtStatus:id:5</v>
      </c>
      <c r="N258">
        <f>A!N258</f>
        <v>1</v>
      </c>
      <c r="O258">
        <f>A!O258</f>
        <v>1</v>
      </c>
      <c r="P258" s="32" t="str">
        <f>IF(A!P258="","",INDEX(B!$A$1:$BT$2000,MATCH(A!P258,B!$AX$1:$AX$2000,0),D!$B$5))</f>
        <v>MM04 04 (100-150) 05 (100-150)</v>
      </c>
      <c r="Q258">
        <f>A!Q258</f>
        <v>0</v>
      </c>
      <c r="R258">
        <f>A!R258</f>
        <v>0</v>
      </c>
      <c r="S258">
        <f>A!S258</f>
        <v>0</v>
      </c>
      <c r="T258" t="str">
        <f>A!T258</f>
        <v>immetingen:AnalyticResultType</v>
      </c>
      <c r="U258" t="str">
        <f>A!U258</f>
        <v>&lt;0.01 mg/kgds</v>
      </c>
      <c r="V258" s="32">
        <f>IF(A!V258="&lt;",1,A!V258)</f>
        <v>1</v>
      </c>
      <c r="W258">
        <f>A!W258</f>
        <v>0.01</v>
      </c>
      <c r="X258">
        <f>A!X258</f>
        <v>0.01</v>
      </c>
      <c r="Y258" t="str">
        <f>A!Y258</f>
        <v>urn:immetingen:eenheid:id:58</v>
      </c>
      <c r="Z258" s="32">
        <f t="shared" si="3"/>
        <v>58</v>
      </c>
      <c r="AA258" t="str">
        <f>A!Z258</f>
        <v>urn:immetingen:kwaliteitsoordeel:id:0</v>
      </c>
      <c r="AB258" t="str">
        <f>A!AA258</f>
        <v>www.sikb.nl</v>
      </c>
      <c r="AC258" t="str">
        <f>A!AB258</f>
        <v>urn:immetingen:waardebewerkingsmethode:id:5</v>
      </c>
      <c r="AD258" t="str">
        <f>A!AC258</f>
        <v>www.sikb.nl</v>
      </c>
      <c r="AE258" t="str">
        <f>A!AD258</f>
        <v>_7893984e-6221-4885-99d9-f93d3a7fcf14</v>
      </c>
      <c r="AF258">
        <f>A!AE258</f>
        <v>45811.309259259258</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32"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t="str">
        <f>A!CI258</f>
        <v>urn:imsikb0101:Applicaties:id:16</v>
      </c>
      <c r="CK258" t="str">
        <f>A!CJ258</f>
        <v>urn:imsikb0101:DatastroomType:id:1</v>
      </c>
      <c r="CL258">
        <f>A!CK258</f>
        <v>45811</v>
      </c>
      <c r="CM258" t="str">
        <f>A!CL258</f>
        <v>SGS, Rotterdam</v>
      </c>
      <c r="CN258" t="str">
        <f>A!CM258</f>
        <v>LABRESULTAAT SGS</v>
      </c>
      <c r="CO258">
        <f>A!CN258</f>
        <v>45811</v>
      </c>
      <c r="CP258">
        <f>A!CO258</f>
        <v>0</v>
      </c>
      <c r="CQ258">
        <f>A!CO568</f>
        <v>0</v>
      </c>
      <c r="CR258" t="e">
        <f>A!#REF!</f>
        <v>#REF!</v>
      </c>
      <c r="CS258" t="e">
        <f>A!#REF!</f>
        <v>#REF!</v>
      </c>
    </row>
    <row r="259" spans="1:97" x14ac:dyDescent="0.2">
      <c r="A259" t="str">
        <f>A!A259</f>
        <v>LABRESULTAAT</v>
      </c>
      <c r="B259">
        <f>A!B259</f>
        <v>78</v>
      </c>
      <c r="C259" t="str">
        <f>A!C259</f>
        <v>_8228180a-a5b6-4e1d-b597-d4dafec17882</v>
      </c>
      <c r="D259" t="str">
        <f>A!D259</f>
        <v>8228180a-a5b6-4e1d-b597-d4dafec17882</v>
      </c>
      <c r="E259" t="str">
        <f>A!E259</f>
        <v>SIKB</v>
      </c>
      <c r="F259" t="str">
        <f>A!F259</f>
        <v>urn:immetingen:hoedanigheid:id:1</v>
      </c>
      <c r="G259" t="str">
        <f>A!G259</f>
        <v>www.sikb.nl</v>
      </c>
      <c r="H259" t="str">
        <f>A!H259</f>
        <v>urn:immetingen:parameter:id:746</v>
      </c>
      <c r="I259" t="str">
        <f>A!I259</f>
        <v>www.sikb.nl</v>
      </c>
      <c r="J259" t="str">
        <f>A!J259</f>
        <v>urn:immetingen:parameter:id:2725</v>
      </c>
      <c r="K259" t="str">
        <f>A!K259</f>
        <v>www.sikb.nl</v>
      </c>
      <c r="L259">
        <f>A!L259</f>
        <v>45811</v>
      </c>
      <c r="M259" t="str">
        <f>A!M259</f>
        <v>urn:immetingen:LabopdrachtStatus:id:5</v>
      </c>
      <c r="N259">
        <f>A!N259</f>
        <v>1</v>
      </c>
      <c r="O259">
        <f>A!O259</f>
        <v>1</v>
      </c>
      <c r="P259" s="32" t="str">
        <f>IF(A!P259="","",INDEX(B!$A$1:$BT$2000,MATCH(A!P259,B!$AX$1:$AX$2000,0),D!$B$5))</f>
        <v>MM04 04 (100-150) 05 (100-150)</v>
      </c>
      <c r="Q259">
        <f>A!Q259</f>
        <v>0</v>
      </c>
      <c r="R259">
        <f>A!R259</f>
        <v>0</v>
      </c>
      <c r="S259">
        <f>A!S259</f>
        <v>0</v>
      </c>
      <c r="T259" t="str">
        <f>A!T259</f>
        <v>immetingen:AnalyticResultType</v>
      </c>
      <c r="U259" t="str">
        <f>A!U259</f>
        <v>&lt;0.01 mg/kgds</v>
      </c>
      <c r="V259" s="32">
        <f>IF(A!V259="&lt;",1,A!V259)</f>
        <v>1</v>
      </c>
      <c r="W259">
        <f>A!W259</f>
        <v>0.01</v>
      </c>
      <c r="X259">
        <f>A!X259</f>
        <v>0.01</v>
      </c>
      <c r="Y259" t="str">
        <f>A!Y259</f>
        <v>urn:immetingen:eenheid:id:58</v>
      </c>
      <c r="Z259" s="32">
        <f t="shared" si="3"/>
        <v>58</v>
      </c>
      <c r="AA259" t="str">
        <f>A!Z259</f>
        <v>urn:immetingen:kwaliteitsoordeel:id:0</v>
      </c>
      <c r="AB259" t="str">
        <f>A!AA259</f>
        <v>www.sikb.nl</v>
      </c>
      <c r="AC259" t="str">
        <f>A!AB259</f>
        <v>urn:immetingen:waardebewerkingsmethode:id:5</v>
      </c>
      <c r="AD259" t="str">
        <f>A!AC259</f>
        <v>www.sikb.nl</v>
      </c>
      <c r="AE259" t="str">
        <f>A!AD259</f>
        <v>_b3a5782a-8e3e-4723-a22c-32e3ec2e8d52</v>
      </c>
      <c r="AF259">
        <f>A!AE259</f>
        <v>45811.309259259258</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32"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t="str">
        <f>A!CI259</f>
        <v>urn:imsikb0101:Applicaties:id:16</v>
      </c>
      <c r="CK259" t="str">
        <f>A!CJ259</f>
        <v>urn:imsikb0101:DatastroomType:id:1</v>
      </c>
      <c r="CL259">
        <f>A!CK259</f>
        <v>45811</v>
      </c>
      <c r="CM259" t="str">
        <f>A!CL259</f>
        <v>SGS, Rotterdam</v>
      </c>
      <c r="CN259" t="str">
        <f>A!CM259</f>
        <v>LABRESULTAAT SGS</v>
      </c>
      <c r="CO259">
        <f>A!CN259</f>
        <v>45811</v>
      </c>
      <c r="CP259">
        <f>A!CO259</f>
        <v>0</v>
      </c>
      <c r="CQ259">
        <f>A!CO569</f>
        <v>0</v>
      </c>
      <c r="CR259" t="e">
        <f>A!#REF!</f>
        <v>#REF!</v>
      </c>
      <c r="CS259" t="e">
        <f>A!#REF!</f>
        <v>#REF!</v>
      </c>
    </row>
    <row r="260" spans="1:97" x14ac:dyDescent="0.2">
      <c r="A260" t="str">
        <f>A!A260</f>
        <v>LABRESULTAAT</v>
      </c>
      <c r="B260">
        <f>A!B260</f>
        <v>79</v>
      </c>
      <c r="C260" t="str">
        <f>A!C260</f>
        <v>_2bdbfca8-8919-4d7c-beec-3b73765188c3</v>
      </c>
      <c r="D260" t="str">
        <f>A!D260</f>
        <v>2bdbfca8-8919-4d7c-beec-3b73765188c3</v>
      </c>
      <c r="E260" t="str">
        <f>A!E260</f>
        <v>SIKB</v>
      </c>
      <c r="F260" t="str">
        <f>A!F260</f>
        <v>urn:immetingen:hoedanigheid:id:1</v>
      </c>
      <c r="G260" t="str">
        <f>A!G260</f>
        <v>www.sikb.nl</v>
      </c>
      <c r="H260" t="str">
        <f>A!H260</f>
        <v>urn:immetingen:parameter:id:299</v>
      </c>
      <c r="I260" t="str">
        <f>A!I260</f>
        <v>www.sikb.nl</v>
      </c>
      <c r="J260" t="str">
        <f>A!J260</f>
        <v>urn:immetingen:parameter:id:2725</v>
      </c>
      <c r="K260" t="str">
        <f>A!K260</f>
        <v>www.sikb.nl</v>
      </c>
      <c r="L260">
        <f>A!L260</f>
        <v>45811</v>
      </c>
      <c r="M260" t="str">
        <f>A!M260</f>
        <v>urn:immetingen:LabopdrachtStatus:id:5</v>
      </c>
      <c r="N260">
        <f>A!N260</f>
        <v>1</v>
      </c>
      <c r="O260">
        <f>A!O260</f>
        <v>1</v>
      </c>
      <c r="P260" s="32" t="str">
        <f>IF(A!P260="","",INDEX(B!$A$1:$BT$2000,MATCH(A!P260,B!$AX$1:$AX$2000,0),D!$B$5))</f>
        <v>MM04 04 (100-150) 05 (100-150)</v>
      </c>
      <c r="Q260">
        <f>A!Q260</f>
        <v>0</v>
      </c>
      <c r="R260">
        <f>A!R260</f>
        <v>0</v>
      </c>
      <c r="S260">
        <f>A!S260</f>
        <v>0</v>
      </c>
      <c r="T260" t="str">
        <f>A!T260</f>
        <v>immetingen:AnalyticResultType</v>
      </c>
      <c r="U260" t="str">
        <f>A!U260</f>
        <v>&lt;0.01 mg/kgds</v>
      </c>
      <c r="V260" s="32">
        <f>IF(A!V260="&lt;",1,A!V260)</f>
        <v>1</v>
      </c>
      <c r="W260">
        <f>A!W260</f>
        <v>0.01</v>
      </c>
      <c r="X260">
        <f>A!X260</f>
        <v>0.01</v>
      </c>
      <c r="Y260" t="str">
        <f>A!Y260</f>
        <v>urn:immetingen:eenheid:id:58</v>
      </c>
      <c r="Z260" s="32">
        <f t="shared" ref="Z260:Z323" si="4">_xlfn.NUMBERVALUE(MID(Y260,27,3))</f>
        <v>58</v>
      </c>
      <c r="AA260" t="str">
        <f>A!Z260</f>
        <v>urn:immetingen:kwaliteitsoordeel:id:0</v>
      </c>
      <c r="AB260" t="str">
        <f>A!AA260</f>
        <v>www.sikb.nl</v>
      </c>
      <c r="AC260" t="str">
        <f>A!AB260</f>
        <v>urn:immetingen:waardebewerkingsmethode:id:5</v>
      </c>
      <c r="AD260" t="str">
        <f>A!AC260</f>
        <v>www.sikb.nl</v>
      </c>
      <c r="AE260" t="str">
        <f>A!AD260</f>
        <v>_f2eb0db8-1860-4ed2-acd5-59c496aebcef</v>
      </c>
      <c r="AF260">
        <f>A!AE260</f>
        <v>45811.309270833335</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32"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t="str">
        <f>A!CI260</f>
        <v>urn:imsikb0101:Applicaties:id:16</v>
      </c>
      <c r="CK260" t="str">
        <f>A!CJ260</f>
        <v>urn:imsikb0101:DatastroomType:id:1</v>
      </c>
      <c r="CL260">
        <f>A!CK260</f>
        <v>45811</v>
      </c>
      <c r="CM260" t="str">
        <f>A!CL260</f>
        <v>SGS, Rotterdam</v>
      </c>
      <c r="CN260" t="str">
        <f>A!CM260</f>
        <v>LABRESULTAAT SGS</v>
      </c>
      <c r="CO260">
        <f>A!CN260</f>
        <v>45811</v>
      </c>
      <c r="CP260">
        <f>A!CO260</f>
        <v>0</v>
      </c>
      <c r="CQ260">
        <f>A!CO570</f>
        <v>0</v>
      </c>
      <c r="CR260" t="e">
        <f>A!#REF!</f>
        <v>#REF!</v>
      </c>
      <c r="CS260" t="e">
        <f>A!#REF!</f>
        <v>#REF!</v>
      </c>
    </row>
    <row r="261" spans="1:97" x14ac:dyDescent="0.2">
      <c r="A261" t="str">
        <f>A!A261</f>
        <v>LABRESULTAAT</v>
      </c>
      <c r="B261">
        <f>A!B261</f>
        <v>80</v>
      </c>
      <c r="C261" t="str">
        <f>A!C261</f>
        <v>_7661c84e-1411-401e-9bea-9e51764ffe00</v>
      </c>
      <c r="D261" t="str">
        <f>A!D261</f>
        <v>7661c84e-1411-401e-9bea-9e51764ffe00</v>
      </c>
      <c r="E261" t="str">
        <f>A!E261</f>
        <v>SIKB</v>
      </c>
      <c r="F261" t="str">
        <f>A!F261</f>
        <v>urn:immetingen:hoedanigheid:id:1</v>
      </c>
      <c r="G261" t="str">
        <f>A!G261</f>
        <v>www.sikb.nl</v>
      </c>
      <c r="H261" t="str">
        <f>A!H261</f>
        <v>urn:immetingen:parameter:id:775</v>
      </c>
      <c r="I261" t="str">
        <f>A!I261</f>
        <v>www.sikb.nl</v>
      </c>
      <c r="J261" t="str">
        <f>A!J261</f>
        <v>urn:immetingen:parameter:id:2725</v>
      </c>
      <c r="K261" t="str">
        <f>A!K261</f>
        <v>www.sikb.nl</v>
      </c>
      <c r="L261">
        <f>A!L261</f>
        <v>45811</v>
      </c>
      <c r="M261" t="str">
        <f>A!M261</f>
        <v>urn:immetingen:LabopdrachtStatus:id:5</v>
      </c>
      <c r="N261">
        <f>A!N261</f>
        <v>1</v>
      </c>
      <c r="O261">
        <f>A!O261</f>
        <v>1</v>
      </c>
      <c r="P261" s="32" t="str">
        <f>IF(A!P261="","",INDEX(B!$A$1:$BT$2000,MATCH(A!P261,B!$AX$1:$AX$2000,0),D!$B$5))</f>
        <v>MM04 04 (100-150) 05 (100-150)</v>
      </c>
      <c r="Q261">
        <f>A!Q261</f>
        <v>0</v>
      </c>
      <c r="R261">
        <f>A!R261</f>
        <v>0</v>
      </c>
      <c r="S261">
        <f>A!S261</f>
        <v>0</v>
      </c>
      <c r="T261" t="str">
        <f>A!T261</f>
        <v>immetingen:AnalyticResultType</v>
      </c>
      <c r="U261" t="str">
        <f>A!U261</f>
        <v>&lt;0.01 mg/kgds</v>
      </c>
      <c r="V261" s="32">
        <f>IF(A!V261="&lt;",1,A!V261)</f>
        <v>1</v>
      </c>
      <c r="W261">
        <f>A!W261</f>
        <v>0.01</v>
      </c>
      <c r="X261">
        <f>A!X261</f>
        <v>0.01</v>
      </c>
      <c r="Y261" t="str">
        <f>A!Y261</f>
        <v>urn:immetingen:eenheid:id:58</v>
      </c>
      <c r="Z261" s="32">
        <f t="shared" si="4"/>
        <v>58</v>
      </c>
      <c r="AA261" t="str">
        <f>A!Z261</f>
        <v>urn:immetingen:kwaliteitsoordeel:id:0</v>
      </c>
      <c r="AB261" t="str">
        <f>A!AA261</f>
        <v>www.sikb.nl</v>
      </c>
      <c r="AC261" t="str">
        <f>A!AB261</f>
        <v>urn:immetingen:waardebewerkingsmethode:id:5</v>
      </c>
      <c r="AD261" t="str">
        <f>A!AC261</f>
        <v>www.sikb.nl</v>
      </c>
      <c r="AE261" t="str">
        <f>A!AD261</f>
        <v>_1361f5b8-7efa-47ea-a5d1-3c2ffe9fe275</v>
      </c>
      <c r="AF261">
        <f>A!AE261</f>
        <v>45811.309270833335</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32"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t="str">
        <f>A!CI261</f>
        <v>urn:imsikb0101:Applicaties:id:16</v>
      </c>
      <c r="CK261" t="str">
        <f>A!CJ261</f>
        <v>urn:imsikb0101:DatastroomType:id:1</v>
      </c>
      <c r="CL261">
        <f>A!CK261</f>
        <v>45811</v>
      </c>
      <c r="CM261" t="str">
        <f>A!CL261</f>
        <v>SGS, Rotterdam</v>
      </c>
      <c r="CN261" t="str">
        <f>A!CM261</f>
        <v>LABRESULTAAT SGS</v>
      </c>
      <c r="CO261">
        <f>A!CN261</f>
        <v>45811</v>
      </c>
      <c r="CP261">
        <f>A!CO261</f>
        <v>0</v>
      </c>
      <c r="CQ261">
        <f>A!CO571</f>
        <v>0</v>
      </c>
      <c r="CR261" t="e">
        <f>A!#REF!</f>
        <v>#REF!</v>
      </c>
      <c r="CS261" t="e">
        <f>A!#REF!</f>
        <v>#REF!</v>
      </c>
    </row>
    <row r="262" spans="1:97" x14ac:dyDescent="0.2">
      <c r="A262" t="str">
        <f>A!A262</f>
        <v>LABRESULTAAT</v>
      </c>
      <c r="B262">
        <f>A!B262</f>
        <v>81</v>
      </c>
      <c r="C262" t="str">
        <f>A!C262</f>
        <v>_37673803-4f0c-4c91-b263-131c7eea32d6</v>
      </c>
      <c r="D262" t="str">
        <f>A!D262</f>
        <v>37673803-4f0c-4c91-b263-131c7eea32d6</v>
      </c>
      <c r="E262" t="str">
        <f>A!E262</f>
        <v>SIKB</v>
      </c>
      <c r="F262" t="str">
        <f>A!F262</f>
        <v>urn:immetingen:hoedanigheid:id:1</v>
      </c>
      <c r="G262" t="str">
        <f>A!G262</f>
        <v>www.sikb.nl</v>
      </c>
      <c r="H262" t="str">
        <f>A!H262</f>
        <v>urn:immetingen:parameter:id:518</v>
      </c>
      <c r="I262" t="str">
        <f>A!I262</f>
        <v>www.sikb.nl</v>
      </c>
      <c r="J262" t="str">
        <f>A!J262</f>
        <v>urn:immetingen:parameter:id:2725</v>
      </c>
      <c r="K262" t="str">
        <f>A!K262</f>
        <v>www.sikb.nl</v>
      </c>
      <c r="L262">
        <f>A!L262</f>
        <v>45811</v>
      </c>
      <c r="M262" t="str">
        <f>A!M262</f>
        <v>urn:immetingen:LabopdrachtStatus:id:5</v>
      </c>
      <c r="N262">
        <f>A!N262</f>
        <v>1</v>
      </c>
      <c r="O262">
        <f>A!O262</f>
        <v>1</v>
      </c>
      <c r="P262" s="32" t="str">
        <f>IF(A!P262="","",INDEX(B!$A$1:$BT$2000,MATCH(A!P262,B!$AX$1:$AX$2000,0),D!$B$5))</f>
        <v>MM04 04 (100-150) 05 (100-150)</v>
      </c>
      <c r="Q262">
        <f>A!Q262</f>
        <v>0</v>
      </c>
      <c r="R262">
        <f>A!R262</f>
        <v>0</v>
      </c>
      <c r="S262">
        <f>A!S262</f>
        <v>0</v>
      </c>
      <c r="T262" t="str">
        <f>A!T262</f>
        <v>immetingen:AnalyticResultType</v>
      </c>
      <c r="U262" t="str">
        <f>A!U262</f>
        <v>&lt;0.01 mg/kgds</v>
      </c>
      <c r="V262" s="32">
        <f>IF(A!V262="&lt;",1,A!V262)</f>
        <v>1</v>
      </c>
      <c r="W262">
        <f>A!W262</f>
        <v>0.01</v>
      </c>
      <c r="X262">
        <f>A!X262</f>
        <v>0.01</v>
      </c>
      <c r="Y262" t="str">
        <f>A!Y262</f>
        <v>urn:immetingen:eenheid:id:58</v>
      </c>
      <c r="Z262" s="32">
        <f t="shared" si="4"/>
        <v>58</v>
      </c>
      <c r="AA262" t="str">
        <f>A!Z262</f>
        <v>urn:immetingen:kwaliteitsoordeel:id:0</v>
      </c>
      <c r="AB262" t="str">
        <f>A!AA262</f>
        <v>www.sikb.nl</v>
      </c>
      <c r="AC262" t="str">
        <f>A!AB262</f>
        <v>urn:immetingen:waardebewerkingsmethode:id:5</v>
      </c>
      <c r="AD262" t="str">
        <f>A!AC262</f>
        <v>www.sikb.nl</v>
      </c>
      <c r="AE262" t="str">
        <f>A!AD262</f>
        <v>_27e5dcbd-97e7-4e28-84d1-96a35a43bab2</v>
      </c>
      <c r="AF262">
        <f>A!AE262</f>
        <v>45811.309270833335</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32"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t="str">
        <f>A!CI262</f>
        <v>urn:imsikb0101:Applicaties:id:16</v>
      </c>
      <c r="CK262" t="str">
        <f>A!CJ262</f>
        <v>urn:imsikb0101:DatastroomType:id:1</v>
      </c>
      <c r="CL262">
        <f>A!CK262</f>
        <v>45811</v>
      </c>
      <c r="CM262" t="str">
        <f>A!CL262</f>
        <v>SGS, Rotterdam</v>
      </c>
      <c r="CN262" t="str">
        <f>A!CM262</f>
        <v>LABRESULTAAT SGS</v>
      </c>
      <c r="CO262">
        <f>A!CN262</f>
        <v>45811</v>
      </c>
      <c r="CP262">
        <f>A!CO262</f>
        <v>0</v>
      </c>
      <c r="CQ262">
        <f>A!CO572</f>
        <v>0</v>
      </c>
      <c r="CR262" t="e">
        <f>A!#REF!</f>
        <v>#REF!</v>
      </c>
      <c r="CS262" t="e">
        <f>A!#REF!</f>
        <v>#REF!</v>
      </c>
    </row>
    <row r="263" spans="1:97" x14ac:dyDescent="0.2">
      <c r="A263" t="str">
        <f>A!A263</f>
        <v>LABRESULTAAT</v>
      </c>
      <c r="B263">
        <f>A!B263</f>
        <v>82</v>
      </c>
      <c r="C263" t="str">
        <f>A!C263</f>
        <v>_bfee57cd-13d2-4472-8e21-748d1696befb</v>
      </c>
      <c r="D263" t="str">
        <f>A!D263</f>
        <v>bfee57cd-13d2-4472-8e21-748d1696befb</v>
      </c>
      <c r="E263" t="str">
        <f>A!E263</f>
        <v>SIKB</v>
      </c>
      <c r="F263" t="str">
        <f>A!F263</f>
        <v>urn:immetingen:hoedanigheid:id:1</v>
      </c>
      <c r="G263" t="str">
        <f>A!G263</f>
        <v>www.sikb.nl</v>
      </c>
      <c r="H263" t="str">
        <f>A!H263</f>
        <v>urn:immetingen:parameter:id:353</v>
      </c>
      <c r="I263" t="str">
        <f>A!I263</f>
        <v>www.sikb.nl</v>
      </c>
      <c r="J263" t="str">
        <f>A!J263</f>
        <v>urn:immetingen:parameter:id:2725</v>
      </c>
      <c r="K263" t="str">
        <f>A!K263</f>
        <v>www.sikb.nl</v>
      </c>
      <c r="L263">
        <f>A!L263</f>
        <v>45811</v>
      </c>
      <c r="M263" t="str">
        <f>A!M263</f>
        <v>urn:immetingen:LabopdrachtStatus:id:5</v>
      </c>
      <c r="N263">
        <f>A!N263</f>
        <v>1</v>
      </c>
      <c r="O263">
        <f>A!O263</f>
        <v>1</v>
      </c>
      <c r="P263" s="32" t="str">
        <f>IF(A!P263="","",INDEX(B!$A$1:$BT$2000,MATCH(A!P263,B!$AX$1:$AX$2000,0),D!$B$5))</f>
        <v>MM04 04 (100-150) 05 (100-150)</v>
      </c>
      <c r="Q263">
        <f>A!Q263</f>
        <v>0</v>
      </c>
      <c r="R263">
        <f>A!R263</f>
        <v>0</v>
      </c>
      <c r="S263">
        <f>A!S263</f>
        <v>0</v>
      </c>
      <c r="T263" t="str">
        <f>A!T263</f>
        <v>immetingen:AnalyticResultType</v>
      </c>
      <c r="U263" t="str">
        <f>A!U263</f>
        <v>&lt;0.01 mg/kgds</v>
      </c>
      <c r="V263" s="32">
        <f>IF(A!V263="&lt;",1,A!V263)</f>
        <v>1</v>
      </c>
      <c r="W263">
        <f>A!W263</f>
        <v>0.01</v>
      </c>
      <c r="X263">
        <f>A!X263</f>
        <v>0.01</v>
      </c>
      <c r="Y263" t="str">
        <f>A!Y263</f>
        <v>urn:immetingen:eenheid:id:58</v>
      </c>
      <c r="Z263" s="32">
        <f t="shared" si="4"/>
        <v>58</v>
      </c>
      <c r="AA263" t="str">
        <f>A!Z263</f>
        <v>urn:immetingen:kwaliteitsoordeel:id:0</v>
      </c>
      <c r="AB263" t="str">
        <f>A!AA263</f>
        <v>www.sikb.nl</v>
      </c>
      <c r="AC263" t="str">
        <f>A!AB263</f>
        <v>urn:immetingen:waardebewerkingsmethode:id:5</v>
      </c>
      <c r="AD263" t="str">
        <f>A!AC263</f>
        <v>www.sikb.nl</v>
      </c>
      <c r="AE263" t="str">
        <f>A!AD263</f>
        <v>_3cd454eb-8829-4e58-aca4-a7c6b167a1b2</v>
      </c>
      <c r="AF263">
        <f>A!AE263</f>
        <v>45811.309270833335</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32"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t="str">
        <f>A!CI263</f>
        <v>urn:imsikb0101:Applicaties:id:16</v>
      </c>
      <c r="CK263" t="str">
        <f>A!CJ263</f>
        <v>urn:imsikb0101:DatastroomType:id:1</v>
      </c>
      <c r="CL263">
        <f>A!CK263</f>
        <v>45811</v>
      </c>
      <c r="CM263" t="str">
        <f>A!CL263</f>
        <v>SGS, Rotterdam</v>
      </c>
      <c r="CN263" t="str">
        <f>A!CM263</f>
        <v>LABRESULTAAT SGS</v>
      </c>
      <c r="CO263">
        <f>A!CN263</f>
        <v>45811</v>
      </c>
      <c r="CP263">
        <f>A!CO263</f>
        <v>0</v>
      </c>
      <c r="CQ263">
        <f>A!CO573</f>
        <v>0</v>
      </c>
      <c r="CR263" t="e">
        <f>A!#REF!</f>
        <v>#REF!</v>
      </c>
      <c r="CS263" t="e">
        <f>A!#REF!</f>
        <v>#REF!</v>
      </c>
    </row>
    <row r="264" spans="1:97" x14ac:dyDescent="0.2">
      <c r="A264" t="str">
        <f>A!A264</f>
        <v>LABRESULTAAT</v>
      </c>
      <c r="B264">
        <f>A!B264</f>
        <v>83</v>
      </c>
      <c r="C264" t="str">
        <f>A!C264</f>
        <v>_d79fb427-5f8c-4085-b484-9c40bd0cf1f4</v>
      </c>
      <c r="D264" t="str">
        <f>A!D264</f>
        <v>d79fb427-5f8c-4085-b484-9c40bd0cf1f4</v>
      </c>
      <c r="E264" t="str">
        <f>A!E264</f>
        <v>SIKB</v>
      </c>
      <c r="F264" t="str">
        <f>A!F264</f>
        <v>urn:immetingen:hoedanigheid:id:1</v>
      </c>
      <c r="G264" t="str">
        <f>A!G264</f>
        <v>www.sikb.nl</v>
      </c>
      <c r="H264" t="str">
        <f>A!H264</f>
        <v>urn:immetingen:parameter:id:346</v>
      </c>
      <c r="I264" t="str">
        <f>A!I264</f>
        <v>www.sikb.nl</v>
      </c>
      <c r="J264" t="str">
        <f>A!J264</f>
        <v>urn:immetingen:parameter:id:2725</v>
      </c>
      <c r="K264" t="str">
        <f>A!K264</f>
        <v>www.sikb.nl</v>
      </c>
      <c r="L264">
        <f>A!L264</f>
        <v>45811</v>
      </c>
      <c r="M264" t="str">
        <f>A!M264</f>
        <v>urn:immetingen:LabopdrachtStatus:id:5</v>
      </c>
      <c r="N264">
        <f>A!N264</f>
        <v>1</v>
      </c>
      <c r="O264">
        <f>A!O264</f>
        <v>1</v>
      </c>
      <c r="P264" s="32" t="str">
        <f>IF(A!P264="","",INDEX(B!$A$1:$BT$2000,MATCH(A!P264,B!$AX$1:$AX$2000,0),D!$B$5))</f>
        <v>MM04 04 (100-150) 05 (100-150)</v>
      </c>
      <c r="Q264">
        <f>A!Q264</f>
        <v>0</v>
      </c>
      <c r="R264">
        <f>A!R264</f>
        <v>0</v>
      </c>
      <c r="S264">
        <f>A!S264</f>
        <v>0</v>
      </c>
      <c r="T264" t="str">
        <f>A!T264</f>
        <v>immetingen:AnalyticResultType</v>
      </c>
      <c r="U264" t="str">
        <f>A!U264</f>
        <v>&lt;0.01 mg/kgds</v>
      </c>
      <c r="V264" s="32">
        <f>IF(A!V264="&lt;",1,A!V264)</f>
        <v>1</v>
      </c>
      <c r="W264">
        <f>A!W264</f>
        <v>0.01</v>
      </c>
      <c r="X264">
        <f>A!X264</f>
        <v>0.01</v>
      </c>
      <c r="Y264" t="str">
        <f>A!Y264</f>
        <v>urn:immetingen:eenheid:id:58</v>
      </c>
      <c r="Z264" s="32">
        <f t="shared" si="4"/>
        <v>58</v>
      </c>
      <c r="AA264" t="str">
        <f>A!Z264</f>
        <v>urn:immetingen:kwaliteitsoordeel:id:0</v>
      </c>
      <c r="AB264" t="str">
        <f>A!AA264</f>
        <v>www.sikb.nl</v>
      </c>
      <c r="AC264" t="str">
        <f>A!AB264</f>
        <v>urn:immetingen:waardebewerkingsmethode:id:5</v>
      </c>
      <c r="AD264" t="str">
        <f>A!AC264</f>
        <v>www.sikb.nl</v>
      </c>
      <c r="AE264" t="str">
        <f>A!AD264</f>
        <v>_a31cb65e-2af5-4fad-938e-ad1d27c63da2</v>
      </c>
      <c r="AF264">
        <f>A!AE264</f>
        <v>45811.309270833335</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32"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t="str">
        <f>A!CI264</f>
        <v>urn:imsikb0101:Applicaties:id:16</v>
      </c>
      <c r="CK264" t="str">
        <f>A!CJ264</f>
        <v>urn:imsikb0101:DatastroomType:id:1</v>
      </c>
      <c r="CL264">
        <f>A!CK264</f>
        <v>45811</v>
      </c>
      <c r="CM264" t="str">
        <f>A!CL264</f>
        <v>SGS, Rotterdam</v>
      </c>
      <c r="CN264" t="str">
        <f>A!CM264</f>
        <v>LABRESULTAAT SGS</v>
      </c>
      <c r="CO264">
        <f>A!CN264</f>
        <v>45811</v>
      </c>
      <c r="CP264">
        <f>A!CO264</f>
        <v>0</v>
      </c>
      <c r="CQ264">
        <f>A!CO574</f>
        <v>0</v>
      </c>
      <c r="CR264" t="e">
        <f>A!#REF!</f>
        <v>#REF!</v>
      </c>
      <c r="CS264" t="e">
        <f>A!#REF!</f>
        <v>#REF!</v>
      </c>
    </row>
    <row r="265" spans="1:97" x14ac:dyDescent="0.2">
      <c r="A265" t="str">
        <f>A!A265</f>
        <v>LABRESULTAAT</v>
      </c>
      <c r="B265">
        <f>A!B265</f>
        <v>84</v>
      </c>
      <c r="C265" t="str">
        <f>A!C265</f>
        <v>_8a7bfec0-1b24-4999-b648-1baf1fe014ca</v>
      </c>
      <c r="D265" t="str">
        <f>A!D265</f>
        <v>8a7bfec0-1b24-4999-b648-1baf1fe014ca</v>
      </c>
      <c r="E265" t="str">
        <f>A!E265</f>
        <v>SIKB</v>
      </c>
      <c r="F265" t="str">
        <f>A!F265</f>
        <v>urn:immetingen:hoedanigheid:id:1</v>
      </c>
      <c r="G265" t="str">
        <f>A!G265</f>
        <v>www.sikb.nl</v>
      </c>
      <c r="H265" t="str">
        <f>A!H265</f>
        <v>urn:immetingen:parameter:id:351</v>
      </c>
      <c r="I265" t="str">
        <f>A!I265</f>
        <v>www.sikb.nl</v>
      </c>
      <c r="J265" t="str">
        <f>A!J265</f>
        <v>urn:immetingen:parameter:id:2725</v>
      </c>
      <c r="K265" t="str">
        <f>A!K265</f>
        <v>www.sikb.nl</v>
      </c>
      <c r="L265">
        <f>A!L265</f>
        <v>45811</v>
      </c>
      <c r="M265" t="str">
        <f>A!M265</f>
        <v>urn:immetingen:LabopdrachtStatus:id:5</v>
      </c>
      <c r="N265">
        <f>A!N265</f>
        <v>1</v>
      </c>
      <c r="O265">
        <f>A!O265</f>
        <v>1</v>
      </c>
      <c r="P265" s="32" t="str">
        <f>IF(A!P265="","",INDEX(B!$A$1:$BT$2000,MATCH(A!P265,B!$AX$1:$AX$2000,0),D!$B$5))</f>
        <v>MM04 04 (100-150) 05 (100-150)</v>
      </c>
      <c r="Q265">
        <f>A!Q265</f>
        <v>0</v>
      </c>
      <c r="R265">
        <f>A!R265</f>
        <v>0</v>
      </c>
      <c r="S265">
        <f>A!S265</f>
        <v>0</v>
      </c>
      <c r="T265" t="str">
        <f>A!T265</f>
        <v>immetingen:AnalyticResultType</v>
      </c>
      <c r="U265" t="str">
        <f>A!U265</f>
        <v>&lt;0.01 mg/kgds</v>
      </c>
      <c r="V265" s="32">
        <f>IF(A!V265="&lt;",1,A!V265)</f>
        <v>1</v>
      </c>
      <c r="W265">
        <f>A!W265</f>
        <v>0.01</v>
      </c>
      <c r="X265">
        <f>A!X265</f>
        <v>0.01</v>
      </c>
      <c r="Y265" t="str">
        <f>A!Y265</f>
        <v>urn:immetingen:eenheid:id:58</v>
      </c>
      <c r="Z265" s="32">
        <f t="shared" si="4"/>
        <v>58</v>
      </c>
      <c r="AA265" t="str">
        <f>A!Z265</f>
        <v>urn:immetingen:kwaliteitsoordeel:id:0</v>
      </c>
      <c r="AB265" t="str">
        <f>A!AA265</f>
        <v>www.sikb.nl</v>
      </c>
      <c r="AC265" t="str">
        <f>A!AB265</f>
        <v>urn:immetingen:waardebewerkingsmethode:id:5</v>
      </c>
      <c r="AD265" t="str">
        <f>A!AC265</f>
        <v>www.sikb.nl</v>
      </c>
      <c r="AE265" t="str">
        <f>A!AD265</f>
        <v>_e4bf8f87-3507-4e7b-b5e4-d1eefbd9f2f4</v>
      </c>
      <c r="AF265">
        <f>A!AE265</f>
        <v>45811.309270833335</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32"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t="str">
        <f>A!CI265</f>
        <v>urn:imsikb0101:Applicaties:id:16</v>
      </c>
      <c r="CK265" t="str">
        <f>A!CJ265</f>
        <v>urn:imsikb0101:DatastroomType:id:1</v>
      </c>
      <c r="CL265">
        <f>A!CK265</f>
        <v>45811</v>
      </c>
      <c r="CM265" t="str">
        <f>A!CL265</f>
        <v>SGS, Rotterdam</v>
      </c>
      <c r="CN265" t="str">
        <f>A!CM265</f>
        <v>LABRESULTAAT SGS</v>
      </c>
      <c r="CO265">
        <f>A!CN265</f>
        <v>45811</v>
      </c>
      <c r="CP265">
        <f>A!CO265</f>
        <v>0</v>
      </c>
      <c r="CQ265">
        <f>A!CO575</f>
        <v>0</v>
      </c>
      <c r="CR265" t="e">
        <f>A!#REF!</f>
        <v>#REF!</v>
      </c>
      <c r="CS265" t="e">
        <f>A!#REF!</f>
        <v>#REF!</v>
      </c>
    </row>
    <row r="266" spans="1:97" x14ac:dyDescent="0.2">
      <c r="A266" t="str">
        <f>A!A266</f>
        <v>LABRESULTAAT</v>
      </c>
      <c r="B266">
        <f>A!B266</f>
        <v>85</v>
      </c>
      <c r="C266" t="str">
        <f>A!C266</f>
        <v>_f36fd916-7354-45eb-8cbd-c29239bcae0c</v>
      </c>
      <c r="D266" t="str">
        <f>A!D266</f>
        <v>f36fd916-7354-45eb-8cbd-c29239bcae0c</v>
      </c>
      <c r="E266" t="str">
        <f>A!E266</f>
        <v>SIKB</v>
      </c>
      <c r="F266" t="str">
        <f>A!F266</f>
        <v>urn:immetingen:hoedanigheid:id:1</v>
      </c>
      <c r="G266" t="str">
        <f>A!G266</f>
        <v>www.sikb.nl</v>
      </c>
      <c r="H266" t="str">
        <f>A!H266</f>
        <v>urn:immetingen:parameter:id:882</v>
      </c>
      <c r="I266" t="str">
        <f>A!I266</f>
        <v>www.sikb.nl</v>
      </c>
      <c r="J266" t="str">
        <f>A!J266</f>
        <v>urn:immetingen:parameter:id:2725</v>
      </c>
      <c r="K266" t="str">
        <f>A!K266</f>
        <v>www.sikb.nl</v>
      </c>
      <c r="L266">
        <f>A!L266</f>
        <v>45811</v>
      </c>
      <c r="M266" t="str">
        <f>A!M266</f>
        <v>urn:immetingen:LabopdrachtStatus:id:5</v>
      </c>
      <c r="N266">
        <f>A!N266</f>
        <v>1</v>
      </c>
      <c r="O266">
        <f>A!O266</f>
        <v>1</v>
      </c>
      <c r="P266" s="32" t="str">
        <f>IF(A!P266="","",INDEX(B!$A$1:$BT$2000,MATCH(A!P266,B!$AX$1:$AX$2000,0),D!$B$5))</f>
        <v>MM04 04 (100-150) 05 (100-150)</v>
      </c>
      <c r="Q266">
        <f>A!Q266</f>
        <v>0</v>
      </c>
      <c r="R266">
        <f>A!R266</f>
        <v>0</v>
      </c>
      <c r="S266">
        <f>A!S266</f>
        <v>0</v>
      </c>
      <c r="T266" t="str">
        <f>A!T266</f>
        <v>immetingen:AnalyticResultType</v>
      </c>
      <c r="U266" t="str">
        <f>A!U266</f>
        <v>&lt;0.01 mg/kgds</v>
      </c>
      <c r="V266" s="32">
        <f>IF(A!V266="&lt;",1,A!V266)</f>
        <v>1</v>
      </c>
      <c r="W266">
        <f>A!W266</f>
        <v>0.01</v>
      </c>
      <c r="X266">
        <f>A!X266</f>
        <v>0.01</v>
      </c>
      <c r="Y266" t="str">
        <f>A!Y266</f>
        <v>urn:immetingen:eenheid:id:58</v>
      </c>
      <c r="Z266" s="32">
        <f t="shared" si="4"/>
        <v>58</v>
      </c>
      <c r="AA266" t="str">
        <f>A!Z266</f>
        <v>urn:immetingen:kwaliteitsoordeel:id:0</v>
      </c>
      <c r="AB266" t="str">
        <f>A!AA266</f>
        <v>www.sikb.nl</v>
      </c>
      <c r="AC266" t="str">
        <f>A!AB266</f>
        <v>urn:immetingen:waardebewerkingsmethode:id:5</v>
      </c>
      <c r="AD266" t="str">
        <f>A!AC266</f>
        <v>www.sikb.nl</v>
      </c>
      <c r="AE266" t="str">
        <f>A!AD266</f>
        <v>_260ee086-fc39-45e8-b291-4832b20741a7</v>
      </c>
      <c r="AF266">
        <f>A!AE266</f>
        <v>45811.309270833335</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32"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t="str">
        <f>A!CI266</f>
        <v>urn:imsikb0101:Applicaties:id:16</v>
      </c>
      <c r="CK266" t="str">
        <f>A!CJ266</f>
        <v>urn:imsikb0101:DatastroomType:id:1</v>
      </c>
      <c r="CL266">
        <f>A!CK266</f>
        <v>45811</v>
      </c>
      <c r="CM266" t="str">
        <f>A!CL266</f>
        <v>SGS, Rotterdam</v>
      </c>
      <c r="CN266" t="str">
        <f>A!CM266</f>
        <v>LABRESULTAAT SGS</v>
      </c>
      <c r="CO266">
        <f>A!CN266</f>
        <v>45811</v>
      </c>
      <c r="CP266">
        <f>A!CO266</f>
        <v>0</v>
      </c>
      <c r="CQ266">
        <f>A!CO576</f>
        <v>0</v>
      </c>
      <c r="CR266" t="e">
        <f>A!#REF!</f>
        <v>#REF!</v>
      </c>
      <c r="CS266" t="e">
        <f>A!#REF!</f>
        <v>#REF!</v>
      </c>
    </row>
    <row r="267" spans="1:97" x14ac:dyDescent="0.2">
      <c r="A267" t="str">
        <f>A!A267</f>
        <v>LABRESULTAAT</v>
      </c>
      <c r="B267">
        <f>A!B267</f>
        <v>86</v>
      </c>
      <c r="C267" t="str">
        <f>A!C267</f>
        <v>_0c5c39f9-b754-4e87-8af2-869c34eec0cf</v>
      </c>
      <c r="D267" t="str">
        <f>A!D267</f>
        <v>0c5c39f9-b754-4e87-8af2-869c34eec0cf</v>
      </c>
      <c r="E267" t="str">
        <f>A!E267</f>
        <v>SIKB</v>
      </c>
      <c r="F267" t="str">
        <f>A!F267</f>
        <v>urn:immetingen:hoedanigheid:id:1</v>
      </c>
      <c r="G267" t="str">
        <f>A!G267</f>
        <v>www.sikb.nl</v>
      </c>
      <c r="H267" t="str">
        <f>A!H267</f>
        <v>urn:immetingen:parameter:id:345</v>
      </c>
      <c r="I267" t="str">
        <f>A!I267</f>
        <v>www.sikb.nl</v>
      </c>
      <c r="J267" t="str">
        <f>A!J267</f>
        <v>urn:immetingen:parameter:id:2725</v>
      </c>
      <c r="K267" t="str">
        <f>A!K267</f>
        <v>www.sikb.nl</v>
      </c>
      <c r="L267">
        <f>A!L267</f>
        <v>45811</v>
      </c>
      <c r="M267" t="str">
        <f>A!M267</f>
        <v>urn:immetingen:LabopdrachtStatus:id:5</v>
      </c>
      <c r="N267">
        <f>A!N267</f>
        <v>1</v>
      </c>
      <c r="O267">
        <f>A!O267</f>
        <v>1</v>
      </c>
      <c r="P267" s="32" t="str">
        <f>IF(A!P267="","",INDEX(B!$A$1:$BT$2000,MATCH(A!P267,B!$AX$1:$AX$2000,0),D!$B$5))</f>
        <v>MM04 04 (100-150) 05 (100-150)</v>
      </c>
      <c r="Q267">
        <f>A!Q267</f>
        <v>0</v>
      </c>
      <c r="R267">
        <f>A!R267</f>
        <v>0</v>
      </c>
      <c r="S267">
        <f>A!S267</f>
        <v>0</v>
      </c>
      <c r="T267" t="str">
        <f>A!T267</f>
        <v>immetingen:AnalyticResultType</v>
      </c>
      <c r="U267" t="str">
        <f>A!U267</f>
        <v>&lt;0.01 mg/kgds</v>
      </c>
      <c r="V267" s="32">
        <f>IF(A!V267="&lt;",1,A!V267)</f>
        <v>1</v>
      </c>
      <c r="W267">
        <f>A!W267</f>
        <v>0.01</v>
      </c>
      <c r="X267">
        <f>A!X267</f>
        <v>0.01</v>
      </c>
      <c r="Y267" t="str">
        <f>A!Y267</f>
        <v>urn:immetingen:eenheid:id:58</v>
      </c>
      <c r="Z267" s="32">
        <f t="shared" si="4"/>
        <v>58</v>
      </c>
      <c r="AA267" t="str">
        <f>A!Z267</f>
        <v>urn:immetingen:kwaliteitsoordeel:id:0</v>
      </c>
      <c r="AB267" t="str">
        <f>A!AA267</f>
        <v>www.sikb.nl</v>
      </c>
      <c r="AC267" t="str">
        <f>A!AB267</f>
        <v>urn:immetingen:waardebewerkingsmethode:id:5</v>
      </c>
      <c r="AD267" t="str">
        <f>A!AC267</f>
        <v>www.sikb.nl</v>
      </c>
      <c r="AE267" t="str">
        <f>A!AD267</f>
        <v>_9c0d1961-fb37-4aff-867b-fec544240127</v>
      </c>
      <c r="AF267">
        <f>A!AE267</f>
        <v>45811.309270833335</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32"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t="str">
        <f>A!CI267</f>
        <v>urn:imsikb0101:Applicaties:id:16</v>
      </c>
      <c r="CK267" t="str">
        <f>A!CJ267</f>
        <v>urn:imsikb0101:DatastroomType:id:1</v>
      </c>
      <c r="CL267">
        <f>A!CK267</f>
        <v>45811</v>
      </c>
      <c r="CM267" t="str">
        <f>A!CL267</f>
        <v>SGS, Rotterdam</v>
      </c>
      <c r="CN267" t="str">
        <f>A!CM267</f>
        <v>LABRESULTAAT SGS</v>
      </c>
      <c r="CO267">
        <f>A!CN267</f>
        <v>45811</v>
      </c>
      <c r="CP267">
        <f>A!CO267</f>
        <v>0</v>
      </c>
      <c r="CQ267">
        <f>A!CO577</f>
        <v>0</v>
      </c>
      <c r="CR267" t="e">
        <f>A!#REF!</f>
        <v>#REF!</v>
      </c>
      <c r="CS267" t="e">
        <f>A!#REF!</f>
        <v>#REF!</v>
      </c>
    </row>
    <row r="268" spans="1:97" x14ac:dyDescent="0.2">
      <c r="A268" t="str">
        <f>A!A268</f>
        <v>LABRESULTAAT</v>
      </c>
      <c r="B268">
        <f>A!B268</f>
        <v>87</v>
      </c>
      <c r="C268" t="str">
        <f>A!C268</f>
        <v>_11f4af7f-05a8-4328-82eb-f8f679e4d9bf</v>
      </c>
      <c r="D268" t="str">
        <f>A!D268</f>
        <v>11f4af7f-05a8-4328-82eb-f8f679e4d9bf</v>
      </c>
      <c r="E268" t="str">
        <f>A!E268</f>
        <v>SIKB</v>
      </c>
      <c r="F268" t="str">
        <f>A!F268</f>
        <v>urn:immetingen:hoedanigheid:id:2</v>
      </c>
      <c r="G268" t="str">
        <f>A!G268</f>
        <v>www.sikb.nl</v>
      </c>
      <c r="H268">
        <f>A!H268</f>
        <v>0</v>
      </c>
      <c r="I268">
        <f>A!I268</f>
        <v>0</v>
      </c>
      <c r="J268" t="str">
        <f>A!J268</f>
        <v>urn:immetingen:parameter:id:1118</v>
      </c>
      <c r="K268" t="str">
        <f>A!K268</f>
        <v>www.sikb.nl</v>
      </c>
      <c r="L268">
        <f>A!L268</f>
        <v>45811</v>
      </c>
      <c r="M268" t="str">
        <f>A!M268</f>
        <v>urn:immetingen:LabopdrachtStatus:id:5</v>
      </c>
      <c r="N268">
        <f>A!N268</f>
        <v>1</v>
      </c>
      <c r="O268">
        <f>A!O268</f>
        <v>1</v>
      </c>
      <c r="P268" s="32" t="str">
        <f>IF(A!P268="","",INDEX(B!$A$1:$BT$2000,MATCH(A!P268,B!$AX$1:$AX$2000,0),D!$B$5))</f>
        <v>MM04 04 (100-150) 05 (100-150)</v>
      </c>
      <c r="Q268">
        <f>A!Q268</f>
        <v>0</v>
      </c>
      <c r="R268">
        <f>A!R268</f>
        <v>0</v>
      </c>
      <c r="S268">
        <f>A!S268</f>
        <v>0</v>
      </c>
      <c r="T268" t="str">
        <f>A!T268</f>
        <v>immetingen:AnalyticResultType</v>
      </c>
      <c r="U268" t="str">
        <f>A!U268</f>
        <v>&lt;2 % vd DS</v>
      </c>
      <c r="V268" s="32">
        <f>IF(A!V268="&lt;",1,A!V268)</f>
        <v>1</v>
      </c>
      <c r="W268">
        <f>A!W268</f>
        <v>2</v>
      </c>
      <c r="X268">
        <f>A!X268</f>
        <v>2</v>
      </c>
      <c r="Y268" t="str">
        <f>A!Y268</f>
        <v>urn:immetingen:eenheid:id:1</v>
      </c>
      <c r="Z268" s="32">
        <f t="shared" si="4"/>
        <v>1</v>
      </c>
      <c r="AA268" t="str">
        <f>A!Z268</f>
        <v>urn:immetingen:kwaliteitsoordeel:id:0</v>
      </c>
      <c r="AB268" t="str">
        <f>A!AA268</f>
        <v>www.sikb.nl</v>
      </c>
      <c r="AC268" t="str">
        <f>A!AB268</f>
        <v>urn:immetingen:waardebewerkingsmethode:id:5</v>
      </c>
      <c r="AD268" t="str">
        <f>A!AC268</f>
        <v>www.sikb.nl</v>
      </c>
      <c r="AE268" t="str">
        <f>A!AD268</f>
        <v>_b0310d8d-c9b7-4e7d-89c2-bb51ed0627d7</v>
      </c>
      <c r="AF268">
        <f>A!AE268</f>
        <v>45811.282430555555</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32"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t="str">
        <f>A!CI268</f>
        <v>urn:imsikb0101:Applicaties:id:16</v>
      </c>
      <c r="CK268" t="str">
        <f>A!CJ268</f>
        <v>urn:imsikb0101:DatastroomType:id:1</v>
      </c>
      <c r="CL268">
        <f>A!CK268</f>
        <v>45811</v>
      </c>
      <c r="CM268" t="str">
        <f>A!CL268</f>
        <v>SGS, Rotterdam</v>
      </c>
      <c r="CN268" t="str">
        <f>A!CM268</f>
        <v>LABRESULTAAT SGS</v>
      </c>
      <c r="CO268">
        <f>A!CN268</f>
        <v>45811</v>
      </c>
      <c r="CP268">
        <f>A!CO268</f>
        <v>0</v>
      </c>
      <c r="CQ268">
        <f>A!CO578</f>
        <v>0</v>
      </c>
      <c r="CR268" t="e">
        <f>A!#REF!</f>
        <v>#REF!</v>
      </c>
      <c r="CS268" t="e">
        <f>A!#REF!</f>
        <v>#REF!</v>
      </c>
    </row>
    <row r="269" spans="1:97" x14ac:dyDescent="0.2">
      <c r="A269" t="str">
        <f>A!A269</f>
        <v>LABRESULTAAT</v>
      </c>
      <c r="B269">
        <f>A!B269</f>
        <v>88</v>
      </c>
      <c r="C269" t="str">
        <f>A!C269</f>
        <v>_688e56a5-c371-4791-896a-85ab120fa5f7</v>
      </c>
      <c r="D269" t="str">
        <f>A!D269</f>
        <v>688e56a5-c371-4791-896a-85ab120fa5f7</v>
      </c>
      <c r="E269" t="str">
        <f>A!E269</f>
        <v>SIKB</v>
      </c>
      <c r="F269" t="str">
        <f>A!F269</f>
        <v>urn:immetingen:hoedanigheid:id:1</v>
      </c>
      <c r="G269" t="str">
        <f>A!G269</f>
        <v>www.sikb.nl</v>
      </c>
      <c r="H269" t="str">
        <f>A!H269</f>
        <v>urn:immetingen:parameter:id:1319</v>
      </c>
      <c r="I269" t="str">
        <f>A!I269</f>
        <v>www.sikb.nl</v>
      </c>
      <c r="J269" t="str">
        <f>A!J269</f>
        <v>urn:immetingen:parameter:id:2725</v>
      </c>
      <c r="K269" t="str">
        <f>A!K269</f>
        <v>www.sikb.nl</v>
      </c>
      <c r="L269">
        <f>A!L269</f>
        <v>45811</v>
      </c>
      <c r="M269" t="str">
        <f>A!M269</f>
        <v>urn:immetingen:LabopdrachtStatus:id:5</v>
      </c>
      <c r="N269">
        <f>A!N269</f>
        <v>1</v>
      </c>
      <c r="O269">
        <f>A!O269</f>
        <v>1</v>
      </c>
      <c r="P269" s="32" t="str">
        <f>IF(A!P269="","",INDEX(B!$A$1:$BT$2000,MATCH(A!P269,B!$AX$1:$AX$2000,0),D!$B$5))</f>
        <v>MM04 04 (100-150) 05 (100-150)</v>
      </c>
      <c r="Q269">
        <f>A!Q269</f>
        <v>0</v>
      </c>
      <c r="R269">
        <f>A!R269</f>
        <v>0</v>
      </c>
      <c r="S269">
        <f>A!S269</f>
        <v>0</v>
      </c>
      <c r="T269" t="str">
        <f>A!T269</f>
        <v>immetingen:AnalyticResultType</v>
      </c>
      <c r="U269" t="str">
        <f>A!U269</f>
        <v>0.2 % vd DS</v>
      </c>
      <c r="V269" s="32">
        <f>IF(A!V269="&lt;",1,A!V269)</f>
        <v>0</v>
      </c>
      <c r="W269">
        <f>A!W269</f>
        <v>0.2</v>
      </c>
      <c r="X269">
        <f>A!X269</f>
        <v>0.2</v>
      </c>
      <c r="Y269" t="str">
        <f>A!Y269</f>
        <v>urn:immetingen:eenheid:id:1</v>
      </c>
      <c r="Z269" s="32">
        <f t="shared" si="4"/>
        <v>1</v>
      </c>
      <c r="AA269" t="str">
        <f>A!Z269</f>
        <v>urn:immetingen:kwaliteitsoordeel:id:0</v>
      </c>
      <c r="AB269" t="str">
        <f>A!AA269</f>
        <v>www.sikb.nl</v>
      </c>
      <c r="AC269" t="str">
        <f>A!AB269</f>
        <v>urn:immetingen:waardebewerkingsmethode:id:5</v>
      </c>
      <c r="AD269" t="str">
        <f>A!AC269</f>
        <v>www.sikb.nl</v>
      </c>
      <c r="AE269" t="str">
        <f>A!AD269</f>
        <v>_434d44cb-2e06-4fdc-a6e4-42171b6500f3</v>
      </c>
      <c r="AF269">
        <f>A!AE269</f>
        <v>45811.610543981478</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32"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t="str">
        <f>A!CI269</f>
        <v>urn:imsikb0101:Applicaties:id:16</v>
      </c>
      <c r="CK269" t="str">
        <f>A!CJ269</f>
        <v>urn:imsikb0101:DatastroomType:id:1</v>
      </c>
      <c r="CL269">
        <f>A!CK269</f>
        <v>45811</v>
      </c>
      <c r="CM269" t="str">
        <f>A!CL269</f>
        <v>SGS, Rotterdam</v>
      </c>
      <c r="CN269" t="str">
        <f>A!CM269</f>
        <v>LABRESULTAAT SGS</v>
      </c>
      <c r="CO269">
        <f>A!CN269</f>
        <v>45811</v>
      </c>
      <c r="CP269">
        <f>A!CO269</f>
        <v>0</v>
      </c>
      <c r="CQ269">
        <f>A!CO579</f>
        <v>0</v>
      </c>
      <c r="CR269" t="e">
        <f>A!#REF!</f>
        <v>#REF!</v>
      </c>
      <c r="CS269" t="e">
        <f>A!#REF!</f>
        <v>#REF!</v>
      </c>
    </row>
    <row r="270" spans="1:97" x14ac:dyDescent="0.2">
      <c r="A270" t="str">
        <f>A!A270</f>
        <v>LABRESULTAAT</v>
      </c>
      <c r="B270">
        <f>A!B270</f>
        <v>89</v>
      </c>
      <c r="C270" t="str">
        <f>A!C270</f>
        <v>_e6498023-ff51-4f80-a38f-3d7dc79cfc48</v>
      </c>
      <c r="D270" t="str">
        <f>A!D270</f>
        <v>e6498023-ff51-4f80-a38f-3d7dc79cfc48</v>
      </c>
      <c r="E270" t="str">
        <f>A!E270</f>
        <v>SIKB</v>
      </c>
      <c r="F270" t="str">
        <f>A!F270</f>
        <v>urn:immetingen:hoedanigheid:id:1</v>
      </c>
      <c r="G270" t="str">
        <f>A!G270</f>
        <v>www.sikb.nl</v>
      </c>
      <c r="H270" t="str">
        <f>A!H270</f>
        <v>urn:immetingen:parameter:id:1365</v>
      </c>
      <c r="I270" t="str">
        <f>A!I270</f>
        <v>www.sikb.nl</v>
      </c>
      <c r="J270" t="str">
        <f>A!J270</f>
        <v>urn:immetingen:parameter:id:2725</v>
      </c>
      <c r="K270" t="str">
        <f>A!K270</f>
        <v>www.sikb.nl</v>
      </c>
      <c r="L270">
        <f>A!L270</f>
        <v>45811</v>
      </c>
      <c r="M270" t="str">
        <f>A!M270</f>
        <v>urn:immetingen:LabopdrachtStatus:id:5</v>
      </c>
      <c r="N270">
        <f>A!N270</f>
        <v>1</v>
      </c>
      <c r="O270">
        <f>A!O270</f>
        <v>1</v>
      </c>
      <c r="P270" s="32" t="str">
        <f>IF(A!P270="","",INDEX(B!$A$1:$BT$2000,MATCH(A!P270,B!$AX$1:$AX$2000,0),D!$B$5))</f>
        <v>MM04 04 (100-150) 05 (100-150)</v>
      </c>
      <c r="Q270">
        <f>A!Q270</f>
        <v>0</v>
      </c>
      <c r="R270">
        <f>A!R270</f>
        <v>0</v>
      </c>
      <c r="S270">
        <f>A!S270</f>
        <v>0</v>
      </c>
      <c r="T270" t="str">
        <f>A!T270</f>
        <v>immetingen:AnalyticResultType</v>
      </c>
      <c r="U270" t="str">
        <f>A!U270</f>
        <v>4.9 µg/kgds</v>
      </c>
      <c r="V270" s="32">
        <f>IF(A!V270="&lt;",1,A!V270)</f>
        <v>0</v>
      </c>
      <c r="W270">
        <f>A!W270</f>
        <v>4.9000000000000004</v>
      </c>
      <c r="X270">
        <f>A!X270</f>
        <v>4.9000000000000004</v>
      </c>
      <c r="Y270" t="str">
        <f>A!Y270</f>
        <v>urn:immetingen:eenheid:id:131</v>
      </c>
      <c r="Z270" s="32">
        <f t="shared" si="4"/>
        <v>131</v>
      </c>
      <c r="AA270" t="str">
        <f>A!Z270</f>
        <v>urn:immetingen:kwaliteitsoordeel:id:0</v>
      </c>
      <c r="AB270" t="str">
        <f>A!AA270</f>
        <v>www.sikb.nl</v>
      </c>
      <c r="AC270" t="str">
        <f>A!AB270</f>
        <v>urn:immetingen:waardebewerkingsmethode:id:5</v>
      </c>
      <c r="AD270" t="str">
        <f>A!AC270</f>
        <v>www.sikb.nl</v>
      </c>
      <c r="AE270" t="str">
        <f>A!AD270</f>
        <v>_7ed009a8-0824-4971-b61a-97d6616e6168</v>
      </c>
      <c r="AF270">
        <f>A!AE270</f>
        <v>45811.309479166666</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32"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t="str">
        <f>A!CI270</f>
        <v>urn:imsikb0101:Applicaties:id:16</v>
      </c>
      <c r="CK270" t="str">
        <f>A!CJ270</f>
        <v>urn:imsikb0101:DatastroomType:id:1</v>
      </c>
      <c r="CL270">
        <f>A!CK270</f>
        <v>45811</v>
      </c>
      <c r="CM270" t="str">
        <f>A!CL270</f>
        <v>SGS, Rotterdam</v>
      </c>
      <c r="CN270" t="str">
        <f>A!CM270</f>
        <v>LABRESULTAAT SGS</v>
      </c>
      <c r="CO270">
        <f>A!CN270</f>
        <v>45811</v>
      </c>
      <c r="CP270">
        <f>A!CO270</f>
        <v>0</v>
      </c>
      <c r="CQ270">
        <f>A!CO580</f>
        <v>0</v>
      </c>
      <c r="CR270" t="e">
        <f>A!#REF!</f>
        <v>#REF!</v>
      </c>
      <c r="CS270" t="e">
        <f>A!#REF!</f>
        <v>#REF!</v>
      </c>
    </row>
    <row r="271" spans="1:97" x14ac:dyDescent="0.2">
      <c r="A271" t="str">
        <f>A!A271</f>
        <v>LABRESULTAAT</v>
      </c>
      <c r="B271">
        <f>A!B271</f>
        <v>90</v>
      </c>
      <c r="C271" t="str">
        <f>A!C271</f>
        <v>_c4d597b9-b29e-4b9d-b59d-ff100c2a9da5</v>
      </c>
      <c r="D271" t="str">
        <f>A!D271</f>
        <v>c4d597b9-b29e-4b9d-b59d-ff100c2a9da5</v>
      </c>
      <c r="E271" t="str">
        <f>A!E271</f>
        <v>SIKB</v>
      </c>
      <c r="F271" t="str">
        <f>A!F271</f>
        <v>urn:immetingen:hoedanigheid:id:1</v>
      </c>
      <c r="G271" t="str">
        <f>A!G271</f>
        <v>www.sikb.nl</v>
      </c>
      <c r="H271" t="str">
        <f>A!H271</f>
        <v>urn:immetingen:parameter:id:1352</v>
      </c>
      <c r="I271" t="str">
        <f>A!I271</f>
        <v>www.sikb.nl</v>
      </c>
      <c r="J271" t="str">
        <f>A!J271</f>
        <v>urn:immetingen:parameter:id:2725</v>
      </c>
      <c r="K271" t="str">
        <f>A!K271</f>
        <v>www.sikb.nl</v>
      </c>
      <c r="L271">
        <f>A!L271</f>
        <v>45811</v>
      </c>
      <c r="M271" t="str">
        <f>A!M271</f>
        <v>urn:immetingen:LabopdrachtStatus:id:5</v>
      </c>
      <c r="N271">
        <f>A!N271</f>
        <v>1</v>
      </c>
      <c r="O271">
        <f>A!O271</f>
        <v>1</v>
      </c>
      <c r="P271" s="32" t="str">
        <f>IF(A!P271="","",INDEX(B!$A$1:$BT$2000,MATCH(A!P271,B!$AX$1:$AX$2000,0),D!$B$5))</f>
        <v>MM04 04 (100-150) 05 (100-150)</v>
      </c>
      <c r="Q271">
        <f>A!Q271</f>
        <v>0</v>
      </c>
      <c r="R271">
        <f>A!R271</f>
        <v>0</v>
      </c>
      <c r="S271">
        <f>A!S271</f>
        <v>0</v>
      </c>
      <c r="T271" t="str">
        <f>A!T271</f>
        <v>immetingen:AnalyticResultType</v>
      </c>
      <c r="U271" t="str">
        <f>A!U271</f>
        <v>0.07 mg/kgds</v>
      </c>
      <c r="V271" s="32">
        <f>IF(A!V271="&lt;",1,A!V271)</f>
        <v>0</v>
      </c>
      <c r="W271">
        <f>A!W271</f>
        <v>7.0000000000000007E-2</v>
      </c>
      <c r="X271">
        <f>A!X271</f>
        <v>7.0000000000000007E-2</v>
      </c>
      <c r="Y271" t="str">
        <f>A!Y271</f>
        <v>urn:immetingen:eenheid:id:58</v>
      </c>
      <c r="Z271" s="32">
        <f t="shared" si="4"/>
        <v>58</v>
      </c>
      <c r="AA271" t="str">
        <f>A!Z271</f>
        <v>urn:immetingen:kwaliteitsoordeel:id:0</v>
      </c>
      <c r="AB271" t="str">
        <f>A!AA271</f>
        <v>www.sikb.nl</v>
      </c>
      <c r="AC271" t="str">
        <f>A!AB271</f>
        <v>urn:immetingen:waardebewerkingsmethode:id:5</v>
      </c>
      <c r="AD271" t="str">
        <f>A!AC271</f>
        <v>www.sikb.nl</v>
      </c>
      <c r="AE271" t="str">
        <f>A!AD271</f>
        <v>_d6b284eb-614f-48e9-8bca-3667a50476eb</v>
      </c>
      <c r="AF271">
        <f>A!AE271</f>
        <v>45811.309479166666</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32"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t="str">
        <f>A!CI271</f>
        <v>urn:imsikb0101:Applicaties:id:16</v>
      </c>
      <c r="CK271" t="str">
        <f>A!CJ271</f>
        <v>urn:imsikb0101:DatastroomType:id:1</v>
      </c>
      <c r="CL271">
        <f>A!CK271</f>
        <v>45811</v>
      </c>
      <c r="CM271" t="str">
        <f>A!CL271</f>
        <v>SGS, Rotterdam</v>
      </c>
      <c r="CN271" t="str">
        <f>A!CM271</f>
        <v>LABRESULTAAT SGS</v>
      </c>
      <c r="CO271">
        <f>A!CN271</f>
        <v>45811</v>
      </c>
      <c r="CP271">
        <f>A!CO271</f>
        <v>0</v>
      </c>
      <c r="CQ271">
        <f>A!CO581</f>
        <v>0</v>
      </c>
      <c r="CR271" t="e">
        <f>A!#REF!</f>
        <v>#REF!</v>
      </c>
      <c r="CS271" t="e">
        <f>A!#REF!</f>
        <v>#REF!</v>
      </c>
    </row>
    <row r="272" spans="1:97" x14ac:dyDescent="0.2">
      <c r="A272" t="str">
        <f>A!A272</f>
        <v>LABRESULTAAT</v>
      </c>
      <c r="B272">
        <f>A!B272</f>
        <v>91</v>
      </c>
      <c r="C272" t="str">
        <f>A!C272</f>
        <v>_bc325a9e-24c9-4c8a-850d-100872ebb2e1</v>
      </c>
      <c r="D272" t="str">
        <f>A!D272</f>
        <v>bc325a9e-24c9-4c8a-850d-100872ebb2e1</v>
      </c>
      <c r="E272" t="str">
        <f>A!E272</f>
        <v>SIKB</v>
      </c>
      <c r="F272" t="str">
        <f>A!F272</f>
        <v>urn:immetingen:hoedanigheid:id:1</v>
      </c>
      <c r="G272" t="str">
        <f>A!G272</f>
        <v>www.sikb.nl</v>
      </c>
      <c r="H272" t="str">
        <f>A!H272</f>
        <v>urn:immetingen:parameter:id:333</v>
      </c>
      <c r="I272" t="str">
        <f>A!I272</f>
        <v>www.sikb.nl</v>
      </c>
      <c r="J272" t="str">
        <f>A!J272</f>
        <v>urn:immetingen:parameter:id:2725</v>
      </c>
      <c r="K272" t="str">
        <f>A!K272</f>
        <v>www.sikb.nl</v>
      </c>
      <c r="L272">
        <f>A!L272</f>
        <v>45811</v>
      </c>
      <c r="M272" t="str">
        <f>A!M272</f>
        <v>urn:immetingen:LabopdrachtStatus:id:5</v>
      </c>
      <c r="N272">
        <f>A!N272</f>
        <v>1</v>
      </c>
      <c r="O272">
        <f>A!O272</f>
        <v>1</v>
      </c>
      <c r="P272" s="32" t="str">
        <f>IF(A!P272="","",INDEX(B!$A$1:$BT$2000,MATCH(A!P272,B!$AX$1:$AX$2000,0),D!$B$5))</f>
        <v>MM04 04 (100-150) 05 (100-150)</v>
      </c>
      <c r="Q272">
        <f>A!Q272</f>
        <v>0</v>
      </c>
      <c r="R272">
        <f>A!R272</f>
        <v>0</v>
      </c>
      <c r="S272">
        <f>A!S272</f>
        <v>0</v>
      </c>
      <c r="T272" t="str">
        <f>A!T272</f>
        <v>immetingen:AnalyticResultType</v>
      </c>
      <c r="U272" t="str">
        <f>A!U272</f>
        <v>&lt;20 mg/kgds</v>
      </c>
      <c r="V272" s="32">
        <f>IF(A!V272="&lt;",1,A!V272)</f>
        <v>1</v>
      </c>
      <c r="W272">
        <f>A!W272</f>
        <v>20</v>
      </c>
      <c r="X272">
        <f>A!X272</f>
        <v>20</v>
      </c>
      <c r="Y272" t="str">
        <f>A!Y272</f>
        <v>urn:immetingen:eenheid:id:58</v>
      </c>
      <c r="Z272" s="32">
        <f t="shared" si="4"/>
        <v>58</v>
      </c>
      <c r="AA272" t="str">
        <f>A!Z272</f>
        <v>urn:immetingen:kwaliteitsoordeel:id:0</v>
      </c>
      <c r="AB272" t="str">
        <f>A!AA272</f>
        <v>www.sikb.nl</v>
      </c>
      <c r="AC272" t="str">
        <f>A!AB272</f>
        <v>urn:immetingen:waardebewerkingsmethode:id:5</v>
      </c>
      <c r="AD272" t="str">
        <f>A!AC272</f>
        <v>www.sikb.nl</v>
      </c>
      <c r="AE272" t="str">
        <f>A!AD272</f>
        <v>_d0ec2679-f586-4fcd-8fd3-c1b7fb062a73</v>
      </c>
      <c r="AF272">
        <f>A!AE272</f>
        <v>45811.609930555554</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32"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t="str">
        <f>A!CI272</f>
        <v>urn:imsikb0101:Applicaties:id:16</v>
      </c>
      <c r="CK272" t="str">
        <f>A!CJ272</f>
        <v>urn:imsikb0101:DatastroomType:id:1</v>
      </c>
      <c r="CL272">
        <f>A!CK272</f>
        <v>45811</v>
      </c>
      <c r="CM272" t="str">
        <f>A!CL272</f>
        <v>SGS, Rotterdam</v>
      </c>
      <c r="CN272" t="str">
        <f>A!CM272</f>
        <v>LABRESULTAAT SGS</v>
      </c>
      <c r="CO272">
        <f>A!CN272</f>
        <v>45811</v>
      </c>
      <c r="CP272">
        <f>A!CO272</f>
        <v>0</v>
      </c>
      <c r="CQ272">
        <f>A!CO582</f>
        <v>0</v>
      </c>
      <c r="CR272" t="e">
        <f>A!#REF!</f>
        <v>#REF!</v>
      </c>
      <c r="CS272" t="e">
        <f>A!#REF!</f>
        <v>#REF!</v>
      </c>
    </row>
    <row r="273" spans="1:97" x14ac:dyDescent="0.2">
      <c r="A273" t="str">
        <f>A!A273</f>
        <v>LABRESULTAAT</v>
      </c>
      <c r="B273">
        <f>A!B273</f>
        <v>92</v>
      </c>
      <c r="C273" t="str">
        <f>A!C273</f>
        <v>_a1f0a32b-b10d-407a-a6de-61f357694ef3</v>
      </c>
      <c r="D273" t="str">
        <f>A!D273</f>
        <v>a1f0a32b-b10d-407a-a6de-61f357694ef3</v>
      </c>
      <c r="E273" t="str">
        <f>A!E273</f>
        <v>SIKB</v>
      </c>
      <c r="F273" t="str">
        <f>A!F273</f>
        <v>urn:immetingen:hoedanigheid:id:1</v>
      </c>
      <c r="G273" t="str">
        <f>A!G273</f>
        <v>www.sikb.nl</v>
      </c>
      <c r="H273" t="str">
        <f>A!H273</f>
        <v>urn:immetingen:parameter:id:1693</v>
      </c>
      <c r="I273" t="str">
        <f>A!I273</f>
        <v>www.sikb.nl</v>
      </c>
      <c r="J273" t="str">
        <f>A!J273</f>
        <v>urn:immetingen:parameter:id:2725</v>
      </c>
      <c r="K273" t="str">
        <f>A!K273</f>
        <v>www.sikb.nl</v>
      </c>
      <c r="L273">
        <f>A!L273</f>
        <v>45811</v>
      </c>
      <c r="M273" t="str">
        <f>A!M273</f>
        <v>urn:immetingen:LabopdrachtStatus:id:5</v>
      </c>
      <c r="N273">
        <f>A!N273</f>
        <v>1</v>
      </c>
      <c r="O273">
        <f>A!O273</f>
        <v>1</v>
      </c>
      <c r="P273" s="32" t="str">
        <f>IF(A!P273="","",INDEX(B!$A$1:$BT$2000,MATCH(A!P273,B!$AX$1:$AX$2000,0),D!$B$5))</f>
        <v>MM04 04 (100-150) 05 (100-150)</v>
      </c>
      <c r="Q273">
        <f>A!Q273</f>
        <v>0</v>
      </c>
      <c r="R273">
        <f>A!R273</f>
        <v>0</v>
      </c>
      <c r="S273">
        <f>A!S273</f>
        <v>0</v>
      </c>
      <c r="T273" t="str">
        <f>A!T273</f>
        <v>immetingen:AnalyticResultType</v>
      </c>
      <c r="U273" t="str">
        <f>A!U273</f>
        <v>&lt;20 mg/kgds</v>
      </c>
      <c r="V273" s="32">
        <f>IF(A!V273="&lt;",1,A!V273)</f>
        <v>1</v>
      </c>
      <c r="W273">
        <f>A!W273</f>
        <v>20</v>
      </c>
      <c r="X273">
        <f>A!X273</f>
        <v>20</v>
      </c>
      <c r="Y273" t="str">
        <f>A!Y273</f>
        <v>urn:immetingen:eenheid:id:58</v>
      </c>
      <c r="Z273" s="32">
        <f t="shared" si="4"/>
        <v>58</v>
      </c>
      <c r="AA273" t="str">
        <f>A!Z273</f>
        <v>urn:immetingen:kwaliteitsoordeel:id:0</v>
      </c>
      <c r="AB273" t="str">
        <f>A!AA273</f>
        <v>www.sikb.nl</v>
      </c>
      <c r="AC273" t="str">
        <f>A!AB273</f>
        <v>urn:immetingen:waardebewerkingsmethode:id:5</v>
      </c>
      <c r="AD273" t="str">
        <f>A!AC273</f>
        <v>www.sikb.nl</v>
      </c>
      <c r="AE273" t="str">
        <f>A!AD273</f>
        <v>_b9a6ba2c-0b63-43fe-99a3-0af98d3b04db</v>
      </c>
      <c r="AF273">
        <f>A!AE273</f>
        <v>45811.609942129631</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32"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t="str">
        <f>A!CI273</f>
        <v>urn:imsikb0101:Applicaties:id:16</v>
      </c>
      <c r="CK273" t="str">
        <f>A!CJ273</f>
        <v>urn:imsikb0101:DatastroomType:id:1</v>
      </c>
      <c r="CL273">
        <f>A!CK273</f>
        <v>45811</v>
      </c>
      <c r="CM273" t="str">
        <f>A!CL273</f>
        <v>SGS, Rotterdam</v>
      </c>
      <c r="CN273" t="str">
        <f>A!CM273</f>
        <v>LABRESULTAAT SGS</v>
      </c>
      <c r="CO273">
        <f>A!CN273</f>
        <v>45811</v>
      </c>
      <c r="CP273">
        <f>A!CO273</f>
        <v>0</v>
      </c>
      <c r="CQ273">
        <f>A!CO583</f>
        <v>0</v>
      </c>
      <c r="CR273" t="e">
        <f>A!#REF!</f>
        <v>#REF!</v>
      </c>
      <c r="CS273" t="e">
        <f>A!#REF!</f>
        <v>#REF!</v>
      </c>
    </row>
    <row r="274" spans="1:97" x14ac:dyDescent="0.2">
      <c r="A274" t="str">
        <f>A!A274</f>
        <v>LABRESULTAAT</v>
      </c>
      <c r="B274">
        <f>A!B274</f>
        <v>93</v>
      </c>
      <c r="C274" t="str">
        <f>A!C274</f>
        <v>_f3aa6875-f5bb-406c-849c-c8e3b4c6ce61</v>
      </c>
      <c r="D274" t="str">
        <f>A!D274</f>
        <v>f3aa6875-f5bb-406c-849c-c8e3b4c6ce61</v>
      </c>
      <c r="E274" t="str">
        <f>A!E274</f>
        <v>SIKB</v>
      </c>
      <c r="F274" t="str">
        <f>A!F274</f>
        <v>urn:immetingen:hoedanigheid:id:1</v>
      </c>
      <c r="G274" t="str">
        <f>A!G274</f>
        <v>www.sikb.nl</v>
      </c>
      <c r="H274" t="str">
        <f>A!H274</f>
        <v>urn:immetingen:parameter:id:310</v>
      </c>
      <c r="I274" t="str">
        <f>A!I274</f>
        <v>www.sikb.nl</v>
      </c>
      <c r="J274" t="str">
        <f>A!J274</f>
        <v>urn:immetingen:parameter:id:2725</v>
      </c>
      <c r="K274" t="str">
        <f>A!K274</f>
        <v>www.sikb.nl</v>
      </c>
      <c r="L274">
        <f>A!L274</f>
        <v>45811</v>
      </c>
      <c r="M274" t="str">
        <f>A!M274</f>
        <v>urn:immetingen:LabopdrachtStatus:id:5</v>
      </c>
      <c r="N274">
        <f>A!N274</f>
        <v>1</v>
      </c>
      <c r="O274">
        <f>A!O274</f>
        <v>1</v>
      </c>
      <c r="P274" s="32" t="str">
        <f>IF(A!P274="","",INDEX(B!$A$1:$BT$2000,MATCH(A!P274,B!$AX$1:$AX$2000,0),D!$B$5))</f>
        <v>MM04 04 (100-150) 05 (100-150)</v>
      </c>
      <c r="Q274">
        <f>A!Q274</f>
        <v>0</v>
      </c>
      <c r="R274">
        <f>A!R274</f>
        <v>0</v>
      </c>
      <c r="S274">
        <f>A!S274</f>
        <v>0</v>
      </c>
      <c r="T274" t="str">
        <f>A!T274</f>
        <v>immetingen:AnalyticResultType</v>
      </c>
      <c r="U274" t="str">
        <f>A!U274</f>
        <v>&lt;4 mg/kgds</v>
      </c>
      <c r="V274" s="32">
        <f>IF(A!V274="&lt;",1,A!V274)</f>
        <v>1</v>
      </c>
      <c r="W274">
        <f>A!W274</f>
        <v>4</v>
      </c>
      <c r="X274">
        <f>A!X274</f>
        <v>4</v>
      </c>
      <c r="Y274" t="str">
        <f>A!Y274</f>
        <v>urn:immetingen:eenheid:id:58</v>
      </c>
      <c r="Z274" s="32">
        <f t="shared" si="4"/>
        <v>58</v>
      </c>
      <c r="AA274" t="str">
        <f>A!Z274</f>
        <v>urn:immetingen:kwaliteitsoordeel:id:0</v>
      </c>
      <c r="AB274" t="str">
        <f>A!AA274</f>
        <v>www.sikb.nl</v>
      </c>
      <c r="AC274" t="str">
        <f>A!AB274</f>
        <v>urn:immetingen:waardebewerkingsmethode:id:5</v>
      </c>
      <c r="AD274" t="str">
        <f>A!AC274</f>
        <v>www.sikb.nl</v>
      </c>
      <c r="AE274" t="str">
        <f>A!AD274</f>
        <v>_ad38ea81-6492-4de2-814b-f6aa6589807b</v>
      </c>
      <c r="AF274">
        <f>A!AE274</f>
        <v>45811.609930555554</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32"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t="str">
        <f>A!CI274</f>
        <v>urn:imsikb0101:Applicaties:id:16</v>
      </c>
      <c r="CK274" t="str">
        <f>A!CJ274</f>
        <v>urn:imsikb0101:DatastroomType:id:1</v>
      </c>
      <c r="CL274">
        <f>A!CK274</f>
        <v>45811</v>
      </c>
      <c r="CM274" t="str">
        <f>A!CL274</f>
        <v>SGS, Rotterdam</v>
      </c>
      <c r="CN274" t="str">
        <f>A!CM274</f>
        <v>LABRESULTAAT SGS</v>
      </c>
      <c r="CO274">
        <f>A!CN274</f>
        <v>45811</v>
      </c>
      <c r="CP274">
        <f>A!CO274</f>
        <v>0</v>
      </c>
      <c r="CQ274">
        <f>A!CO584</f>
        <v>0</v>
      </c>
      <c r="CR274" t="e">
        <f>A!#REF!</f>
        <v>#REF!</v>
      </c>
      <c r="CS274" t="e">
        <f>A!#REF!</f>
        <v>#REF!</v>
      </c>
    </row>
    <row r="275" spans="1:97" x14ac:dyDescent="0.2">
      <c r="A275" t="str">
        <f>A!A275</f>
        <v>LABRESULTAAT</v>
      </c>
      <c r="B275">
        <f>A!B275</f>
        <v>94</v>
      </c>
      <c r="C275" t="str">
        <f>A!C275</f>
        <v>_0aeca438-9716-4bc6-98cd-051fcda2a043</v>
      </c>
      <c r="D275" t="str">
        <f>A!D275</f>
        <v>0aeca438-9716-4bc6-98cd-051fcda2a043</v>
      </c>
      <c r="E275" t="str">
        <f>A!E275</f>
        <v>SIKB</v>
      </c>
      <c r="F275" t="str">
        <f>A!F275</f>
        <v>urn:immetingen:hoedanigheid:id:1</v>
      </c>
      <c r="G275" t="str">
        <f>A!G275</f>
        <v>www.sikb.nl</v>
      </c>
      <c r="H275" t="str">
        <f>A!H275</f>
        <v>urn:immetingen:parameter:id:441</v>
      </c>
      <c r="I275" t="str">
        <f>A!I275</f>
        <v>www.sikb.nl</v>
      </c>
      <c r="J275" t="str">
        <f>A!J275</f>
        <v>urn:immetingen:parameter:id:2725</v>
      </c>
      <c r="K275" t="str">
        <f>A!K275</f>
        <v>www.sikb.nl</v>
      </c>
      <c r="L275">
        <f>A!L275</f>
        <v>45811</v>
      </c>
      <c r="M275" t="str">
        <f>A!M275</f>
        <v>urn:immetingen:LabopdrachtStatus:id:5</v>
      </c>
      <c r="N275">
        <f>A!N275</f>
        <v>1</v>
      </c>
      <c r="O275">
        <f>A!O275</f>
        <v>1</v>
      </c>
      <c r="P275" s="32" t="str">
        <f>IF(A!P275="","",INDEX(B!$A$1:$BT$2000,MATCH(A!P275,B!$AX$1:$AX$2000,0),D!$B$5))</f>
        <v>MM04 04 (100-150) 05 (100-150)</v>
      </c>
      <c r="Q275">
        <f>A!Q275</f>
        <v>0</v>
      </c>
      <c r="R275">
        <f>A!R275</f>
        <v>0</v>
      </c>
      <c r="S275">
        <f>A!S275</f>
        <v>0</v>
      </c>
      <c r="T275" t="str">
        <f>A!T275</f>
        <v>immetingen:AnalyticResultType</v>
      </c>
      <c r="U275" t="str">
        <f>A!U275</f>
        <v>&lt;0.2 mg/kgds</v>
      </c>
      <c r="V275" s="32">
        <f>IF(A!V275="&lt;",1,A!V275)</f>
        <v>1</v>
      </c>
      <c r="W275">
        <f>A!W275</f>
        <v>0.2</v>
      </c>
      <c r="X275">
        <f>A!X275</f>
        <v>0.2</v>
      </c>
      <c r="Y275" t="str">
        <f>A!Y275</f>
        <v>urn:immetingen:eenheid:id:58</v>
      </c>
      <c r="Z275" s="32">
        <f t="shared" si="4"/>
        <v>58</v>
      </c>
      <c r="AA275" t="str">
        <f>A!Z275</f>
        <v>urn:immetingen:kwaliteitsoordeel:id:0</v>
      </c>
      <c r="AB275" t="str">
        <f>A!AA275</f>
        <v>www.sikb.nl</v>
      </c>
      <c r="AC275" t="str">
        <f>A!AB275</f>
        <v>urn:immetingen:waardebewerkingsmethode:id:5</v>
      </c>
      <c r="AD275" t="str">
        <f>A!AC275</f>
        <v>www.sikb.nl</v>
      </c>
      <c r="AE275" t="str">
        <f>A!AD275</f>
        <v>_4e805d36-10f0-44af-a3d6-5eb84585cb8f</v>
      </c>
      <c r="AF275">
        <f>A!AE275</f>
        <v>45811.609930555554</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32"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t="str">
        <f>A!CI275</f>
        <v>urn:imsikb0101:Applicaties:id:16</v>
      </c>
      <c r="CK275" t="str">
        <f>A!CJ275</f>
        <v>urn:imsikb0101:DatastroomType:id:1</v>
      </c>
      <c r="CL275">
        <f>A!CK275</f>
        <v>45811</v>
      </c>
      <c r="CM275" t="str">
        <f>A!CL275</f>
        <v>SGS, Rotterdam</v>
      </c>
      <c r="CN275" t="str">
        <f>A!CM275</f>
        <v>LABRESULTAAT SGS</v>
      </c>
      <c r="CO275">
        <f>A!CN275</f>
        <v>45811</v>
      </c>
      <c r="CP275">
        <f>A!CO275</f>
        <v>0</v>
      </c>
      <c r="CQ275">
        <f>A!CO585</f>
        <v>0</v>
      </c>
      <c r="CR275" t="e">
        <f>A!#REF!</f>
        <v>#REF!</v>
      </c>
      <c r="CS275" t="e">
        <f>A!#REF!</f>
        <v>#REF!</v>
      </c>
    </row>
    <row r="276" spans="1:97" x14ac:dyDescent="0.2">
      <c r="A276" t="str">
        <f>A!A276</f>
        <v>LABRESULTAAT</v>
      </c>
      <c r="B276">
        <f>A!B276</f>
        <v>95</v>
      </c>
      <c r="C276" t="str">
        <f>A!C276</f>
        <v>_07686c71-855b-4192-8f4b-847f3c87cb24</v>
      </c>
      <c r="D276" t="str">
        <f>A!D276</f>
        <v>07686c71-855b-4192-8f4b-847f3c87cb24</v>
      </c>
      <c r="E276" t="str">
        <f>A!E276</f>
        <v>SIKB</v>
      </c>
      <c r="F276" t="str">
        <f>A!F276</f>
        <v>urn:immetingen:hoedanigheid:id:1</v>
      </c>
      <c r="G276" t="str">
        <f>A!G276</f>
        <v>www.sikb.nl</v>
      </c>
      <c r="H276" t="str">
        <f>A!H276</f>
        <v>urn:immetingen:parameter:id:527</v>
      </c>
      <c r="I276" t="str">
        <f>A!I276</f>
        <v>www.sikb.nl</v>
      </c>
      <c r="J276" t="str">
        <f>A!J276</f>
        <v>urn:immetingen:parameter:id:2725</v>
      </c>
      <c r="K276" t="str">
        <f>A!K276</f>
        <v>www.sikb.nl</v>
      </c>
      <c r="L276">
        <f>A!L276</f>
        <v>45811</v>
      </c>
      <c r="M276" t="str">
        <f>A!M276</f>
        <v>urn:immetingen:LabopdrachtStatus:id:5</v>
      </c>
      <c r="N276">
        <f>A!N276</f>
        <v>1</v>
      </c>
      <c r="O276">
        <f>A!O276</f>
        <v>1</v>
      </c>
      <c r="P276" s="32" t="str">
        <f>IF(A!P276="","",INDEX(B!$A$1:$BT$2000,MATCH(A!P276,B!$AX$1:$AX$2000,0),D!$B$5))</f>
        <v>MM04 04 (100-150) 05 (100-150)</v>
      </c>
      <c r="Q276">
        <f>A!Q276</f>
        <v>0</v>
      </c>
      <c r="R276">
        <f>A!R276</f>
        <v>0</v>
      </c>
      <c r="S276">
        <f>A!S276</f>
        <v>0</v>
      </c>
      <c r="T276" t="str">
        <f>A!T276</f>
        <v>immetingen:AnalyticResultType</v>
      </c>
      <c r="U276" t="str">
        <f>A!U276</f>
        <v>&lt;3 mg/kgds</v>
      </c>
      <c r="V276" s="32">
        <f>IF(A!V276="&lt;",1,A!V276)</f>
        <v>1</v>
      </c>
      <c r="W276">
        <f>A!W276</f>
        <v>3</v>
      </c>
      <c r="X276">
        <f>A!X276</f>
        <v>3</v>
      </c>
      <c r="Y276" t="str">
        <f>A!Y276</f>
        <v>urn:immetingen:eenheid:id:58</v>
      </c>
      <c r="Z276" s="32">
        <f t="shared" si="4"/>
        <v>58</v>
      </c>
      <c r="AA276" t="str">
        <f>A!Z276</f>
        <v>urn:immetingen:kwaliteitsoordeel:id:0</v>
      </c>
      <c r="AB276" t="str">
        <f>A!AA276</f>
        <v>www.sikb.nl</v>
      </c>
      <c r="AC276" t="str">
        <f>A!AB276</f>
        <v>urn:immetingen:waardebewerkingsmethode:id:5</v>
      </c>
      <c r="AD276" t="str">
        <f>A!AC276</f>
        <v>www.sikb.nl</v>
      </c>
      <c r="AE276" t="str">
        <f>A!AD276</f>
        <v>_ad6264a3-2b99-4815-9627-32950a1bcec0</v>
      </c>
      <c r="AF276">
        <f>A!AE276</f>
        <v>45811.609930555554</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32"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t="str">
        <f>A!CI276</f>
        <v>urn:imsikb0101:Applicaties:id:16</v>
      </c>
      <c r="CK276" t="str">
        <f>A!CJ276</f>
        <v>urn:imsikb0101:DatastroomType:id:1</v>
      </c>
      <c r="CL276">
        <f>A!CK276</f>
        <v>45811</v>
      </c>
      <c r="CM276" t="str">
        <f>A!CL276</f>
        <v>SGS, Rotterdam</v>
      </c>
      <c r="CN276" t="str">
        <f>A!CM276</f>
        <v>LABRESULTAAT SGS</v>
      </c>
      <c r="CO276">
        <f>A!CN276</f>
        <v>45811</v>
      </c>
      <c r="CP276">
        <f>A!CO276</f>
        <v>0</v>
      </c>
      <c r="CQ276">
        <f>A!CO586</f>
        <v>0</v>
      </c>
      <c r="CR276" t="e">
        <f>A!#REF!</f>
        <v>#REF!</v>
      </c>
      <c r="CS276" t="e">
        <f>A!#REF!</f>
        <v>#REF!</v>
      </c>
    </row>
    <row r="277" spans="1:97" x14ac:dyDescent="0.2">
      <c r="A277" t="str">
        <f>A!A277</f>
        <v>LABRESULTAAT</v>
      </c>
      <c r="B277">
        <f>A!B277</f>
        <v>96</v>
      </c>
      <c r="C277" t="str">
        <f>A!C277</f>
        <v>_3ca4f89c-b10f-45ba-81f7-ab67095b8d96</v>
      </c>
      <c r="D277" t="str">
        <f>A!D277</f>
        <v>3ca4f89c-b10f-45ba-81f7-ab67095b8d96</v>
      </c>
      <c r="E277" t="str">
        <f>A!E277</f>
        <v>SIKB</v>
      </c>
      <c r="F277" t="str">
        <f>A!F277</f>
        <v>urn:immetingen:hoedanigheid:id:1</v>
      </c>
      <c r="G277" t="str">
        <f>A!G277</f>
        <v>www.sikb.nl</v>
      </c>
      <c r="H277" t="str">
        <f>A!H277</f>
        <v>urn:immetingen:parameter:id:971</v>
      </c>
      <c r="I277" t="str">
        <f>A!I277</f>
        <v>www.sikb.nl</v>
      </c>
      <c r="J277" t="str">
        <f>A!J277</f>
        <v>urn:immetingen:parameter:id:2725</v>
      </c>
      <c r="K277" t="str">
        <f>A!K277</f>
        <v>www.sikb.nl</v>
      </c>
      <c r="L277">
        <f>A!L277</f>
        <v>45811</v>
      </c>
      <c r="M277" t="str">
        <f>A!M277</f>
        <v>urn:immetingen:LabopdrachtStatus:id:5</v>
      </c>
      <c r="N277">
        <f>A!N277</f>
        <v>1</v>
      </c>
      <c r="O277">
        <f>A!O277</f>
        <v>1</v>
      </c>
      <c r="P277" s="32" t="str">
        <f>IF(A!P277="","",INDEX(B!$A$1:$BT$2000,MATCH(A!P277,B!$AX$1:$AX$2000,0),D!$B$5))</f>
        <v>MM04 04 (100-150) 05 (100-150)</v>
      </c>
      <c r="Q277">
        <f>A!Q277</f>
        <v>0</v>
      </c>
      <c r="R277">
        <f>A!R277</f>
        <v>0</v>
      </c>
      <c r="S277">
        <f>A!S277</f>
        <v>0</v>
      </c>
      <c r="T277" t="str">
        <f>A!T277</f>
        <v>immetingen:AnalyticResultType</v>
      </c>
      <c r="U277" t="str">
        <f>A!U277</f>
        <v>&lt;5 mg/kgds</v>
      </c>
      <c r="V277" s="32">
        <f>IF(A!V277="&lt;",1,A!V277)</f>
        <v>1</v>
      </c>
      <c r="W277">
        <f>A!W277</f>
        <v>5</v>
      </c>
      <c r="X277">
        <f>A!X277</f>
        <v>5</v>
      </c>
      <c r="Y277" t="str">
        <f>A!Y277</f>
        <v>urn:immetingen:eenheid:id:58</v>
      </c>
      <c r="Z277" s="32">
        <f t="shared" si="4"/>
        <v>58</v>
      </c>
      <c r="AA277" t="str">
        <f>A!Z277</f>
        <v>urn:immetingen:kwaliteitsoordeel:id:0</v>
      </c>
      <c r="AB277" t="str">
        <f>A!AA277</f>
        <v>www.sikb.nl</v>
      </c>
      <c r="AC277" t="str">
        <f>A!AB277</f>
        <v>urn:immetingen:waardebewerkingsmethode:id:5</v>
      </c>
      <c r="AD277" t="str">
        <f>A!AC277</f>
        <v>www.sikb.nl</v>
      </c>
      <c r="AE277" t="str">
        <f>A!AD277</f>
        <v>_1c3ced56-3724-4d2b-ba80-87ebbca4d026</v>
      </c>
      <c r="AF277">
        <f>A!AE277</f>
        <v>45811.609930555554</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32"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t="str">
        <f>A!CI277</f>
        <v>urn:imsikb0101:Applicaties:id:16</v>
      </c>
      <c r="CK277" t="str">
        <f>A!CJ277</f>
        <v>urn:imsikb0101:DatastroomType:id:1</v>
      </c>
      <c r="CL277">
        <f>A!CK277</f>
        <v>45811</v>
      </c>
      <c r="CM277" t="str">
        <f>A!CL277</f>
        <v>SGS, Rotterdam</v>
      </c>
      <c r="CN277" t="str">
        <f>A!CM277</f>
        <v>LABRESULTAAT SGS</v>
      </c>
      <c r="CO277">
        <f>A!CN277</f>
        <v>45811</v>
      </c>
      <c r="CP277">
        <f>A!CO277</f>
        <v>0</v>
      </c>
      <c r="CQ277">
        <f>A!CO587</f>
        <v>0</v>
      </c>
      <c r="CR277" t="e">
        <f>A!#REF!</f>
        <v>#REF!</v>
      </c>
      <c r="CS277" t="e">
        <f>A!#REF!</f>
        <v>#REF!</v>
      </c>
    </row>
    <row r="278" spans="1:97" x14ac:dyDescent="0.2">
      <c r="A278" t="str">
        <f>A!A278</f>
        <v>LABRESULTAAT</v>
      </c>
      <c r="B278">
        <f>A!B278</f>
        <v>97</v>
      </c>
      <c r="C278" t="str">
        <f>A!C278</f>
        <v>_b524d4c3-2e15-4660-964a-b3045bd2313c</v>
      </c>
      <c r="D278" t="str">
        <f>A!D278</f>
        <v>b524d4c3-2e15-4660-964a-b3045bd2313c</v>
      </c>
      <c r="E278" t="str">
        <f>A!E278</f>
        <v>SIKB</v>
      </c>
      <c r="F278" t="str">
        <f>A!F278</f>
        <v>urn:immetingen:hoedanigheid:id:1</v>
      </c>
      <c r="G278" t="str">
        <f>A!G278</f>
        <v>www.sikb.nl</v>
      </c>
      <c r="H278" t="str">
        <f>A!H278</f>
        <v>urn:immetingen:parameter:id:1097</v>
      </c>
      <c r="I278" t="str">
        <f>A!I278</f>
        <v>www.sikb.nl</v>
      </c>
      <c r="J278" t="str">
        <f>A!J278</f>
        <v>urn:immetingen:parameter:id:2725</v>
      </c>
      <c r="K278" t="str">
        <f>A!K278</f>
        <v>www.sikb.nl</v>
      </c>
      <c r="L278">
        <f>A!L278</f>
        <v>45811</v>
      </c>
      <c r="M278" t="str">
        <f>A!M278</f>
        <v>urn:immetingen:LabopdrachtStatus:id:5</v>
      </c>
      <c r="N278">
        <f>A!N278</f>
        <v>1</v>
      </c>
      <c r="O278">
        <f>A!O278</f>
        <v>1</v>
      </c>
      <c r="P278" s="32" t="str">
        <f>IF(A!P278="","",INDEX(B!$A$1:$BT$2000,MATCH(A!P278,B!$AX$1:$AX$2000,0),D!$B$5))</f>
        <v>MM04 04 (100-150) 05 (100-150)</v>
      </c>
      <c r="Q278">
        <f>A!Q278</f>
        <v>0</v>
      </c>
      <c r="R278">
        <f>A!R278</f>
        <v>0</v>
      </c>
      <c r="S278">
        <f>A!S278</f>
        <v>0</v>
      </c>
      <c r="T278" t="str">
        <f>A!T278</f>
        <v>immetingen:AnalyticResultType</v>
      </c>
      <c r="U278" t="str">
        <f>A!U278</f>
        <v>&lt;0.05 mg/kgds</v>
      </c>
      <c r="V278" s="32">
        <f>IF(A!V278="&lt;",1,A!V278)</f>
        <v>1</v>
      </c>
      <c r="W278">
        <f>A!W278</f>
        <v>0.05</v>
      </c>
      <c r="X278">
        <f>A!X278</f>
        <v>0.05</v>
      </c>
      <c r="Y278" t="str">
        <f>A!Y278</f>
        <v>urn:immetingen:eenheid:id:58</v>
      </c>
      <c r="Z278" s="32">
        <f t="shared" si="4"/>
        <v>58</v>
      </c>
      <c r="AA278" t="str">
        <f>A!Z278</f>
        <v>urn:immetingen:kwaliteitsoordeel:id:0</v>
      </c>
      <c r="AB278" t="str">
        <f>A!AA278</f>
        <v>www.sikb.nl</v>
      </c>
      <c r="AC278" t="str">
        <f>A!AB278</f>
        <v>urn:immetingen:waardebewerkingsmethode:id:5</v>
      </c>
      <c r="AD278" t="str">
        <f>A!AC278</f>
        <v>www.sikb.nl</v>
      </c>
      <c r="AE278" t="str">
        <f>A!AD278</f>
        <v>_267c7a62-3509-4784-90d4-99ba0bd8e14c</v>
      </c>
      <c r="AF278">
        <f>A!AE278</f>
        <v>45811.609930555554</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32"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t="str">
        <f>A!CI278</f>
        <v>urn:imsikb0101:Applicaties:id:16</v>
      </c>
      <c r="CK278" t="str">
        <f>A!CJ278</f>
        <v>urn:imsikb0101:DatastroomType:id:1</v>
      </c>
      <c r="CL278">
        <f>A!CK278</f>
        <v>45811</v>
      </c>
      <c r="CM278" t="str">
        <f>A!CL278</f>
        <v>SGS, Rotterdam</v>
      </c>
      <c r="CN278" t="str">
        <f>A!CM278</f>
        <v>LABRESULTAAT SGS</v>
      </c>
      <c r="CO278">
        <f>A!CN278</f>
        <v>45811</v>
      </c>
      <c r="CP278">
        <f>A!CO278</f>
        <v>0</v>
      </c>
      <c r="CQ278">
        <f>A!CO588</f>
        <v>0</v>
      </c>
      <c r="CR278" t="e">
        <f>A!#REF!</f>
        <v>#REF!</v>
      </c>
      <c r="CS278" t="e">
        <f>A!#REF!</f>
        <v>#REF!</v>
      </c>
    </row>
    <row r="279" spans="1:97" x14ac:dyDescent="0.2">
      <c r="A279" t="str">
        <f>A!A279</f>
        <v>LABRESULTAAT</v>
      </c>
      <c r="B279">
        <f>A!B279</f>
        <v>98</v>
      </c>
      <c r="C279" t="str">
        <f>A!C279</f>
        <v>_500e8805-2516-42ad-9027-f3471bf27b65</v>
      </c>
      <c r="D279" t="str">
        <f>A!D279</f>
        <v>500e8805-2516-42ad-9027-f3471bf27b65</v>
      </c>
      <c r="E279" t="str">
        <f>A!E279</f>
        <v>SIKB</v>
      </c>
      <c r="F279" t="str">
        <f>A!F279</f>
        <v>urn:immetingen:hoedanigheid:id:1</v>
      </c>
      <c r="G279" t="str">
        <f>A!G279</f>
        <v>www.sikb.nl</v>
      </c>
      <c r="H279" t="str">
        <f>A!H279</f>
        <v>urn:immetingen:parameter:id:1243</v>
      </c>
      <c r="I279" t="str">
        <f>A!I279</f>
        <v>www.sikb.nl</v>
      </c>
      <c r="J279" t="str">
        <f>A!J279</f>
        <v>urn:immetingen:parameter:id:2725</v>
      </c>
      <c r="K279" t="str">
        <f>A!K279</f>
        <v>www.sikb.nl</v>
      </c>
      <c r="L279">
        <f>A!L279</f>
        <v>45811</v>
      </c>
      <c r="M279" t="str">
        <f>A!M279</f>
        <v>urn:immetingen:LabopdrachtStatus:id:5</v>
      </c>
      <c r="N279">
        <f>A!N279</f>
        <v>1</v>
      </c>
      <c r="O279">
        <f>A!O279</f>
        <v>1</v>
      </c>
      <c r="P279" s="32" t="str">
        <f>IF(A!P279="","",INDEX(B!$A$1:$BT$2000,MATCH(A!P279,B!$AX$1:$AX$2000,0),D!$B$5))</f>
        <v>MM04 04 (100-150) 05 (100-150)</v>
      </c>
      <c r="Q279">
        <f>A!Q279</f>
        <v>0</v>
      </c>
      <c r="R279">
        <f>A!R279</f>
        <v>0</v>
      </c>
      <c r="S279">
        <f>A!S279</f>
        <v>0</v>
      </c>
      <c r="T279" t="str">
        <f>A!T279</f>
        <v>immetingen:AnalyticResultType</v>
      </c>
      <c r="U279" t="str">
        <f>A!U279</f>
        <v>&lt;1.5 mg/kgds</v>
      </c>
      <c r="V279" s="32">
        <f>IF(A!V279="&lt;",1,A!V279)</f>
        <v>1</v>
      </c>
      <c r="W279">
        <f>A!W279</f>
        <v>1.5</v>
      </c>
      <c r="X279">
        <f>A!X279</f>
        <v>1.5</v>
      </c>
      <c r="Y279" t="str">
        <f>A!Y279</f>
        <v>urn:immetingen:eenheid:id:58</v>
      </c>
      <c r="Z279" s="32">
        <f t="shared" si="4"/>
        <v>58</v>
      </c>
      <c r="AA279" t="str">
        <f>A!Z279</f>
        <v>urn:immetingen:kwaliteitsoordeel:id:0</v>
      </c>
      <c r="AB279" t="str">
        <f>A!AA279</f>
        <v>www.sikb.nl</v>
      </c>
      <c r="AC279" t="str">
        <f>A!AB279</f>
        <v>urn:immetingen:waardebewerkingsmethode:id:5</v>
      </c>
      <c r="AD279" t="str">
        <f>A!AC279</f>
        <v>www.sikb.nl</v>
      </c>
      <c r="AE279" t="str">
        <f>A!AD279</f>
        <v>_55d06788-f48f-4b45-9195-6efbb710d6f8</v>
      </c>
      <c r="AF279">
        <f>A!AE279</f>
        <v>45811.609930555554</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32"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t="str">
        <f>A!CI279</f>
        <v>urn:imsikb0101:Applicaties:id:16</v>
      </c>
      <c r="CK279" t="str">
        <f>A!CJ279</f>
        <v>urn:imsikb0101:DatastroomType:id:1</v>
      </c>
      <c r="CL279">
        <f>A!CK279</f>
        <v>45811</v>
      </c>
      <c r="CM279" t="str">
        <f>A!CL279</f>
        <v>SGS, Rotterdam</v>
      </c>
      <c r="CN279" t="str">
        <f>A!CM279</f>
        <v>LABRESULTAAT SGS</v>
      </c>
      <c r="CO279">
        <f>A!CN279</f>
        <v>45811</v>
      </c>
      <c r="CP279">
        <f>A!CO279</f>
        <v>0</v>
      </c>
      <c r="CQ279">
        <f>A!CO589</f>
        <v>0</v>
      </c>
      <c r="CR279" t="e">
        <f>A!#REF!</f>
        <v>#REF!</v>
      </c>
      <c r="CS279" t="e">
        <f>A!#REF!</f>
        <v>#REF!</v>
      </c>
    </row>
    <row r="280" spans="1:97" x14ac:dyDescent="0.2">
      <c r="A280" t="str">
        <f>A!A280</f>
        <v>LABRESULTAAT</v>
      </c>
      <c r="B280">
        <f>A!B280</f>
        <v>99</v>
      </c>
      <c r="C280" t="str">
        <f>A!C280</f>
        <v>_8acb7da1-4873-4fa7-b843-e53bbfc7d60f</v>
      </c>
      <c r="D280" t="str">
        <f>A!D280</f>
        <v>8acb7da1-4873-4fa7-b843-e53bbfc7d60f</v>
      </c>
      <c r="E280" t="str">
        <f>A!E280</f>
        <v>SIKB</v>
      </c>
      <c r="F280" t="str">
        <f>A!F280</f>
        <v>urn:immetingen:hoedanigheid:id:1</v>
      </c>
      <c r="G280" t="str">
        <f>A!G280</f>
        <v>www.sikb.nl</v>
      </c>
      <c r="H280" t="str">
        <f>A!H280</f>
        <v>urn:immetingen:parameter:id:1267</v>
      </c>
      <c r="I280" t="str">
        <f>A!I280</f>
        <v>www.sikb.nl</v>
      </c>
      <c r="J280" t="str">
        <f>A!J280</f>
        <v>urn:immetingen:parameter:id:2725</v>
      </c>
      <c r="K280" t="str">
        <f>A!K280</f>
        <v>www.sikb.nl</v>
      </c>
      <c r="L280">
        <f>A!L280</f>
        <v>45811</v>
      </c>
      <c r="M280" t="str">
        <f>A!M280</f>
        <v>urn:immetingen:LabopdrachtStatus:id:5</v>
      </c>
      <c r="N280">
        <f>A!N280</f>
        <v>1</v>
      </c>
      <c r="O280">
        <f>A!O280</f>
        <v>1</v>
      </c>
      <c r="P280" s="32" t="str">
        <f>IF(A!P280="","",INDEX(B!$A$1:$BT$2000,MATCH(A!P280,B!$AX$1:$AX$2000,0),D!$B$5))</f>
        <v>MM04 04 (100-150) 05 (100-150)</v>
      </c>
      <c r="Q280">
        <f>A!Q280</f>
        <v>0</v>
      </c>
      <c r="R280">
        <f>A!R280</f>
        <v>0</v>
      </c>
      <c r="S280">
        <f>A!S280</f>
        <v>0</v>
      </c>
      <c r="T280" t="str">
        <f>A!T280</f>
        <v>immetingen:AnalyticResultType</v>
      </c>
      <c r="U280" t="str">
        <f>A!U280</f>
        <v>8.0 mg/kgds</v>
      </c>
      <c r="V280" s="32">
        <f>IF(A!V280="&lt;",1,A!V280)</f>
        <v>0</v>
      </c>
      <c r="W280">
        <f>A!W280</f>
        <v>8</v>
      </c>
      <c r="X280">
        <f>A!X280</f>
        <v>8</v>
      </c>
      <c r="Y280" t="str">
        <f>A!Y280</f>
        <v>urn:immetingen:eenheid:id:58</v>
      </c>
      <c r="Z280" s="32">
        <f t="shared" si="4"/>
        <v>58</v>
      </c>
      <c r="AA280" t="str">
        <f>A!Z280</f>
        <v>urn:immetingen:kwaliteitsoordeel:id:0</v>
      </c>
      <c r="AB280" t="str">
        <f>A!AA280</f>
        <v>www.sikb.nl</v>
      </c>
      <c r="AC280" t="str">
        <f>A!AB280</f>
        <v>urn:immetingen:waardebewerkingsmethode:id:5</v>
      </c>
      <c r="AD280" t="str">
        <f>A!AC280</f>
        <v>www.sikb.nl</v>
      </c>
      <c r="AE280" t="str">
        <f>A!AD280</f>
        <v>_8f716e72-105e-4448-b554-443e4223e97f</v>
      </c>
      <c r="AF280">
        <f>A!AE280</f>
        <v>45811.609942129631</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32"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t="str">
        <f>A!CI280</f>
        <v>urn:imsikb0101:Applicaties:id:16</v>
      </c>
      <c r="CK280" t="str">
        <f>A!CJ280</f>
        <v>urn:imsikb0101:DatastroomType:id:1</v>
      </c>
      <c r="CL280">
        <f>A!CK280</f>
        <v>45811</v>
      </c>
      <c r="CM280" t="str">
        <f>A!CL280</f>
        <v>SGS, Rotterdam</v>
      </c>
      <c r="CN280" t="str">
        <f>A!CM280</f>
        <v>LABRESULTAAT SGS</v>
      </c>
      <c r="CO280">
        <f>A!CN280</f>
        <v>45811</v>
      </c>
      <c r="CP280">
        <f>A!CO280</f>
        <v>0</v>
      </c>
      <c r="CQ280">
        <f>A!CO590</f>
        <v>0</v>
      </c>
      <c r="CR280" t="e">
        <f>A!#REF!</f>
        <v>#REF!</v>
      </c>
      <c r="CS280" t="e">
        <f>A!#REF!</f>
        <v>#REF!</v>
      </c>
    </row>
    <row r="281" spans="1:97" x14ac:dyDescent="0.2">
      <c r="A281" t="str">
        <f>A!A281</f>
        <v>LABRESULTAAT</v>
      </c>
      <c r="B281">
        <f>A!B281</f>
        <v>100</v>
      </c>
      <c r="C281" t="str">
        <f>A!C281</f>
        <v>_af73aee8-c200-469d-a315-7c951404b98c</v>
      </c>
      <c r="D281" t="str">
        <f>A!D281</f>
        <v>af73aee8-c200-469d-a315-7c951404b98c</v>
      </c>
      <c r="E281" t="str">
        <f>A!E281</f>
        <v>SIKB</v>
      </c>
      <c r="F281" t="str">
        <f>A!F281</f>
        <v>urn:immetingen:hoedanigheid:id:1</v>
      </c>
      <c r="G281" t="str">
        <f>A!G281</f>
        <v>www.sikb.nl</v>
      </c>
      <c r="H281" t="str">
        <f>A!H281</f>
        <v>urn:immetingen:parameter:id:1116</v>
      </c>
      <c r="I281" t="str">
        <f>A!I281</f>
        <v>www.sikb.nl</v>
      </c>
      <c r="J281" t="str">
        <f>A!J281</f>
        <v>urn:immetingen:parameter:id:2725</v>
      </c>
      <c r="K281" t="str">
        <f>A!K281</f>
        <v>www.sikb.nl</v>
      </c>
      <c r="L281">
        <f>A!L281</f>
        <v>45811</v>
      </c>
      <c r="M281" t="str">
        <f>A!M281</f>
        <v>urn:immetingen:LabopdrachtStatus:id:5</v>
      </c>
      <c r="N281">
        <f>A!N281</f>
        <v>1</v>
      </c>
      <c r="O281">
        <f>A!O281</f>
        <v>1</v>
      </c>
      <c r="P281" s="32" t="str">
        <f>IF(A!P281="","",INDEX(B!$A$1:$BT$2000,MATCH(A!P281,B!$AX$1:$AX$2000,0),D!$B$5))</f>
        <v>MM04 04 (100-150) 05 (100-150)</v>
      </c>
      <c r="Q281">
        <f>A!Q281</f>
        <v>0</v>
      </c>
      <c r="R281">
        <f>A!R281</f>
        <v>0</v>
      </c>
      <c r="S281">
        <f>A!S281</f>
        <v>0</v>
      </c>
      <c r="T281" t="str">
        <f>A!T281</f>
        <v>immetingen:AnalyticResultType</v>
      </c>
      <c r="U281" t="str">
        <f>A!U281</f>
        <v>&lt;10 mg/kgds</v>
      </c>
      <c r="V281" s="32">
        <f>IF(A!V281="&lt;",1,A!V281)</f>
        <v>1</v>
      </c>
      <c r="W281">
        <f>A!W281</f>
        <v>10</v>
      </c>
      <c r="X281">
        <f>A!X281</f>
        <v>10</v>
      </c>
      <c r="Y281" t="str">
        <f>A!Y281</f>
        <v>urn:immetingen:eenheid:id:58</v>
      </c>
      <c r="Z281" s="32">
        <f t="shared" si="4"/>
        <v>58</v>
      </c>
      <c r="AA281" t="str">
        <f>A!Z281</f>
        <v>urn:immetingen:kwaliteitsoordeel:id:0</v>
      </c>
      <c r="AB281" t="str">
        <f>A!AA281</f>
        <v>www.sikb.nl</v>
      </c>
      <c r="AC281" t="str">
        <f>A!AB281</f>
        <v>urn:immetingen:waardebewerkingsmethode:id:5</v>
      </c>
      <c r="AD281" t="str">
        <f>A!AC281</f>
        <v>www.sikb.nl</v>
      </c>
      <c r="AE281" t="str">
        <f>A!AD281</f>
        <v>_67016f20-bb9d-4e98-b01c-6f1789b8f4d3</v>
      </c>
      <c r="AF281">
        <f>A!AE281</f>
        <v>45811.609942129631</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32"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t="str">
        <f>A!CI281</f>
        <v>urn:imsikb0101:Applicaties:id:16</v>
      </c>
      <c r="CK281" t="str">
        <f>A!CJ281</f>
        <v>urn:imsikb0101:DatastroomType:id:1</v>
      </c>
      <c r="CL281">
        <f>A!CK281</f>
        <v>45811</v>
      </c>
      <c r="CM281" t="str">
        <f>A!CL281</f>
        <v>SGS, Rotterdam</v>
      </c>
      <c r="CN281" t="str">
        <f>A!CM281</f>
        <v>LABRESULTAAT SGS</v>
      </c>
      <c r="CO281">
        <f>A!CN281</f>
        <v>45811</v>
      </c>
      <c r="CP281">
        <f>A!CO281</f>
        <v>0</v>
      </c>
      <c r="CQ281">
        <f>A!CO591</f>
        <v>0</v>
      </c>
      <c r="CR281" t="e">
        <f>A!#REF!</f>
        <v>#REF!</v>
      </c>
      <c r="CS281" t="e">
        <f>A!#REF!</f>
        <v>#REF!</v>
      </c>
    </row>
    <row r="282" spans="1:97" x14ac:dyDescent="0.2">
      <c r="A282" t="str">
        <f>A!A282</f>
        <v>LABRESULTAAT</v>
      </c>
      <c r="B282">
        <f>A!B282</f>
        <v>101</v>
      </c>
      <c r="C282" t="str">
        <f>A!C282</f>
        <v>_c0dd7985-c65d-42c1-a1fa-fe30e03c4761</v>
      </c>
      <c r="D282" t="str">
        <f>A!D282</f>
        <v>c0dd7985-c65d-42c1-a1fa-fe30e03c4761</v>
      </c>
      <c r="E282" t="str">
        <f>A!E282</f>
        <v>SIKB</v>
      </c>
      <c r="F282" t="str">
        <f>A!F282</f>
        <v>urn:immetingen:hoedanigheid:id:1</v>
      </c>
      <c r="G282" t="str">
        <f>A!G282</f>
        <v>www.sikb.nl</v>
      </c>
      <c r="H282" t="str">
        <f>A!H282</f>
        <v>urn:immetingen:parameter:id:5996</v>
      </c>
      <c r="I282" t="str">
        <f>A!I282</f>
        <v>www.sikb.nl</v>
      </c>
      <c r="J282" t="str">
        <f>A!J282</f>
        <v>urn:immetingen:parameter:id:2725</v>
      </c>
      <c r="K282" t="str">
        <f>A!K282</f>
        <v>www.sikb.nl</v>
      </c>
      <c r="L282">
        <f>A!L282</f>
        <v>45811</v>
      </c>
      <c r="M282" t="str">
        <f>A!M282</f>
        <v>urn:immetingen:LabopdrachtStatus:id:5</v>
      </c>
      <c r="N282">
        <f>A!N282</f>
        <v>1</v>
      </c>
      <c r="O282">
        <f>A!O282</f>
        <v>1</v>
      </c>
      <c r="P282" s="32" t="str">
        <f>IF(A!P282="","",INDEX(B!$A$1:$BT$2000,MATCH(A!P282,B!$AX$1:$AX$2000,0),D!$B$5))</f>
        <v>MM04 04 (100-150) 05 (100-150)</v>
      </c>
      <c r="Q282">
        <f>A!Q282</f>
        <v>0</v>
      </c>
      <c r="R282">
        <f>A!R282</f>
        <v>0</v>
      </c>
      <c r="S282">
        <f>A!S282</f>
        <v>0</v>
      </c>
      <c r="T282" t="str">
        <f>A!T282</f>
        <v>immetingen:AnalyticResultType</v>
      </c>
      <c r="U282" t="str">
        <f>A!U282</f>
        <v>&lt;0.1 µg/kgds</v>
      </c>
      <c r="V282" s="32">
        <f>IF(A!V282="&lt;",1,A!V282)</f>
        <v>1</v>
      </c>
      <c r="W282">
        <f>A!W282</f>
        <v>0.1</v>
      </c>
      <c r="X282">
        <f>A!X282</f>
        <v>0.1</v>
      </c>
      <c r="Y282" t="str">
        <f>A!Y282</f>
        <v>urn:immetingen:eenheid:id:131</v>
      </c>
      <c r="Z282" s="32">
        <f t="shared" si="4"/>
        <v>131</v>
      </c>
      <c r="AA282" t="str">
        <f>A!Z282</f>
        <v>urn:immetingen:kwaliteitsoordeel:id:0</v>
      </c>
      <c r="AB282" t="str">
        <f>A!AA282</f>
        <v>www.sikb.nl</v>
      </c>
      <c r="AC282" t="str">
        <f>A!AB282</f>
        <v>urn:immetingen:waardebewerkingsmethode:id:5</v>
      </c>
      <c r="AD282" t="str">
        <f>A!AC282</f>
        <v>www.sikb.nl</v>
      </c>
      <c r="AE282" t="str">
        <f>A!AD282</f>
        <v>_7eb4b388-8d4c-4191-bb6c-25201380f29e</v>
      </c>
      <c r="AF282">
        <f>A!AE282</f>
        <v>45811.618101851855</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32"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t="str">
        <f>A!CI282</f>
        <v>urn:imsikb0101:Applicaties:id:16</v>
      </c>
      <c r="CK282" t="str">
        <f>A!CJ282</f>
        <v>urn:imsikb0101:DatastroomType:id:1</v>
      </c>
      <c r="CL282">
        <f>A!CK282</f>
        <v>45811</v>
      </c>
      <c r="CM282" t="str">
        <f>A!CL282</f>
        <v>SGS, Rotterdam</v>
      </c>
      <c r="CN282" t="str">
        <f>A!CM282</f>
        <v>LABRESULTAAT SGS</v>
      </c>
      <c r="CO282">
        <f>A!CN282</f>
        <v>45811</v>
      </c>
      <c r="CP282">
        <f>A!CO282</f>
        <v>0</v>
      </c>
      <c r="CQ282">
        <f>A!CO592</f>
        <v>0</v>
      </c>
      <c r="CR282" t="e">
        <f>A!#REF!</f>
        <v>#REF!</v>
      </c>
      <c r="CS282" t="e">
        <f>A!#REF!</f>
        <v>#REF!</v>
      </c>
    </row>
    <row r="283" spans="1:97" x14ac:dyDescent="0.2">
      <c r="A283" t="str">
        <f>A!A283</f>
        <v>LABRESULTAAT</v>
      </c>
      <c r="B283">
        <f>A!B283</f>
        <v>102</v>
      </c>
      <c r="C283" t="str">
        <f>A!C283</f>
        <v>_578dc420-1101-4baa-ab6a-bf98902b3c08</v>
      </c>
      <c r="D283" t="str">
        <f>A!D283</f>
        <v>578dc420-1101-4baa-ab6a-bf98902b3c08</v>
      </c>
      <c r="E283" t="str">
        <f>A!E283</f>
        <v>SIKB</v>
      </c>
      <c r="F283" t="str">
        <f>A!F283</f>
        <v>urn:immetingen:hoedanigheid:id:1</v>
      </c>
      <c r="G283" t="str">
        <f>A!G283</f>
        <v>www.sikb.nl</v>
      </c>
      <c r="H283" t="str">
        <f>A!H283</f>
        <v>urn:immetingen:parameter:id:5517</v>
      </c>
      <c r="I283" t="str">
        <f>A!I283</f>
        <v>www.sikb.nl</v>
      </c>
      <c r="J283" t="str">
        <f>A!J283</f>
        <v>urn:immetingen:parameter:id:2725</v>
      </c>
      <c r="K283" t="str">
        <f>A!K283</f>
        <v>www.sikb.nl</v>
      </c>
      <c r="L283">
        <f>A!L283</f>
        <v>45811</v>
      </c>
      <c r="M283" t="str">
        <f>A!M283</f>
        <v>urn:immetingen:LabopdrachtStatus:id:5</v>
      </c>
      <c r="N283">
        <f>A!N283</f>
        <v>1</v>
      </c>
      <c r="O283">
        <f>A!O283</f>
        <v>1</v>
      </c>
      <c r="P283" s="32" t="str">
        <f>IF(A!P283="","",INDEX(B!$A$1:$BT$2000,MATCH(A!P283,B!$AX$1:$AX$2000,0),D!$B$5))</f>
        <v>MM04 04 (100-150) 05 (100-150)</v>
      </c>
      <c r="Q283">
        <f>A!Q283</f>
        <v>0</v>
      </c>
      <c r="R283">
        <f>A!R283</f>
        <v>0</v>
      </c>
      <c r="S283">
        <f>A!S283</f>
        <v>0</v>
      </c>
      <c r="T283" t="str">
        <f>A!T283</f>
        <v>immetingen:AnalyticResultType</v>
      </c>
      <c r="U283" t="str">
        <f>A!U283</f>
        <v>&lt;0.1 µg/kgds</v>
      </c>
      <c r="V283" s="32">
        <f>IF(A!V283="&lt;",1,A!V283)</f>
        <v>1</v>
      </c>
      <c r="W283">
        <f>A!W283</f>
        <v>0.1</v>
      </c>
      <c r="X283">
        <f>A!X283</f>
        <v>0.1</v>
      </c>
      <c r="Y283" t="str">
        <f>A!Y283</f>
        <v>urn:immetingen:eenheid:id:131</v>
      </c>
      <c r="Z283" s="32">
        <f t="shared" si="4"/>
        <v>131</v>
      </c>
      <c r="AA283" t="str">
        <f>A!Z283</f>
        <v>urn:immetingen:kwaliteitsoordeel:id:0</v>
      </c>
      <c r="AB283" t="str">
        <f>A!AA283</f>
        <v>www.sikb.nl</v>
      </c>
      <c r="AC283" t="str">
        <f>A!AB283</f>
        <v>urn:immetingen:waardebewerkingsmethode:id:5</v>
      </c>
      <c r="AD283" t="str">
        <f>A!AC283</f>
        <v>www.sikb.nl</v>
      </c>
      <c r="AE283" t="str">
        <f>A!AD283</f>
        <v>_7c9e262d-c5cf-4726-a099-309d88f03dff</v>
      </c>
      <c r="AF283">
        <f>A!AE283</f>
        <v>45811.618101851855</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32"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t="str">
        <f>A!CI283</f>
        <v>urn:imsikb0101:Applicaties:id:16</v>
      </c>
      <c r="CK283" t="str">
        <f>A!CJ283</f>
        <v>urn:imsikb0101:DatastroomType:id:1</v>
      </c>
      <c r="CL283">
        <f>A!CK283</f>
        <v>45811</v>
      </c>
      <c r="CM283" t="str">
        <f>A!CL283</f>
        <v>SGS, Rotterdam</v>
      </c>
      <c r="CN283" t="str">
        <f>A!CM283</f>
        <v>LABRESULTAAT SGS</v>
      </c>
      <c r="CO283">
        <f>A!CN283</f>
        <v>45811</v>
      </c>
      <c r="CP283">
        <f>A!CO283</f>
        <v>0</v>
      </c>
      <c r="CQ283">
        <f>A!CO593</f>
        <v>0</v>
      </c>
      <c r="CR283" t="e">
        <f>A!#REF!</f>
        <v>#REF!</v>
      </c>
      <c r="CS283" t="e">
        <f>A!#REF!</f>
        <v>#REF!</v>
      </c>
    </row>
    <row r="284" spans="1:97" x14ac:dyDescent="0.2">
      <c r="A284" t="str">
        <f>A!A284</f>
        <v>LABRESULTAAT</v>
      </c>
      <c r="B284">
        <f>A!B284</f>
        <v>103</v>
      </c>
      <c r="C284" t="str">
        <f>A!C284</f>
        <v>_58ced516-4b70-47ff-8972-5257068d3772</v>
      </c>
      <c r="D284" t="str">
        <f>A!D284</f>
        <v>58ced516-4b70-47ff-8972-5257068d3772</v>
      </c>
      <c r="E284" t="str">
        <f>A!E284</f>
        <v>SIKB</v>
      </c>
      <c r="F284" t="str">
        <f>A!F284</f>
        <v>urn:immetingen:hoedanigheid:id:1</v>
      </c>
      <c r="G284" t="str">
        <f>A!G284</f>
        <v>www.sikb.nl</v>
      </c>
      <c r="H284" t="str">
        <f>A!H284</f>
        <v>urn:immetingen:parameter:id:5830</v>
      </c>
      <c r="I284" t="str">
        <f>A!I284</f>
        <v>www.sikb.nl</v>
      </c>
      <c r="J284" t="str">
        <f>A!J284</f>
        <v>urn:immetingen:parameter:id:2725</v>
      </c>
      <c r="K284" t="str">
        <f>A!K284</f>
        <v>www.sikb.nl</v>
      </c>
      <c r="L284">
        <f>A!L284</f>
        <v>45811</v>
      </c>
      <c r="M284" t="str">
        <f>A!M284</f>
        <v>urn:immetingen:LabopdrachtStatus:id:5</v>
      </c>
      <c r="N284">
        <f>A!N284</f>
        <v>1</v>
      </c>
      <c r="O284">
        <f>A!O284</f>
        <v>1</v>
      </c>
      <c r="P284" s="32" t="str">
        <f>IF(A!P284="","",INDEX(B!$A$1:$BT$2000,MATCH(A!P284,B!$AX$1:$AX$2000,0),D!$B$5))</f>
        <v>MM04 04 (100-150) 05 (100-150)</v>
      </c>
      <c r="Q284">
        <f>A!Q284</f>
        <v>0</v>
      </c>
      <c r="R284">
        <f>A!R284</f>
        <v>0</v>
      </c>
      <c r="S284">
        <f>A!S284</f>
        <v>0</v>
      </c>
      <c r="T284" t="str">
        <f>A!T284</f>
        <v>immetingen:AnalyticResultType</v>
      </c>
      <c r="U284" t="str">
        <f>A!U284</f>
        <v>&lt;0.1 µg/kgds</v>
      </c>
      <c r="V284" s="32">
        <f>IF(A!V284="&lt;",1,A!V284)</f>
        <v>1</v>
      </c>
      <c r="W284">
        <f>A!W284</f>
        <v>0.1</v>
      </c>
      <c r="X284">
        <f>A!X284</f>
        <v>0.1</v>
      </c>
      <c r="Y284" t="str">
        <f>A!Y284</f>
        <v>urn:immetingen:eenheid:id:131</v>
      </c>
      <c r="Z284" s="32">
        <f t="shared" si="4"/>
        <v>131</v>
      </c>
      <c r="AA284" t="str">
        <f>A!Z284</f>
        <v>urn:immetingen:kwaliteitsoordeel:id:0</v>
      </c>
      <c r="AB284" t="str">
        <f>A!AA284</f>
        <v>www.sikb.nl</v>
      </c>
      <c r="AC284" t="str">
        <f>A!AB284</f>
        <v>urn:immetingen:waardebewerkingsmethode:id:5</v>
      </c>
      <c r="AD284" t="str">
        <f>A!AC284</f>
        <v>www.sikb.nl</v>
      </c>
      <c r="AE284" t="str">
        <f>A!AD284</f>
        <v>_6aaad20a-e56e-4a05-a869-50119ed51ae5</v>
      </c>
      <c r="AF284">
        <f>A!AE284</f>
        <v>45811.618101851855</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32"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t="str">
        <f>A!CI284</f>
        <v>urn:imsikb0101:Applicaties:id:16</v>
      </c>
      <c r="CK284" t="str">
        <f>A!CJ284</f>
        <v>urn:imsikb0101:DatastroomType:id:1</v>
      </c>
      <c r="CL284">
        <f>A!CK284</f>
        <v>45811</v>
      </c>
      <c r="CM284" t="str">
        <f>A!CL284</f>
        <v>SGS, Rotterdam</v>
      </c>
      <c r="CN284" t="str">
        <f>A!CM284</f>
        <v>LABRESULTAAT SGS</v>
      </c>
      <c r="CO284">
        <f>A!CN284</f>
        <v>45811</v>
      </c>
      <c r="CP284">
        <f>A!CO284</f>
        <v>0</v>
      </c>
      <c r="CQ284">
        <f>A!CO594</f>
        <v>0</v>
      </c>
      <c r="CR284" t="e">
        <f>A!#REF!</f>
        <v>#REF!</v>
      </c>
      <c r="CS284" t="e">
        <f>A!#REF!</f>
        <v>#REF!</v>
      </c>
    </row>
    <row r="285" spans="1:97" x14ac:dyDescent="0.2">
      <c r="A285" t="str">
        <f>A!A285</f>
        <v>LABRESULTAAT</v>
      </c>
      <c r="B285">
        <f>A!B285</f>
        <v>104</v>
      </c>
      <c r="C285" t="str">
        <f>A!C285</f>
        <v>_431b5931-46e3-41b2-aea8-421004d4e773</v>
      </c>
      <c r="D285" t="str">
        <f>A!D285</f>
        <v>431b5931-46e3-41b2-aea8-421004d4e773</v>
      </c>
      <c r="E285" t="str">
        <f>A!E285</f>
        <v>SIKB</v>
      </c>
      <c r="F285" t="str">
        <f>A!F285</f>
        <v>urn:immetingen:hoedanigheid:id:1</v>
      </c>
      <c r="G285" t="str">
        <f>A!G285</f>
        <v>www.sikb.nl</v>
      </c>
      <c r="H285" t="str">
        <f>A!H285</f>
        <v>urn:immetingen:parameter:id:3895</v>
      </c>
      <c r="I285" t="str">
        <f>A!I285</f>
        <v>www.sikb.nl</v>
      </c>
      <c r="J285" t="str">
        <f>A!J285</f>
        <v>urn:immetingen:parameter:id:2725</v>
      </c>
      <c r="K285" t="str">
        <f>A!K285</f>
        <v>www.sikb.nl</v>
      </c>
      <c r="L285">
        <f>A!L285</f>
        <v>45811</v>
      </c>
      <c r="M285" t="str">
        <f>A!M285</f>
        <v>urn:immetingen:LabopdrachtStatus:id:5</v>
      </c>
      <c r="N285">
        <f>A!N285</f>
        <v>1</v>
      </c>
      <c r="O285">
        <f>A!O285</f>
        <v>1</v>
      </c>
      <c r="P285" s="32" t="str">
        <f>IF(A!P285="","",INDEX(B!$A$1:$BT$2000,MATCH(A!P285,B!$AX$1:$AX$2000,0),D!$B$5))</f>
        <v>MM04 04 (100-150) 05 (100-150)</v>
      </c>
      <c r="Q285">
        <f>A!Q285</f>
        <v>0</v>
      </c>
      <c r="R285">
        <f>A!R285</f>
        <v>0</v>
      </c>
      <c r="S285">
        <f>A!S285</f>
        <v>0</v>
      </c>
      <c r="T285" t="str">
        <f>A!T285</f>
        <v>immetingen:AnalyticResultType</v>
      </c>
      <c r="U285" t="str">
        <f>A!U285</f>
        <v>&lt;0.1 µg/kgds</v>
      </c>
      <c r="V285" s="32">
        <f>IF(A!V285="&lt;",1,A!V285)</f>
        <v>1</v>
      </c>
      <c r="W285">
        <f>A!W285</f>
        <v>0.1</v>
      </c>
      <c r="X285">
        <f>A!X285</f>
        <v>0.1</v>
      </c>
      <c r="Y285" t="str">
        <f>A!Y285</f>
        <v>urn:immetingen:eenheid:id:131</v>
      </c>
      <c r="Z285" s="32">
        <f t="shared" si="4"/>
        <v>131</v>
      </c>
      <c r="AA285" t="str">
        <f>A!Z285</f>
        <v>urn:immetingen:kwaliteitsoordeel:id:0</v>
      </c>
      <c r="AB285" t="str">
        <f>A!AA285</f>
        <v>www.sikb.nl</v>
      </c>
      <c r="AC285" t="str">
        <f>A!AB285</f>
        <v>urn:immetingen:waardebewerkingsmethode:id:5</v>
      </c>
      <c r="AD285" t="str">
        <f>A!AC285</f>
        <v>www.sikb.nl</v>
      </c>
      <c r="AE285" t="str">
        <f>A!AD285</f>
        <v>_b7648703-1995-4839-910f-d6298e750a2a</v>
      </c>
      <c r="AF285">
        <f>A!AE285</f>
        <v>45811.618101851855</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32"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t="str">
        <f>A!CI285</f>
        <v>urn:imsikb0101:Applicaties:id:16</v>
      </c>
      <c r="CK285" t="str">
        <f>A!CJ285</f>
        <v>urn:imsikb0101:DatastroomType:id:1</v>
      </c>
      <c r="CL285">
        <f>A!CK285</f>
        <v>45811</v>
      </c>
      <c r="CM285" t="str">
        <f>A!CL285</f>
        <v>SGS, Rotterdam</v>
      </c>
      <c r="CN285" t="str">
        <f>A!CM285</f>
        <v>LABRESULTAAT SGS</v>
      </c>
      <c r="CO285">
        <f>A!CN285</f>
        <v>45811</v>
      </c>
      <c r="CP285">
        <f>A!CO285</f>
        <v>0</v>
      </c>
      <c r="CQ285">
        <f>A!CO595</f>
        <v>0</v>
      </c>
      <c r="CR285" t="e">
        <f>A!#REF!</f>
        <v>#REF!</v>
      </c>
      <c r="CS285" t="e">
        <f>A!#REF!</f>
        <v>#REF!</v>
      </c>
    </row>
    <row r="286" spans="1:97" x14ac:dyDescent="0.2">
      <c r="A286" t="str">
        <f>A!A286</f>
        <v>LABRESULTAAT</v>
      </c>
      <c r="B286">
        <f>A!B286</f>
        <v>105</v>
      </c>
      <c r="C286" t="str">
        <f>A!C286</f>
        <v>_aef769a7-623f-4ec3-aac4-217c86d77b47</v>
      </c>
      <c r="D286" t="str">
        <f>A!D286</f>
        <v>aef769a7-623f-4ec3-aac4-217c86d77b47</v>
      </c>
      <c r="E286" t="str">
        <f>A!E286</f>
        <v>SIKB</v>
      </c>
      <c r="F286" t="str">
        <f>A!F286</f>
        <v>urn:immetingen:hoedanigheid:id:1</v>
      </c>
      <c r="G286" t="str">
        <f>A!G286</f>
        <v>www.sikb.nl</v>
      </c>
      <c r="H286" t="str">
        <f>A!H286</f>
        <v>urn:immetingen:parameter:id:4437</v>
      </c>
      <c r="I286" t="str">
        <f>A!I286</f>
        <v>www.sikb.nl</v>
      </c>
      <c r="J286" t="str">
        <f>A!J286</f>
        <v>urn:immetingen:parameter:id:2725</v>
      </c>
      <c r="K286" t="str">
        <f>A!K286</f>
        <v>www.sikb.nl</v>
      </c>
      <c r="L286">
        <f>A!L286</f>
        <v>45811</v>
      </c>
      <c r="M286" t="str">
        <f>A!M286</f>
        <v>urn:immetingen:LabopdrachtStatus:id:5</v>
      </c>
      <c r="N286">
        <f>A!N286</f>
        <v>1</v>
      </c>
      <c r="O286">
        <f>A!O286</f>
        <v>1</v>
      </c>
      <c r="P286" s="32" t="str">
        <f>IF(A!P286="","",INDEX(B!$A$1:$BT$2000,MATCH(A!P286,B!$AX$1:$AX$2000,0),D!$B$5))</f>
        <v>MM04 04 (100-150) 05 (100-150)</v>
      </c>
      <c r="Q286">
        <f>A!Q286</f>
        <v>0</v>
      </c>
      <c r="R286">
        <f>A!R286</f>
        <v>0</v>
      </c>
      <c r="S286">
        <f>A!S286</f>
        <v>0</v>
      </c>
      <c r="T286" t="str">
        <f>A!T286</f>
        <v>immetingen:AnalyticResultType</v>
      </c>
      <c r="U286" t="str">
        <f>A!U286</f>
        <v>&lt;0.1 µg/kgds</v>
      </c>
      <c r="V286" s="32">
        <f>IF(A!V286="&lt;",1,A!V286)</f>
        <v>1</v>
      </c>
      <c r="W286">
        <f>A!W286</f>
        <v>0.1</v>
      </c>
      <c r="X286">
        <f>A!X286</f>
        <v>0.1</v>
      </c>
      <c r="Y286" t="str">
        <f>A!Y286</f>
        <v>urn:immetingen:eenheid:id:131</v>
      </c>
      <c r="Z286" s="32">
        <f t="shared" si="4"/>
        <v>131</v>
      </c>
      <c r="AA286" t="str">
        <f>A!Z286</f>
        <v>urn:immetingen:kwaliteitsoordeel:id:0</v>
      </c>
      <c r="AB286" t="str">
        <f>A!AA286</f>
        <v>www.sikb.nl</v>
      </c>
      <c r="AC286" t="str">
        <f>A!AB286</f>
        <v>urn:immetingen:waardebewerkingsmethode:id:5</v>
      </c>
      <c r="AD286" t="str">
        <f>A!AC286</f>
        <v>www.sikb.nl</v>
      </c>
      <c r="AE286" t="str">
        <f>A!AD286</f>
        <v>_8ea84527-c9c1-4228-8ce8-a972f290e073</v>
      </c>
      <c r="AF286">
        <f>A!AE286</f>
        <v>45811.618101851855</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32"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t="str">
        <f>A!CI286</f>
        <v>urn:imsikb0101:Applicaties:id:16</v>
      </c>
      <c r="CK286" t="str">
        <f>A!CJ286</f>
        <v>urn:imsikb0101:DatastroomType:id:1</v>
      </c>
      <c r="CL286">
        <f>A!CK286</f>
        <v>45811</v>
      </c>
      <c r="CM286" t="str">
        <f>A!CL286</f>
        <v>SGS, Rotterdam</v>
      </c>
      <c r="CN286" t="str">
        <f>A!CM286</f>
        <v>LABRESULTAAT SGS</v>
      </c>
      <c r="CO286">
        <f>A!CN286</f>
        <v>45811</v>
      </c>
      <c r="CP286">
        <f>A!CO286</f>
        <v>0</v>
      </c>
      <c r="CQ286">
        <f>A!CO596</f>
        <v>0</v>
      </c>
      <c r="CR286" t="e">
        <f>A!#REF!</f>
        <v>#REF!</v>
      </c>
      <c r="CS286" t="e">
        <f>A!#REF!</f>
        <v>#REF!</v>
      </c>
    </row>
    <row r="287" spans="1:97" x14ac:dyDescent="0.2">
      <c r="A287" t="str">
        <f>A!A287</f>
        <v>LABRESULTAAT</v>
      </c>
      <c r="B287">
        <f>A!B287</f>
        <v>106</v>
      </c>
      <c r="C287" t="str">
        <f>A!C287</f>
        <v>_b1ee9bed-32c5-4976-b806-605148b2e615</v>
      </c>
      <c r="D287" t="str">
        <f>A!D287</f>
        <v>b1ee9bed-32c5-4976-b806-605148b2e615</v>
      </c>
      <c r="E287" t="str">
        <f>A!E287</f>
        <v>SIKB</v>
      </c>
      <c r="F287" t="str">
        <f>A!F287</f>
        <v>urn:immetingen:hoedanigheid:id:1</v>
      </c>
      <c r="G287" t="str">
        <f>A!G287</f>
        <v>www.sikb.nl</v>
      </c>
      <c r="H287" t="str">
        <f>A!H287</f>
        <v>urn:immetingen:parameter:id:3898</v>
      </c>
      <c r="I287" t="str">
        <f>A!I287</f>
        <v>www.sikb.nl</v>
      </c>
      <c r="J287" t="str">
        <f>A!J287</f>
        <v>urn:immetingen:parameter:id:2725</v>
      </c>
      <c r="K287" t="str">
        <f>A!K287</f>
        <v>www.sikb.nl</v>
      </c>
      <c r="L287">
        <f>A!L287</f>
        <v>45811</v>
      </c>
      <c r="M287" t="str">
        <f>A!M287</f>
        <v>urn:immetingen:LabopdrachtStatus:id:5</v>
      </c>
      <c r="N287">
        <f>A!N287</f>
        <v>1</v>
      </c>
      <c r="O287">
        <f>A!O287</f>
        <v>1</v>
      </c>
      <c r="P287" s="32" t="str">
        <f>IF(A!P287="","",INDEX(B!$A$1:$BT$2000,MATCH(A!P287,B!$AX$1:$AX$2000,0),D!$B$5))</f>
        <v>MM04 04 (100-150) 05 (100-150)</v>
      </c>
      <c r="Q287">
        <f>A!Q287</f>
        <v>0</v>
      </c>
      <c r="R287">
        <f>A!R287</f>
        <v>0</v>
      </c>
      <c r="S287">
        <f>A!S287</f>
        <v>0</v>
      </c>
      <c r="T287" t="str">
        <f>A!T287</f>
        <v>immetingen:AnalyticResultType</v>
      </c>
      <c r="U287" t="str">
        <f>A!U287</f>
        <v>&lt;0.1 µg/kgds</v>
      </c>
      <c r="V287" s="32">
        <f>IF(A!V287="&lt;",1,A!V287)</f>
        <v>1</v>
      </c>
      <c r="W287">
        <f>A!W287</f>
        <v>0.1</v>
      </c>
      <c r="X287">
        <f>A!X287</f>
        <v>0.1</v>
      </c>
      <c r="Y287" t="str">
        <f>A!Y287</f>
        <v>urn:immetingen:eenheid:id:131</v>
      </c>
      <c r="Z287" s="32">
        <f t="shared" si="4"/>
        <v>131</v>
      </c>
      <c r="AA287" t="str">
        <f>A!Z287</f>
        <v>urn:immetingen:kwaliteitsoordeel:id:0</v>
      </c>
      <c r="AB287" t="str">
        <f>A!AA287</f>
        <v>www.sikb.nl</v>
      </c>
      <c r="AC287" t="str">
        <f>A!AB287</f>
        <v>urn:immetingen:waardebewerkingsmethode:id:5</v>
      </c>
      <c r="AD287" t="str">
        <f>A!AC287</f>
        <v>www.sikb.nl</v>
      </c>
      <c r="AE287" t="str">
        <f>A!AD287</f>
        <v>_45d3cc35-bdbf-459c-9ea0-a39748d962d2</v>
      </c>
      <c r="AF287">
        <f>A!AE287</f>
        <v>45811.618101851855</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32"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t="str">
        <f>A!CI287</f>
        <v>urn:imsikb0101:Applicaties:id:16</v>
      </c>
      <c r="CK287" t="str">
        <f>A!CJ287</f>
        <v>urn:imsikb0101:DatastroomType:id:1</v>
      </c>
      <c r="CL287">
        <f>A!CK287</f>
        <v>45811</v>
      </c>
      <c r="CM287" t="str">
        <f>A!CL287</f>
        <v>SGS, Rotterdam</v>
      </c>
      <c r="CN287" t="str">
        <f>A!CM287</f>
        <v>LABRESULTAAT SGS</v>
      </c>
      <c r="CO287">
        <f>A!CN287</f>
        <v>45811</v>
      </c>
      <c r="CP287">
        <f>A!CO287</f>
        <v>0</v>
      </c>
      <c r="CQ287">
        <f>A!CO597</f>
        <v>0</v>
      </c>
      <c r="CR287" t="e">
        <f>A!#REF!</f>
        <v>#REF!</v>
      </c>
      <c r="CS287" t="e">
        <f>A!#REF!</f>
        <v>#REF!</v>
      </c>
    </row>
    <row r="288" spans="1:97" x14ac:dyDescent="0.2">
      <c r="A288" t="str">
        <f>A!A288</f>
        <v>LABRESULTAAT</v>
      </c>
      <c r="B288">
        <f>A!B288</f>
        <v>107</v>
      </c>
      <c r="C288" t="str">
        <f>A!C288</f>
        <v>_a92fe417-f34a-4864-8a5d-b04d0c2c462a</v>
      </c>
      <c r="D288" t="str">
        <f>A!D288</f>
        <v>a92fe417-f34a-4864-8a5d-b04d0c2c462a</v>
      </c>
      <c r="E288" t="str">
        <f>A!E288</f>
        <v>SIKB</v>
      </c>
      <c r="F288" t="str">
        <f>A!F288</f>
        <v>urn:immetingen:hoedanigheid:id:1</v>
      </c>
      <c r="G288" t="str">
        <f>A!G288</f>
        <v>www.sikb.nl</v>
      </c>
      <c r="H288" t="str">
        <f>A!H288</f>
        <v>urn:immetingen:parameter:id:4438</v>
      </c>
      <c r="I288" t="str">
        <f>A!I288</f>
        <v>www.sikb.nl</v>
      </c>
      <c r="J288" t="str">
        <f>A!J288</f>
        <v>urn:immetingen:parameter:id:2725</v>
      </c>
      <c r="K288" t="str">
        <f>A!K288</f>
        <v>www.sikb.nl</v>
      </c>
      <c r="L288">
        <f>A!L288</f>
        <v>45811</v>
      </c>
      <c r="M288" t="str">
        <f>A!M288</f>
        <v>urn:immetingen:LabopdrachtStatus:id:5</v>
      </c>
      <c r="N288">
        <f>A!N288</f>
        <v>1</v>
      </c>
      <c r="O288">
        <f>A!O288</f>
        <v>1</v>
      </c>
      <c r="P288" s="32" t="str">
        <f>IF(A!P288="","",INDEX(B!$A$1:$BT$2000,MATCH(A!P288,B!$AX$1:$AX$2000,0),D!$B$5))</f>
        <v>MM04 04 (100-150) 05 (100-150)</v>
      </c>
      <c r="Q288">
        <f>A!Q288</f>
        <v>0</v>
      </c>
      <c r="R288">
        <f>A!R288</f>
        <v>0</v>
      </c>
      <c r="S288">
        <f>A!S288</f>
        <v>0</v>
      </c>
      <c r="T288" t="str">
        <f>A!T288</f>
        <v>immetingen:AnalyticResultType</v>
      </c>
      <c r="U288" t="str">
        <f>A!U288</f>
        <v>&lt;0.1 µg/kgds</v>
      </c>
      <c r="V288" s="32">
        <f>IF(A!V288="&lt;",1,A!V288)</f>
        <v>1</v>
      </c>
      <c r="W288">
        <f>A!W288</f>
        <v>0.1</v>
      </c>
      <c r="X288">
        <f>A!X288</f>
        <v>0.1</v>
      </c>
      <c r="Y288" t="str">
        <f>A!Y288</f>
        <v>urn:immetingen:eenheid:id:131</v>
      </c>
      <c r="Z288" s="32">
        <f t="shared" si="4"/>
        <v>131</v>
      </c>
      <c r="AA288" t="str">
        <f>A!Z288</f>
        <v>urn:immetingen:kwaliteitsoordeel:id:0</v>
      </c>
      <c r="AB288" t="str">
        <f>A!AA288</f>
        <v>www.sikb.nl</v>
      </c>
      <c r="AC288" t="str">
        <f>A!AB288</f>
        <v>urn:immetingen:waardebewerkingsmethode:id:5</v>
      </c>
      <c r="AD288" t="str">
        <f>A!AC288</f>
        <v>www.sikb.nl</v>
      </c>
      <c r="AE288" t="str">
        <f>A!AD288</f>
        <v>_4bb80b2e-5aea-47b1-89e4-5f4f9b21eb18</v>
      </c>
      <c r="AF288">
        <f>A!AE288</f>
        <v>45811.618101851855</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32"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t="str">
        <f>A!CI288</f>
        <v>urn:imsikb0101:Applicaties:id:16</v>
      </c>
      <c r="CK288" t="str">
        <f>A!CJ288</f>
        <v>urn:imsikb0101:DatastroomType:id:1</v>
      </c>
      <c r="CL288">
        <f>A!CK288</f>
        <v>45811</v>
      </c>
      <c r="CM288" t="str">
        <f>A!CL288</f>
        <v>SGS, Rotterdam</v>
      </c>
      <c r="CN288" t="str">
        <f>A!CM288</f>
        <v>LABRESULTAAT SGS</v>
      </c>
      <c r="CO288">
        <f>A!CN288</f>
        <v>45811</v>
      </c>
      <c r="CP288">
        <f>A!CO288</f>
        <v>0</v>
      </c>
      <c r="CQ288">
        <f>A!CO598</f>
        <v>0</v>
      </c>
      <c r="CR288" t="e">
        <f>A!#REF!</f>
        <v>#REF!</v>
      </c>
      <c r="CS288" t="e">
        <f>A!#REF!</f>
        <v>#REF!</v>
      </c>
    </row>
    <row r="289" spans="1:97" x14ac:dyDescent="0.2">
      <c r="A289" t="str">
        <f>A!A289</f>
        <v>LABRESULTAAT</v>
      </c>
      <c r="B289">
        <f>A!B289</f>
        <v>108</v>
      </c>
      <c r="C289" t="str">
        <f>A!C289</f>
        <v>_4216c467-1c5e-4c2f-acd7-7ff484ec87ef</v>
      </c>
      <c r="D289" t="str">
        <f>A!D289</f>
        <v>4216c467-1c5e-4c2f-acd7-7ff484ec87ef</v>
      </c>
      <c r="E289" t="str">
        <f>A!E289</f>
        <v>SIKB</v>
      </c>
      <c r="F289" t="str">
        <f>A!F289</f>
        <v>urn:immetingen:hoedanigheid:id:1</v>
      </c>
      <c r="G289" t="str">
        <f>A!G289</f>
        <v>www.sikb.nl</v>
      </c>
      <c r="H289" t="str">
        <f>A!H289</f>
        <v>urn:immetingen:parameter:id:4439</v>
      </c>
      <c r="I289" t="str">
        <f>A!I289</f>
        <v>www.sikb.nl</v>
      </c>
      <c r="J289" t="str">
        <f>A!J289</f>
        <v>urn:immetingen:parameter:id:2725</v>
      </c>
      <c r="K289" t="str">
        <f>A!K289</f>
        <v>www.sikb.nl</v>
      </c>
      <c r="L289">
        <f>A!L289</f>
        <v>45811</v>
      </c>
      <c r="M289" t="str">
        <f>A!M289</f>
        <v>urn:immetingen:LabopdrachtStatus:id:5</v>
      </c>
      <c r="N289">
        <f>A!N289</f>
        <v>1</v>
      </c>
      <c r="O289">
        <f>A!O289</f>
        <v>1</v>
      </c>
      <c r="P289" s="32" t="str">
        <f>IF(A!P289="","",INDEX(B!$A$1:$BT$2000,MATCH(A!P289,B!$AX$1:$AX$2000,0),D!$B$5))</f>
        <v>MM04 04 (100-150) 05 (100-150)</v>
      </c>
      <c r="Q289">
        <f>A!Q289</f>
        <v>0</v>
      </c>
      <c r="R289">
        <f>A!R289</f>
        <v>0</v>
      </c>
      <c r="S289">
        <f>A!S289</f>
        <v>0</v>
      </c>
      <c r="T289" t="str">
        <f>A!T289</f>
        <v>immetingen:AnalyticResultType</v>
      </c>
      <c r="U289" t="str">
        <f>A!U289</f>
        <v>&lt;0.1 µg/kgds</v>
      </c>
      <c r="V289" s="32">
        <f>IF(A!V289="&lt;",1,A!V289)</f>
        <v>1</v>
      </c>
      <c r="W289">
        <f>A!W289</f>
        <v>0.1</v>
      </c>
      <c r="X289">
        <f>A!X289</f>
        <v>0.1</v>
      </c>
      <c r="Y289" t="str">
        <f>A!Y289</f>
        <v>urn:immetingen:eenheid:id:131</v>
      </c>
      <c r="Z289" s="32">
        <f t="shared" si="4"/>
        <v>131</v>
      </c>
      <c r="AA289" t="str">
        <f>A!Z289</f>
        <v>urn:immetingen:kwaliteitsoordeel:id:0</v>
      </c>
      <c r="AB289" t="str">
        <f>A!AA289</f>
        <v>www.sikb.nl</v>
      </c>
      <c r="AC289" t="str">
        <f>A!AB289</f>
        <v>urn:immetingen:waardebewerkingsmethode:id:5</v>
      </c>
      <c r="AD289" t="str">
        <f>A!AC289</f>
        <v>www.sikb.nl</v>
      </c>
      <c r="AE289" t="str">
        <f>A!AD289</f>
        <v>_b61c866b-d58f-41f3-a920-9e62f3be3e42</v>
      </c>
      <c r="AF289">
        <f>A!AE289</f>
        <v>45811.618101851855</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32"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t="str">
        <f>A!CI289</f>
        <v>urn:imsikb0101:Applicaties:id:16</v>
      </c>
      <c r="CK289" t="str">
        <f>A!CJ289</f>
        <v>urn:imsikb0101:DatastroomType:id:1</v>
      </c>
      <c r="CL289">
        <f>A!CK289</f>
        <v>45811</v>
      </c>
      <c r="CM289" t="str">
        <f>A!CL289</f>
        <v>SGS, Rotterdam</v>
      </c>
      <c r="CN289" t="str">
        <f>A!CM289</f>
        <v>LABRESULTAAT SGS</v>
      </c>
      <c r="CO289">
        <f>A!CN289</f>
        <v>45811</v>
      </c>
      <c r="CP289">
        <f>A!CO289</f>
        <v>0</v>
      </c>
      <c r="CQ289">
        <f>A!CO599</f>
        <v>0</v>
      </c>
      <c r="CR289" t="e">
        <f>A!#REF!</f>
        <v>#REF!</v>
      </c>
      <c r="CS289" t="e">
        <f>A!#REF!</f>
        <v>#REF!</v>
      </c>
    </row>
    <row r="290" spans="1:97" x14ac:dyDescent="0.2">
      <c r="A290" t="str">
        <f>A!A290</f>
        <v>LABRESULTAAT</v>
      </c>
      <c r="B290">
        <f>A!B290</f>
        <v>109</v>
      </c>
      <c r="C290" t="str">
        <f>A!C290</f>
        <v>_a2fd2c1d-6647-4fa1-9999-51b8d30082a8</v>
      </c>
      <c r="D290" t="str">
        <f>A!D290</f>
        <v>a2fd2c1d-6647-4fa1-9999-51b8d30082a8</v>
      </c>
      <c r="E290" t="str">
        <f>A!E290</f>
        <v>SIKB</v>
      </c>
      <c r="F290" t="str">
        <f>A!F290</f>
        <v>urn:immetingen:hoedanigheid:id:1</v>
      </c>
      <c r="G290" t="str">
        <f>A!G290</f>
        <v>www.sikb.nl</v>
      </c>
      <c r="H290" t="str">
        <f>A!H290</f>
        <v>urn:immetingen:parameter:id:3931</v>
      </c>
      <c r="I290" t="str">
        <f>A!I290</f>
        <v>www.sikb.nl</v>
      </c>
      <c r="J290" t="str">
        <f>A!J290</f>
        <v>urn:immetingen:parameter:id:2725</v>
      </c>
      <c r="K290" t="str">
        <f>A!K290</f>
        <v>www.sikb.nl</v>
      </c>
      <c r="L290">
        <f>A!L290</f>
        <v>45811</v>
      </c>
      <c r="M290" t="str">
        <f>A!M290</f>
        <v>urn:immetingen:LabopdrachtStatus:id:5</v>
      </c>
      <c r="N290">
        <f>A!N290</f>
        <v>1</v>
      </c>
      <c r="O290">
        <f>A!O290</f>
        <v>1</v>
      </c>
      <c r="P290" s="32" t="str">
        <f>IF(A!P290="","",INDEX(B!$A$1:$BT$2000,MATCH(A!P290,B!$AX$1:$AX$2000,0),D!$B$5))</f>
        <v>MM04 04 (100-150) 05 (100-150)</v>
      </c>
      <c r="Q290">
        <f>A!Q290</f>
        <v>0</v>
      </c>
      <c r="R290">
        <f>A!R290</f>
        <v>0</v>
      </c>
      <c r="S290">
        <f>A!S290</f>
        <v>0</v>
      </c>
      <c r="T290" t="str">
        <f>A!T290</f>
        <v>immetingen:AnalyticResultType</v>
      </c>
      <c r="U290" t="str">
        <f>A!U290</f>
        <v>&lt;0.1 µg/kgds</v>
      </c>
      <c r="V290" s="32">
        <f>IF(A!V290="&lt;",1,A!V290)</f>
        <v>1</v>
      </c>
      <c r="W290">
        <f>A!W290</f>
        <v>0.1</v>
      </c>
      <c r="X290">
        <f>A!X290</f>
        <v>0.1</v>
      </c>
      <c r="Y290" t="str">
        <f>A!Y290</f>
        <v>urn:immetingen:eenheid:id:131</v>
      </c>
      <c r="Z290" s="32">
        <f t="shared" si="4"/>
        <v>131</v>
      </c>
      <c r="AA290" t="str">
        <f>A!Z290</f>
        <v>urn:immetingen:kwaliteitsoordeel:id:0</v>
      </c>
      <c r="AB290" t="str">
        <f>A!AA290</f>
        <v>www.sikb.nl</v>
      </c>
      <c r="AC290" t="str">
        <f>A!AB290</f>
        <v>urn:immetingen:waardebewerkingsmethode:id:5</v>
      </c>
      <c r="AD290" t="str">
        <f>A!AC290</f>
        <v>www.sikb.nl</v>
      </c>
      <c r="AE290" t="str">
        <f>A!AD290</f>
        <v>_461b3425-5c2a-401b-a800-f7d68210f960</v>
      </c>
      <c r="AF290">
        <f>A!AE290</f>
        <v>45811.618101851855</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32"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t="str">
        <f>A!CI290</f>
        <v>urn:imsikb0101:Applicaties:id:16</v>
      </c>
      <c r="CK290" t="str">
        <f>A!CJ290</f>
        <v>urn:imsikb0101:DatastroomType:id:1</v>
      </c>
      <c r="CL290">
        <f>A!CK290</f>
        <v>45811</v>
      </c>
      <c r="CM290" t="str">
        <f>A!CL290</f>
        <v>SGS, Rotterdam</v>
      </c>
      <c r="CN290" t="str">
        <f>A!CM290</f>
        <v>LABRESULTAAT SGS</v>
      </c>
      <c r="CO290">
        <f>A!CN290</f>
        <v>45811</v>
      </c>
      <c r="CP290">
        <f>A!CO290</f>
        <v>0</v>
      </c>
      <c r="CQ290">
        <f>A!CO600</f>
        <v>0</v>
      </c>
      <c r="CR290" t="e">
        <f>A!#REF!</f>
        <v>#REF!</v>
      </c>
      <c r="CS290" t="e">
        <f>A!#REF!</f>
        <v>#REF!</v>
      </c>
    </row>
    <row r="291" spans="1:97" x14ac:dyDescent="0.2">
      <c r="A291" t="str">
        <f>A!A291</f>
        <v>LABRESULTAAT</v>
      </c>
      <c r="B291">
        <f>A!B291</f>
        <v>110</v>
      </c>
      <c r="C291" t="str">
        <f>A!C291</f>
        <v>_62574a8e-be16-4b4c-8e1b-5443990fb2a3</v>
      </c>
      <c r="D291" t="str">
        <f>A!D291</f>
        <v>62574a8e-be16-4b4c-8e1b-5443990fb2a3</v>
      </c>
      <c r="E291" t="str">
        <f>A!E291</f>
        <v>SIKB</v>
      </c>
      <c r="F291" t="str">
        <f>A!F291</f>
        <v>urn:immetingen:hoedanigheid:id:1</v>
      </c>
      <c r="G291" t="str">
        <f>A!G291</f>
        <v>www.sikb.nl</v>
      </c>
      <c r="H291" t="str">
        <f>A!H291</f>
        <v>urn:immetingen:parameter:id:4440</v>
      </c>
      <c r="I291" t="str">
        <f>A!I291</f>
        <v>www.sikb.nl</v>
      </c>
      <c r="J291" t="str">
        <f>A!J291</f>
        <v>urn:immetingen:parameter:id:2725</v>
      </c>
      <c r="K291" t="str">
        <f>A!K291</f>
        <v>www.sikb.nl</v>
      </c>
      <c r="L291">
        <f>A!L291</f>
        <v>45811</v>
      </c>
      <c r="M291" t="str">
        <f>A!M291</f>
        <v>urn:immetingen:LabopdrachtStatus:id:5</v>
      </c>
      <c r="N291">
        <f>A!N291</f>
        <v>1</v>
      </c>
      <c r="O291">
        <f>A!O291</f>
        <v>1</v>
      </c>
      <c r="P291" s="32" t="str">
        <f>IF(A!P291="","",INDEX(B!$A$1:$BT$2000,MATCH(A!P291,B!$AX$1:$AX$2000,0),D!$B$5))</f>
        <v>MM04 04 (100-150) 05 (100-150)</v>
      </c>
      <c r="Q291">
        <f>A!Q291</f>
        <v>0</v>
      </c>
      <c r="R291">
        <f>A!R291</f>
        <v>0</v>
      </c>
      <c r="S291">
        <f>A!S291</f>
        <v>0</v>
      </c>
      <c r="T291" t="str">
        <f>A!T291</f>
        <v>immetingen:AnalyticResultType</v>
      </c>
      <c r="U291" t="str">
        <f>A!U291</f>
        <v>&lt;0.1 µg/kgds</v>
      </c>
      <c r="V291" s="32">
        <f>IF(A!V291="&lt;",1,A!V291)</f>
        <v>1</v>
      </c>
      <c r="W291">
        <f>A!W291</f>
        <v>0.1</v>
      </c>
      <c r="X291">
        <f>A!X291</f>
        <v>0.1</v>
      </c>
      <c r="Y291" t="str">
        <f>A!Y291</f>
        <v>urn:immetingen:eenheid:id:131</v>
      </c>
      <c r="Z291" s="32">
        <f t="shared" si="4"/>
        <v>131</v>
      </c>
      <c r="AA291" t="str">
        <f>A!Z291</f>
        <v>urn:immetingen:kwaliteitsoordeel:id:0</v>
      </c>
      <c r="AB291" t="str">
        <f>A!AA291</f>
        <v>www.sikb.nl</v>
      </c>
      <c r="AC291" t="str">
        <f>A!AB291</f>
        <v>urn:immetingen:waardebewerkingsmethode:id:5</v>
      </c>
      <c r="AD291" t="str">
        <f>A!AC291</f>
        <v>www.sikb.nl</v>
      </c>
      <c r="AE291" t="str">
        <f>A!AD291</f>
        <v>_6be6f79e-23b0-4e48-9a61-554b6e1a6ece</v>
      </c>
      <c r="AF291">
        <f>A!AE291</f>
        <v>45811.618101851855</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32"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t="str">
        <f>A!CI291</f>
        <v>urn:imsikb0101:Applicaties:id:16</v>
      </c>
      <c r="CK291" t="str">
        <f>A!CJ291</f>
        <v>urn:imsikb0101:DatastroomType:id:1</v>
      </c>
      <c r="CL291">
        <f>A!CK291</f>
        <v>45811</v>
      </c>
      <c r="CM291" t="str">
        <f>A!CL291</f>
        <v>SGS, Rotterdam</v>
      </c>
      <c r="CN291" t="str">
        <f>A!CM291</f>
        <v>LABRESULTAAT SGS</v>
      </c>
      <c r="CO291">
        <f>A!CN291</f>
        <v>45811</v>
      </c>
      <c r="CP291">
        <f>A!CO291</f>
        <v>0</v>
      </c>
      <c r="CQ291">
        <f>A!CO601</f>
        <v>0</v>
      </c>
      <c r="CR291" t="e">
        <f>A!#REF!</f>
        <v>#REF!</v>
      </c>
      <c r="CS291" t="e">
        <f>A!#REF!</f>
        <v>#REF!</v>
      </c>
    </row>
    <row r="292" spans="1:97" x14ac:dyDescent="0.2">
      <c r="A292" t="str">
        <f>A!A292</f>
        <v>LABRESULTAAT</v>
      </c>
      <c r="B292">
        <f>A!B292</f>
        <v>111</v>
      </c>
      <c r="C292" t="str">
        <f>A!C292</f>
        <v>_f79b7f13-bfcb-494a-9520-63bfcc5fa736</v>
      </c>
      <c r="D292" t="str">
        <f>A!D292</f>
        <v>f79b7f13-bfcb-494a-9520-63bfcc5fa736</v>
      </c>
      <c r="E292" t="str">
        <f>A!E292</f>
        <v>SIKB</v>
      </c>
      <c r="F292" t="str">
        <f>A!F292</f>
        <v>urn:immetingen:hoedanigheid:id:1</v>
      </c>
      <c r="G292" t="str">
        <f>A!G292</f>
        <v>www.sikb.nl</v>
      </c>
      <c r="H292" t="str">
        <f>A!H292</f>
        <v>urn:immetingen:parameter:id:3932</v>
      </c>
      <c r="I292" t="str">
        <f>A!I292</f>
        <v>www.sikb.nl</v>
      </c>
      <c r="J292" t="str">
        <f>A!J292</f>
        <v>urn:immetingen:parameter:id:2725</v>
      </c>
      <c r="K292" t="str">
        <f>A!K292</f>
        <v>www.sikb.nl</v>
      </c>
      <c r="L292">
        <f>A!L292</f>
        <v>45811</v>
      </c>
      <c r="M292" t="str">
        <f>A!M292</f>
        <v>urn:immetingen:LabopdrachtStatus:id:5</v>
      </c>
      <c r="N292">
        <f>A!N292</f>
        <v>1</v>
      </c>
      <c r="O292">
        <f>A!O292</f>
        <v>1</v>
      </c>
      <c r="P292" s="32" t="str">
        <f>IF(A!P292="","",INDEX(B!$A$1:$BT$2000,MATCH(A!P292,B!$AX$1:$AX$2000,0),D!$B$5))</f>
        <v>MM04 04 (100-150) 05 (100-150)</v>
      </c>
      <c r="Q292">
        <f>A!Q292</f>
        <v>0</v>
      </c>
      <c r="R292">
        <f>A!R292</f>
        <v>0</v>
      </c>
      <c r="S292">
        <f>A!S292</f>
        <v>0</v>
      </c>
      <c r="T292" t="str">
        <f>A!T292</f>
        <v>immetingen:AnalyticResultType</v>
      </c>
      <c r="U292" t="str">
        <f>A!U292</f>
        <v>&lt;0.1 µg/kgds</v>
      </c>
      <c r="V292" s="32">
        <f>IF(A!V292="&lt;",1,A!V292)</f>
        <v>1</v>
      </c>
      <c r="W292">
        <f>A!W292</f>
        <v>0.1</v>
      </c>
      <c r="X292">
        <f>A!X292</f>
        <v>0.1</v>
      </c>
      <c r="Y292" t="str">
        <f>A!Y292</f>
        <v>urn:immetingen:eenheid:id:131</v>
      </c>
      <c r="Z292" s="32">
        <f t="shared" si="4"/>
        <v>131</v>
      </c>
      <c r="AA292" t="str">
        <f>A!Z292</f>
        <v>urn:immetingen:kwaliteitsoordeel:id:0</v>
      </c>
      <c r="AB292" t="str">
        <f>A!AA292</f>
        <v>www.sikb.nl</v>
      </c>
      <c r="AC292" t="str">
        <f>A!AB292</f>
        <v>urn:immetingen:waardebewerkingsmethode:id:5</v>
      </c>
      <c r="AD292" t="str">
        <f>A!AC292</f>
        <v>www.sikb.nl</v>
      </c>
      <c r="AE292" t="str">
        <f>A!AD292</f>
        <v>_4f11a07a-a875-48bd-b589-58a675849bd2</v>
      </c>
      <c r="AF292">
        <f>A!AE292</f>
        <v>45811.618101851855</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32"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t="str">
        <f>A!CI292</f>
        <v>urn:imsikb0101:Applicaties:id:16</v>
      </c>
      <c r="CK292" t="str">
        <f>A!CJ292</f>
        <v>urn:imsikb0101:DatastroomType:id:1</v>
      </c>
      <c r="CL292">
        <f>A!CK292</f>
        <v>45811</v>
      </c>
      <c r="CM292" t="str">
        <f>A!CL292</f>
        <v>SGS, Rotterdam</v>
      </c>
      <c r="CN292" t="str">
        <f>A!CM292</f>
        <v>LABRESULTAAT SGS</v>
      </c>
      <c r="CO292">
        <f>A!CN292</f>
        <v>45811</v>
      </c>
      <c r="CP292">
        <f>A!CO292</f>
        <v>0</v>
      </c>
      <c r="CQ292">
        <f>A!CO602</f>
        <v>0</v>
      </c>
      <c r="CR292" t="e">
        <f>A!#REF!</f>
        <v>#REF!</v>
      </c>
      <c r="CS292" t="e">
        <f>A!#REF!</f>
        <v>#REF!</v>
      </c>
    </row>
    <row r="293" spans="1:97" x14ac:dyDescent="0.2">
      <c r="A293" t="str">
        <f>A!A293</f>
        <v>LABRESULTAAT</v>
      </c>
      <c r="B293">
        <f>A!B293</f>
        <v>112</v>
      </c>
      <c r="C293" t="str">
        <f>A!C293</f>
        <v>_ad4b9e65-6c14-4fa9-a475-91816a2541a1</v>
      </c>
      <c r="D293" t="str">
        <f>A!D293</f>
        <v>ad4b9e65-6c14-4fa9-a475-91816a2541a1</v>
      </c>
      <c r="E293" t="str">
        <f>A!E293</f>
        <v>SIKB</v>
      </c>
      <c r="F293" t="str">
        <f>A!F293</f>
        <v>urn:immetingen:hoedanigheid:id:1</v>
      </c>
      <c r="G293" t="str">
        <f>A!G293</f>
        <v>www.sikb.nl</v>
      </c>
      <c r="H293" t="str">
        <f>A!H293</f>
        <v>urn:immetingen:parameter:id:4441</v>
      </c>
      <c r="I293" t="str">
        <f>A!I293</f>
        <v>www.sikb.nl</v>
      </c>
      <c r="J293" t="str">
        <f>A!J293</f>
        <v>urn:immetingen:parameter:id:2725</v>
      </c>
      <c r="K293" t="str">
        <f>A!K293</f>
        <v>www.sikb.nl</v>
      </c>
      <c r="L293">
        <f>A!L293</f>
        <v>45811</v>
      </c>
      <c r="M293" t="str">
        <f>A!M293</f>
        <v>urn:immetingen:LabopdrachtStatus:id:5</v>
      </c>
      <c r="N293">
        <f>A!N293</f>
        <v>1</v>
      </c>
      <c r="O293">
        <f>A!O293</f>
        <v>1</v>
      </c>
      <c r="P293" s="32" t="str">
        <f>IF(A!P293="","",INDEX(B!$A$1:$BT$2000,MATCH(A!P293,B!$AX$1:$AX$2000,0),D!$B$5))</f>
        <v>MM04 04 (100-150) 05 (100-150)</v>
      </c>
      <c r="Q293">
        <f>A!Q293</f>
        <v>0</v>
      </c>
      <c r="R293">
        <f>A!R293</f>
        <v>0</v>
      </c>
      <c r="S293">
        <f>A!S293</f>
        <v>0</v>
      </c>
      <c r="T293" t="str">
        <f>A!T293</f>
        <v>immetingen:AnalyticResultType</v>
      </c>
      <c r="U293" t="str">
        <f>A!U293</f>
        <v>&lt;0.1 µg/kgds</v>
      </c>
      <c r="V293" s="32">
        <f>IF(A!V293="&lt;",1,A!V293)</f>
        <v>1</v>
      </c>
      <c r="W293">
        <f>A!W293</f>
        <v>0.1</v>
      </c>
      <c r="X293">
        <f>A!X293</f>
        <v>0.1</v>
      </c>
      <c r="Y293" t="str">
        <f>A!Y293</f>
        <v>urn:immetingen:eenheid:id:131</v>
      </c>
      <c r="Z293" s="32">
        <f t="shared" si="4"/>
        <v>131</v>
      </c>
      <c r="AA293" t="str">
        <f>A!Z293</f>
        <v>urn:immetingen:kwaliteitsoordeel:id:0</v>
      </c>
      <c r="AB293" t="str">
        <f>A!AA293</f>
        <v>www.sikb.nl</v>
      </c>
      <c r="AC293" t="str">
        <f>A!AB293</f>
        <v>urn:immetingen:waardebewerkingsmethode:id:5</v>
      </c>
      <c r="AD293" t="str">
        <f>A!AC293</f>
        <v>www.sikb.nl</v>
      </c>
      <c r="AE293" t="str">
        <f>A!AD293</f>
        <v>_0ad7db4f-a7bf-4de0-9aed-2edc047c572d</v>
      </c>
      <c r="AF293">
        <f>A!AE293</f>
        <v>45811.618101851855</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32"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t="str">
        <f>A!CI293</f>
        <v>urn:imsikb0101:Applicaties:id:16</v>
      </c>
      <c r="CK293" t="str">
        <f>A!CJ293</f>
        <v>urn:imsikb0101:DatastroomType:id:1</v>
      </c>
      <c r="CL293">
        <f>A!CK293</f>
        <v>45811</v>
      </c>
      <c r="CM293" t="str">
        <f>A!CL293</f>
        <v>SGS, Rotterdam</v>
      </c>
      <c r="CN293" t="str">
        <f>A!CM293</f>
        <v>LABRESULTAAT SGS</v>
      </c>
      <c r="CO293">
        <f>A!CN293</f>
        <v>45811</v>
      </c>
      <c r="CP293">
        <f>A!CO293</f>
        <v>0</v>
      </c>
      <c r="CQ293">
        <f>A!CO603</f>
        <v>0</v>
      </c>
      <c r="CR293" t="e">
        <f>A!#REF!</f>
        <v>#REF!</v>
      </c>
      <c r="CS293" t="e">
        <f>A!#REF!</f>
        <v>#REF!</v>
      </c>
    </row>
    <row r="294" spans="1:97" x14ac:dyDescent="0.2">
      <c r="A294" t="str">
        <f>A!A294</f>
        <v>LABRESULTAAT</v>
      </c>
      <c r="B294">
        <f>A!B294</f>
        <v>113</v>
      </c>
      <c r="C294" t="str">
        <f>A!C294</f>
        <v>_5906e8ee-cd8e-419e-9200-7044702102da</v>
      </c>
      <c r="D294" t="str">
        <f>A!D294</f>
        <v>5906e8ee-cd8e-419e-9200-7044702102da</v>
      </c>
      <c r="E294" t="str">
        <f>A!E294</f>
        <v>SIKB</v>
      </c>
      <c r="F294" t="str">
        <f>A!F294</f>
        <v>urn:immetingen:hoedanigheid:id:1</v>
      </c>
      <c r="G294" t="str">
        <f>A!G294</f>
        <v>www.sikb.nl</v>
      </c>
      <c r="H294" t="str">
        <f>A!H294</f>
        <v>urn:immetingen:parameter:id:4442</v>
      </c>
      <c r="I294" t="str">
        <f>A!I294</f>
        <v>www.sikb.nl</v>
      </c>
      <c r="J294" t="str">
        <f>A!J294</f>
        <v>urn:immetingen:parameter:id:2725</v>
      </c>
      <c r="K294" t="str">
        <f>A!K294</f>
        <v>www.sikb.nl</v>
      </c>
      <c r="L294">
        <f>A!L294</f>
        <v>45811</v>
      </c>
      <c r="M294" t="str">
        <f>A!M294</f>
        <v>urn:immetingen:LabopdrachtStatus:id:5</v>
      </c>
      <c r="N294">
        <f>A!N294</f>
        <v>1</v>
      </c>
      <c r="O294">
        <f>A!O294</f>
        <v>1</v>
      </c>
      <c r="P294" s="32" t="str">
        <f>IF(A!P294="","",INDEX(B!$A$1:$BT$2000,MATCH(A!P294,B!$AX$1:$AX$2000,0),D!$B$5))</f>
        <v>MM04 04 (100-150) 05 (100-150)</v>
      </c>
      <c r="Q294">
        <f>A!Q294</f>
        <v>0</v>
      </c>
      <c r="R294">
        <f>A!R294</f>
        <v>0</v>
      </c>
      <c r="S294">
        <f>A!S294</f>
        <v>0</v>
      </c>
      <c r="T294" t="str">
        <f>A!T294</f>
        <v>immetingen:AnalyticResultType</v>
      </c>
      <c r="U294" t="str">
        <f>A!U294</f>
        <v>&lt;0.1 µg/kgds</v>
      </c>
      <c r="V294" s="32">
        <f>IF(A!V294="&lt;",1,A!V294)</f>
        <v>1</v>
      </c>
      <c r="W294">
        <f>A!W294</f>
        <v>0.1</v>
      </c>
      <c r="X294">
        <f>A!X294</f>
        <v>0.1</v>
      </c>
      <c r="Y294" t="str">
        <f>A!Y294</f>
        <v>urn:immetingen:eenheid:id:131</v>
      </c>
      <c r="Z294" s="32">
        <f t="shared" si="4"/>
        <v>131</v>
      </c>
      <c r="AA294" t="str">
        <f>A!Z294</f>
        <v>urn:immetingen:kwaliteitsoordeel:id:0</v>
      </c>
      <c r="AB294" t="str">
        <f>A!AA294</f>
        <v>www.sikb.nl</v>
      </c>
      <c r="AC294" t="str">
        <f>A!AB294</f>
        <v>urn:immetingen:waardebewerkingsmethode:id:5</v>
      </c>
      <c r="AD294" t="str">
        <f>A!AC294</f>
        <v>www.sikb.nl</v>
      </c>
      <c r="AE294" t="str">
        <f>A!AD294</f>
        <v>_4f864fb4-d0f0-4f31-b419-2e219f7ff6a8</v>
      </c>
      <c r="AF294">
        <f>A!AE294</f>
        <v>45811.618101851855</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32"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t="str">
        <f>A!CI294</f>
        <v>urn:imsikb0101:Applicaties:id:16</v>
      </c>
      <c r="CK294" t="str">
        <f>A!CJ294</f>
        <v>urn:imsikb0101:DatastroomType:id:1</v>
      </c>
      <c r="CL294">
        <f>A!CK294</f>
        <v>45811</v>
      </c>
      <c r="CM294" t="str">
        <f>A!CL294</f>
        <v>SGS, Rotterdam</v>
      </c>
      <c r="CN294" t="str">
        <f>A!CM294</f>
        <v>LABRESULTAAT SGS</v>
      </c>
      <c r="CO294">
        <f>A!CN294</f>
        <v>45811</v>
      </c>
      <c r="CP294">
        <f>A!CO294</f>
        <v>0</v>
      </c>
      <c r="CQ294">
        <f>A!CO604</f>
        <v>0</v>
      </c>
      <c r="CR294" t="e">
        <f>A!#REF!</f>
        <v>#REF!</v>
      </c>
      <c r="CS294" t="e">
        <f>A!#REF!</f>
        <v>#REF!</v>
      </c>
    </row>
    <row r="295" spans="1:97" x14ac:dyDescent="0.2">
      <c r="A295" t="str">
        <f>A!A295</f>
        <v>LABRESULTAAT</v>
      </c>
      <c r="B295">
        <f>A!B295</f>
        <v>114</v>
      </c>
      <c r="C295" t="str">
        <f>A!C295</f>
        <v>_a70bf477-042d-40a6-a0ea-4e27796f4772</v>
      </c>
      <c r="D295" t="str">
        <f>A!D295</f>
        <v>a70bf477-042d-40a6-a0ea-4e27796f4772</v>
      </c>
      <c r="E295" t="str">
        <f>A!E295</f>
        <v>SIKB</v>
      </c>
      <c r="F295" t="str">
        <f>A!F295</f>
        <v>urn:immetingen:hoedanigheid:id:1</v>
      </c>
      <c r="G295" t="str">
        <f>A!G295</f>
        <v>www.sikb.nl</v>
      </c>
      <c r="H295" t="str">
        <f>A!H295</f>
        <v>urn:immetingen:parameter:id:4446</v>
      </c>
      <c r="I295" t="str">
        <f>A!I295</f>
        <v>www.sikb.nl</v>
      </c>
      <c r="J295" t="str">
        <f>A!J295</f>
        <v>urn:immetingen:parameter:id:2725</v>
      </c>
      <c r="K295" t="str">
        <f>A!K295</f>
        <v>www.sikb.nl</v>
      </c>
      <c r="L295">
        <f>A!L295</f>
        <v>45811</v>
      </c>
      <c r="M295" t="str">
        <f>A!M295</f>
        <v>urn:immetingen:LabopdrachtStatus:id:5</v>
      </c>
      <c r="N295">
        <f>A!N295</f>
        <v>1</v>
      </c>
      <c r="O295">
        <f>A!O295</f>
        <v>1</v>
      </c>
      <c r="P295" s="32" t="str">
        <f>IF(A!P295="","",INDEX(B!$A$1:$BT$2000,MATCH(A!P295,B!$AX$1:$AX$2000,0),D!$B$5))</f>
        <v>MM04 04 (100-150) 05 (100-150)</v>
      </c>
      <c r="Q295">
        <f>A!Q295</f>
        <v>0</v>
      </c>
      <c r="R295">
        <f>A!R295</f>
        <v>0</v>
      </c>
      <c r="S295">
        <f>A!S295</f>
        <v>0</v>
      </c>
      <c r="T295" t="str">
        <f>A!T295</f>
        <v>immetingen:AnalyticResultType</v>
      </c>
      <c r="U295" t="str">
        <f>A!U295</f>
        <v>&lt;0.1 µg/kgds</v>
      </c>
      <c r="V295" s="32">
        <f>IF(A!V295="&lt;",1,A!V295)</f>
        <v>1</v>
      </c>
      <c r="W295">
        <f>A!W295</f>
        <v>0.1</v>
      </c>
      <c r="X295">
        <f>A!X295</f>
        <v>0.1</v>
      </c>
      <c r="Y295" t="str">
        <f>A!Y295</f>
        <v>urn:immetingen:eenheid:id:131</v>
      </c>
      <c r="Z295" s="32">
        <f t="shared" si="4"/>
        <v>131</v>
      </c>
      <c r="AA295" t="str">
        <f>A!Z295</f>
        <v>urn:immetingen:kwaliteitsoordeel:id:0</v>
      </c>
      <c r="AB295" t="str">
        <f>A!AA295</f>
        <v>www.sikb.nl</v>
      </c>
      <c r="AC295" t="str">
        <f>A!AB295</f>
        <v>urn:immetingen:waardebewerkingsmethode:id:5</v>
      </c>
      <c r="AD295" t="str">
        <f>A!AC295</f>
        <v>www.sikb.nl</v>
      </c>
      <c r="AE295" t="str">
        <f>A!AD295</f>
        <v>_31ce2575-e032-460b-8380-40f3f9a6e384</v>
      </c>
      <c r="AF295">
        <f>A!AE295</f>
        <v>45811.618101851855</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32"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t="str">
        <f>A!CI295</f>
        <v>urn:imsikb0101:Applicaties:id:16</v>
      </c>
      <c r="CK295" t="str">
        <f>A!CJ295</f>
        <v>urn:imsikb0101:DatastroomType:id:1</v>
      </c>
      <c r="CL295">
        <f>A!CK295</f>
        <v>45811</v>
      </c>
      <c r="CM295" t="str">
        <f>A!CL295</f>
        <v>SGS, Rotterdam</v>
      </c>
      <c r="CN295" t="str">
        <f>A!CM295</f>
        <v>LABRESULTAAT SGS</v>
      </c>
      <c r="CO295">
        <f>A!CN295</f>
        <v>45811</v>
      </c>
      <c r="CP295">
        <f>A!CO295</f>
        <v>0</v>
      </c>
      <c r="CQ295">
        <f>A!CO605</f>
        <v>0</v>
      </c>
      <c r="CR295" t="e">
        <f>A!#REF!</f>
        <v>#REF!</v>
      </c>
      <c r="CS295" t="e">
        <f>A!#REF!</f>
        <v>#REF!</v>
      </c>
    </row>
    <row r="296" spans="1:97" x14ac:dyDescent="0.2">
      <c r="A296" t="str">
        <f>A!A296</f>
        <v>LABRESULTAAT</v>
      </c>
      <c r="B296">
        <f>A!B296</f>
        <v>115</v>
      </c>
      <c r="C296" t="str">
        <f>A!C296</f>
        <v>_e01b8628-48d6-4ac3-b9bc-e815c0cbdd43</v>
      </c>
      <c r="D296" t="str">
        <f>A!D296</f>
        <v>e01b8628-48d6-4ac3-b9bc-e815c0cbdd43</v>
      </c>
      <c r="E296" t="str">
        <f>A!E296</f>
        <v>SIKB</v>
      </c>
      <c r="F296" t="str">
        <f>A!F296</f>
        <v>urn:immetingen:hoedanigheid:id:1</v>
      </c>
      <c r="G296" t="str">
        <f>A!G296</f>
        <v>www.sikb.nl</v>
      </c>
      <c r="H296" t="str">
        <f>A!H296</f>
        <v>urn:immetingen:parameter:id:4445</v>
      </c>
      <c r="I296" t="str">
        <f>A!I296</f>
        <v>www.sikb.nl</v>
      </c>
      <c r="J296" t="str">
        <f>A!J296</f>
        <v>urn:immetingen:parameter:id:2725</v>
      </c>
      <c r="K296" t="str">
        <f>A!K296</f>
        <v>www.sikb.nl</v>
      </c>
      <c r="L296">
        <f>A!L296</f>
        <v>45811</v>
      </c>
      <c r="M296" t="str">
        <f>A!M296</f>
        <v>urn:immetingen:LabopdrachtStatus:id:5</v>
      </c>
      <c r="N296">
        <f>A!N296</f>
        <v>1</v>
      </c>
      <c r="O296">
        <f>A!O296</f>
        <v>1</v>
      </c>
      <c r="P296" s="32" t="str">
        <f>IF(A!P296="","",INDEX(B!$A$1:$BT$2000,MATCH(A!P296,B!$AX$1:$AX$2000,0),D!$B$5))</f>
        <v>MM04 04 (100-150) 05 (100-150)</v>
      </c>
      <c r="Q296">
        <f>A!Q296</f>
        <v>0</v>
      </c>
      <c r="R296">
        <f>A!R296</f>
        <v>0</v>
      </c>
      <c r="S296">
        <f>A!S296</f>
        <v>0</v>
      </c>
      <c r="T296" t="str">
        <f>A!T296</f>
        <v>immetingen:AnalyticResultType</v>
      </c>
      <c r="U296" t="str">
        <f>A!U296</f>
        <v>&lt;0.1 µg/kgds</v>
      </c>
      <c r="V296" s="32">
        <f>IF(A!V296="&lt;",1,A!V296)</f>
        <v>1</v>
      </c>
      <c r="W296">
        <f>A!W296</f>
        <v>0.1</v>
      </c>
      <c r="X296">
        <f>A!X296</f>
        <v>0.1</v>
      </c>
      <c r="Y296" t="str">
        <f>A!Y296</f>
        <v>urn:immetingen:eenheid:id:131</v>
      </c>
      <c r="Z296" s="32">
        <f t="shared" si="4"/>
        <v>131</v>
      </c>
      <c r="AA296" t="str">
        <f>A!Z296</f>
        <v>urn:immetingen:kwaliteitsoordeel:id:0</v>
      </c>
      <c r="AB296" t="str">
        <f>A!AA296</f>
        <v>www.sikb.nl</v>
      </c>
      <c r="AC296" t="str">
        <f>A!AB296</f>
        <v>urn:immetingen:waardebewerkingsmethode:id:5</v>
      </c>
      <c r="AD296" t="str">
        <f>A!AC296</f>
        <v>www.sikb.nl</v>
      </c>
      <c r="AE296" t="str">
        <f>A!AD296</f>
        <v>_d014de54-6e4c-442f-906c-ebfbe51f6f15</v>
      </c>
      <c r="AF296">
        <f>A!AE296</f>
        <v>45811.618101851855</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32"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t="str">
        <f>A!CI296</f>
        <v>urn:imsikb0101:Applicaties:id:16</v>
      </c>
      <c r="CK296" t="str">
        <f>A!CJ296</f>
        <v>urn:imsikb0101:DatastroomType:id:1</v>
      </c>
      <c r="CL296">
        <f>A!CK296</f>
        <v>45811</v>
      </c>
      <c r="CM296" t="str">
        <f>A!CL296</f>
        <v>SGS, Rotterdam</v>
      </c>
      <c r="CN296" t="str">
        <f>A!CM296</f>
        <v>LABRESULTAAT SGS</v>
      </c>
      <c r="CO296">
        <f>A!CN296</f>
        <v>45811</v>
      </c>
      <c r="CP296">
        <f>A!CO296</f>
        <v>0</v>
      </c>
      <c r="CQ296">
        <f>A!CO606</f>
        <v>0</v>
      </c>
      <c r="CR296" t="e">
        <f>A!#REF!</f>
        <v>#REF!</v>
      </c>
      <c r="CS296" t="e">
        <f>A!#REF!</f>
        <v>#REF!</v>
      </c>
    </row>
    <row r="297" spans="1:97" x14ac:dyDescent="0.2">
      <c r="A297" t="str">
        <f>A!A297</f>
        <v>LABRESULTAAT</v>
      </c>
      <c r="B297">
        <f>A!B297</f>
        <v>116</v>
      </c>
      <c r="C297" t="str">
        <f>A!C297</f>
        <v>_abfa3d5f-4d2c-42a7-9341-32358b539494</v>
      </c>
      <c r="D297" t="str">
        <f>A!D297</f>
        <v>abfa3d5f-4d2c-42a7-9341-32358b539494</v>
      </c>
      <c r="E297" t="str">
        <f>A!E297</f>
        <v>SIKB</v>
      </c>
      <c r="F297" t="str">
        <f>A!F297</f>
        <v>urn:immetingen:hoedanigheid:id:1</v>
      </c>
      <c r="G297" t="str">
        <f>A!G297</f>
        <v>www.sikb.nl</v>
      </c>
      <c r="H297" t="str">
        <f>A!H297</f>
        <v>urn:immetingen:parameter:id:6040</v>
      </c>
      <c r="I297" t="str">
        <f>A!I297</f>
        <v>www.sikb.nl</v>
      </c>
      <c r="J297" t="str">
        <f>A!J297</f>
        <v>urn:immetingen:parameter:id:2725</v>
      </c>
      <c r="K297" t="str">
        <f>A!K297</f>
        <v>www.sikb.nl</v>
      </c>
      <c r="L297">
        <f>A!L297</f>
        <v>45811</v>
      </c>
      <c r="M297" t="str">
        <f>A!M297</f>
        <v>urn:immetingen:LabopdrachtStatus:id:5</v>
      </c>
      <c r="N297">
        <f>A!N297</f>
        <v>1</v>
      </c>
      <c r="O297">
        <f>A!O297</f>
        <v>1</v>
      </c>
      <c r="P297" s="32" t="str">
        <f>IF(A!P297="","",INDEX(B!$A$1:$BT$2000,MATCH(A!P297,B!$AX$1:$AX$2000,0),D!$B$5))</f>
        <v>MM04 04 (100-150) 05 (100-150)</v>
      </c>
      <c r="Q297">
        <f>A!Q297</f>
        <v>0</v>
      </c>
      <c r="R297">
        <f>A!R297</f>
        <v>0</v>
      </c>
      <c r="S297">
        <f>A!S297</f>
        <v>0</v>
      </c>
      <c r="T297" t="str">
        <f>A!T297</f>
        <v>immetingen:AnalyticResultType</v>
      </c>
      <c r="U297" t="str">
        <f>A!U297</f>
        <v>0.1 µg/kgds</v>
      </c>
      <c r="V297" s="32">
        <f>IF(A!V297="&lt;",1,A!V297)</f>
        <v>0</v>
      </c>
      <c r="W297">
        <f>A!W297</f>
        <v>0.1</v>
      </c>
      <c r="X297">
        <f>A!X297</f>
        <v>0.1</v>
      </c>
      <c r="Y297" t="str">
        <f>A!Y297</f>
        <v>urn:immetingen:eenheid:id:131</v>
      </c>
      <c r="Z297" s="32">
        <f t="shared" si="4"/>
        <v>131</v>
      </c>
      <c r="AA297" t="str">
        <f>A!Z297</f>
        <v>urn:immetingen:kwaliteitsoordeel:id:0</v>
      </c>
      <c r="AB297" t="str">
        <f>A!AA297</f>
        <v>www.sikb.nl</v>
      </c>
      <c r="AC297" t="str">
        <f>A!AB297</f>
        <v>urn:immetingen:waardebewerkingsmethode:id:5</v>
      </c>
      <c r="AD297" t="str">
        <f>A!AC297</f>
        <v>www.sikb.nl</v>
      </c>
      <c r="AE297" t="str">
        <f>A!AD297</f>
        <v>_7a692ae2-5edf-422d-8d24-515d69b96f90</v>
      </c>
      <c r="AF297">
        <f>A!AE297</f>
        <v>45811.618321759262</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32"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t="str">
        <f>A!CI297</f>
        <v>urn:imsikb0101:Applicaties:id:16</v>
      </c>
      <c r="CK297" t="str">
        <f>A!CJ297</f>
        <v>urn:imsikb0101:DatastroomType:id:1</v>
      </c>
      <c r="CL297">
        <f>A!CK297</f>
        <v>45811</v>
      </c>
      <c r="CM297" t="str">
        <f>A!CL297</f>
        <v>SGS, Rotterdam</v>
      </c>
      <c r="CN297" t="str">
        <f>A!CM297</f>
        <v>LABRESULTAAT SGS</v>
      </c>
      <c r="CO297">
        <f>A!CN297</f>
        <v>45811</v>
      </c>
      <c r="CP297">
        <f>A!CO297</f>
        <v>0</v>
      </c>
      <c r="CQ297">
        <f>A!CO607</f>
        <v>0</v>
      </c>
      <c r="CR297" t="e">
        <f>A!#REF!</f>
        <v>#REF!</v>
      </c>
      <c r="CS297" t="e">
        <f>A!#REF!</f>
        <v>#REF!</v>
      </c>
    </row>
    <row r="298" spans="1:97" x14ac:dyDescent="0.2">
      <c r="A298" t="str">
        <f>A!A298</f>
        <v>LABRESULTAAT</v>
      </c>
      <c r="B298">
        <f>A!B298</f>
        <v>117</v>
      </c>
      <c r="C298" t="str">
        <f>A!C298</f>
        <v>_be2e0c96-5ad5-4e50-a8da-0b07059a23b3</v>
      </c>
      <c r="D298" t="str">
        <f>A!D298</f>
        <v>be2e0c96-5ad5-4e50-a8da-0b07059a23b3</v>
      </c>
      <c r="E298" t="str">
        <f>A!E298</f>
        <v>SIKB</v>
      </c>
      <c r="F298" t="str">
        <f>A!F298</f>
        <v>urn:immetingen:hoedanigheid:id:1</v>
      </c>
      <c r="G298" t="str">
        <f>A!G298</f>
        <v>www.sikb.nl</v>
      </c>
      <c r="H298" t="str">
        <f>A!H298</f>
        <v>urn:immetingen:parameter:id:5518</v>
      </c>
      <c r="I298" t="str">
        <f>A!I298</f>
        <v>www.sikb.nl</v>
      </c>
      <c r="J298" t="str">
        <f>A!J298</f>
        <v>urn:immetingen:parameter:id:2725</v>
      </c>
      <c r="K298" t="str">
        <f>A!K298</f>
        <v>www.sikb.nl</v>
      </c>
      <c r="L298">
        <f>A!L298</f>
        <v>45811</v>
      </c>
      <c r="M298" t="str">
        <f>A!M298</f>
        <v>urn:immetingen:LabopdrachtStatus:id:5</v>
      </c>
      <c r="N298">
        <f>A!N298</f>
        <v>1</v>
      </c>
      <c r="O298">
        <f>A!O298</f>
        <v>1</v>
      </c>
      <c r="P298" s="32" t="str">
        <f>IF(A!P298="","",INDEX(B!$A$1:$BT$2000,MATCH(A!P298,B!$AX$1:$AX$2000,0),D!$B$5))</f>
        <v>MM04 04 (100-150) 05 (100-150)</v>
      </c>
      <c r="Q298">
        <f>A!Q298</f>
        <v>0</v>
      </c>
      <c r="R298">
        <f>A!R298</f>
        <v>0</v>
      </c>
      <c r="S298">
        <f>A!S298</f>
        <v>0</v>
      </c>
      <c r="T298" t="str">
        <f>A!T298</f>
        <v>immetingen:AnalyticResultType</v>
      </c>
      <c r="U298" t="str">
        <f>A!U298</f>
        <v>&lt;0.1 µg/kgds</v>
      </c>
      <c r="V298" s="32">
        <f>IF(A!V298="&lt;",1,A!V298)</f>
        <v>1</v>
      </c>
      <c r="W298">
        <f>A!W298</f>
        <v>0.1</v>
      </c>
      <c r="X298">
        <f>A!X298</f>
        <v>0.1</v>
      </c>
      <c r="Y298" t="str">
        <f>A!Y298</f>
        <v>urn:immetingen:eenheid:id:131</v>
      </c>
      <c r="Z298" s="32">
        <f t="shared" si="4"/>
        <v>131</v>
      </c>
      <c r="AA298" t="str">
        <f>A!Z298</f>
        <v>urn:immetingen:kwaliteitsoordeel:id:0</v>
      </c>
      <c r="AB298" t="str">
        <f>A!AA298</f>
        <v>www.sikb.nl</v>
      </c>
      <c r="AC298" t="str">
        <f>A!AB298</f>
        <v>urn:immetingen:waardebewerkingsmethode:id:5</v>
      </c>
      <c r="AD298" t="str">
        <f>A!AC298</f>
        <v>www.sikb.nl</v>
      </c>
      <c r="AE298" t="str">
        <f>A!AD298</f>
        <v>_383355fb-306b-46ed-a867-199c7dadb9cc</v>
      </c>
      <c r="AF298">
        <f>A!AE298</f>
        <v>45811.618101851855</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32"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t="str">
        <f>A!CI298</f>
        <v>urn:imsikb0101:Applicaties:id:16</v>
      </c>
      <c r="CK298" t="str">
        <f>A!CJ298</f>
        <v>urn:imsikb0101:DatastroomType:id:1</v>
      </c>
      <c r="CL298">
        <f>A!CK298</f>
        <v>45811</v>
      </c>
      <c r="CM298" t="str">
        <f>A!CL298</f>
        <v>SGS, Rotterdam</v>
      </c>
      <c r="CN298" t="str">
        <f>A!CM298</f>
        <v>LABRESULTAAT SGS</v>
      </c>
      <c r="CO298">
        <f>A!CN298</f>
        <v>45811</v>
      </c>
      <c r="CP298">
        <f>A!CO298</f>
        <v>0</v>
      </c>
      <c r="CQ298">
        <f>A!CO608</f>
        <v>0</v>
      </c>
      <c r="CR298" t="e">
        <f>A!#REF!</f>
        <v>#REF!</v>
      </c>
      <c r="CS298" t="e">
        <f>A!#REF!</f>
        <v>#REF!</v>
      </c>
    </row>
    <row r="299" spans="1:97" x14ac:dyDescent="0.2">
      <c r="A299" t="str">
        <f>A!A299</f>
        <v>LABRESULTAAT</v>
      </c>
      <c r="B299">
        <f>A!B299</f>
        <v>118</v>
      </c>
      <c r="C299" t="str">
        <f>A!C299</f>
        <v>_50a049e6-0c4c-4551-9d3f-d04da20e7852</v>
      </c>
      <c r="D299" t="str">
        <f>A!D299</f>
        <v>50a049e6-0c4c-4551-9d3f-d04da20e7852</v>
      </c>
      <c r="E299" t="str">
        <f>A!E299</f>
        <v>SIKB</v>
      </c>
      <c r="F299" t="str">
        <f>A!F299</f>
        <v>urn:immetingen:hoedanigheid:id:1</v>
      </c>
      <c r="G299" t="str">
        <f>A!G299</f>
        <v>www.sikb.nl</v>
      </c>
      <c r="H299" t="str">
        <f>A!H299</f>
        <v>urn:immetingen:parameter:id:4443</v>
      </c>
      <c r="I299" t="str">
        <f>A!I299</f>
        <v>www.sikb.nl</v>
      </c>
      <c r="J299" t="str">
        <f>A!J299</f>
        <v>urn:immetingen:parameter:id:2725</v>
      </c>
      <c r="K299" t="str">
        <f>A!K299</f>
        <v>www.sikb.nl</v>
      </c>
      <c r="L299">
        <f>A!L299</f>
        <v>45811</v>
      </c>
      <c r="M299" t="str">
        <f>A!M299</f>
        <v>urn:immetingen:LabopdrachtStatus:id:5</v>
      </c>
      <c r="N299">
        <f>A!N299</f>
        <v>1</v>
      </c>
      <c r="O299">
        <f>A!O299</f>
        <v>1</v>
      </c>
      <c r="P299" s="32" t="str">
        <f>IF(A!P299="","",INDEX(B!$A$1:$BT$2000,MATCH(A!P299,B!$AX$1:$AX$2000,0),D!$B$5))</f>
        <v>MM04 04 (100-150) 05 (100-150)</v>
      </c>
      <c r="Q299">
        <f>A!Q299</f>
        <v>0</v>
      </c>
      <c r="R299">
        <f>A!R299</f>
        <v>0</v>
      </c>
      <c r="S299">
        <f>A!S299</f>
        <v>0</v>
      </c>
      <c r="T299" t="str">
        <f>A!T299</f>
        <v>immetingen:AnalyticResultType</v>
      </c>
      <c r="U299" t="str">
        <f>A!U299</f>
        <v>&lt;0.1 µg/kgds</v>
      </c>
      <c r="V299" s="32">
        <f>IF(A!V299="&lt;",1,A!V299)</f>
        <v>1</v>
      </c>
      <c r="W299">
        <f>A!W299</f>
        <v>0.1</v>
      </c>
      <c r="X299">
        <f>A!X299</f>
        <v>0.1</v>
      </c>
      <c r="Y299" t="str">
        <f>A!Y299</f>
        <v>urn:immetingen:eenheid:id:131</v>
      </c>
      <c r="Z299" s="32">
        <f t="shared" si="4"/>
        <v>131</v>
      </c>
      <c r="AA299" t="str">
        <f>A!Z299</f>
        <v>urn:immetingen:kwaliteitsoordeel:id:0</v>
      </c>
      <c r="AB299" t="str">
        <f>A!AA299</f>
        <v>www.sikb.nl</v>
      </c>
      <c r="AC299" t="str">
        <f>A!AB299</f>
        <v>urn:immetingen:waardebewerkingsmethode:id:5</v>
      </c>
      <c r="AD299" t="str">
        <f>A!AC299</f>
        <v>www.sikb.nl</v>
      </c>
      <c r="AE299" t="str">
        <f>A!AD299</f>
        <v>_6dcb0f87-f9ac-4686-b508-81ca2a50d1c4</v>
      </c>
      <c r="AF299">
        <f>A!AE299</f>
        <v>45811.618101851855</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32"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t="str">
        <f>A!CI299</f>
        <v>urn:imsikb0101:Applicaties:id:16</v>
      </c>
      <c r="CK299" t="str">
        <f>A!CJ299</f>
        <v>urn:imsikb0101:DatastroomType:id:1</v>
      </c>
      <c r="CL299">
        <f>A!CK299</f>
        <v>45811</v>
      </c>
      <c r="CM299" t="str">
        <f>A!CL299</f>
        <v>SGS, Rotterdam</v>
      </c>
      <c r="CN299" t="str">
        <f>A!CM299</f>
        <v>LABRESULTAAT SGS</v>
      </c>
      <c r="CO299">
        <f>A!CN299</f>
        <v>45811</v>
      </c>
      <c r="CP299">
        <f>A!CO299</f>
        <v>0</v>
      </c>
      <c r="CQ299">
        <f>A!CO609</f>
        <v>0</v>
      </c>
      <c r="CR299" t="e">
        <f>A!#REF!</f>
        <v>#REF!</v>
      </c>
      <c r="CS299" t="e">
        <f>A!#REF!</f>
        <v>#REF!</v>
      </c>
    </row>
    <row r="300" spans="1:97" x14ac:dyDescent="0.2">
      <c r="A300" t="str">
        <f>A!A300</f>
        <v>LABRESULTAAT</v>
      </c>
      <c r="B300">
        <f>A!B300</f>
        <v>119</v>
      </c>
      <c r="C300" t="str">
        <f>A!C300</f>
        <v>_74347084-0a52-43c2-896c-6f6254292acf</v>
      </c>
      <c r="D300" t="str">
        <f>A!D300</f>
        <v>74347084-0a52-43c2-896c-6f6254292acf</v>
      </c>
      <c r="E300" t="str">
        <f>A!E300</f>
        <v>SIKB</v>
      </c>
      <c r="F300" t="str">
        <f>A!F300</f>
        <v>urn:immetingen:hoedanigheid:id:1</v>
      </c>
      <c r="G300" t="str">
        <f>A!G300</f>
        <v>www.sikb.nl</v>
      </c>
      <c r="H300" t="str">
        <f>A!H300</f>
        <v>urn:immetingen:parameter:id:6039</v>
      </c>
      <c r="I300" t="str">
        <f>A!I300</f>
        <v>www.sikb.nl</v>
      </c>
      <c r="J300" t="str">
        <f>A!J300</f>
        <v>urn:immetingen:parameter:id:2725</v>
      </c>
      <c r="K300" t="str">
        <f>A!K300</f>
        <v>www.sikb.nl</v>
      </c>
      <c r="L300">
        <f>A!L300</f>
        <v>45811</v>
      </c>
      <c r="M300" t="str">
        <f>A!M300</f>
        <v>urn:immetingen:LabopdrachtStatus:id:5</v>
      </c>
      <c r="N300">
        <f>A!N300</f>
        <v>1</v>
      </c>
      <c r="O300">
        <f>A!O300</f>
        <v>1</v>
      </c>
      <c r="P300" s="32" t="str">
        <f>IF(A!P300="","",INDEX(B!$A$1:$BT$2000,MATCH(A!P300,B!$AX$1:$AX$2000,0),D!$B$5))</f>
        <v>MM04 04 (100-150) 05 (100-150)</v>
      </c>
      <c r="Q300">
        <f>A!Q300</f>
        <v>0</v>
      </c>
      <c r="R300">
        <f>A!R300</f>
        <v>0</v>
      </c>
      <c r="S300">
        <f>A!S300</f>
        <v>0</v>
      </c>
      <c r="T300" t="str">
        <f>A!T300</f>
        <v>immetingen:AnalyticResultType</v>
      </c>
      <c r="U300" t="str">
        <f>A!U300</f>
        <v>0.1 µg/kgds</v>
      </c>
      <c r="V300" s="32">
        <f>IF(A!V300="&lt;",1,A!V300)</f>
        <v>0</v>
      </c>
      <c r="W300">
        <f>A!W300</f>
        <v>0.1</v>
      </c>
      <c r="X300">
        <f>A!X300</f>
        <v>0.1</v>
      </c>
      <c r="Y300" t="str">
        <f>A!Y300</f>
        <v>urn:immetingen:eenheid:id:131</v>
      </c>
      <c r="Z300" s="32">
        <f t="shared" si="4"/>
        <v>131</v>
      </c>
      <c r="AA300" t="str">
        <f>A!Z300</f>
        <v>urn:immetingen:kwaliteitsoordeel:id:0</v>
      </c>
      <c r="AB300" t="str">
        <f>A!AA300</f>
        <v>www.sikb.nl</v>
      </c>
      <c r="AC300" t="str">
        <f>A!AB300</f>
        <v>urn:immetingen:waardebewerkingsmethode:id:5</v>
      </c>
      <c r="AD300" t="str">
        <f>A!AC300</f>
        <v>www.sikb.nl</v>
      </c>
      <c r="AE300" t="str">
        <f>A!AD300</f>
        <v>_8250b3b0-277b-4814-9ca3-aacc659d0816</v>
      </c>
      <c r="AF300">
        <f>A!AE300</f>
        <v>45811.618321759262</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32"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t="str">
        <f>A!CI300</f>
        <v>urn:imsikb0101:Applicaties:id:16</v>
      </c>
      <c r="CK300" t="str">
        <f>A!CJ300</f>
        <v>urn:imsikb0101:DatastroomType:id:1</v>
      </c>
      <c r="CL300">
        <f>A!CK300</f>
        <v>45811</v>
      </c>
      <c r="CM300" t="str">
        <f>A!CL300</f>
        <v>SGS, Rotterdam</v>
      </c>
      <c r="CN300" t="str">
        <f>A!CM300</f>
        <v>LABRESULTAAT SGS</v>
      </c>
      <c r="CO300">
        <f>A!CN300</f>
        <v>45811</v>
      </c>
      <c r="CP300">
        <f>A!CO300</f>
        <v>0</v>
      </c>
      <c r="CQ300">
        <f>A!CO610</f>
        <v>0</v>
      </c>
      <c r="CR300" t="e">
        <f>A!#REF!</f>
        <v>#REF!</v>
      </c>
      <c r="CS300" t="e">
        <f>A!#REF!</f>
        <v>#REF!</v>
      </c>
    </row>
    <row r="301" spans="1:97" x14ac:dyDescent="0.2">
      <c r="A301" t="str">
        <f>A!A301</f>
        <v>LABRESULTAAT</v>
      </c>
      <c r="B301">
        <f>A!B301</f>
        <v>120</v>
      </c>
      <c r="C301" t="str">
        <f>A!C301</f>
        <v>_18996d1c-741a-4b32-b36c-8ac4ea7530eb</v>
      </c>
      <c r="D301" t="str">
        <f>A!D301</f>
        <v>18996d1c-741a-4b32-b36c-8ac4ea7530eb</v>
      </c>
      <c r="E301" t="str">
        <f>A!E301</f>
        <v>SIKB</v>
      </c>
      <c r="F301" t="str">
        <f>A!F301</f>
        <v>urn:immetingen:hoedanigheid:id:1</v>
      </c>
      <c r="G301" t="str">
        <f>A!G301</f>
        <v>www.sikb.nl</v>
      </c>
      <c r="H301" t="str">
        <f>A!H301</f>
        <v>urn:immetingen:parameter:id:5577</v>
      </c>
      <c r="I301" t="str">
        <f>A!I301</f>
        <v>www.sikb.nl</v>
      </c>
      <c r="J301" t="str">
        <f>A!J301</f>
        <v>urn:immetingen:parameter:id:2725</v>
      </c>
      <c r="K301" t="str">
        <f>A!K301</f>
        <v>www.sikb.nl</v>
      </c>
      <c r="L301">
        <f>A!L301</f>
        <v>45811</v>
      </c>
      <c r="M301" t="str">
        <f>A!M301</f>
        <v>urn:immetingen:LabopdrachtStatus:id:5</v>
      </c>
      <c r="N301">
        <f>A!N301</f>
        <v>1</v>
      </c>
      <c r="O301">
        <f>A!O301</f>
        <v>1</v>
      </c>
      <c r="P301" s="32" t="str">
        <f>IF(A!P301="","",INDEX(B!$A$1:$BT$2000,MATCH(A!P301,B!$AX$1:$AX$2000,0),D!$B$5))</f>
        <v>MM04 04 (100-150) 05 (100-150)</v>
      </c>
      <c r="Q301">
        <f>A!Q301</f>
        <v>0</v>
      </c>
      <c r="R301">
        <f>A!R301</f>
        <v>0</v>
      </c>
      <c r="S301">
        <f>A!S301</f>
        <v>0</v>
      </c>
      <c r="T301" t="str">
        <f>A!T301</f>
        <v>immetingen:AnalyticResultType</v>
      </c>
      <c r="U301" t="str">
        <f>A!U301</f>
        <v>&lt;0.1 µg/kgds</v>
      </c>
      <c r="V301" s="32">
        <f>IF(A!V301="&lt;",1,A!V301)</f>
        <v>1</v>
      </c>
      <c r="W301">
        <f>A!W301</f>
        <v>0.1</v>
      </c>
      <c r="X301">
        <f>A!X301</f>
        <v>0.1</v>
      </c>
      <c r="Y301" t="str">
        <f>A!Y301</f>
        <v>urn:immetingen:eenheid:id:131</v>
      </c>
      <c r="Z301" s="32">
        <f t="shared" si="4"/>
        <v>131</v>
      </c>
      <c r="AA301" t="str">
        <f>A!Z301</f>
        <v>urn:immetingen:kwaliteitsoordeel:id:0</v>
      </c>
      <c r="AB301" t="str">
        <f>A!AA301</f>
        <v>www.sikb.nl</v>
      </c>
      <c r="AC301" t="str">
        <f>A!AB301</f>
        <v>urn:immetingen:waardebewerkingsmethode:id:5</v>
      </c>
      <c r="AD301" t="str">
        <f>A!AC301</f>
        <v>www.sikb.nl</v>
      </c>
      <c r="AE301" t="str">
        <f>A!AD301</f>
        <v>_256dfe8d-c8d0-4e6a-af68-738bdc182276</v>
      </c>
      <c r="AF301">
        <f>A!AE301</f>
        <v>45811.618101851855</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32"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t="str">
        <f>A!CI301</f>
        <v>urn:imsikb0101:Applicaties:id:16</v>
      </c>
      <c r="CK301" t="str">
        <f>A!CJ301</f>
        <v>urn:imsikb0101:DatastroomType:id:1</v>
      </c>
      <c r="CL301">
        <f>A!CK301</f>
        <v>45811</v>
      </c>
      <c r="CM301" t="str">
        <f>A!CL301</f>
        <v>SGS, Rotterdam</v>
      </c>
      <c r="CN301" t="str">
        <f>A!CM301</f>
        <v>LABRESULTAAT SGS</v>
      </c>
      <c r="CO301">
        <f>A!CN301</f>
        <v>45811</v>
      </c>
      <c r="CP301">
        <f>A!CO301</f>
        <v>0</v>
      </c>
      <c r="CQ301">
        <f>A!CO611</f>
        <v>0</v>
      </c>
      <c r="CR301" t="e">
        <f>A!#REF!</f>
        <v>#REF!</v>
      </c>
      <c r="CS301" t="e">
        <f>A!#REF!</f>
        <v>#REF!</v>
      </c>
    </row>
    <row r="302" spans="1:97" x14ac:dyDescent="0.2">
      <c r="A302" t="str">
        <f>A!A302</f>
        <v>LABRESULTAAT</v>
      </c>
      <c r="B302">
        <f>A!B302</f>
        <v>121</v>
      </c>
      <c r="C302" t="str">
        <f>A!C302</f>
        <v>_29551302-dccb-4050-aa49-6d2987fa1fa2</v>
      </c>
      <c r="D302" t="str">
        <f>A!D302</f>
        <v>29551302-dccb-4050-aa49-6d2987fa1fa2</v>
      </c>
      <c r="E302" t="str">
        <f>A!E302</f>
        <v>SIKB</v>
      </c>
      <c r="F302" t="str">
        <f>A!F302</f>
        <v>urn:immetingen:hoedanigheid:id:1</v>
      </c>
      <c r="G302" t="str">
        <f>A!G302</f>
        <v>www.sikb.nl</v>
      </c>
      <c r="H302" t="str">
        <f>A!H302</f>
        <v>urn:immetingen:parameter:id:5935</v>
      </c>
      <c r="I302" t="str">
        <f>A!I302</f>
        <v>www.sikb.nl</v>
      </c>
      <c r="J302" t="str">
        <f>A!J302</f>
        <v>urn:immetingen:parameter:id:2725</v>
      </c>
      <c r="K302" t="str">
        <f>A!K302</f>
        <v>www.sikb.nl</v>
      </c>
      <c r="L302">
        <f>A!L302</f>
        <v>45811</v>
      </c>
      <c r="M302" t="str">
        <f>A!M302</f>
        <v>urn:immetingen:LabopdrachtStatus:id:5</v>
      </c>
      <c r="N302">
        <f>A!N302</f>
        <v>1</v>
      </c>
      <c r="O302">
        <f>A!O302</f>
        <v>1</v>
      </c>
      <c r="P302" s="32" t="str">
        <f>IF(A!P302="","",INDEX(B!$A$1:$BT$2000,MATCH(A!P302,B!$AX$1:$AX$2000,0),D!$B$5))</f>
        <v>MM04 04 (100-150) 05 (100-150)</v>
      </c>
      <c r="Q302">
        <f>A!Q302</f>
        <v>0</v>
      </c>
      <c r="R302">
        <f>A!R302</f>
        <v>0</v>
      </c>
      <c r="S302">
        <f>A!S302</f>
        <v>0</v>
      </c>
      <c r="T302" t="str">
        <f>A!T302</f>
        <v>immetingen:AnalyticResultType</v>
      </c>
      <c r="U302" t="str">
        <f>A!U302</f>
        <v>&lt;0.1 µg/kgds</v>
      </c>
      <c r="V302" s="32">
        <f>IF(A!V302="&lt;",1,A!V302)</f>
        <v>1</v>
      </c>
      <c r="W302">
        <f>A!W302</f>
        <v>0.1</v>
      </c>
      <c r="X302">
        <f>A!X302</f>
        <v>0.1</v>
      </c>
      <c r="Y302" t="str">
        <f>A!Y302</f>
        <v>urn:immetingen:eenheid:id:131</v>
      </c>
      <c r="Z302" s="32">
        <f t="shared" si="4"/>
        <v>131</v>
      </c>
      <c r="AA302" t="str">
        <f>A!Z302</f>
        <v>urn:immetingen:kwaliteitsoordeel:id:0</v>
      </c>
      <c r="AB302" t="str">
        <f>A!AA302</f>
        <v>www.sikb.nl</v>
      </c>
      <c r="AC302" t="str">
        <f>A!AB302</f>
        <v>urn:immetingen:waardebewerkingsmethode:id:5</v>
      </c>
      <c r="AD302" t="str">
        <f>A!AC302</f>
        <v>www.sikb.nl</v>
      </c>
      <c r="AE302" t="str">
        <f>A!AD302</f>
        <v>_d2b4caf7-c36a-4a58-8cb7-71790e04df52</v>
      </c>
      <c r="AF302">
        <f>A!AE302</f>
        <v>45811.618101851855</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32"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t="str">
        <f>A!CI302</f>
        <v>urn:imsikb0101:Applicaties:id:16</v>
      </c>
      <c r="CK302" t="str">
        <f>A!CJ302</f>
        <v>urn:imsikb0101:DatastroomType:id:1</v>
      </c>
      <c r="CL302">
        <f>A!CK302</f>
        <v>45811</v>
      </c>
      <c r="CM302" t="str">
        <f>A!CL302</f>
        <v>SGS, Rotterdam</v>
      </c>
      <c r="CN302" t="str">
        <f>A!CM302</f>
        <v>LABRESULTAAT SGS</v>
      </c>
      <c r="CO302">
        <f>A!CN302</f>
        <v>45811</v>
      </c>
      <c r="CP302">
        <f>A!CO302</f>
        <v>0</v>
      </c>
      <c r="CQ302">
        <f>A!CO612</f>
        <v>0</v>
      </c>
      <c r="CR302" t="e">
        <f>A!#REF!</f>
        <v>#REF!</v>
      </c>
      <c r="CS302" t="e">
        <f>A!#REF!</f>
        <v>#REF!</v>
      </c>
    </row>
    <row r="303" spans="1:97" x14ac:dyDescent="0.2">
      <c r="A303" t="str">
        <f>A!A303</f>
        <v>LABRESULTAAT</v>
      </c>
      <c r="B303">
        <f>A!B303</f>
        <v>122</v>
      </c>
      <c r="C303" t="str">
        <f>A!C303</f>
        <v>_2ec74f11-7339-4472-9da9-bf6d001f1962</v>
      </c>
      <c r="D303" t="str">
        <f>A!D303</f>
        <v>2ec74f11-7339-4472-9da9-bf6d001f1962</v>
      </c>
      <c r="E303" t="str">
        <f>A!E303</f>
        <v>SIKB</v>
      </c>
      <c r="F303" t="str">
        <f>A!F303</f>
        <v>urn:immetingen:hoedanigheid:id:1</v>
      </c>
      <c r="G303" t="str">
        <f>A!G303</f>
        <v>www.sikb.nl</v>
      </c>
      <c r="H303" t="str">
        <f>A!H303</f>
        <v>urn:immetingen:parameter:id:4448</v>
      </c>
      <c r="I303" t="str">
        <f>A!I303</f>
        <v>www.sikb.nl</v>
      </c>
      <c r="J303" t="str">
        <f>A!J303</f>
        <v>urn:immetingen:parameter:id:2725</v>
      </c>
      <c r="K303" t="str">
        <f>A!K303</f>
        <v>www.sikb.nl</v>
      </c>
      <c r="L303">
        <f>A!L303</f>
        <v>45811</v>
      </c>
      <c r="M303" t="str">
        <f>A!M303</f>
        <v>urn:immetingen:LabopdrachtStatus:id:5</v>
      </c>
      <c r="N303">
        <f>A!N303</f>
        <v>1</v>
      </c>
      <c r="O303">
        <f>A!O303</f>
        <v>1</v>
      </c>
      <c r="P303" s="32" t="str">
        <f>IF(A!P303="","",INDEX(B!$A$1:$BT$2000,MATCH(A!P303,B!$AX$1:$AX$2000,0),D!$B$5))</f>
        <v>MM04 04 (100-150) 05 (100-150)</v>
      </c>
      <c r="Q303">
        <f>A!Q303</f>
        <v>0</v>
      </c>
      <c r="R303">
        <f>A!R303</f>
        <v>0</v>
      </c>
      <c r="S303">
        <f>A!S303</f>
        <v>0</v>
      </c>
      <c r="T303" t="str">
        <f>A!T303</f>
        <v>immetingen:AnalyticResultType</v>
      </c>
      <c r="U303" t="str">
        <f>A!U303</f>
        <v>&lt;0.1 µg/kgds</v>
      </c>
      <c r="V303" s="32">
        <f>IF(A!V303="&lt;",1,A!V303)</f>
        <v>1</v>
      </c>
      <c r="W303">
        <f>A!W303</f>
        <v>0.1</v>
      </c>
      <c r="X303">
        <f>A!X303</f>
        <v>0.1</v>
      </c>
      <c r="Y303" t="str">
        <f>A!Y303</f>
        <v>urn:immetingen:eenheid:id:131</v>
      </c>
      <c r="Z303" s="32">
        <f t="shared" si="4"/>
        <v>131</v>
      </c>
      <c r="AA303" t="str">
        <f>A!Z303</f>
        <v>urn:immetingen:kwaliteitsoordeel:id:0</v>
      </c>
      <c r="AB303" t="str">
        <f>A!AA303</f>
        <v>www.sikb.nl</v>
      </c>
      <c r="AC303" t="str">
        <f>A!AB303</f>
        <v>urn:immetingen:waardebewerkingsmethode:id:5</v>
      </c>
      <c r="AD303" t="str">
        <f>A!AC303</f>
        <v>www.sikb.nl</v>
      </c>
      <c r="AE303" t="str">
        <f>A!AD303</f>
        <v>_7466c7fa-30e5-4cd5-b3e8-cbd0683d0404</v>
      </c>
      <c r="AF303">
        <f>A!AE303</f>
        <v>45811.618101851855</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32"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t="str">
        <f>A!CI303</f>
        <v>urn:imsikb0101:Applicaties:id:16</v>
      </c>
      <c r="CK303" t="str">
        <f>A!CJ303</f>
        <v>urn:imsikb0101:DatastroomType:id:1</v>
      </c>
      <c r="CL303">
        <f>A!CK303</f>
        <v>45811</v>
      </c>
      <c r="CM303" t="str">
        <f>A!CL303</f>
        <v>SGS, Rotterdam</v>
      </c>
      <c r="CN303" t="str">
        <f>A!CM303</f>
        <v>LABRESULTAAT SGS</v>
      </c>
      <c r="CO303">
        <f>A!CN303</f>
        <v>45811</v>
      </c>
      <c r="CP303">
        <f>A!CO303</f>
        <v>0</v>
      </c>
      <c r="CQ303">
        <f>A!CO613</f>
        <v>0</v>
      </c>
      <c r="CR303" t="e">
        <f>A!#REF!</f>
        <v>#REF!</v>
      </c>
      <c r="CS303" t="e">
        <f>A!#REF!</f>
        <v>#REF!</v>
      </c>
    </row>
    <row r="304" spans="1:97" x14ac:dyDescent="0.2">
      <c r="A304" t="str">
        <f>A!A304</f>
        <v>LABRESULTAAT</v>
      </c>
      <c r="B304">
        <f>A!B304</f>
        <v>123</v>
      </c>
      <c r="C304" t="str">
        <f>A!C304</f>
        <v>_40770099-88c8-4da0-b564-f563c08f6342</v>
      </c>
      <c r="D304" t="str">
        <f>A!D304</f>
        <v>40770099-88c8-4da0-b564-f563c08f6342</v>
      </c>
      <c r="E304" t="str">
        <f>A!E304</f>
        <v>SIKB</v>
      </c>
      <c r="F304" t="str">
        <f>A!F304</f>
        <v>urn:immetingen:hoedanigheid:id:1</v>
      </c>
      <c r="G304" t="str">
        <f>A!G304</f>
        <v>www.sikb.nl</v>
      </c>
      <c r="H304" t="str">
        <f>A!H304</f>
        <v>urn:immetingen:parameter:id:4451</v>
      </c>
      <c r="I304" t="str">
        <f>A!I304</f>
        <v>www.sikb.nl</v>
      </c>
      <c r="J304" t="str">
        <f>A!J304</f>
        <v>urn:immetingen:parameter:id:2725</v>
      </c>
      <c r="K304" t="str">
        <f>A!K304</f>
        <v>www.sikb.nl</v>
      </c>
      <c r="L304">
        <f>A!L304</f>
        <v>45811</v>
      </c>
      <c r="M304" t="str">
        <f>A!M304</f>
        <v>urn:immetingen:LabopdrachtStatus:id:5</v>
      </c>
      <c r="N304">
        <f>A!N304</f>
        <v>1</v>
      </c>
      <c r="O304">
        <f>A!O304</f>
        <v>1</v>
      </c>
      <c r="P304" s="32" t="str">
        <f>IF(A!P304="","",INDEX(B!$A$1:$BT$2000,MATCH(A!P304,B!$AX$1:$AX$2000,0),D!$B$5))</f>
        <v>MM04 04 (100-150) 05 (100-150)</v>
      </c>
      <c r="Q304">
        <f>A!Q304</f>
        <v>0</v>
      </c>
      <c r="R304">
        <f>A!R304</f>
        <v>0</v>
      </c>
      <c r="S304">
        <f>A!S304</f>
        <v>0</v>
      </c>
      <c r="T304" t="str">
        <f>A!T304</f>
        <v>immetingen:AnalyticResultType</v>
      </c>
      <c r="U304" t="str">
        <f>A!U304</f>
        <v>&lt;0.1 µg/kgds</v>
      </c>
      <c r="V304" s="32">
        <f>IF(A!V304="&lt;",1,A!V304)</f>
        <v>1</v>
      </c>
      <c r="W304">
        <f>A!W304</f>
        <v>0.1</v>
      </c>
      <c r="X304">
        <f>A!X304</f>
        <v>0.1</v>
      </c>
      <c r="Y304" t="str">
        <f>A!Y304</f>
        <v>urn:immetingen:eenheid:id:131</v>
      </c>
      <c r="Z304" s="32">
        <f t="shared" si="4"/>
        <v>131</v>
      </c>
      <c r="AA304" t="str">
        <f>A!Z304</f>
        <v>urn:immetingen:kwaliteitsoordeel:id:0</v>
      </c>
      <c r="AB304" t="str">
        <f>A!AA304</f>
        <v>www.sikb.nl</v>
      </c>
      <c r="AC304" t="str">
        <f>A!AB304</f>
        <v>urn:immetingen:waardebewerkingsmethode:id:5</v>
      </c>
      <c r="AD304" t="str">
        <f>A!AC304</f>
        <v>www.sikb.nl</v>
      </c>
      <c r="AE304" t="str">
        <f>A!AD304</f>
        <v>_e941de2b-db37-4370-8bab-8bbe9de79aee</v>
      </c>
      <c r="AF304">
        <f>A!AE304</f>
        <v>45811.618101851855</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32"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t="str">
        <f>A!CI304</f>
        <v>urn:imsikb0101:Applicaties:id:16</v>
      </c>
      <c r="CK304" t="str">
        <f>A!CJ304</f>
        <v>urn:imsikb0101:DatastroomType:id:1</v>
      </c>
      <c r="CL304">
        <f>A!CK304</f>
        <v>45811</v>
      </c>
      <c r="CM304" t="str">
        <f>A!CL304</f>
        <v>SGS, Rotterdam</v>
      </c>
      <c r="CN304" t="str">
        <f>A!CM304</f>
        <v>LABRESULTAAT SGS</v>
      </c>
      <c r="CO304">
        <f>A!CN304</f>
        <v>45811</v>
      </c>
      <c r="CP304">
        <f>A!CO304</f>
        <v>0</v>
      </c>
      <c r="CQ304">
        <f>A!CO614</f>
        <v>0</v>
      </c>
      <c r="CR304" t="e">
        <f>A!#REF!</f>
        <v>#REF!</v>
      </c>
      <c r="CS304" t="e">
        <f>A!#REF!</f>
        <v>#REF!</v>
      </c>
    </row>
    <row r="305" spans="1:97" x14ac:dyDescent="0.2">
      <c r="A305" t="str">
        <f>A!A305</f>
        <v>LABRESULTAAT</v>
      </c>
      <c r="B305">
        <f>A!B305</f>
        <v>124</v>
      </c>
      <c r="C305" t="str">
        <f>A!C305</f>
        <v>_2a1dab39-e292-4a23-bdb0-d539550a68dd</v>
      </c>
      <c r="D305" t="str">
        <f>A!D305</f>
        <v>2a1dab39-e292-4a23-bdb0-d539550a68dd</v>
      </c>
      <c r="E305" t="str">
        <f>A!E305</f>
        <v>SIKB</v>
      </c>
      <c r="F305" t="str">
        <f>A!F305</f>
        <v>urn:immetingen:hoedanigheid:id:86</v>
      </c>
      <c r="G305" t="str">
        <f>A!G305</f>
        <v>www.sikb.nl</v>
      </c>
      <c r="H305" t="str">
        <f>A!H305</f>
        <v>urn:immetingen:parameter:id:1200</v>
      </c>
      <c r="I305" t="str">
        <f>A!I305</f>
        <v>www.sikb.nl</v>
      </c>
      <c r="J305" t="str">
        <f>A!J305</f>
        <v>urn:immetingen:parameter:id:2725</v>
      </c>
      <c r="K305" t="str">
        <f>A!K305</f>
        <v>www.sikb.nl</v>
      </c>
      <c r="L305">
        <f>A!L305</f>
        <v>45811</v>
      </c>
      <c r="M305" t="str">
        <f>A!M305</f>
        <v>urn:immetingen:LabopdrachtStatus:id:5</v>
      </c>
      <c r="N305">
        <f>A!N305</f>
        <v>1</v>
      </c>
      <c r="O305">
        <f>A!O305</f>
        <v>1</v>
      </c>
      <c r="P305" s="32" t="str">
        <f>IF(A!P305="","",INDEX(B!$A$1:$BT$2000,MATCH(A!P305,B!$AX$1:$AX$2000,0),D!$B$5))</f>
        <v>MM04 04 (100-150) 05 (100-150)</v>
      </c>
      <c r="Q305">
        <f>A!Q305</f>
        <v>0</v>
      </c>
      <c r="R305">
        <f>A!R305</f>
        <v>0</v>
      </c>
      <c r="S305">
        <f>A!S305</f>
        <v>0</v>
      </c>
      <c r="T305" t="str">
        <f>A!T305</f>
        <v>immetingen:AnalyticResultType</v>
      </c>
      <c r="U305" t="str">
        <f>A!U305</f>
        <v>&lt;5 mg/kgds</v>
      </c>
      <c r="V305" s="32">
        <f>IF(A!V305="&lt;",1,A!V305)</f>
        <v>1</v>
      </c>
      <c r="W305">
        <f>A!W305</f>
        <v>5</v>
      </c>
      <c r="X305">
        <f>A!X305</f>
        <v>5</v>
      </c>
      <c r="Y305" t="str">
        <f>A!Y305</f>
        <v>urn:immetingen:eenheid:id:58</v>
      </c>
      <c r="Z305" s="32">
        <f t="shared" si="4"/>
        <v>58</v>
      </c>
      <c r="AA305" t="str">
        <f>A!Z305</f>
        <v>urn:immetingen:kwaliteitsoordeel:id:0</v>
      </c>
      <c r="AB305" t="str">
        <f>A!AA305</f>
        <v>www.sikb.nl</v>
      </c>
      <c r="AC305" t="str">
        <f>A!AB305</f>
        <v>urn:immetingen:waardebewerkingsmethode:id:5</v>
      </c>
      <c r="AD305" t="str">
        <f>A!AC305</f>
        <v>www.sikb.nl</v>
      </c>
      <c r="AE305" t="str">
        <f>A!AD305</f>
        <v>_6b50bce0-e1ac-47bc-9d83-e8dc7cc832e6</v>
      </c>
      <c r="AF305">
        <f>A!AE305</f>
        <v>45811.321689814817</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32"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t="str">
        <f>A!CI305</f>
        <v>urn:imsikb0101:Applicaties:id:16</v>
      </c>
      <c r="CK305" t="str">
        <f>A!CJ305</f>
        <v>urn:imsikb0101:DatastroomType:id:1</v>
      </c>
      <c r="CL305">
        <f>A!CK305</f>
        <v>45811</v>
      </c>
      <c r="CM305" t="str">
        <f>A!CL305</f>
        <v>SGS, Rotterdam</v>
      </c>
      <c r="CN305" t="str">
        <f>A!CM305</f>
        <v>LABRESULTAAT SGS</v>
      </c>
      <c r="CO305">
        <f>A!CN305</f>
        <v>45811</v>
      </c>
      <c r="CP305">
        <f>A!CO305</f>
        <v>0</v>
      </c>
      <c r="CQ305">
        <f>A!CO615</f>
        <v>0</v>
      </c>
      <c r="CR305" t="e">
        <f>A!#REF!</f>
        <v>#REF!</v>
      </c>
      <c r="CS305" t="e">
        <f>A!#REF!</f>
        <v>#REF!</v>
      </c>
    </row>
    <row r="306" spans="1:97" x14ac:dyDescent="0.2">
      <c r="A306" t="str">
        <f>A!A306</f>
        <v>LABRESULTAAT</v>
      </c>
      <c r="B306">
        <f>A!B306</f>
        <v>125</v>
      </c>
      <c r="C306" t="str">
        <f>A!C306</f>
        <v>_fcc3fb75-9f46-4cf9-abd3-5ceee96b5764</v>
      </c>
      <c r="D306" t="str">
        <f>A!D306</f>
        <v>fcc3fb75-9f46-4cf9-abd3-5ceee96b5764</v>
      </c>
      <c r="E306" t="str">
        <f>A!E306</f>
        <v>SIKB</v>
      </c>
      <c r="F306" t="str">
        <f>A!F306</f>
        <v>urn:immetingen:hoedanigheid:id:99</v>
      </c>
      <c r="G306" t="str">
        <f>A!G306</f>
        <v>www.sikb.nl</v>
      </c>
      <c r="H306" t="str">
        <f>A!H306</f>
        <v>urn:immetingen:parameter:id:1200</v>
      </c>
      <c r="I306" t="str">
        <f>A!I306</f>
        <v>www.sikb.nl</v>
      </c>
      <c r="J306" t="str">
        <f>A!J306</f>
        <v>urn:immetingen:parameter:id:2725</v>
      </c>
      <c r="K306" t="str">
        <f>A!K306</f>
        <v>www.sikb.nl</v>
      </c>
      <c r="L306">
        <f>A!L306</f>
        <v>45811</v>
      </c>
      <c r="M306" t="str">
        <f>A!M306</f>
        <v>urn:immetingen:LabopdrachtStatus:id:5</v>
      </c>
      <c r="N306">
        <f>A!N306</f>
        <v>1</v>
      </c>
      <c r="O306">
        <f>A!O306</f>
        <v>1</v>
      </c>
      <c r="P306" s="32" t="str">
        <f>IF(A!P306="","",INDEX(B!$A$1:$BT$2000,MATCH(A!P306,B!$AX$1:$AX$2000,0),D!$B$5))</f>
        <v>MM04 04 (100-150) 05 (100-150)</v>
      </c>
      <c r="Q306">
        <f>A!Q306</f>
        <v>0</v>
      </c>
      <c r="R306">
        <f>A!R306</f>
        <v>0</v>
      </c>
      <c r="S306">
        <f>A!S306</f>
        <v>0</v>
      </c>
      <c r="T306" t="str">
        <f>A!T306</f>
        <v>immetingen:AnalyticResultType</v>
      </c>
      <c r="U306" t="str">
        <f>A!U306</f>
        <v>&lt;5 mg/kgds</v>
      </c>
      <c r="V306" s="32">
        <f>IF(A!V306="&lt;",1,A!V306)</f>
        <v>1</v>
      </c>
      <c r="W306">
        <f>A!W306</f>
        <v>5</v>
      </c>
      <c r="X306">
        <f>A!X306</f>
        <v>5</v>
      </c>
      <c r="Y306" t="str">
        <f>A!Y306</f>
        <v>urn:immetingen:eenheid:id:58</v>
      </c>
      <c r="Z306" s="32">
        <f t="shared" si="4"/>
        <v>58</v>
      </c>
      <c r="AA306" t="str">
        <f>A!Z306</f>
        <v>urn:immetingen:kwaliteitsoordeel:id:0</v>
      </c>
      <c r="AB306" t="str">
        <f>A!AA306</f>
        <v>www.sikb.nl</v>
      </c>
      <c r="AC306" t="str">
        <f>A!AB306</f>
        <v>urn:immetingen:waardebewerkingsmethode:id:5</v>
      </c>
      <c r="AD306" t="str">
        <f>A!AC306</f>
        <v>www.sikb.nl</v>
      </c>
      <c r="AE306" t="str">
        <f>A!AD306</f>
        <v>_ed4844bf-1cc7-489a-abb9-ebb31a7827b7</v>
      </c>
      <c r="AF306">
        <f>A!AE306</f>
        <v>45811.321689814817</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32"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t="str">
        <f>A!CI306</f>
        <v>urn:imsikb0101:Applicaties:id:16</v>
      </c>
      <c r="CK306" t="str">
        <f>A!CJ306</f>
        <v>urn:imsikb0101:DatastroomType:id:1</v>
      </c>
      <c r="CL306">
        <f>A!CK306</f>
        <v>45811</v>
      </c>
      <c r="CM306" t="str">
        <f>A!CL306</f>
        <v>SGS, Rotterdam</v>
      </c>
      <c r="CN306" t="str">
        <f>A!CM306</f>
        <v>LABRESULTAAT SGS</v>
      </c>
      <c r="CO306">
        <f>A!CN306</f>
        <v>45811</v>
      </c>
      <c r="CP306">
        <f>A!CO306</f>
        <v>0</v>
      </c>
      <c r="CQ306">
        <f>A!CO616</f>
        <v>0</v>
      </c>
      <c r="CR306" t="e">
        <f>A!#REF!</f>
        <v>#REF!</v>
      </c>
      <c r="CS306" t="e">
        <f>A!#REF!</f>
        <v>#REF!</v>
      </c>
    </row>
    <row r="307" spans="1:97" x14ac:dyDescent="0.2">
      <c r="A307" t="str">
        <f>A!A307</f>
        <v>LABRESULTAAT</v>
      </c>
      <c r="B307">
        <f>A!B307</f>
        <v>126</v>
      </c>
      <c r="C307" t="str">
        <f>A!C307</f>
        <v>_2459a3cb-4c7d-4d41-b71b-716d19819a1d</v>
      </c>
      <c r="D307" t="str">
        <f>A!D307</f>
        <v>2459a3cb-4c7d-4d41-b71b-716d19819a1d</v>
      </c>
      <c r="E307" t="str">
        <f>A!E307</f>
        <v>SIKB</v>
      </c>
      <c r="F307" t="str">
        <f>A!F307</f>
        <v>urn:immetingen:hoedanigheid:id:114</v>
      </c>
      <c r="G307" t="str">
        <f>A!G307</f>
        <v>www.sikb.nl</v>
      </c>
      <c r="H307" t="str">
        <f>A!H307</f>
        <v>urn:immetingen:parameter:id:1200</v>
      </c>
      <c r="I307" t="str">
        <f>A!I307</f>
        <v>www.sikb.nl</v>
      </c>
      <c r="J307" t="str">
        <f>A!J307</f>
        <v>urn:immetingen:parameter:id:2725</v>
      </c>
      <c r="K307" t="str">
        <f>A!K307</f>
        <v>www.sikb.nl</v>
      </c>
      <c r="L307">
        <f>A!L307</f>
        <v>45811</v>
      </c>
      <c r="M307" t="str">
        <f>A!M307</f>
        <v>urn:immetingen:LabopdrachtStatus:id:5</v>
      </c>
      <c r="N307">
        <f>A!N307</f>
        <v>1</v>
      </c>
      <c r="O307">
        <f>A!O307</f>
        <v>1</v>
      </c>
      <c r="P307" s="32" t="str">
        <f>IF(A!P307="","",INDEX(B!$A$1:$BT$2000,MATCH(A!P307,B!$AX$1:$AX$2000,0),D!$B$5))</f>
        <v>MM04 04 (100-150) 05 (100-150)</v>
      </c>
      <c r="Q307">
        <f>A!Q307</f>
        <v>0</v>
      </c>
      <c r="R307">
        <f>A!R307</f>
        <v>0</v>
      </c>
      <c r="S307">
        <f>A!S307</f>
        <v>0</v>
      </c>
      <c r="T307" t="str">
        <f>A!T307</f>
        <v>immetingen:AnalyticResultType</v>
      </c>
      <c r="U307" t="str">
        <f>A!U307</f>
        <v>&lt;5 mg/kgds</v>
      </c>
      <c r="V307" s="32">
        <f>IF(A!V307="&lt;",1,A!V307)</f>
        <v>1</v>
      </c>
      <c r="W307">
        <f>A!W307</f>
        <v>5</v>
      </c>
      <c r="X307">
        <f>A!X307</f>
        <v>5</v>
      </c>
      <c r="Y307" t="str">
        <f>A!Y307</f>
        <v>urn:immetingen:eenheid:id:58</v>
      </c>
      <c r="Z307" s="32">
        <f t="shared" si="4"/>
        <v>58</v>
      </c>
      <c r="AA307" t="str">
        <f>A!Z307</f>
        <v>urn:immetingen:kwaliteitsoordeel:id:0</v>
      </c>
      <c r="AB307" t="str">
        <f>A!AA307</f>
        <v>www.sikb.nl</v>
      </c>
      <c r="AC307" t="str">
        <f>A!AB307</f>
        <v>urn:immetingen:waardebewerkingsmethode:id:5</v>
      </c>
      <c r="AD307" t="str">
        <f>A!AC307</f>
        <v>www.sikb.nl</v>
      </c>
      <c r="AE307" t="str">
        <f>A!AD307</f>
        <v>_93987b1b-b801-43d6-bced-fa2ecd258d24</v>
      </c>
      <c r="AF307">
        <f>A!AE307</f>
        <v>45811.321689814817</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32"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t="str">
        <f>A!CI307</f>
        <v>urn:imsikb0101:Applicaties:id:16</v>
      </c>
      <c r="CK307" t="str">
        <f>A!CJ307</f>
        <v>urn:imsikb0101:DatastroomType:id:1</v>
      </c>
      <c r="CL307">
        <f>A!CK307</f>
        <v>45811</v>
      </c>
      <c r="CM307" t="str">
        <f>A!CL307</f>
        <v>SGS, Rotterdam</v>
      </c>
      <c r="CN307" t="str">
        <f>A!CM307</f>
        <v>LABRESULTAAT SGS</v>
      </c>
      <c r="CO307">
        <f>A!CN307</f>
        <v>45811</v>
      </c>
      <c r="CP307">
        <f>A!CO307</f>
        <v>0</v>
      </c>
      <c r="CQ307">
        <f>A!CO617</f>
        <v>0</v>
      </c>
      <c r="CR307" t="e">
        <f>A!#REF!</f>
        <v>#REF!</v>
      </c>
      <c r="CS307" t="e">
        <f>A!#REF!</f>
        <v>#REF!</v>
      </c>
    </row>
    <row r="308" spans="1:97" x14ac:dyDescent="0.2">
      <c r="A308" t="str">
        <f>A!A308</f>
        <v>LABRESULTAAT</v>
      </c>
      <c r="B308">
        <f>A!B308</f>
        <v>127</v>
      </c>
      <c r="C308" t="str">
        <f>A!C308</f>
        <v>_aaa669fb-6afe-4d07-be1a-50cef23d252b</v>
      </c>
      <c r="D308" t="str">
        <f>A!D308</f>
        <v>aaa669fb-6afe-4d07-be1a-50cef23d252b</v>
      </c>
      <c r="E308" t="str">
        <f>A!E308</f>
        <v>SIKB</v>
      </c>
      <c r="F308" t="str">
        <f>A!F308</f>
        <v>urn:immetingen:hoedanigheid:id:122</v>
      </c>
      <c r="G308" t="str">
        <f>A!G308</f>
        <v>www.sikb.nl</v>
      </c>
      <c r="H308" t="str">
        <f>A!H308</f>
        <v>urn:immetingen:parameter:id:1200</v>
      </c>
      <c r="I308" t="str">
        <f>A!I308</f>
        <v>www.sikb.nl</v>
      </c>
      <c r="J308" t="str">
        <f>A!J308</f>
        <v>urn:immetingen:parameter:id:2725</v>
      </c>
      <c r="K308" t="str">
        <f>A!K308</f>
        <v>www.sikb.nl</v>
      </c>
      <c r="L308">
        <f>A!L308</f>
        <v>45811</v>
      </c>
      <c r="M308" t="str">
        <f>A!M308</f>
        <v>urn:immetingen:LabopdrachtStatus:id:5</v>
      </c>
      <c r="N308">
        <f>A!N308</f>
        <v>1</v>
      </c>
      <c r="O308">
        <f>A!O308</f>
        <v>1</v>
      </c>
      <c r="P308" s="32" t="str">
        <f>IF(A!P308="","",INDEX(B!$A$1:$BT$2000,MATCH(A!P308,B!$AX$1:$AX$2000,0),D!$B$5))</f>
        <v>MM04 04 (100-150) 05 (100-150)</v>
      </c>
      <c r="Q308">
        <f>A!Q308</f>
        <v>0</v>
      </c>
      <c r="R308">
        <f>A!R308</f>
        <v>0</v>
      </c>
      <c r="S308">
        <f>A!S308</f>
        <v>0</v>
      </c>
      <c r="T308" t="str">
        <f>A!T308</f>
        <v>immetingen:AnalyticResultType</v>
      </c>
      <c r="U308" t="str">
        <f>A!U308</f>
        <v>&lt;5 mg/kgds</v>
      </c>
      <c r="V308" s="32">
        <f>IF(A!V308="&lt;",1,A!V308)</f>
        <v>1</v>
      </c>
      <c r="W308">
        <f>A!W308</f>
        <v>5</v>
      </c>
      <c r="X308">
        <f>A!X308</f>
        <v>5</v>
      </c>
      <c r="Y308" t="str">
        <f>A!Y308</f>
        <v>urn:immetingen:eenheid:id:58</v>
      </c>
      <c r="Z308" s="32">
        <f t="shared" si="4"/>
        <v>58</v>
      </c>
      <c r="AA308" t="str">
        <f>A!Z308</f>
        <v>urn:immetingen:kwaliteitsoordeel:id:0</v>
      </c>
      <c r="AB308" t="str">
        <f>A!AA308</f>
        <v>www.sikb.nl</v>
      </c>
      <c r="AC308" t="str">
        <f>A!AB308</f>
        <v>urn:immetingen:waardebewerkingsmethode:id:5</v>
      </c>
      <c r="AD308" t="str">
        <f>A!AC308</f>
        <v>www.sikb.nl</v>
      </c>
      <c r="AE308" t="str">
        <f>A!AD308</f>
        <v>_fd75d3f6-8fbb-4150-9bf2-adbb90f7cfcb</v>
      </c>
      <c r="AF308">
        <f>A!AE308</f>
        <v>45811.321689814817</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32"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t="str">
        <f>A!CI308</f>
        <v>urn:imsikb0101:Applicaties:id:16</v>
      </c>
      <c r="CK308" t="str">
        <f>A!CJ308</f>
        <v>urn:imsikb0101:DatastroomType:id:1</v>
      </c>
      <c r="CL308">
        <f>A!CK308</f>
        <v>45811</v>
      </c>
      <c r="CM308" t="str">
        <f>A!CL308</f>
        <v>SGS, Rotterdam</v>
      </c>
      <c r="CN308" t="str">
        <f>A!CM308</f>
        <v>LABRESULTAAT SGS</v>
      </c>
      <c r="CO308">
        <f>A!CN308</f>
        <v>45811</v>
      </c>
      <c r="CP308">
        <f>A!CO308</f>
        <v>0</v>
      </c>
      <c r="CQ308">
        <f>A!CO618</f>
        <v>0</v>
      </c>
      <c r="CR308" t="e">
        <f>A!#REF!</f>
        <v>#REF!</v>
      </c>
      <c r="CS308" t="e">
        <f>A!#REF!</f>
        <v>#REF!</v>
      </c>
    </row>
    <row r="309" spans="1:97" x14ac:dyDescent="0.2">
      <c r="A309" t="str">
        <f>A!A309</f>
        <v>LABRESULTAAT</v>
      </c>
      <c r="B309">
        <f>A!B309</f>
        <v>128</v>
      </c>
      <c r="C309" t="str">
        <f>A!C309</f>
        <v>_a36b7307-7353-45bc-b8bb-c08d09291fd0</v>
      </c>
      <c r="D309" t="str">
        <f>A!D309</f>
        <v>a36b7307-7353-45bc-b8bb-c08d09291fd0</v>
      </c>
      <c r="E309" t="str">
        <f>A!E309</f>
        <v>SIKB</v>
      </c>
      <c r="F309" t="str">
        <f>A!F309</f>
        <v>urn:immetingen:hoedanigheid:id:93</v>
      </c>
      <c r="G309" t="str">
        <f>A!G309</f>
        <v>www.sikb.nl</v>
      </c>
      <c r="H309" t="str">
        <f>A!H309</f>
        <v>urn:immetingen:parameter:id:1200</v>
      </c>
      <c r="I309" t="str">
        <f>A!I309</f>
        <v>www.sikb.nl</v>
      </c>
      <c r="J309" t="str">
        <f>A!J309</f>
        <v>urn:immetingen:parameter:id:2725</v>
      </c>
      <c r="K309" t="str">
        <f>A!K309</f>
        <v>www.sikb.nl</v>
      </c>
      <c r="L309">
        <f>A!L309</f>
        <v>45811</v>
      </c>
      <c r="M309" t="str">
        <f>A!M309</f>
        <v>urn:immetingen:LabopdrachtStatus:id:5</v>
      </c>
      <c r="N309">
        <f>A!N309</f>
        <v>1</v>
      </c>
      <c r="O309">
        <f>A!O309</f>
        <v>1</v>
      </c>
      <c r="P309" s="32" t="str">
        <f>IF(A!P309="","",INDEX(B!$A$1:$BT$2000,MATCH(A!P309,B!$AX$1:$AX$2000,0),D!$B$5))</f>
        <v>MM06 04 (200-250) 04 (250-300) 05 (200-250) 05 (250-300)</v>
      </c>
      <c r="Q309">
        <f>A!Q309</f>
        <v>0</v>
      </c>
      <c r="R309">
        <f>A!R309</f>
        <v>0</v>
      </c>
      <c r="S309">
        <f>A!S309</f>
        <v>0</v>
      </c>
      <c r="T309" t="str">
        <f>A!T309</f>
        <v>immetingen:AnalyticResultType</v>
      </c>
      <c r="U309" t="str">
        <f>A!U309</f>
        <v>&lt;20 mg/kgds</v>
      </c>
      <c r="V309" s="32">
        <f>IF(A!V309="&lt;",1,A!V309)</f>
        <v>1</v>
      </c>
      <c r="W309">
        <f>A!W309</f>
        <v>20</v>
      </c>
      <c r="X309">
        <f>A!X309</f>
        <v>20</v>
      </c>
      <c r="Y309" t="str">
        <f>A!Y309</f>
        <v>urn:immetingen:eenheid:id:58</v>
      </c>
      <c r="Z309" s="32">
        <f t="shared" si="4"/>
        <v>58</v>
      </c>
      <c r="AA309" t="str">
        <f>A!Z309</f>
        <v>urn:immetingen:kwaliteitsoordeel:id:0</v>
      </c>
      <c r="AB309" t="str">
        <f>A!AA309</f>
        <v>www.sikb.nl</v>
      </c>
      <c r="AC309" t="str">
        <f>A!AB309</f>
        <v>urn:immetingen:waardebewerkingsmethode:id:5</v>
      </c>
      <c r="AD309" t="str">
        <f>A!AC309</f>
        <v>www.sikb.nl</v>
      </c>
      <c r="AE309" t="str">
        <f>A!AD309</f>
        <v>_b51cb5c2-75be-4f43-ada2-143126ebdec5</v>
      </c>
      <c r="AF309">
        <f>A!AE309</f>
        <v>45811.32167824074</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32"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t="str">
        <f>A!CI309</f>
        <v>urn:imsikb0101:Applicaties:id:16</v>
      </c>
      <c r="CK309" t="str">
        <f>A!CJ309</f>
        <v>urn:imsikb0101:DatastroomType:id:1</v>
      </c>
      <c r="CL309">
        <f>A!CK309</f>
        <v>45811</v>
      </c>
      <c r="CM309" t="str">
        <f>A!CL309</f>
        <v>SGS, Rotterdam</v>
      </c>
      <c r="CN309" t="str">
        <f>A!CM309</f>
        <v>LABRESULTAAT SGS</v>
      </c>
      <c r="CO309">
        <f>A!CN309</f>
        <v>45811</v>
      </c>
      <c r="CP309">
        <f>A!CO309</f>
        <v>0</v>
      </c>
      <c r="CQ309">
        <f>A!CO619</f>
        <v>0</v>
      </c>
      <c r="CR309" t="e">
        <f>A!#REF!</f>
        <v>#REF!</v>
      </c>
      <c r="CS309" t="e">
        <f>A!#REF!</f>
        <v>#REF!</v>
      </c>
    </row>
    <row r="310" spans="1:97" x14ac:dyDescent="0.2">
      <c r="A310" t="str">
        <f>A!A310</f>
        <v>LABRESULTAAT</v>
      </c>
      <c r="B310">
        <f>A!B310</f>
        <v>129</v>
      </c>
      <c r="C310" t="str">
        <f>A!C310</f>
        <v>_07cfbc49-d1f5-45bf-8f60-b6837ce0b62b</v>
      </c>
      <c r="D310" t="str">
        <f>A!D310</f>
        <v>07cfbc49-d1f5-45bf-8f60-b6837ce0b62b</v>
      </c>
      <c r="E310" t="str">
        <f>A!E310</f>
        <v>SIKB</v>
      </c>
      <c r="F310" t="str">
        <f>A!F310</f>
        <v>urn:immetingen:hoedanigheid:id:1</v>
      </c>
      <c r="G310" t="str">
        <f>A!G310</f>
        <v>www.sikb.nl</v>
      </c>
      <c r="H310" t="str">
        <f>A!H310</f>
        <v>urn:immetingen:parameter:id:1381</v>
      </c>
      <c r="I310" t="str">
        <f>A!I310</f>
        <v>www.sikb.nl</v>
      </c>
      <c r="J310" t="str">
        <f>A!J310</f>
        <v>urn:immetingen:parameter:id:2725</v>
      </c>
      <c r="K310" t="str">
        <f>A!K310</f>
        <v>www.sikb.nl</v>
      </c>
      <c r="L310">
        <f>A!L310</f>
        <v>45811</v>
      </c>
      <c r="M310" t="str">
        <f>A!M310</f>
        <v>urn:immetingen:LabopdrachtStatus:id:5</v>
      </c>
      <c r="N310">
        <f>A!N310</f>
        <v>1</v>
      </c>
      <c r="O310">
        <f>A!O310</f>
        <v>1</v>
      </c>
      <c r="P310" s="32" t="str">
        <f>IF(A!P310="","",INDEX(B!$A$1:$BT$2000,MATCH(A!P310,B!$AX$1:$AX$2000,0),D!$B$5))</f>
        <v>MM06 04 (200-250) 04 (250-300) 05 (200-250) 05 (250-300)</v>
      </c>
      <c r="Q310">
        <f>A!Q310</f>
        <v>0</v>
      </c>
      <c r="R310">
        <f>A!R310</f>
        <v>0</v>
      </c>
      <c r="S310">
        <f>A!S310</f>
        <v>0</v>
      </c>
      <c r="T310" t="str">
        <f>A!T310</f>
        <v>immetingen:AnalyticResultType</v>
      </c>
      <c r="U310" t="str">
        <f>A!U310</f>
        <v>&lt;1 µg/kgds</v>
      </c>
      <c r="V310" s="32">
        <f>IF(A!V310="&lt;",1,A!V310)</f>
        <v>1</v>
      </c>
      <c r="W310">
        <f>A!W310</f>
        <v>1</v>
      </c>
      <c r="X310">
        <f>A!X310</f>
        <v>1</v>
      </c>
      <c r="Y310" t="str">
        <f>A!Y310</f>
        <v>urn:immetingen:eenheid:id:131</v>
      </c>
      <c r="Z310" s="32">
        <f t="shared" si="4"/>
        <v>131</v>
      </c>
      <c r="AA310" t="str">
        <f>A!Z310</f>
        <v>urn:immetingen:kwaliteitsoordeel:id:0</v>
      </c>
      <c r="AB310" t="str">
        <f>A!AA310</f>
        <v>www.sikb.nl</v>
      </c>
      <c r="AC310" t="str">
        <f>A!AB310</f>
        <v>urn:immetingen:waardebewerkingsmethode:id:5</v>
      </c>
      <c r="AD310" t="str">
        <f>A!AC310</f>
        <v>www.sikb.nl</v>
      </c>
      <c r="AE310" t="str">
        <f>A!AD310</f>
        <v>_a04559c3-4ef1-43b0-8a13-7ed5e2502b73</v>
      </c>
      <c r="AF310">
        <f>A!AE310</f>
        <v>45811.309340277781</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32"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t="str">
        <f>A!CI310</f>
        <v>urn:imsikb0101:Applicaties:id:16</v>
      </c>
      <c r="CK310" t="str">
        <f>A!CJ310</f>
        <v>urn:imsikb0101:DatastroomType:id:1</v>
      </c>
      <c r="CL310">
        <f>A!CK310</f>
        <v>45811</v>
      </c>
      <c r="CM310" t="str">
        <f>A!CL310</f>
        <v>SGS, Rotterdam</v>
      </c>
      <c r="CN310" t="str">
        <f>A!CM310</f>
        <v>LABRESULTAAT SGS</v>
      </c>
      <c r="CO310">
        <f>A!CN310</f>
        <v>45811</v>
      </c>
      <c r="CP310">
        <f>A!CO310</f>
        <v>0</v>
      </c>
      <c r="CQ310">
        <f>A!CO620</f>
        <v>0</v>
      </c>
      <c r="CR310" t="e">
        <f>A!#REF!</f>
        <v>#REF!</v>
      </c>
      <c r="CS310" t="e">
        <f>A!#REF!</f>
        <v>#REF!</v>
      </c>
    </row>
    <row r="311" spans="1:97" x14ac:dyDescent="0.2">
      <c r="A311" t="str">
        <f>A!A311</f>
        <v>LABRESULTAAT</v>
      </c>
      <c r="B311">
        <f>A!B311</f>
        <v>130</v>
      </c>
      <c r="C311" t="str">
        <f>A!C311</f>
        <v>_227eecc9-661e-4d3d-850f-38035e2a8c5a</v>
      </c>
      <c r="D311" t="str">
        <f>A!D311</f>
        <v>227eecc9-661e-4d3d-850f-38035e2a8c5a</v>
      </c>
      <c r="E311" t="str">
        <f>A!E311</f>
        <v>SIKB</v>
      </c>
      <c r="F311" t="str">
        <f>A!F311</f>
        <v>urn:immetingen:hoedanigheid:id:1</v>
      </c>
      <c r="G311" t="str">
        <f>A!G311</f>
        <v>www.sikb.nl</v>
      </c>
      <c r="H311" t="str">
        <f>A!H311</f>
        <v>urn:immetingen:parameter:id:1382</v>
      </c>
      <c r="I311" t="str">
        <f>A!I311</f>
        <v>www.sikb.nl</v>
      </c>
      <c r="J311" t="str">
        <f>A!J311</f>
        <v>urn:immetingen:parameter:id:2725</v>
      </c>
      <c r="K311" t="str">
        <f>A!K311</f>
        <v>www.sikb.nl</v>
      </c>
      <c r="L311">
        <f>A!L311</f>
        <v>45811</v>
      </c>
      <c r="M311" t="str">
        <f>A!M311</f>
        <v>urn:immetingen:LabopdrachtStatus:id:5</v>
      </c>
      <c r="N311">
        <f>A!N311</f>
        <v>1</v>
      </c>
      <c r="O311">
        <f>A!O311</f>
        <v>1</v>
      </c>
      <c r="P311" s="32" t="str">
        <f>IF(A!P311="","",INDEX(B!$A$1:$BT$2000,MATCH(A!P311,B!$AX$1:$AX$2000,0),D!$B$5))</f>
        <v>MM06 04 (200-250) 04 (250-300) 05 (200-250) 05 (250-300)</v>
      </c>
      <c r="Q311">
        <f>A!Q311</f>
        <v>0</v>
      </c>
      <c r="R311">
        <f>A!R311</f>
        <v>0</v>
      </c>
      <c r="S311">
        <f>A!S311</f>
        <v>0</v>
      </c>
      <c r="T311" t="str">
        <f>A!T311</f>
        <v>immetingen:AnalyticResultType</v>
      </c>
      <c r="U311" t="str">
        <f>A!U311</f>
        <v>&lt;1 µg/kgds</v>
      </c>
      <c r="V311" s="32">
        <f>IF(A!V311="&lt;",1,A!V311)</f>
        <v>1</v>
      </c>
      <c r="W311">
        <f>A!W311</f>
        <v>1</v>
      </c>
      <c r="X311">
        <f>A!X311</f>
        <v>1</v>
      </c>
      <c r="Y311" t="str">
        <f>A!Y311</f>
        <v>urn:immetingen:eenheid:id:131</v>
      </c>
      <c r="Z311" s="32">
        <f t="shared" si="4"/>
        <v>131</v>
      </c>
      <c r="AA311" t="str">
        <f>A!Z311</f>
        <v>urn:immetingen:kwaliteitsoordeel:id:0</v>
      </c>
      <c r="AB311" t="str">
        <f>A!AA311</f>
        <v>www.sikb.nl</v>
      </c>
      <c r="AC311" t="str">
        <f>A!AB311</f>
        <v>urn:immetingen:waardebewerkingsmethode:id:5</v>
      </c>
      <c r="AD311" t="str">
        <f>A!AC311</f>
        <v>www.sikb.nl</v>
      </c>
      <c r="AE311" t="str">
        <f>A!AD311</f>
        <v>_e5b7c92c-3da2-41ad-9902-cd521941f101</v>
      </c>
      <c r="AF311">
        <f>A!AE311</f>
        <v>45811.309340277781</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32"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t="str">
        <f>A!CI311</f>
        <v>urn:imsikb0101:Applicaties:id:16</v>
      </c>
      <c r="CK311" t="str">
        <f>A!CJ311</f>
        <v>urn:imsikb0101:DatastroomType:id:1</v>
      </c>
      <c r="CL311">
        <f>A!CK311</f>
        <v>45811</v>
      </c>
      <c r="CM311" t="str">
        <f>A!CL311</f>
        <v>SGS, Rotterdam</v>
      </c>
      <c r="CN311" t="str">
        <f>A!CM311</f>
        <v>LABRESULTAAT SGS</v>
      </c>
      <c r="CO311">
        <f>A!CN311</f>
        <v>45811</v>
      </c>
      <c r="CP311">
        <f>A!CO311</f>
        <v>0</v>
      </c>
      <c r="CQ311">
        <f>A!CO621</f>
        <v>0</v>
      </c>
      <c r="CR311" t="e">
        <f>A!#REF!</f>
        <v>#REF!</v>
      </c>
      <c r="CS311" t="e">
        <f>A!#REF!</f>
        <v>#REF!</v>
      </c>
    </row>
    <row r="312" spans="1:97" x14ac:dyDescent="0.2">
      <c r="A312" t="str">
        <f>A!A312</f>
        <v>LABRESULTAAT</v>
      </c>
      <c r="B312">
        <f>A!B312</f>
        <v>131</v>
      </c>
      <c r="C312" t="str">
        <f>A!C312</f>
        <v>_13de67c0-fbf0-4905-9dd3-679e61a2c3aa</v>
      </c>
      <c r="D312" t="str">
        <f>A!D312</f>
        <v>13de67c0-fbf0-4905-9dd3-679e61a2c3aa</v>
      </c>
      <c r="E312" t="str">
        <f>A!E312</f>
        <v>SIKB</v>
      </c>
      <c r="F312" t="str">
        <f>A!F312</f>
        <v>urn:immetingen:hoedanigheid:id:1</v>
      </c>
      <c r="G312" t="str">
        <f>A!G312</f>
        <v>www.sikb.nl</v>
      </c>
      <c r="H312" t="str">
        <f>A!H312</f>
        <v>urn:immetingen:parameter:id:1372</v>
      </c>
      <c r="I312" t="str">
        <f>A!I312</f>
        <v>www.sikb.nl</v>
      </c>
      <c r="J312" t="str">
        <f>A!J312</f>
        <v>urn:immetingen:parameter:id:2725</v>
      </c>
      <c r="K312" t="str">
        <f>A!K312</f>
        <v>www.sikb.nl</v>
      </c>
      <c r="L312">
        <f>A!L312</f>
        <v>45811</v>
      </c>
      <c r="M312" t="str">
        <f>A!M312</f>
        <v>urn:immetingen:LabopdrachtStatus:id:5</v>
      </c>
      <c r="N312">
        <f>A!N312</f>
        <v>1</v>
      </c>
      <c r="O312">
        <f>A!O312</f>
        <v>1</v>
      </c>
      <c r="P312" s="32" t="str">
        <f>IF(A!P312="","",INDEX(B!$A$1:$BT$2000,MATCH(A!P312,B!$AX$1:$AX$2000,0),D!$B$5))</f>
        <v>MM06 04 (200-250) 04 (250-300) 05 (200-250) 05 (250-300)</v>
      </c>
      <c r="Q312">
        <f>A!Q312</f>
        <v>0</v>
      </c>
      <c r="R312">
        <f>A!R312</f>
        <v>0</v>
      </c>
      <c r="S312">
        <f>A!S312</f>
        <v>0</v>
      </c>
      <c r="T312" t="str">
        <f>A!T312</f>
        <v>immetingen:AnalyticResultType</v>
      </c>
      <c r="U312" t="str">
        <f>A!U312</f>
        <v>&lt;1 µg/kgds</v>
      </c>
      <c r="V312" s="32">
        <f>IF(A!V312="&lt;",1,A!V312)</f>
        <v>1</v>
      </c>
      <c r="W312">
        <f>A!W312</f>
        <v>1</v>
      </c>
      <c r="X312">
        <f>A!X312</f>
        <v>1</v>
      </c>
      <c r="Y312" t="str">
        <f>A!Y312</f>
        <v>urn:immetingen:eenheid:id:131</v>
      </c>
      <c r="Z312" s="32">
        <f t="shared" si="4"/>
        <v>131</v>
      </c>
      <c r="AA312" t="str">
        <f>A!Z312</f>
        <v>urn:immetingen:kwaliteitsoordeel:id:0</v>
      </c>
      <c r="AB312" t="str">
        <f>A!AA312</f>
        <v>www.sikb.nl</v>
      </c>
      <c r="AC312" t="str">
        <f>A!AB312</f>
        <v>urn:immetingen:waardebewerkingsmethode:id:5</v>
      </c>
      <c r="AD312" t="str">
        <f>A!AC312</f>
        <v>www.sikb.nl</v>
      </c>
      <c r="AE312" t="str">
        <f>A!AD312</f>
        <v>_be811def-4b2c-4870-8e97-1419bf79e3aa</v>
      </c>
      <c r="AF312">
        <f>A!AE312</f>
        <v>45811.309340277781</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32"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t="str">
        <f>A!CI312</f>
        <v>urn:imsikb0101:Applicaties:id:16</v>
      </c>
      <c r="CK312" t="str">
        <f>A!CJ312</f>
        <v>urn:imsikb0101:DatastroomType:id:1</v>
      </c>
      <c r="CL312">
        <f>A!CK312</f>
        <v>45811</v>
      </c>
      <c r="CM312" t="str">
        <f>A!CL312</f>
        <v>SGS, Rotterdam</v>
      </c>
      <c r="CN312" t="str">
        <f>A!CM312</f>
        <v>LABRESULTAAT SGS</v>
      </c>
      <c r="CO312">
        <f>A!CN312</f>
        <v>45811</v>
      </c>
      <c r="CP312">
        <f>A!CO312</f>
        <v>0</v>
      </c>
      <c r="CQ312">
        <f>A!CO622</f>
        <v>0</v>
      </c>
      <c r="CR312" t="e">
        <f>A!#REF!</f>
        <v>#REF!</v>
      </c>
      <c r="CS312" t="e">
        <f>A!#REF!</f>
        <v>#REF!</v>
      </c>
    </row>
    <row r="313" spans="1:97" x14ac:dyDescent="0.2">
      <c r="A313" t="str">
        <f>A!A313</f>
        <v>LABRESULTAAT</v>
      </c>
      <c r="B313">
        <f>A!B313</f>
        <v>132</v>
      </c>
      <c r="C313" t="str">
        <f>A!C313</f>
        <v>_9cffa1f4-13ad-4a0f-9254-b007ef53f496</v>
      </c>
      <c r="D313" t="str">
        <f>A!D313</f>
        <v>9cffa1f4-13ad-4a0f-9254-b007ef53f496</v>
      </c>
      <c r="E313" t="str">
        <f>A!E313</f>
        <v>SIKB</v>
      </c>
      <c r="F313" t="str">
        <f>A!F313</f>
        <v>urn:immetingen:hoedanigheid:id:1</v>
      </c>
      <c r="G313" t="str">
        <f>A!G313</f>
        <v>www.sikb.nl</v>
      </c>
      <c r="H313" t="str">
        <f>A!H313</f>
        <v>urn:immetingen:parameter:id:1374</v>
      </c>
      <c r="I313" t="str">
        <f>A!I313</f>
        <v>www.sikb.nl</v>
      </c>
      <c r="J313" t="str">
        <f>A!J313</f>
        <v>urn:immetingen:parameter:id:2725</v>
      </c>
      <c r="K313" t="str">
        <f>A!K313</f>
        <v>www.sikb.nl</v>
      </c>
      <c r="L313">
        <f>A!L313</f>
        <v>45811</v>
      </c>
      <c r="M313" t="str">
        <f>A!M313</f>
        <v>urn:immetingen:LabopdrachtStatus:id:5</v>
      </c>
      <c r="N313">
        <f>A!N313</f>
        <v>1</v>
      </c>
      <c r="O313">
        <f>A!O313</f>
        <v>1</v>
      </c>
      <c r="P313" s="32" t="str">
        <f>IF(A!P313="","",INDEX(B!$A$1:$BT$2000,MATCH(A!P313,B!$AX$1:$AX$2000,0),D!$B$5))</f>
        <v>MM06 04 (200-250) 04 (250-300) 05 (200-250) 05 (250-300)</v>
      </c>
      <c r="Q313">
        <f>A!Q313</f>
        <v>0</v>
      </c>
      <c r="R313">
        <f>A!R313</f>
        <v>0</v>
      </c>
      <c r="S313">
        <f>A!S313</f>
        <v>0</v>
      </c>
      <c r="T313" t="str">
        <f>A!T313</f>
        <v>immetingen:AnalyticResultType</v>
      </c>
      <c r="U313" t="str">
        <f>A!U313</f>
        <v>&lt;1 µg/kgds</v>
      </c>
      <c r="V313" s="32">
        <f>IF(A!V313="&lt;",1,A!V313)</f>
        <v>1</v>
      </c>
      <c r="W313">
        <f>A!W313</f>
        <v>1</v>
      </c>
      <c r="X313">
        <f>A!X313</f>
        <v>1</v>
      </c>
      <c r="Y313" t="str">
        <f>A!Y313</f>
        <v>urn:immetingen:eenheid:id:131</v>
      </c>
      <c r="Z313" s="32">
        <f t="shared" si="4"/>
        <v>131</v>
      </c>
      <c r="AA313" t="str">
        <f>A!Z313</f>
        <v>urn:immetingen:kwaliteitsoordeel:id:0</v>
      </c>
      <c r="AB313" t="str">
        <f>A!AA313</f>
        <v>www.sikb.nl</v>
      </c>
      <c r="AC313" t="str">
        <f>A!AB313</f>
        <v>urn:immetingen:waardebewerkingsmethode:id:5</v>
      </c>
      <c r="AD313" t="str">
        <f>A!AC313</f>
        <v>www.sikb.nl</v>
      </c>
      <c r="AE313" t="str">
        <f>A!AD313</f>
        <v>_4412a52a-8ae6-4028-a0b9-2b79b8d8080a</v>
      </c>
      <c r="AF313">
        <f>A!AE313</f>
        <v>45811.309340277781</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32"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t="str">
        <f>A!CI313</f>
        <v>urn:imsikb0101:Applicaties:id:16</v>
      </c>
      <c r="CK313" t="str">
        <f>A!CJ313</f>
        <v>urn:imsikb0101:DatastroomType:id:1</v>
      </c>
      <c r="CL313">
        <f>A!CK313</f>
        <v>45811</v>
      </c>
      <c r="CM313" t="str">
        <f>A!CL313</f>
        <v>SGS, Rotterdam</v>
      </c>
      <c r="CN313" t="str">
        <f>A!CM313</f>
        <v>LABRESULTAAT SGS</v>
      </c>
      <c r="CO313">
        <f>A!CN313</f>
        <v>45811</v>
      </c>
      <c r="CP313">
        <f>A!CO313</f>
        <v>0</v>
      </c>
      <c r="CQ313">
        <f>A!CO623</f>
        <v>0</v>
      </c>
      <c r="CR313" t="e">
        <f>A!#REF!</f>
        <v>#REF!</v>
      </c>
      <c r="CS313" t="e">
        <f>A!#REF!</f>
        <v>#REF!</v>
      </c>
    </row>
    <row r="314" spans="1:97" x14ac:dyDescent="0.2">
      <c r="A314" t="str">
        <f>A!A314</f>
        <v>LABRESULTAAT</v>
      </c>
      <c r="B314">
        <f>A!B314</f>
        <v>133</v>
      </c>
      <c r="C314" t="str">
        <f>A!C314</f>
        <v>_3d315a1d-a798-4d59-929c-cf9b00c20be7</v>
      </c>
      <c r="D314" t="str">
        <f>A!D314</f>
        <v>3d315a1d-a798-4d59-929c-cf9b00c20be7</v>
      </c>
      <c r="E314" t="str">
        <f>A!E314</f>
        <v>SIKB</v>
      </c>
      <c r="F314" t="str">
        <f>A!F314</f>
        <v>urn:immetingen:hoedanigheid:id:1</v>
      </c>
      <c r="G314" t="str">
        <f>A!G314</f>
        <v>www.sikb.nl</v>
      </c>
      <c r="H314" t="str">
        <f>A!H314</f>
        <v>urn:immetingen:parameter:id:1376</v>
      </c>
      <c r="I314" t="str">
        <f>A!I314</f>
        <v>www.sikb.nl</v>
      </c>
      <c r="J314" t="str">
        <f>A!J314</f>
        <v>urn:immetingen:parameter:id:2725</v>
      </c>
      <c r="K314" t="str">
        <f>A!K314</f>
        <v>www.sikb.nl</v>
      </c>
      <c r="L314">
        <f>A!L314</f>
        <v>45811</v>
      </c>
      <c r="M314" t="str">
        <f>A!M314</f>
        <v>urn:immetingen:LabopdrachtStatus:id:5</v>
      </c>
      <c r="N314">
        <f>A!N314</f>
        <v>1</v>
      </c>
      <c r="O314">
        <f>A!O314</f>
        <v>1</v>
      </c>
      <c r="P314" s="32" t="str">
        <f>IF(A!P314="","",INDEX(B!$A$1:$BT$2000,MATCH(A!P314,B!$AX$1:$AX$2000,0),D!$B$5))</f>
        <v>MM06 04 (200-250) 04 (250-300) 05 (200-250) 05 (250-300)</v>
      </c>
      <c r="Q314">
        <f>A!Q314</f>
        <v>0</v>
      </c>
      <c r="R314">
        <f>A!R314</f>
        <v>0</v>
      </c>
      <c r="S314">
        <f>A!S314</f>
        <v>0</v>
      </c>
      <c r="T314" t="str">
        <f>A!T314</f>
        <v>immetingen:AnalyticResultType</v>
      </c>
      <c r="U314" t="str">
        <f>A!U314</f>
        <v>&lt;1 µg/kgds</v>
      </c>
      <c r="V314" s="32">
        <f>IF(A!V314="&lt;",1,A!V314)</f>
        <v>1</v>
      </c>
      <c r="W314">
        <f>A!W314</f>
        <v>1</v>
      </c>
      <c r="X314">
        <f>A!X314</f>
        <v>1</v>
      </c>
      <c r="Y314" t="str">
        <f>A!Y314</f>
        <v>urn:immetingen:eenheid:id:131</v>
      </c>
      <c r="Z314" s="32">
        <f t="shared" si="4"/>
        <v>131</v>
      </c>
      <c r="AA314" t="str">
        <f>A!Z314</f>
        <v>urn:immetingen:kwaliteitsoordeel:id:0</v>
      </c>
      <c r="AB314" t="str">
        <f>A!AA314</f>
        <v>www.sikb.nl</v>
      </c>
      <c r="AC314" t="str">
        <f>A!AB314</f>
        <v>urn:immetingen:waardebewerkingsmethode:id:5</v>
      </c>
      <c r="AD314" t="str">
        <f>A!AC314</f>
        <v>www.sikb.nl</v>
      </c>
      <c r="AE314" t="str">
        <f>A!AD314</f>
        <v>_8d1dd591-f093-46c7-8566-8be13b18d506</v>
      </c>
      <c r="AF314">
        <f>A!AE314</f>
        <v>45811.309340277781</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32"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t="str">
        <f>A!CI314</f>
        <v>urn:imsikb0101:Applicaties:id:16</v>
      </c>
      <c r="CK314" t="str">
        <f>A!CJ314</f>
        <v>urn:imsikb0101:DatastroomType:id:1</v>
      </c>
      <c r="CL314">
        <f>A!CK314</f>
        <v>45811</v>
      </c>
      <c r="CM314" t="str">
        <f>A!CL314</f>
        <v>SGS, Rotterdam</v>
      </c>
      <c r="CN314" t="str">
        <f>A!CM314</f>
        <v>LABRESULTAAT SGS</v>
      </c>
      <c r="CO314">
        <f>A!CN314</f>
        <v>45811</v>
      </c>
      <c r="CP314">
        <f>A!CO314</f>
        <v>0</v>
      </c>
      <c r="CQ314">
        <f>A!CO624</f>
        <v>0</v>
      </c>
      <c r="CR314" t="e">
        <f>A!#REF!</f>
        <v>#REF!</v>
      </c>
      <c r="CS314" t="e">
        <f>A!#REF!</f>
        <v>#REF!</v>
      </c>
    </row>
    <row r="315" spans="1:97" x14ac:dyDescent="0.2">
      <c r="A315" t="str">
        <f>A!A315</f>
        <v>LABRESULTAAT</v>
      </c>
      <c r="B315">
        <f>A!B315</f>
        <v>134</v>
      </c>
      <c r="C315" t="str">
        <f>A!C315</f>
        <v>_b005a146-88a2-4d95-9cb3-d2c37607cd4a</v>
      </c>
      <c r="D315" t="str">
        <f>A!D315</f>
        <v>b005a146-88a2-4d95-9cb3-d2c37607cd4a</v>
      </c>
      <c r="E315" t="str">
        <f>A!E315</f>
        <v>SIKB</v>
      </c>
      <c r="F315" t="str">
        <f>A!F315</f>
        <v>urn:immetingen:hoedanigheid:id:1</v>
      </c>
      <c r="G315" t="str">
        <f>A!G315</f>
        <v>www.sikb.nl</v>
      </c>
      <c r="H315" t="str">
        <f>A!H315</f>
        <v>urn:immetingen:parameter:id:1377</v>
      </c>
      <c r="I315" t="str">
        <f>A!I315</f>
        <v>www.sikb.nl</v>
      </c>
      <c r="J315" t="str">
        <f>A!J315</f>
        <v>urn:immetingen:parameter:id:2725</v>
      </c>
      <c r="K315" t="str">
        <f>A!K315</f>
        <v>www.sikb.nl</v>
      </c>
      <c r="L315">
        <f>A!L315</f>
        <v>45811</v>
      </c>
      <c r="M315" t="str">
        <f>A!M315</f>
        <v>urn:immetingen:LabopdrachtStatus:id:5</v>
      </c>
      <c r="N315">
        <f>A!N315</f>
        <v>1</v>
      </c>
      <c r="O315">
        <f>A!O315</f>
        <v>1</v>
      </c>
      <c r="P315" s="32" t="str">
        <f>IF(A!P315="","",INDEX(B!$A$1:$BT$2000,MATCH(A!P315,B!$AX$1:$AX$2000,0),D!$B$5))</f>
        <v>MM06 04 (200-250) 04 (250-300) 05 (200-250) 05 (250-300)</v>
      </c>
      <c r="Q315">
        <f>A!Q315</f>
        <v>0</v>
      </c>
      <c r="R315">
        <f>A!R315</f>
        <v>0</v>
      </c>
      <c r="S315">
        <f>A!S315</f>
        <v>0</v>
      </c>
      <c r="T315" t="str">
        <f>A!T315</f>
        <v>immetingen:AnalyticResultType</v>
      </c>
      <c r="U315" t="str">
        <f>A!U315</f>
        <v>&lt;1 µg/kgds</v>
      </c>
      <c r="V315" s="32">
        <f>IF(A!V315="&lt;",1,A!V315)</f>
        <v>1</v>
      </c>
      <c r="W315">
        <f>A!W315</f>
        <v>1</v>
      </c>
      <c r="X315">
        <f>A!X315</f>
        <v>1</v>
      </c>
      <c r="Y315" t="str">
        <f>A!Y315</f>
        <v>urn:immetingen:eenheid:id:131</v>
      </c>
      <c r="Z315" s="32">
        <f t="shared" si="4"/>
        <v>131</v>
      </c>
      <c r="AA315" t="str">
        <f>A!Z315</f>
        <v>urn:immetingen:kwaliteitsoordeel:id:0</v>
      </c>
      <c r="AB315" t="str">
        <f>A!AA315</f>
        <v>www.sikb.nl</v>
      </c>
      <c r="AC315" t="str">
        <f>A!AB315</f>
        <v>urn:immetingen:waardebewerkingsmethode:id:5</v>
      </c>
      <c r="AD315" t="str">
        <f>A!AC315</f>
        <v>www.sikb.nl</v>
      </c>
      <c r="AE315" t="str">
        <f>A!AD315</f>
        <v>_28cb414e-77f0-45d3-9f37-da43b52d2df8</v>
      </c>
      <c r="AF315">
        <f>A!AE315</f>
        <v>45811.309340277781</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32"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t="str">
        <f>A!CI315</f>
        <v>urn:imsikb0101:Applicaties:id:16</v>
      </c>
      <c r="CK315" t="str">
        <f>A!CJ315</f>
        <v>urn:imsikb0101:DatastroomType:id:1</v>
      </c>
      <c r="CL315">
        <f>A!CK315</f>
        <v>45811</v>
      </c>
      <c r="CM315" t="str">
        <f>A!CL315</f>
        <v>SGS, Rotterdam</v>
      </c>
      <c r="CN315" t="str">
        <f>A!CM315</f>
        <v>LABRESULTAAT SGS</v>
      </c>
      <c r="CO315">
        <f>A!CN315</f>
        <v>45811</v>
      </c>
      <c r="CP315">
        <f>A!CO315</f>
        <v>0</v>
      </c>
      <c r="CQ315">
        <f>A!CO625</f>
        <v>0</v>
      </c>
      <c r="CR315" t="e">
        <f>A!#REF!</f>
        <v>#REF!</v>
      </c>
      <c r="CS315" t="e">
        <f>A!#REF!</f>
        <v>#REF!</v>
      </c>
    </row>
    <row r="316" spans="1:97" x14ac:dyDescent="0.2">
      <c r="A316" t="str">
        <f>A!A316</f>
        <v>LABRESULTAAT</v>
      </c>
      <c r="B316">
        <f>A!B316</f>
        <v>135</v>
      </c>
      <c r="C316" t="str">
        <f>A!C316</f>
        <v>_dc16c3b0-e0b9-490d-9408-529798ac2f7f</v>
      </c>
      <c r="D316" t="str">
        <f>A!D316</f>
        <v>dc16c3b0-e0b9-490d-9408-529798ac2f7f</v>
      </c>
      <c r="E316" t="str">
        <f>A!E316</f>
        <v>SIKB</v>
      </c>
      <c r="F316" t="str">
        <f>A!F316</f>
        <v>urn:immetingen:hoedanigheid:id:1</v>
      </c>
      <c r="G316" t="str">
        <f>A!G316</f>
        <v>www.sikb.nl</v>
      </c>
      <c r="H316" t="str">
        <f>A!H316</f>
        <v>urn:immetingen:parameter:id:1380</v>
      </c>
      <c r="I316" t="str">
        <f>A!I316</f>
        <v>www.sikb.nl</v>
      </c>
      <c r="J316" t="str">
        <f>A!J316</f>
        <v>urn:immetingen:parameter:id:2725</v>
      </c>
      <c r="K316" t="str">
        <f>A!K316</f>
        <v>www.sikb.nl</v>
      </c>
      <c r="L316">
        <f>A!L316</f>
        <v>45811</v>
      </c>
      <c r="M316" t="str">
        <f>A!M316</f>
        <v>urn:immetingen:LabopdrachtStatus:id:5</v>
      </c>
      <c r="N316">
        <f>A!N316</f>
        <v>1</v>
      </c>
      <c r="O316">
        <f>A!O316</f>
        <v>1</v>
      </c>
      <c r="P316" s="32" t="str">
        <f>IF(A!P316="","",INDEX(B!$A$1:$BT$2000,MATCH(A!P316,B!$AX$1:$AX$2000,0),D!$B$5))</f>
        <v>MM06 04 (200-250) 04 (250-300) 05 (200-250) 05 (250-300)</v>
      </c>
      <c r="Q316">
        <f>A!Q316</f>
        <v>0</v>
      </c>
      <c r="R316">
        <f>A!R316</f>
        <v>0</v>
      </c>
      <c r="S316">
        <f>A!S316</f>
        <v>0</v>
      </c>
      <c r="T316" t="str">
        <f>A!T316</f>
        <v>immetingen:AnalyticResultType</v>
      </c>
      <c r="U316" t="str">
        <f>A!U316</f>
        <v>&lt;1 µg/kgds</v>
      </c>
      <c r="V316" s="32">
        <f>IF(A!V316="&lt;",1,A!V316)</f>
        <v>1</v>
      </c>
      <c r="W316">
        <f>A!W316</f>
        <v>1</v>
      </c>
      <c r="X316">
        <f>A!X316</f>
        <v>1</v>
      </c>
      <c r="Y316" t="str">
        <f>A!Y316</f>
        <v>urn:immetingen:eenheid:id:131</v>
      </c>
      <c r="Z316" s="32">
        <f t="shared" si="4"/>
        <v>131</v>
      </c>
      <c r="AA316" t="str">
        <f>A!Z316</f>
        <v>urn:immetingen:kwaliteitsoordeel:id:0</v>
      </c>
      <c r="AB316" t="str">
        <f>A!AA316</f>
        <v>www.sikb.nl</v>
      </c>
      <c r="AC316" t="str">
        <f>A!AB316</f>
        <v>urn:immetingen:waardebewerkingsmethode:id:5</v>
      </c>
      <c r="AD316" t="str">
        <f>A!AC316</f>
        <v>www.sikb.nl</v>
      </c>
      <c r="AE316" t="str">
        <f>A!AD316</f>
        <v>_9a36c029-69bc-4643-b146-054611315200</v>
      </c>
      <c r="AF316">
        <f>A!AE316</f>
        <v>45811.309340277781</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32"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t="str">
        <f>A!CI316</f>
        <v>urn:imsikb0101:Applicaties:id:16</v>
      </c>
      <c r="CK316" t="str">
        <f>A!CJ316</f>
        <v>urn:imsikb0101:DatastroomType:id:1</v>
      </c>
      <c r="CL316">
        <f>A!CK316</f>
        <v>45811</v>
      </c>
      <c r="CM316" t="str">
        <f>A!CL316</f>
        <v>SGS, Rotterdam</v>
      </c>
      <c r="CN316" t="str">
        <f>A!CM316</f>
        <v>LABRESULTAAT SGS</v>
      </c>
      <c r="CO316">
        <f>A!CN316</f>
        <v>45811</v>
      </c>
      <c r="CP316">
        <f>A!CO316</f>
        <v>0</v>
      </c>
      <c r="CQ316">
        <f>A!CO626</f>
        <v>0</v>
      </c>
      <c r="CR316" t="e">
        <f>A!#REF!</f>
        <v>#REF!</v>
      </c>
      <c r="CS316" t="e">
        <f>A!#REF!</f>
        <v>#REF!</v>
      </c>
    </row>
    <row r="317" spans="1:97" x14ac:dyDescent="0.2">
      <c r="A317" t="str">
        <f>A!A317</f>
        <v>LABRESULTAAT</v>
      </c>
      <c r="B317">
        <f>A!B317</f>
        <v>136</v>
      </c>
      <c r="C317" t="str">
        <f>A!C317</f>
        <v>_0323cb6b-9f2d-4272-9d7d-f58dfc54dc13</v>
      </c>
      <c r="D317" t="str">
        <f>A!D317</f>
        <v>0323cb6b-9f2d-4272-9d7d-f58dfc54dc13</v>
      </c>
      <c r="E317" t="str">
        <f>A!E317</f>
        <v>SIKB</v>
      </c>
      <c r="F317" t="str">
        <f>A!F317</f>
        <v>urn:immetingen:hoedanigheid:id:1</v>
      </c>
      <c r="G317" t="str">
        <f>A!G317</f>
        <v>www.sikb.nl</v>
      </c>
      <c r="H317" t="str">
        <f>A!H317</f>
        <v>urn:immetingen:parameter:id:692</v>
      </c>
      <c r="I317" t="str">
        <f>A!I317</f>
        <v>www.sikb.nl</v>
      </c>
      <c r="J317" t="str">
        <f>A!J317</f>
        <v>urn:immetingen:parameter:id:2725</v>
      </c>
      <c r="K317" t="str">
        <f>A!K317</f>
        <v>www.sikb.nl</v>
      </c>
      <c r="L317">
        <f>A!L317</f>
        <v>45811</v>
      </c>
      <c r="M317" t="str">
        <f>A!M317</f>
        <v>urn:immetingen:LabopdrachtStatus:id:5</v>
      </c>
      <c r="N317">
        <f>A!N317</f>
        <v>1</v>
      </c>
      <c r="O317">
        <f>A!O317</f>
        <v>1</v>
      </c>
      <c r="P317" s="32" t="str">
        <f>IF(A!P317="","",INDEX(B!$A$1:$BT$2000,MATCH(A!P317,B!$AX$1:$AX$2000,0),D!$B$5))</f>
        <v>MM06 04 (200-250) 04 (250-300) 05 (200-250) 05 (250-300)</v>
      </c>
      <c r="Q317">
        <f>A!Q317</f>
        <v>0</v>
      </c>
      <c r="R317">
        <f>A!R317</f>
        <v>0</v>
      </c>
      <c r="S317">
        <f>A!S317</f>
        <v>0</v>
      </c>
      <c r="T317" t="str">
        <f>A!T317</f>
        <v>immetingen:AnalyticResultType</v>
      </c>
      <c r="U317" t="str">
        <f>A!U317</f>
        <v>76.9 gew.-%</v>
      </c>
      <c r="V317" s="32">
        <f>IF(A!V317="&lt;",1,A!V317)</f>
        <v>0</v>
      </c>
      <c r="W317">
        <f>A!W317</f>
        <v>76.900000000000006</v>
      </c>
      <c r="X317">
        <f>A!X317</f>
        <v>76.900000000000006</v>
      </c>
      <c r="Y317" t="str">
        <f>A!Y317</f>
        <v>urn:immetingen:eenheid:id:1</v>
      </c>
      <c r="Z317" s="32">
        <f t="shared" si="4"/>
        <v>1</v>
      </c>
      <c r="AA317" t="str">
        <f>A!Z317</f>
        <v>urn:immetingen:kwaliteitsoordeel:id:0</v>
      </c>
      <c r="AB317" t="str">
        <f>A!AA317</f>
        <v>www.sikb.nl</v>
      </c>
      <c r="AC317" t="str">
        <f>A!AB317</f>
        <v>urn:immetingen:waardebewerkingsmethode:id:5</v>
      </c>
      <c r="AD317" t="str">
        <f>A!AC317</f>
        <v>www.sikb.nl</v>
      </c>
      <c r="AE317" t="str">
        <f>A!AD317</f>
        <v>_41496cbc-e7fb-43b6-b493-80929350fbb5</v>
      </c>
      <c r="AF317">
        <f>A!AE317</f>
        <v>45811.20417824074</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32"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t="str">
        <f>A!CI317</f>
        <v>urn:imsikb0101:Applicaties:id:16</v>
      </c>
      <c r="CK317" t="str">
        <f>A!CJ317</f>
        <v>urn:imsikb0101:DatastroomType:id:1</v>
      </c>
      <c r="CL317">
        <f>A!CK317</f>
        <v>45811</v>
      </c>
      <c r="CM317" t="str">
        <f>A!CL317</f>
        <v>SGS, Rotterdam</v>
      </c>
      <c r="CN317" t="str">
        <f>A!CM317</f>
        <v>LABRESULTAAT SGS</v>
      </c>
      <c r="CO317">
        <f>A!CN317</f>
        <v>45811</v>
      </c>
      <c r="CP317">
        <f>A!CO317</f>
        <v>0</v>
      </c>
      <c r="CQ317">
        <f>A!CO627</f>
        <v>0</v>
      </c>
      <c r="CR317" t="e">
        <f>A!#REF!</f>
        <v>#REF!</v>
      </c>
      <c r="CS317" t="e">
        <f>A!#REF!</f>
        <v>#REF!</v>
      </c>
    </row>
    <row r="318" spans="1:97" x14ac:dyDescent="0.2">
      <c r="A318" t="str">
        <f>A!A318</f>
        <v>LABRESULTAAT</v>
      </c>
      <c r="B318">
        <f>A!B318</f>
        <v>137</v>
      </c>
      <c r="C318" t="str">
        <f>A!C318</f>
        <v>_0d80a0c6-4028-4701-a553-a02e0b033bbd</v>
      </c>
      <c r="D318" t="str">
        <f>A!D318</f>
        <v>0d80a0c6-4028-4701-a553-a02e0b033bbd</v>
      </c>
      <c r="E318" t="str">
        <f>A!E318</f>
        <v>SIKB</v>
      </c>
      <c r="F318" t="str">
        <f>A!F318</f>
        <v>urn:immetingen:hoedanigheid:id:1</v>
      </c>
      <c r="G318" t="str">
        <f>A!G318</f>
        <v>www.sikb.nl</v>
      </c>
      <c r="H318" t="str">
        <f>A!H318</f>
        <v>urn:immetingen:parameter:id:1259</v>
      </c>
      <c r="I318" t="str">
        <f>A!I318</f>
        <v>www.sikb.nl</v>
      </c>
      <c r="J318" t="str">
        <f>A!J318</f>
        <v>urn:immetingen:parameter:id:2725</v>
      </c>
      <c r="K318" t="str">
        <f>A!K318</f>
        <v>www.sikb.nl</v>
      </c>
      <c r="L318">
        <f>A!L318</f>
        <v>45811</v>
      </c>
      <c r="M318" t="str">
        <f>A!M318</f>
        <v>urn:immetingen:LabopdrachtStatus:id:5</v>
      </c>
      <c r="N318">
        <f>A!N318</f>
        <v>1</v>
      </c>
      <c r="O318">
        <f>A!O318</f>
        <v>1</v>
      </c>
      <c r="P318" s="32" t="str">
        <f>IF(A!P318="","",INDEX(B!$A$1:$BT$2000,MATCH(A!P318,B!$AX$1:$AX$2000,0),D!$B$5))</f>
        <v>MM06 04 (200-250) 04 (250-300) 05 (200-250) 05 (250-300)</v>
      </c>
      <c r="Q318">
        <f>A!Q318</f>
        <v>0</v>
      </c>
      <c r="R318">
        <f>A!R318</f>
        <v>0</v>
      </c>
      <c r="S318">
        <f>A!S318</f>
        <v>0</v>
      </c>
      <c r="T318" t="str">
        <f>A!T318</f>
        <v>immetingen:AnalyticResultType</v>
      </c>
      <c r="U318" t="str">
        <f>A!U318</f>
        <v>&lt;0.01 mg/kgds</v>
      </c>
      <c r="V318" s="32">
        <f>IF(A!V318="&lt;",1,A!V318)</f>
        <v>1</v>
      </c>
      <c r="W318">
        <f>A!W318</f>
        <v>0.01</v>
      </c>
      <c r="X318">
        <f>A!X318</f>
        <v>0.01</v>
      </c>
      <c r="Y318" t="str">
        <f>A!Y318</f>
        <v>urn:immetingen:eenheid:id:58</v>
      </c>
      <c r="Z318" s="32">
        <f t="shared" si="4"/>
        <v>58</v>
      </c>
      <c r="AA318" t="str">
        <f>A!Z318</f>
        <v>urn:immetingen:kwaliteitsoordeel:id:0</v>
      </c>
      <c r="AB318" t="str">
        <f>A!AA318</f>
        <v>www.sikb.nl</v>
      </c>
      <c r="AC318" t="str">
        <f>A!AB318</f>
        <v>urn:immetingen:waardebewerkingsmethode:id:5</v>
      </c>
      <c r="AD318" t="str">
        <f>A!AC318</f>
        <v>www.sikb.nl</v>
      </c>
      <c r="AE318" t="str">
        <f>A!AD318</f>
        <v>_2f4b4522-f4aa-4f1d-943d-c32b7741a262</v>
      </c>
      <c r="AF318">
        <f>A!AE318</f>
        <v>45811.309340277781</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32"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t="str">
        <f>A!CI318</f>
        <v>urn:imsikb0101:Applicaties:id:16</v>
      </c>
      <c r="CK318" t="str">
        <f>A!CJ318</f>
        <v>urn:imsikb0101:DatastroomType:id:1</v>
      </c>
      <c r="CL318">
        <f>A!CK318</f>
        <v>45811</v>
      </c>
      <c r="CM318" t="str">
        <f>A!CL318</f>
        <v>SGS, Rotterdam</v>
      </c>
      <c r="CN318" t="str">
        <f>A!CM318</f>
        <v>LABRESULTAAT SGS</v>
      </c>
      <c r="CO318">
        <f>A!CN318</f>
        <v>45811</v>
      </c>
      <c r="CP318">
        <f>A!CO318</f>
        <v>0</v>
      </c>
      <c r="CQ318">
        <f>A!CO628</f>
        <v>0</v>
      </c>
      <c r="CR318" t="e">
        <f>A!#REF!</f>
        <v>#REF!</v>
      </c>
      <c r="CS318" t="e">
        <f>A!#REF!</f>
        <v>#REF!</v>
      </c>
    </row>
    <row r="319" spans="1:97" x14ac:dyDescent="0.2">
      <c r="A319" t="str">
        <f>A!A319</f>
        <v>LABRESULTAAT</v>
      </c>
      <c r="B319">
        <f>A!B319</f>
        <v>138</v>
      </c>
      <c r="C319" t="str">
        <f>A!C319</f>
        <v>_c24fa7b8-f47d-46b1-8e60-97d2f53efb46</v>
      </c>
      <c r="D319" t="str">
        <f>A!D319</f>
        <v>c24fa7b8-f47d-46b1-8e60-97d2f53efb46</v>
      </c>
      <c r="E319" t="str">
        <f>A!E319</f>
        <v>SIKB</v>
      </c>
      <c r="F319" t="str">
        <f>A!F319</f>
        <v>urn:immetingen:hoedanigheid:id:1</v>
      </c>
      <c r="G319" t="str">
        <f>A!G319</f>
        <v>www.sikb.nl</v>
      </c>
      <c r="H319" t="str">
        <f>A!H319</f>
        <v>urn:immetingen:parameter:id:746</v>
      </c>
      <c r="I319" t="str">
        <f>A!I319</f>
        <v>www.sikb.nl</v>
      </c>
      <c r="J319" t="str">
        <f>A!J319</f>
        <v>urn:immetingen:parameter:id:2725</v>
      </c>
      <c r="K319" t="str">
        <f>A!K319</f>
        <v>www.sikb.nl</v>
      </c>
      <c r="L319">
        <f>A!L319</f>
        <v>45811</v>
      </c>
      <c r="M319" t="str">
        <f>A!M319</f>
        <v>urn:immetingen:LabopdrachtStatus:id:5</v>
      </c>
      <c r="N319">
        <f>A!N319</f>
        <v>1</v>
      </c>
      <c r="O319">
        <f>A!O319</f>
        <v>1</v>
      </c>
      <c r="P319" s="32" t="str">
        <f>IF(A!P319="","",INDEX(B!$A$1:$BT$2000,MATCH(A!P319,B!$AX$1:$AX$2000,0),D!$B$5))</f>
        <v>MM06 04 (200-250) 04 (250-300) 05 (200-250) 05 (250-300)</v>
      </c>
      <c r="Q319">
        <f>A!Q319</f>
        <v>0</v>
      </c>
      <c r="R319">
        <f>A!R319</f>
        <v>0</v>
      </c>
      <c r="S319">
        <f>A!S319</f>
        <v>0</v>
      </c>
      <c r="T319" t="str">
        <f>A!T319</f>
        <v>immetingen:AnalyticResultType</v>
      </c>
      <c r="U319" t="str">
        <f>A!U319</f>
        <v>&lt;0.01 mg/kgds</v>
      </c>
      <c r="V319" s="32">
        <f>IF(A!V319="&lt;",1,A!V319)</f>
        <v>1</v>
      </c>
      <c r="W319">
        <f>A!W319</f>
        <v>0.01</v>
      </c>
      <c r="X319">
        <f>A!X319</f>
        <v>0.01</v>
      </c>
      <c r="Y319" t="str">
        <f>A!Y319</f>
        <v>urn:immetingen:eenheid:id:58</v>
      </c>
      <c r="Z319" s="32">
        <f t="shared" si="4"/>
        <v>58</v>
      </c>
      <c r="AA319" t="str">
        <f>A!Z319</f>
        <v>urn:immetingen:kwaliteitsoordeel:id:0</v>
      </c>
      <c r="AB319" t="str">
        <f>A!AA319</f>
        <v>www.sikb.nl</v>
      </c>
      <c r="AC319" t="str">
        <f>A!AB319</f>
        <v>urn:immetingen:waardebewerkingsmethode:id:5</v>
      </c>
      <c r="AD319" t="str">
        <f>A!AC319</f>
        <v>www.sikb.nl</v>
      </c>
      <c r="AE319" t="str">
        <f>A!AD319</f>
        <v>_cd4b3203-38a2-4ab2-bb05-b30e6f700634</v>
      </c>
      <c r="AF319">
        <f>A!AE319</f>
        <v>45811.309340277781</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32"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t="str">
        <f>A!CI319</f>
        <v>urn:imsikb0101:Applicaties:id:16</v>
      </c>
      <c r="CK319" t="str">
        <f>A!CJ319</f>
        <v>urn:imsikb0101:DatastroomType:id:1</v>
      </c>
      <c r="CL319">
        <f>A!CK319</f>
        <v>45811</v>
      </c>
      <c r="CM319" t="str">
        <f>A!CL319</f>
        <v>SGS, Rotterdam</v>
      </c>
      <c r="CN319" t="str">
        <f>A!CM319</f>
        <v>LABRESULTAAT SGS</v>
      </c>
      <c r="CO319">
        <f>A!CN319</f>
        <v>45811</v>
      </c>
      <c r="CP319">
        <f>A!CO319</f>
        <v>0</v>
      </c>
      <c r="CQ319">
        <f>A!CO629</f>
        <v>0</v>
      </c>
      <c r="CR319" t="e">
        <f>A!#REF!</f>
        <v>#REF!</v>
      </c>
      <c r="CS319" t="e">
        <f>A!#REF!</f>
        <v>#REF!</v>
      </c>
    </row>
    <row r="320" spans="1:97" x14ac:dyDescent="0.2">
      <c r="A320" t="str">
        <f>A!A320</f>
        <v>LABRESULTAAT</v>
      </c>
      <c r="B320">
        <f>A!B320</f>
        <v>139</v>
      </c>
      <c r="C320" t="str">
        <f>A!C320</f>
        <v>_9a438319-d414-4c71-bcea-ee60936b0179</v>
      </c>
      <c r="D320" t="str">
        <f>A!D320</f>
        <v>9a438319-d414-4c71-bcea-ee60936b0179</v>
      </c>
      <c r="E320" t="str">
        <f>A!E320</f>
        <v>SIKB</v>
      </c>
      <c r="F320" t="str">
        <f>A!F320</f>
        <v>urn:immetingen:hoedanigheid:id:1</v>
      </c>
      <c r="G320" t="str">
        <f>A!G320</f>
        <v>www.sikb.nl</v>
      </c>
      <c r="H320" t="str">
        <f>A!H320</f>
        <v>urn:immetingen:parameter:id:299</v>
      </c>
      <c r="I320" t="str">
        <f>A!I320</f>
        <v>www.sikb.nl</v>
      </c>
      <c r="J320" t="str">
        <f>A!J320</f>
        <v>urn:immetingen:parameter:id:2725</v>
      </c>
      <c r="K320" t="str">
        <f>A!K320</f>
        <v>www.sikb.nl</v>
      </c>
      <c r="L320">
        <f>A!L320</f>
        <v>45811</v>
      </c>
      <c r="M320" t="str">
        <f>A!M320</f>
        <v>urn:immetingen:LabopdrachtStatus:id:5</v>
      </c>
      <c r="N320">
        <f>A!N320</f>
        <v>1</v>
      </c>
      <c r="O320">
        <f>A!O320</f>
        <v>1</v>
      </c>
      <c r="P320" s="32" t="str">
        <f>IF(A!P320="","",INDEX(B!$A$1:$BT$2000,MATCH(A!P320,B!$AX$1:$AX$2000,0),D!$B$5))</f>
        <v>MM06 04 (200-250) 04 (250-300) 05 (200-250) 05 (250-300)</v>
      </c>
      <c r="Q320">
        <f>A!Q320</f>
        <v>0</v>
      </c>
      <c r="R320">
        <f>A!R320</f>
        <v>0</v>
      </c>
      <c r="S320">
        <f>A!S320</f>
        <v>0</v>
      </c>
      <c r="T320" t="str">
        <f>A!T320</f>
        <v>immetingen:AnalyticResultType</v>
      </c>
      <c r="U320" t="str">
        <f>A!U320</f>
        <v>&lt;0.01 mg/kgds</v>
      </c>
      <c r="V320" s="32">
        <f>IF(A!V320="&lt;",1,A!V320)</f>
        <v>1</v>
      </c>
      <c r="W320">
        <f>A!W320</f>
        <v>0.01</v>
      </c>
      <c r="X320">
        <f>A!X320</f>
        <v>0.01</v>
      </c>
      <c r="Y320" t="str">
        <f>A!Y320</f>
        <v>urn:immetingen:eenheid:id:58</v>
      </c>
      <c r="Z320" s="32">
        <f t="shared" si="4"/>
        <v>58</v>
      </c>
      <c r="AA320" t="str">
        <f>A!Z320</f>
        <v>urn:immetingen:kwaliteitsoordeel:id:0</v>
      </c>
      <c r="AB320" t="str">
        <f>A!AA320</f>
        <v>www.sikb.nl</v>
      </c>
      <c r="AC320" t="str">
        <f>A!AB320</f>
        <v>urn:immetingen:waardebewerkingsmethode:id:5</v>
      </c>
      <c r="AD320" t="str">
        <f>A!AC320</f>
        <v>www.sikb.nl</v>
      </c>
      <c r="AE320" t="str">
        <f>A!AD320</f>
        <v>_781d5d3e-3352-4a45-ba62-4e885424cd5b</v>
      </c>
      <c r="AF320">
        <f>A!AE320</f>
        <v>45811.309340277781</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32"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t="str">
        <f>A!CI320</f>
        <v>urn:imsikb0101:Applicaties:id:16</v>
      </c>
      <c r="CK320" t="str">
        <f>A!CJ320</f>
        <v>urn:imsikb0101:DatastroomType:id:1</v>
      </c>
      <c r="CL320">
        <f>A!CK320</f>
        <v>45811</v>
      </c>
      <c r="CM320" t="str">
        <f>A!CL320</f>
        <v>SGS, Rotterdam</v>
      </c>
      <c r="CN320" t="str">
        <f>A!CM320</f>
        <v>LABRESULTAAT SGS</v>
      </c>
      <c r="CO320">
        <f>A!CN320</f>
        <v>45811</v>
      </c>
      <c r="CP320">
        <f>A!CO320</f>
        <v>0</v>
      </c>
      <c r="CQ320">
        <f>A!CO630</f>
        <v>0</v>
      </c>
      <c r="CR320" t="e">
        <f>A!#REF!</f>
        <v>#REF!</v>
      </c>
      <c r="CS320" t="e">
        <f>A!#REF!</f>
        <v>#REF!</v>
      </c>
    </row>
    <row r="321" spans="1:97" x14ac:dyDescent="0.2">
      <c r="A321" t="str">
        <f>A!A321</f>
        <v>LABRESULTAAT</v>
      </c>
      <c r="B321">
        <f>A!B321</f>
        <v>140</v>
      </c>
      <c r="C321" t="str">
        <f>A!C321</f>
        <v>_2ce0108d-29bc-4fec-8e1b-22b96a3eecc8</v>
      </c>
      <c r="D321" t="str">
        <f>A!D321</f>
        <v>2ce0108d-29bc-4fec-8e1b-22b96a3eecc8</v>
      </c>
      <c r="E321" t="str">
        <f>A!E321</f>
        <v>SIKB</v>
      </c>
      <c r="F321" t="str">
        <f>A!F321</f>
        <v>urn:immetingen:hoedanigheid:id:1</v>
      </c>
      <c r="G321" t="str">
        <f>A!G321</f>
        <v>www.sikb.nl</v>
      </c>
      <c r="H321" t="str">
        <f>A!H321</f>
        <v>urn:immetingen:parameter:id:775</v>
      </c>
      <c r="I321" t="str">
        <f>A!I321</f>
        <v>www.sikb.nl</v>
      </c>
      <c r="J321" t="str">
        <f>A!J321</f>
        <v>urn:immetingen:parameter:id:2725</v>
      </c>
      <c r="K321" t="str">
        <f>A!K321</f>
        <v>www.sikb.nl</v>
      </c>
      <c r="L321">
        <f>A!L321</f>
        <v>45811</v>
      </c>
      <c r="M321" t="str">
        <f>A!M321</f>
        <v>urn:immetingen:LabopdrachtStatus:id:5</v>
      </c>
      <c r="N321">
        <f>A!N321</f>
        <v>1</v>
      </c>
      <c r="O321">
        <f>A!O321</f>
        <v>1</v>
      </c>
      <c r="P321" s="32" t="str">
        <f>IF(A!P321="","",INDEX(B!$A$1:$BT$2000,MATCH(A!P321,B!$AX$1:$AX$2000,0),D!$B$5))</f>
        <v>MM06 04 (200-250) 04 (250-300) 05 (200-250) 05 (250-300)</v>
      </c>
      <c r="Q321">
        <f>A!Q321</f>
        <v>0</v>
      </c>
      <c r="R321">
        <f>A!R321</f>
        <v>0</v>
      </c>
      <c r="S321">
        <f>A!S321</f>
        <v>0</v>
      </c>
      <c r="T321" t="str">
        <f>A!T321</f>
        <v>immetingen:AnalyticResultType</v>
      </c>
      <c r="U321" t="str">
        <f>A!U321</f>
        <v>&lt;0.01 mg/kgds</v>
      </c>
      <c r="V321" s="32">
        <f>IF(A!V321="&lt;",1,A!V321)</f>
        <v>1</v>
      </c>
      <c r="W321">
        <f>A!W321</f>
        <v>0.01</v>
      </c>
      <c r="X321">
        <f>A!X321</f>
        <v>0.01</v>
      </c>
      <c r="Y321" t="str">
        <f>A!Y321</f>
        <v>urn:immetingen:eenheid:id:58</v>
      </c>
      <c r="Z321" s="32">
        <f t="shared" si="4"/>
        <v>58</v>
      </c>
      <c r="AA321" t="str">
        <f>A!Z321</f>
        <v>urn:immetingen:kwaliteitsoordeel:id:0</v>
      </c>
      <c r="AB321" t="str">
        <f>A!AA321</f>
        <v>www.sikb.nl</v>
      </c>
      <c r="AC321" t="str">
        <f>A!AB321</f>
        <v>urn:immetingen:waardebewerkingsmethode:id:5</v>
      </c>
      <c r="AD321" t="str">
        <f>A!AC321</f>
        <v>www.sikb.nl</v>
      </c>
      <c r="AE321" t="str">
        <f>A!AD321</f>
        <v>_0b1e3c6d-97e2-455e-b8af-d55c9a0d2167</v>
      </c>
      <c r="AF321">
        <f>A!AE321</f>
        <v>45811.309340277781</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32"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t="str">
        <f>A!CI321</f>
        <v>urn:imsikb0101:Applicaties:id:16</v>
      </c>
      <c r="CK321" t="str">
        <f>A!CJ321</f>
        <v>urn:imsikb0101:DatastroomType:id:1</v>
      </c>
      <c r="CL321">
        <f>A!CK321</f>
        <v>45811</v>
      </c>
      <c r="CM321" t="str">
        <f>A!CL321</f>
        <v>SGS, Rotterdam</v>
      </c>
      <c r="CN321" t="str">
        <f>A!CM321</f>
        <v>LABRESULTAAT SGS</v>
      </c>
      <c r="CO321">
        <f>A!CN321</f>
        <v>45811</v>
      </c>
      <c r="CP321">
        <f>A!CO321</f>
        <v>0</v>
      </c>
      <c r="CQ321">
        <f>A!CO631</f>
        <v>0</v>
      </c>
      <c r="CR321" t="e">
        <f>A!#REF!</f>
        <v>#REF!</v>
      </c>
      <c r="CS321" t="e">
        <f>A!#REF!</f>
        <v>#REF!</v>
      </c>
    </row>
    <row r="322" spans="1:97" x14ac:dyDescent="0.2">
      <c r="A322" t="str">
        <f>A!A322</f>
        <v>LABRESULTAAT</v>
      </c>
      <c r="B322">
        <f>A!B322</f>
        <v>141</v>
      </c>
      <c r="C322" t="str">
        <f>A!C322</f>
        <v>_6249ffc9-707a-43c2-84be-89a78a9e72cd</v>
      </c>
      <c r="D322" t="str">
        <f>A!D322</f>
        <v>6249ffc9-707a-43c2-84be-89a78a9e72cd</v>
      </c>
      <c r="E322" t="str">
        <f>A!E322</f>
        <v>SIKB</v>
      </c>
      <c r="F322" t="str">
        <f>A!F322</f>
        <v>urn:immetingen:hoedanigheid:id:1</v>
      </c>
      <c r="G322" t="str">
        <f>A!G322</f>
        <v>www.sikb.nl</v>
      </c>
      <c r="H322" t="str">
        <f>A!H322</f>
        <v>urn:immetingen:parameter:id:518</v>
      </c>
      <c r="I322" t="str">
        <f>A!I322</f>
        <v>www.sikb.nl</v>
      </c>
      <c r="J322" t="str">
        <f>A!J322</f>
        <v>urn:immetingen:parameter:id:2725</v>
      </c>
      <c r="K322" t="str">
        <f>A!K322</f>
        <v>www.sikb.nl</v>
      </c>
      <c r="L322">
        <f>A!L322</f>
        <v>45811</v>
      </c>
      <c r="M322" t="str">
        <f>A!M322</f>
        <v>urn:immetingen:LabopdrachtStatus:id:5</v>
      </c>
      <c r="N322">
        <f>A!N322</f>
        <v>1</v>
      </c>
      <c r="O322">
        <f>A!O322</f>
        <v>1</v>
      </c>
      <c r="P322" s="32" t="str">
        <f>IF(A!P322="","",INDEX(B!$A$1:$BT$2000,MATCH(A!P322,B!$AX$1:$AX$2000,0),D!$B$5))</f>
        <v>MM06 04 (200-250) 04 (250-300) 05 (200-250) 05 (250-300)</v>
      </c>
      <c r="Q322">
        <f>A!Q322</f>
        <v>0</v>
      </c>
      <c r="R322">
        <f>A!R322</f>
        <v>0</v>
      </c>
      <c r="S322">
        <f>A!S322</f>
        <v>0</v>
      </c>
      <c r="T322" t="str">
        <f>A!T322</f>
        <v>immetingen:AnalyticResultType</v>
      </c>
      <c r="U322" t="str">
        <f>A!U322</f>
        <v>&lt;0.01 mg/kgds</v>
      </c>
      <c r="V322" s="32">
        <f>IF(A!V322="&lt;",1,A!V322)</f>
        <v>1</v>
      </c>
      <c r="W322">
        <f>A!W322</f>
        <v>0.01</v>
      </c>
      <c r="X322">
        <f>A!X322</f>
        <v>0.01</v>
      </c>
      <c r="Y322" t="str">
        <f>A!Y322</f>
        <v>urn:immetingen:eenheid:id:58</v>
      </c>
      <c r="Z322" s="32">
        <f t="shared" si="4"/>
        <v>58</v>
      </c>
      <c r="AA322" t="str">
        <f>A!Z322</f>
        <v>urn:immetingen:kwaliteitsoordeel:id:0</v>
      </c>
      <c r="AB322" t="str">
        <f>A!AA322</f>
        <v>www.sikb.nl</v>
      </c>
      <c r="AC322" t="str">
        <f>A!AB322</f>
        <v>urn:immetingen:waardebewerkingsmethode:id:5</v>
      </c>
      <c r="AD322" t="str">
        <f>A!AC322</f>
        <v>www.sikb.nl</v>
      </c>
      <c r="AE322" t="str">
        <f>A!AD322</f>
        <v>_b7fd4f5d-8df7-4e9a-b6a1-3a1475e9d390</v>
      </c>
      <c r="AF322">
        <f>A!AE322</f>
        <v>45811.309340277781</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32"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t="str">
        <f>A!CI322</f>
        <v>urn:imsikb0101:Applicaties:id:16</v>
      </c>
      <c r="CK322" t="str">
        <f>A!CJ322</f>
        <v>urn:imsikb0101:DatastroomType:id:1</v>
      </c>
      <c r="CL322">
        <f>A!CK322</f>
        <v>45811</v>
      </c>
      <c r="CM322" t="str">
        <f>A!CL322</f>
        <v>SGS, Rotterdam</v>
      </c>
      <c r="CN322" t="str">
        <f>A!CM322</f>
        <v>LABRESULTAAT SGS</v>
      </c>
      <c r="CO322">
        <f>A!CN322</f>
        <v>45811</v>
      </c>
      <c r="CP322">
        <f>A!CO322</f>
        <v>0</v>
      </c>
      <c r="CQ322">
        <f>A!CO632</f>
        <v>0</v>
      </c>
      <c r="CR322" t="e">
        <f>A!#REF!</f>
        <v>#REF!</v>
      </c>
      <c r="CS322" t="e">
        <f>A!#REF!</f>
        <v>#REF!</v>
      </c>
    </row>
    <row r="323" spans="1:97" x14ac:dyDescent="0.2">
      <c r="A323" t="str">
        <f>A!A323</f>
        <v>LABRESULTAAT</v>
      </c>
      <c r="B323">
        <f>A!B323</f>
        <v>142</v>
      </c>
      <c r="C323" t="str">
        <f>A!C323</f>
        <v>_3af1f968-88ab-43c0-87e1-cb1193260442</v>
      </c>
      <c r="D323" t="str">
        <f>A!D323</f>
        <v>3af1f968-88ab-43c0-87e1-cb1193260442</v>
      </c>
      <c r="E323" t="str">
        <f>A!E323</f>
        <v>SIKB</v>
      </c>
      <c r="F323" t="str">
        <f>A!F323</f>
        <v>urn:immetingen:hoedanigheid:id:1</v>
      </c>
      <c r="G323" t="str">
        <f>A!G323</f>
        <v>www.sikb.nl</v>
      </c>
      <c r="H323" t="str">
        <f>A!H323</f>
        <v>urn:immetingen:parameter:id:353</v>
      </c>
      <c r="I323" t="str">
        <f>A!I323</f>
        <v>www.sikb.nl</v>
      </c>
      <c r="J323" t="str">
        <f>A!J323</f>
        <v>urn:immetingen:parameter:id:2725</v>
      </c>
      <c r="K323" t="str">
        <f>A!K323</f>
        <v>www.sikb.nl</v>
      </c>
      <c r="L323">
        <f>A!L323</f>
        <v>45811</v>
      </c>
      <c r="M323" t="str">
        <f>A!M323</f>
        <v>urn:immetingen:LabopdrachtStatus:id:5</v>
      </c>
      <c r="N323">
        <f>A!N323</f>
        <v>1</v>
      </c>
      <c r="O323">
        <f>A!O323</f>
        <v>1</v>
      </c>
      <c r="P323" s="32" t="str">
        <f>IF(A!P323="","",INDEX(B!$A$1:$BT$2000,MATCH(A!P323,B!$AX$1:$AX$2000,0),D!$B$5))</f>
        <v>MM06 04 (200-250) 04 (250-300) 05 (200-250) 05 (250-300)</v>
      </c>
      <c r="Q323">
        <f>A!Q323</f>
        <v>0</v>
      </c>
      <c r="R323">
        <f>A!R323</f>
        <v>0</v>
      </c>
      <c r="S323">
        <f>A!S323</f>
        <v>0</v>
      </c>
      <c r="T323" t="str">
        <f>A!T323</f>
        <v>immetingen:AnalyticResultType</v>
      </c>
      <c r="U323" t="str">
        <f>A!U323</f>
        <v>&lt;0.01 mg/kgds</v>
      </c>
      <c r="V323" s="32">
        <f>IF(A!V323="&lt;",1,A!V323)</f>
        <v>1</v>
      </c>
      <c r="W323">
        <f>A!W323</f>
        <v>0.01</v>
      </c>
      <c r="X323">
        <f>A!X323</f>
        <v>0.01</v>
      </c>
      <c r="Y323" t="str">
        <f>A!Y323</f>
        <v>urn:immetingen:eenheid:id:58</v>
      </c>
      <c r="Z323" s="32">
        <f t="shared" si="4"/>
        <v>58</v>
      </c>
      <c r="AA323" t="str">
        <f>A!Z323</f>
        <v>urn:immetingen:kwaliteitsoordeel:id:0</v>
      </c>
      <c r="AB323" t="str">
        <f>A!AA323</f>
        <v>www.sikb.nl</v>
      </c>
      <c r="AC323" t="str">
        <f>A!AB323</f>
        <v>urn:immetingen:waardebewerkingsmethode:id:5</v>
      </c>
      <c r="AD323" t="str">
        <f>A!AC323</f>
        <v>www.sikb.nl</v>
      </c>
      <c r="AE323" t="str">
        <f>A!AD323</f>
        <v>_2425b0fe-41e5-4721-b0a8-db85222a607c</v>
      </c>
      <c r="AF323">
        <f>A!AE323</f>
        <v>45811.309340277781</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32"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t="str">
        <f>A!CI323</f>
        <v>urn:imsikb0101:Applicaties:id:16</v>
      </c>
      <c r="CK323" t="str">
        <f>A!CJ323</f>
        <v>urn:imsikb0101:DatastroomType:id:1</v>
      </c>
      <c r="CL323">
        <f>A!CK323</f>
        <v>45811</v>
      </c>
      <c r="CM323" t="str">
        <f>A!CL323</f>
        <v>SGS, Rotterdam</v>
      </c>
      <c r="CN323" t="str">
        <f>A!CM323</f>
        <v>LABRESULTAAT SGS</v>
      </c>
      <c r="CO323">
        <f>A!CN323</f>
        <v>45811</v>
      </c>
      <c r="CP323">
        <f>A!CO323</f>
        <v>0</v>
      </c>
      <c r="CQ323">
        <f>A!CO633</f>
        <v>0</v>
      </c>
      <c r="CR323" t="e">
        <f>A!#REF!</f>
        <v>#REF!</v>
      </c>
      <c r="CS323" t="e">
        <f>A!#REF!</f>
        <v>#REF!</v>
      </c>
    </row>
    <row r="324" spans="1:97" x14ac:dyDescent="0.2">
      <c r="A324" t="str">
        <f>A!A324</f>
        <v>LABRESULTAAT</v>
      </c>
      <c r="B324">
        <f>A!B324</f>
        <v>143</v>
      </c>
      <c r="C324" t="str">
        <f>A!C324</f>
        <v>_d8f9d71a-3bd8-46f5-bdd8-5b4dfdcf9494</v>
      </c>
      <c r="D324" t="str">
        <f>A!D324</f>
        <v>d8f9d71a-3bd8-46f5-bdd8-5b4dfdcf9494</v>
      </c>
      <c r="E324" t="str">
        <f>A!E324</f>
        <v>SIKB</v>
      </c>
      <c r="F324" t="str">
        <f>A!F324</f>
        <v>urn:immetingen:hoedanigheid:id:1</v>
      </c>
      <c r="G324" t="str">
        <f>A!G324</f>
        <v>www.sikb.nl</v>
      </c>
      <c r="H324" t="str">
        <f>A!H324</f>
        <v>urn:immetingen:parameter:id:346</v>
      </c>
      <c r="I324" t="str">
        <f>A!I324</f>
        <v>www.sikb.nl</v>
      </c>
      <c r="J324" t="str">
        <f>A!J324</f>
        <v>urn:immetingen:parameter:id:2725</v>
      </c>
      <c r="K324" t="str">
        <f>A!K324</f>
        <v>www.sikb.nl</v>
      </c>
      <c r="L324">
        <f>A!L324</f>
        <v>45811</v>
      </c>
      <c r="M324" t="str">
        <f>A!M324</f>
        <v>urn:immetingen:LabopdrachtStatus:id:5</v>
      </c>
      <c r="N324">
        <f>A!N324</f>
        <v>1</v>
      </c>
      <c r="O324">
        <f>A!O324</f>
        <v>1</v>
      </c>
      <c r="P324" s="32" t="str">
        <f>IF(A!P324="","",INDEX(B!$A$1:$BT$2000,MATCH(A!P324,B!$AX$1:$AX$2000,0),D!$B$5))</f>
        <v>MM06 04 (200-250) 04 (250-300) 05 (200-250) 05 (250-300)</v>
      </c>
      <c r="Q324">
        <f>A!Q324</f>
        <v>0</v>
      </c>
      <c r="R324">
        <f>A!R324</f>
        <v>0</v>
      </c>
      <c r="S324">
        <f>A!S324</f>
        <v>0</v>
      </c>
      <c r="T324" t="str">
        <f>A!T324</f>
        <v>immetingen:AnalyticResultType</v>
      </c>
      <c r="U324" t="str">
        <f>A!U324</f>
        <v>&lt;0.01 mg/kgds</v>
      </c>
      <c r="V324" s="32">
        <f>IF(A!V324="&lt;",1,A!V324)</f>
        <v>1</v>
      </c>
      <c r="W324">
        <f>A!W324</f>
        <v>0.01</v>
      </c>
      <c r="X324">
        <f>A!X324</f>
        <v>0.01</v>
      </c>
      <c r="Y324" t="str">
        <f>A!Y324</f>
        <v>urn:immetingen:eenheid:id:58</v>
      </c>
      <c r="Z324" s="32">
        <f t="shared" ref="Z324:Z387" si="5">_xlfn.NUMBERVALUE(MID(Y324,27,3))</f>
        <v>58</v>
      </c>
      <c r="AA324" t="str">
        <f>A!Z324</f>
        <v>urn:immetingen:kwaliteitsoordeel:id:0</v>
      </c>
      <c r="AB324" t="str">
        <f>A!AA324</f>
        <v>www.sikb.nl</v>
      </c>
      <c r="AC324" t="str">
        <f>A!AB324</f>
        <v>urn:immetingen:waardebewerkingsmethode:id:5</v>
      </c>
      <c r="AD324" t="str">
        <f>A!AC324</f>
        <v>www.sikb.nl</v>
      </c>
      <c r="AE324" t="str">
        <f>A!AD324</f>
        <v>_85778f3b-0d2d-441d-9fac-2133d1a987db</v>
      </c>
      <c r="AF324">
        <f>A!AE324</f>
        <v>45811.309340277781</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32"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t="str">
        <f>A!CI324</f>
        <v>urn:imsikb0101:Applicaties:id:16</v>
      </c>
      <c r="CK324" t="str">
        <f>A!CJ324</f>
        <v>urn:imsikb0101:DatastroomType:id:1</v>
      </c>
      <c r="CL324">
        <f>A!CK324</f>
        <v>45811</v>
      </c>
      <c r="CM324" t="str">
        <f>A!CL324</f>
        <v>SGS, Rotterdam</v>
      </c>
      <c r="CN324" t="str">
        <f>A!CM324</f>
        <v>LABRESULTAAT SGS</v>
      </c>
      <c r="CO324">
        <f>A!CN324</f>
        <v>45811</v>
      </c>
      <c r="CP324">
        <f>A!CO324</f>
        <v>0</v>
      </c>
      <c r="CQ324">
        <f>A!CO634</f>
        <v>0</v>
      </c>
      <c r="CR324" t="e">
        <f>A!#REF!</f>
        <v>#REF!</v>
      </c>
      <c r="CS324" t="e">
        <f>A!#REF!</f>
        <v>#REF!</v>
      </c>
    </row>
    <row r="325" spans="1:97" x14ac:dyDescent="0.2">
      <c r="A325" t="str">
        <f>A!A325</f>
        <v>LABRESULTAAT</v>
      </c>
      <c r="B325">
        <f>A!B325</f>
        <v>144</v>
      </c>
      <c r="C325" t="str">
        <f>A!C325</f>
        <v>_74510712-8a40-48e9-98fe-80e73af5e978</v>
      </c>
      <c r="D325" t="str">
        <f>A!D325</f>
        <v>74510712-8a40-48e9-98fe-80e73af5e978</v>
      </c>
      <c r="E325" t="str">
        <f>A!E325</f>
        <v>SIKB</v>
      </c>
      <c r="F325" t="str">
        <f>A!F325</f>
        <v>urn:immetingen:hoedanigheid:id:1</v>
      </c>
      <c r="G325" t="str">
        <f>A!G325</f>
        <v>www.sikb.nl</v>
      </c>
      <c r="H325" t="str">
        <f>A!H325</f>
        <v>urn:immetingen:parameter:id:351</v>
      </c>
      <c r="I325" t="str">
        <f>A!I325</f>
        <v>www.sikb.nl</v>
      </c>
      <c r="J325" t="str">
        <f>A!J325</f>
        <v>urn:immetingen:parameter:id:2725</v>
      </c>
      <c r="K325" t="str">
        <f>A!K325</f>
        <v>www.sikb.nl</v>
      </c>
      <c r="L325">
        <f>A!L325</f>
        <v>45811</v>
      </c>
      <c r="M325" t="str">
        <f>A!M325</f>
        <v>urn:immetingen:LabopdrachtStatus:id:5</v>
      </c>
      <c r="N325">
        <f>A!N325</f>
        <v>1</v>
      </c>
      <c r="O325">
        <f>A!O325</f>
        <v>1</v>
      </c>
      <c r="P325" s="32" t="str">
        <f>IF(A!P325="","",INDEX(B!$A$1:$BT$2000,MATCH(A!P325,B!$AX$1:$AX$2000,0),D!$B$5))</f>
        <v>MM06 04 (200-250) 04 (250-300) 05 (200-250) 05 (250-300)</v>
      </c>
      <c r="Q325">
        <f>A!Q325</f>
        <v>0</v>
      </c>
      <c r="R325">
        <f>A!R325</f>
        <v>0</v>
      </c>
      <c r="S325">
        <f>A!S325</f>
        <v>0</v>
      </c>
      <c r="T325" t="str">
        <f>A!T325</f>
        <v>immetingen:AnalyticResultType</v>
      </c>
      <c r="U325" t="str">
        <f>A!U325</f>
        <v>&lt;0.01 mg/kgds</v>
      </c>
      <c r="V325" s="32">
        <f>IF(A!V325="&lt;",1,A!V325)</f>
        <v>1</v>
      </c>
      <c r="W325">
        <f>A!W325</f>
        <v>0.01</v>
      </c>
      <c r="X325">
        <f>A!X325</f>
        <v>0.01</v>
      </c>
      <c r="Y325" t="str">
        <f>A!Y325</f>
        <v>urn:immetingen:eenheid:id:58</v>
      </c>
      <c r="Z325" s="32">
        <f t="shared" si="5"/>
        <v>58</v>
      </c>
      <c r="AA325" t="str">
        <f>A!Z325</f>
        <v>urn:immetingen:kwaliteitsoordeel:id:0</v>
      </c>
      <c r="AB325" t="str">
        <f>A!AA325</f>
        <v>www.sikb.nl</v>
      </c>
      <c r="AC325" t="str">
        <f>A!AB325</f>
        <v>urn:immetingen:waardebewerkingsmethode:id:5</v>
      </c>
      <c r="AD325" t="str">
        <f>A!AC325</f>
        <v>www.sikb.nl</v>
      </c>
      <c r="AE325" t="str">
        <f>A!AD325</f>
        <v>_d041d9ac-ef11-4771-9a38-fd69091cc33f</v>
      </c>
      <c r="AF325">
        <f>A!AE325</f>
        <v>45811.309340277781</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32"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t="str">
        <f>A!CI325</f>
        <v>urn:imsikb0101:Applicaties:id:16</v>
      </c>
      <c r="CK325" t="str">
        <f>A!CJ325</f>
        <v>urn:imsikb0101:DatastroomType:id:1</v>
      </c>
      <c r="CL325">
        <f>A!CK325</f>
        <v>45811</v>
      </c>
      <c r="CM325" t="str">
        <f>A!CL325</f>
        <v>SGS, Rotterdam</v>
      </c>
      <c r="CN325" t="str">
        <f>A!CM325</f>
        <v>LABRESULTAAT SGS</v>
      </c>
      <c r="CO325">
        <f>A!CN325</f>
        <v>45811</v>
      </c>
      <c r="CP325">
        <f>A!CO325</f>
        <v>0</v>
      </c>
      <c r="CQ325">
        <f>A!CO635</f>
        <v>0</v>
      </c>
      <c r="CR325" t="e">
        <f>A!#REF!</f>
        <v>#REF!</v>
      </c>
      <c r="CS325" t="e">
        <f>A!#REF!</f>
        <v>#REF!</v>
      </c>
    </row>
    <row r="326" spans="1:97" x14ac:dyDescent="0.2">
      <c r="A326" t="str">
        <f>A!A326</f>
        <v>LABRESULTAAT</v>
      </c>
      <c r="B326">
        <f>A!B326</f>
        <v>145</v>
      </c>
      <c r="C326" t="str">
        <f>A!C326</f>
        <v>_3de8fd46-6a2a-471e-b195-ba033abdb568</v>
      </c>
      <c r="D326" t="str">
        <f>A!D326</f>
        <v>3de8fd46-6a2a-471e-b195-ba033abdb568</v>
      </c>
      <c r="E326" t="str">
        <f>A!E326</f>
        <v>SIKB</v>
      </c>
      <c r="F326" t="str">
        <f>A!F326</f>
        <v>urn:immetingen:hoedanigheid:id:1</v>
      </c>
      <c r="G326" t="str">
        <f>A!G326</f>
        <v>www.sikb.nl</v>
      </c>
      <c r="H326" t="str">
        <f>A!H326</f>
        <v>urn:immetingen:parameter:id:882</v>
      </c>
      <c r="I326" t="str">
        <f>A!I326</f>
        <v>www.sikb.nl</v>
      </c>
      <c r="J326" t="str">
        <f>A!J326</f>
        <v>urn:immetingen:parameter:id:2725</v>
      </c>
      <c r="K326" t="str">
        <f>A!K326</f>
        <v>www.sikb.nl</v>
      </c>
      <c r="L326">
        <f>A!L326</f>
        <v>45811</v>
      </c>
      <c r="M326" t="str">
        <f>A!M326</f>
        <v>urn:immetingen:LabopdrachtStatus:id:5</v>
      </c>
      <c r="N326">
        <f>A!N326</f>
        <v>1</v>
      </c>
      <c r="O326">
        <f>A!O326</f>
        <v>1</v>
      </c>
      <c r="P326" s="32" t="str">
        <f>IF(A!P326="","",INDEX(B!$A$1:$BT$2000,MATCH(A!P326,B!$AX$1:$AX$2000,0),D!$B$5))</f>
        <v>MM06 04 (200-250) 04 (250-300) 05 (200-250) 05 (250-300)</v>
      </c>
      <c r="Q326">
        <f>A!Q326</f>
        <v>0</v>
      </c>
      <c r="R326">
        <f>A!R326</f>
        <v>0</v>
      </c>
      <c r="S326">
        <f>A!S326</f>
        <v>0</v>
      </c>
      <c r="T326" t="str">
        <f>A!T326</f>
        <v>immetingen:AnalyticResultType</v>
      </c>
      <c r="U326" t="str">
        <f>A!U326</f>
        <v>&lt;0.01 mg/kgds</v>
      </c>
      <c r="V326" s="32">
        <f>IF(A!V326="&lt;",1,A!V326)</f>
        <v>1</v>
      </c>
      <c r="W326">
        <f>A!W326</f>
        <v>0.01</v>
      </c>
      <c r="X326">
        <f>A!X326</f>
        <v>0.01</v>
      </c>
      <c r="Y326" t="str">
        <f>A!Y326</f>
        <v>urn:immetingen:eenheid:id:58</v>
      </c>
      <c r="Z326" s="32">
        <f t="shared" si="5"/>
        <v>58</v>
      </c>
      <c r="AA326" t="str">
        <f>A!Z326</f>
        <v>urn:immetingen:kwaliteitsoordeel:id:0</v>
      </c>
      <c r="AB326" t="str">
        <f>A!AA326</f>
        <v>www.sikb.nl</v>
      </c>
      <c r="AC326" t="str">
        <f>A!AB326</f>
        <v>urn:immetingen:waardebewerkingsmethode:id:5</v>
      </c>
      <c r="AD326" t="str">
        <f>A!AC326</f>
        <v>www.sikb.nl</v>
      </c>
      <c r="AE326" t="str">
        <f>A!AD326</f>
        <v>_266783b7-83dd-49d8-8bff-250162ce49d9</v>
      </c>
      <c r="AF326">
        <f>A!AE326</f>
        <v>45811.309340277781</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32"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t="str">
        <f>A!CI326</f>
        <v>urn:imsikb0101:Applicaties:id:16</v>
      </c>
      <c r="CK326" t="str">
        <f>A!CJ326</f>
        <v>urn:imsikb0101:DatastroomType:id:1</v>
      </c>
      <c r="CL326">
        <f>A!CK326</f>
        <v>45811</v>
      </c>
      <c r="CM326" t="str">
        <f>A!CL326</f>
        <v>SGS, Rotterdam</v>
      </c>
      <c r="CN326" t="str">
        <f>A!CM326</f>
        <v>LABRESULTAAT SGS</v>
      </c>
      <c r="CO326">
        <f>A!CN326</f>
        <v>45811</v>
      </c>
      <c r="CP326">
        <f>A!CO326</f>
        <v>0</v>
      </c>
      <c r="CQ326">
        <f>A!CO636</f>
        <v>0</v>
      </c>
      <c r="CR326" t="e">
        <f>A!#REF!</f>
        <v>#REF!</v>
      </c>
      <c r="CS326" t="e">
        <f>A!#REF!</f>
        <v>#REF!</v>
      </c>
    </row>
    <row r="327" spans="1:97" x14ac:dyDescent="0.2">
      <c r="A327" t="str">
        <f>A!A327</f>
        <v>LABRESULTAAT</v>
      </c>
      <c r="B327">
        <f>A!B327</f>
        <v>146</v>
      </c>
      <c r="C327" t="str">
        <f>A!C327</f>
        <v>_8e5aef78-5054-473d-a0a4-3e3d5f93dc7b</v>
      </c>
      <c r="D327" t="str">
        <f>A!D327</f>
        <v>8e5aef78-5054-473d-a0a4-3e3d5f93dc7b</v>
      </c>
      <c r="E327" t="str">
        <f>A!E327</f>
        <v>SIKB</v>
      </c>
      <c r="F327" t="str">
        <f>A!F327</f>
        <v>urn:immetingen:hoedanigheid:id:1</v>
      </c>
      <c r="G327" t="str">
        <f>A!G327</f>
        <v>www.sikb.nl</v>
      </c>
      <c r="H327" t="str">
        <f>A!H327</f>
        <v>urn:immetingen:parameter:id:345</v>
      </c>
      <c r="I327" t="str">
        <f>A!I327</f>
        <v>www.sikb.nl</v>
      </c>
      <c r="J327" t="str">
        <f>A!J327</f>
        <v>urn:immetingen:parameter:id:2725</v>
      </c>
      <c r="K327" t="str">
        <f>A!K327</f>
        <v>www.sikb.nl</v>
      </c>
      <c r="L327">
        <f>A!L327</f>
        <v>45811</v>
      </c>
      <c r="M327" t="str">
        <f>A!M327</f>
        <v>urn:immetingen:LabopdrachtStatus:id:5</v>
      </c>
      <c r="N327">
        <f>A!N327</f>
        <v>1</v>
      </c>
      <c r="O327">
        <f>A!O327</f>
        <v>1</v>
      </c>
      <c r="P327" s="32" t="str">
        <f>IF(A!P327="","",INDEX(B!$A$1:$BT$2000,MATCH(A!P327,B!$AX$1:$AX$2000,0),D!$B$5))</f>
        <v>MM06 04 (200-250) 04 (250-300) 05 (200-250) 05 (250-300)</v>
      </c>
      <c r="Q327">
        <f>A!Q327</f>
        <v>0</v>
      </c>
      <c r="R327">
        <f>A!R327</f>
        <v>0</v>
      </c>
      <c r="S327">
        <f>A!S327</f>
        <v>0</v>
      </c>
      <c r="T327" t="str">
        <f>A!T327</f>
        <v>immetingen:AnalyticResultType</v>
      </c>
      <c r="U327" t="str">
        <f>A!U327</f>
        <v>&lt;0.01 mg/kgds</v>
      </c>
      <c r="V327" s="32">
        <f>IF(A!V327="&lt;",1,A!V327)</f>
        <v>1</v>
      </c>
      <c r="W327">
        <f>A!W327</f>
        <v>0.01</v>
      </c>
      <c r="X327">
        <f>A!X327</f>
        <v>0.01</v>
      </c>
      <c r="Y327" t="str">
        <f>A!Y327</f>
        <v>urn:immetingen:eenheid:id:58</v>
      </c>
      <c r="Z327" s="32">
        <f t="shared" si="5"/>
        <v>58</v>
      </c>
      <c r="AA327" t="str">
        <f>A!Z327</f>
        <v>urn:immetingen:kwaliteitsoordeel:id:0</v>
      </c>
      <c r="AB327" t="str">
        <f>A!AA327</f>
        <v>www.sikb.nl</v>
      </c>
      <c r="AC327" t="str">
        <f>A!AB327</f>
        <v>urn:immetingen:waardebewerkingsmethode:id:5</v>
      </c>
      <c r="AD327" t="str">
        <f>A!AC327</f>
        <v>www.sikb.nl</v>
      </c>
      <c r="AE327" t="str">
        <f>A!AD327</f>
        <v>_8041649b-d804-44f3-8504-a8b628a6f1a7</v>
      </c>
      <c r="AF327">
        <f>A!AE327</f>
        <v>45811.309340277781</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32"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t="str">
        <f>A!CI327</f>
        <v>urn:imsikb0101:Applicaties:id:16</v>
      </c>
      <c r="CK327" t="str">
        <f>A!CJ327</f>
        <v>urn:imsikb0101:DatastroomType:id:1</v>
      </c>
      <c r="CL327">
        <f>A!CK327</f>
        <v>45811</v>
      </c>
      <c r="CM327" t="str">
        <f>A!CL327</f>
        <v>SGS, Rotterdam</v>
      </c>
      <c r="CN327" t="str">
        <f>A!CM327</f>
        <v>LABRESULTAAT SGS</v>
      </c>
      <c r="CO327">
        <f>A!CN327</f>
        <v>45811</v>
      </c>
      <c r="CP327">
        <f>A!CO327</f>
        <v>0</v>
      </c>
      <c r="CQ327">
        <f>A!CO637</f>
        <v>0</v>
      </c>
      <c r="CR327" t="e">
        <f>A!#REF!</f>
        <v>#REF!</v>
      </c>
      <c r="CS327" t="e">
        <f>A!#REF!</f>
        <v>#REF!</v>
      </c>
    </row>
    <row r="328" spans="1:97" x14ac:dyDescent="0.2">
      <c r="A328" t="str">
        <f>A!A328</f>
        <v>LABRESULTAAT</v>
      </c>
      <c r="B328">
        <f>A!B328</f>
        <v>147</v>
      </c>
      <c r="C328" t="str">
        <f>A!C328</f>
        <v>_b26ddaa9-d846-41ea-bab3-eb453d490c8b</v>
      </c>
      <c r="D328" t="str">
        <f>A!D328</f>
        <v>b26ddaa9-d846-41ea-bab3-eb453d490c8b</v>
      </c>
      <c r="E328" t="str">
        <f>A!E328</f>
        <v>SIKB</v>
      </c>
      <c r="F328" t="str">
        <f>A!F328</f>
        <v>urn:immetingen:hoedanigheid:id:2</v>
      </c>
      <c r="G328" t="str">
        <f>A!G328</f>
        <v>www.sikb.nl</v>
      </c>
      <c r="H328">
        <f>A!H328</f>
        <v>0</v>
      </c>
      <c r="I328">
        <f>A!I328</f>
        <v>0</v>
      </c>
      <c r="J328" t="str">
        <f>A!J328</f>
        <v>urn:immetingen:parameter:id:1118</v>
      </c>
      <c r="K328" t="str">
        <f>A!K328</f>
        <v>www.sikb.nl</v>
      </c>
      <c r="L328">
        <f>A!L328</f>
        <v>45811</v>
      </c>
      <c r="M328" t="str">
        <f>A!M328</f>
        <v>urn:immetingen:LabopdrachtStatus:id:5</v>
      </c>
      <c r="N328">
        <f>A!N328</f>
        <v>1</v>
      </c>
      <c r="O328">
        <f>A!O328</f>
        <v>1</v>
      </c>
      <c r="P328" s="32" t="str">
        <f>IF(A!P328="","",INDEX(B!$A$1:$BT$2000,MATCH(A!P328,B!$AX$1:$AX$2000,0),D!$B$5))</f>
        <v>MM06 04 (200-250) 04 (250-300) 05 (200-250) 05 (250-300)</v>
      </c>
      <c r="Q328">
        <f>A!Q328</f>
        <v>0</v>
      </c>
      <c r="R328">
        <f>A!R328</f>
        <v>0</v>
      </c>
      <c r="S328">
        <f>A!S328</f>
        <v>0</v>
      </c>
      <c r="T328" t="str">
        <f>A!T328</f>
        <v>immetingen:AnalyticResultType</v>
      </c>
      <c r="U328" t="str">
        <f>A!U328</f>
        <v>5.8 % vd DS</v>
      </c>
      <c r="V328" s="32">
        <f>IF(A!V328="&lt;",1,A!V328)</f>
        <v>0</v>
      </c>
      <c r="W328">
        <f>A!W328</f>
        <v>5.8</v>
      </c>
      <c r="X328">
        <f>A!X328</f>
        <v>5.8</v>
      </c>
      <c r="Y328" t="str">
        <f>A!Y328</f>
        <v>urn:immetingen:eenheid:id:1</v>
      </c>
      <c r="Z328" s="32">
        <f t="shared" si="5"/>
        <v>1</v>
      </c>
      <c r="AA328" t="str">
        <f>A!Z328</f>
        <v>urn:immetingen:kwaliteitsoordeel:id:0</v>
      </c>
      <c r="AB328" t="str">
        <f>A!AA328</f>
        <v>www.sikb.nl</v>
      </c>
      <c r="AC328" t="str">
        <f>A!AB328</f>
        <v>urn:immetingen:waardebewerkingsmethode:id:5</v>
      </c>
      <c r="AD328" t="str">
        <f>A!AC328</f>
        <v>www.sikb.nl</v>
      </c>
      <c r="AE328" t="str">
        <f>A!AD328</f>
        <v>_8786158e-2bc7-432c-a64d-51ddcd377d95</v>
      </c>
      <c r="AF328">
        <f>A!AE328</f>
        <v>45811.548715277779</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32"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t="str">
        <f>A!CI328</f>
        <v>urn:imsikb0101:Applicaties:id:16</v>
      </c>
      <c r="CK328" t="str">
        <f>A!CJ328</f>
        <v>urn:imsikb0101:DatastroomType:id:1</v>
      </c>
      <c r="CL328">
        <f>A!CK328</f>
        <v>45811</v>
      </c>
      <c r="CM328" t="str">
        <f>A!CL328</f>
        <v>SGS, Rotterdam</v>
      </c>
      <c r="CN328" t="str">
        <f>A!CM328</f>
        <v>LABRESULTAAT SGS</v>
      </c>
      <c r="CO328">
        <f>A!CN328</f>
        <v>45811</v>
      </c>
      <c r="CP328">
        <f>A!CO328</f>
        <v>0</v>
      </c>
      <c r="CQ328">
        <f>A!CO638</f>
        <v>0</v>
      </c>
      <c r="CR328" t="e">
        <f>A!#REF!</f>
        <v>#REF!</v>
      </c>
      <c r="CS328" t="e">
        <f>A!#REF!</f>
        <v>#REF!</v>
      </c>
    </row>
    <row r="329" spans="1:97" x14ac:dyDescent="0.2">
      <c r="A329" t="str">
        <f>A!A329</f>
        <v>LABRESULTAAT</v>
      </c>
      <c r="B329">
        <f>A!B329</f>
        <v>148</v>
      </c>
      <c r="C329" t="str">
        <f>A!C329</f>
        <v>_a97506e9-6dac-45b2-9801-c88522c93d77</v>
      </c>
      <c r="D329" t="str">
        <f>A!D329</f>
        <v>a97506e9-6dac-45b2-9801-c88522c93d77</v>
      </c>
      <c r="E329" t="str">
        <f>A!E329</f>
        <v>SIKB</v>
      </c>
      <c r="F329" t="str">
        <f>A!F329</f>
        <v>urn:immetingen:hoedanigheid:id:1</v>
      </c>
      <c r="G329" t="str">
        <f>A!G329</f>
        <v>www.sikb.nl</v>
      </c>
      <c r="H329" t="str">
        <f>A!H329</f>
        <v>urn:immetingen:parameter:id:1319</v>
      </c>
      <c r="I329" t="str">
        <f>A!I329</f>
        <v>www.sikb.nl</v>
      </c>
      <c r="J329" t="str">
        <f>A!J329</f>
        <v>urn:immetingen:parameter:id:2725</v>
      </c>
      <c r="K329" t="str">
        <f>A!K329</f>
        <v>www.sikb.nl</v>
      </c>
      <c r="L329">
        <f>A!L329</f>
        <v>45811</v>
      </c>
      <c r="M329" t="str">
        <f>A!M329</f>
        <v>urn:immetingen:LabopdrachtStatus:id:5</v>
      </c>
      <c r="N329">
        <f>A!N329</f>
        <v>1</v>
      </c>
      <c r="O329">
        <f>A!O329</f>
        <v>1</v>
      </c>
      <c r="P329" s="32" t="str">
        <f>IF(A!P329="","",INDEX(B!$A$1:$BT$2000,MATCH(A!P329,B!$AX$1:$AX$2000,0),D!$B$5))</f>
        <v>MM06 04 (200-250) 04 (250-300) 05 (200-250) 05 (250-300)</v>
      </c>
      <c r="Q329">
        <f>A!Q329</f>
        <v>0</v>
      </c>
      <c r="R329">
        <f>A!R329</f>
        <v>0</v>
      </c>
      <c r="S329">
        <f>A!S329</f>
        <v>0</v>
      </c>
      <c r="T329" t="str">
        <f>A!T329</f>
        <v>immetingen:AnalyticResultType</v>
      </c>
      <c r="U329" t="str">
        <f>A!U329</f>
        <v>1.4 % vd DS</v>
      </c>
      <c r="V329" s="32">
        <f>IF(A!V329="&lt;",1,A!V329)</f>
        <v>0</v>
      </c>
      <c r="W329">
        <f>A!W329</f>
        <v>1.4</v>
      </c>
      <c r="X329">
        <f>A!X329</f>
        <v>1.4</v>
      </c>
      <c r="Y329" t="str">
        <f>A!Y329</f>
        <v>urn:immetingen:eenheid:id:1</v>
      </c>
      <c r="Z329" s="32">
        <f t="shared" si="5"/>
        <v>1</v>
      </c>
      <c r="AA329" t="str">
        <f>A!Z329</f>
        <v>urn:immetingen:kwaliteitsoordeel:id:0</v>
      </c>
      <c r="AB329" t="str">
        <f>A!AA329</f>
        <v>www.sikb.nl</v>
      </c>
      <c r="AC329" t="str">
        <f>A!AB329</f>
        <v>urn:immetingen:waardebewerkingsmethode:id:5</v>
      </c>
      <c r="AD329" t="str">
        <f>A!AC329</f>
        <v>www.sikb.nl</v>
      </c>
      <c r="AE329" t="str">
        <f>A!AD329</f>
        <v>_d246673f-fa8f-48e8-85a1-52d34de5d42c</v>
      </c>
      <c r="AF329">
        <f>A!AE329</f>
        <v>45811.649976851855</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32"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t="str">
        <f>A!CI329</f>
        <v>urn:imsikb0101:Applicaties:id:16</v>
      </c>
      <c r="CK329" t="str">
        <f>A!CJ329</f>
        <v>urn:imsikb0101:DatastroomType:id:1</v>
      </c>
      <c r="CL329">
        <f>A!CK329</f>
        <v>45811</v>
      </c>
      <c r="CM329" t="str">
        <f>A!CL329</f>
        <v>SGS, Rotterdam</v>
      </c>
      <c r="CN329" t="str">
        <f>A!CM329</f>
        <v>LABRESULTAAT SGS</v>
      </c>
      <c r="CO329">
        <f>A!CN329</f>
        <v>45811</v>
      </c>
      <c r="CP329">
        <f>A!CO329</f>
        <v>0</v>
      </c>
      <c r="CQ329">
        <f>A!CO639</f>
        <v>0</v>
      </c>
      <c r="CR329" t="e">
        <f>A!#REF!</f>
        <v>#REF!</v>
      </c>
      <c r="CS329" t="e">
        <f>A!#REF!</f>
        <v>#REF!</v>
      </c>
    </row>
    <row r="330" spans="1:97" x14ac:dyDescent="0.2">
      <c r="A330" t="str">
        <f>A!A330</f>
        <v>LABRESULTAAT</v>
      </c>
      <c r="B330">
        <f>A!B330</f>
        <v>149</v>
      </c>
      <c r="C330" t="str">
        <f>A!C330</f>
        <v>_e0592d56-7541-4f72-b2e4-b66c26dbeabb</v>
      </c>
      <c r="D330" t="str">
        <f>A!D330</f>
        <v>e0592d56-7541-4f72-b2e4-b66c26dbeabb</v>
      </c>
      <c r="E330" t="str">
        <f>A!E330</f>
        <v>SIKB</v>
      </c>
      <c r="F330" t="str">
        <f>A!F330</f>
        <v>urn:immetingen:hoedanigheid:id:1</v>
      </c>
      <c r="G330" t="str">
        <f>A!G330</f>
        <v>www.sikb.nl</v>
      </c>
      <c r="H330" t="str">
        <f>A!H330</f>
        <v>urn:immetingen:parameter:id:1365</v>
      </c>
      <c r="I330" t="str">
        <f>A!I330</f>
        <v>www.sikb.nl</v>
      </c>
      <c r="J330" t="str">
        <f>A!J330</f>
        <v>urn:immetingen:parameter:id:2725</v>
      </c>
      <c r="K330" t="str">
        <f>A!K330</f>
        <v>www.sikb.nl</v>
      </c>
      <c r="L330">
        <f>A!L330</f>
        <v>45811</v>
      </c>
      <c r="M330" t="str">
        <f>A!M330</f>
        <v>urn:immetingen:LabopdrachtStatus:id:5</v>
      </c>
      <c r="N330">
        <f>A!N330</f>
        <v>1</v>
      </c>
      <c r="O330">
        <f>A!O330</f>
        <v>1</v>
      </c>
      <c r="P330" s="32" t="str">
        <f>IF(A!P330="","",INDEX(B!$A$1:$BT$2000,MATCH(A!P330,B!$AX$1:$AX$2000,0),D!$B$5))</f>
        <v>MM06 04 (200-250) 04 (250-300) 05 (200-250) 05 (250-300)</v>
      </c>
      <c r="Q330">
        <f>A!Q330</f>
        <v>0</v>
      </c>
      <c r="R330">
        <f>A!R330</f>
        <v>0</v>
      </c>
      <c r="S330">
        <f>A!S330</f>
        <v>0</v>
      </c>
      <c r="T330" t="str">
        <f>A!T330</f>
        <v>immetingen:AnalyticResultType</v>
      </c>
      <c r="U330" t="str">
        <f>A!U330</f>
        <v>4.9 µg/kgds</v>
      </c>
      <c r="V330" s="32">
        <f>IF(A!V330="&lt;",1,A!V330)</f>
        <v>0</v>
      </c>
      <c r="W330">
        <f>A!W330</f>
        <v>4.9000000000000004</v>
      </c>
      <c r="X330">
        <f>A!X330</f>
        <v>4.9000000000000004</v>
      </c>
      <c r="Y330" t="str">
        <f>A!Y330</f>
        <v>urn:immetingen:eenheid:id:131</v>
      </c>
      <c r="Z330" s="32">
        <f t="shared" si="5"/>
        <v>131</v>
      </c>
      <c r="AA330" t="str">
        <f>A!Z330</f>
        <v>urn:immetingen:kwaliteitsoordeel:id:0</v>
      </c>
      <c r="AB330" t="str">
        <f>A!AA330</f>
        <v>www.sikb.nl</v>
      </c>
      <c r="AC330" t="str">
        <f>A!AB330</f>
        <v>urn:immetingen:waardebewerkingsmethode:id:5</v>
      </c>
      <c r="AD330" t="str">
        <f>A!AC330</f>
        <v>www.sikb.nl</v>
      </c>
      <c r="AE330" t="str">
        <f>A!AD330</f>
        <v>_e96b36cb-8eb4-45b1-84cf-dd332f19aca2</v>
      </c>
      <c r="AF330">
        <f>A!AE330</f>
        <v>45811.309525462966</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32"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t="str">
        <f>A!CI330</f>
        <v>urn:imsikb0101:Applicaties:id:16</v>
      </c>
      <c r="CK330" t="str">
        <f>A!CJ330</f>
        <v>urn:imsikb0101:DatastroomType:id:1</v>
      </c>
      <c r="CL330">
        <f>A!CK330</f>
        <v>45811</v>
      </c>
      <c r="CM330" t="str">
        <f>A!CL330</f>
        <v>SGS, Rotterdam</v>
      </c>
      <c r="CN330" t="str">
        <f>A!CM330</f>
        <v>LABRESULTAAT SGS</v>
      </c>
      <c r="CO330">
        <f>A!CN330</f>
        <v>45811</v>
      </c>
      <c r="CP330">
        <f>A!CO330</f>
        <v>0</v>
      </c>
      <c r="CQ330">
        <f>A!CO640</f>
        <v>0</v>
      </c>
      <c r="CR330" t="e">
        <f>A!#REF!</f>
        <v>#REF!</v>
      </c>
      <c r="CS330" t="e">
        <f>A!#REF!</f>
        <v>#REF!</v>
      </c>
    </row>
    <row r="331" spans="1:97" x14ac:dyDescent="0.2">
      <c r="A331" t="str">
        <f>A!A331</f>
        <v>LABRESULTAAT</v>
      </c>
      <c r="B331">
        <f>A!B331</f>
        <v>150</v>
      </c>
      <c r="C331" t="str">
        <f>A!C331</f>
        <v>_f94bf791-7d8a-432d-a64a-9322b8717320</v>
      </c>
      <c r="D331" t="str">
        <f>A!D331</f>
        <v>f94bf791-7d8a-432d-a64a-9322b8717320</v>
      </c>
      <c r="E331" t="str">
        <f>A!E331</f>
        <v>SIKB</v>
      </c>
      <c r="F331" t="str">
        <f>A!F331</f>
        <v>urn:immetingen:hoedanigheid:id:1</v>
      </c>
      <c r="G331" t="str">
        <f>A!G331</f>
        <v>www.sikb.nl</v>
      </c>
      <c r="H331" t="str">
        <f>A!H331</f>
        <v>urn:immetingen:parameter:id:1352</v>
      </c>
      <c r="I331" t="str">
        <f>A!I331</f>
        <v>www.sikb.nl</v>
      </c>
      <c r="J331" t="str">
        <f>A!J331</f>
        <v>urn:immetingen:parameter:id:2725</v>
      </c>
      <c r="K331" t="str">
        <f>A!K331</f>
        <v>www.sikb.nl</v>
      </c>
      <c r="L331">
        <f>A!L331</f>
        <v>45811</v>
      </c>
      <c r="M331" t="str">
        <f>A!M331</f>
        <v>urn:immetingen:LabopdrachtStatus:id:5</v>
      </c>
      <c r="N331">
        <f>A!N331</f>
        <v>1</v>
      </c>
      <c r="O331">
        <f>A!O331</f>
        <v>1</v>
      </c>
      <c r="P331" s="32" t="str">
        <f>IF(A!P331="","",INDEX(B!$A$1:$BT$2000,MATCH(A!P331,B!$AX$1:$AX$2000,0),D!$B$5))</f>
        <v>MM06 04 (200-250) 04 (250-300) 05 (200-250) 05 (250-300)</v>
      </c>
      <c r="Q331">
        <f>A!Q331</f>
        <v>0</v>
      </c>
      <c r="R331">
        <f>A!R331</f>
        <v>0</v>
      </c>
      <c r="S331">
        <f>A!S331</f>
        <v>0</v>
      </c>
      <c r="T331" t="str">
        <f>A!T331</f>
        <v>immetingen:AnalyticResultType</v>
      </c>
      <c r="U331" t="str">
        <f>A!U331</f>
        <v>0.07 mg/kgds</v>
      </c>
      <c r="V331" s="32">
        <f>IF(A!V331="&lt;",1,A!V331)</f>
        <v>0</v>
      </c>
      <c r="W331">
        <f>A!W331</f>
        <v>7.0000000000000007E-2</v>
      </c>
      <c r="X331">
        <f>A!X331</f>
        <v>7.0000000000000007E-2</v>
      </c>
      <c r="Y331" t="str">
        <f>A!Y331</f>
        <v>urn:immetingen:eenheid:id:58</v>
      </c>
      <c r="Z331" s="32">
        <f t="shared" si="5"/>
        <v>58</v>
      </c>
      <c r="AA331" t="str">
        <f>A!Z331</f>
        <v>urn:immetingen:kwaliteitsoordeel:id:0</v>
      </c>
      <c r="AB331" t="str">
        <f>A!AA331</f>
        <v>www.sikb.nl</v>
      </c>
      <c r="AC331" t="str">
        <f>A!AB331</f>
        <v>urn:immetingen:waardebewerkingsmethode:id:5</v>
      </c>
      <c r="AD331" t="str">
        <f>A!AC331</f>
        <v>www.sikb.nl</v>
      </c>
      <c r="AE331" t="str">
        <f>A!AD331</f>
        <v>_89ba6600-7391-44f4-ae74-798008fbb988</v>
      </c>
      <c r="AF331">
        <f>A!AE331</f>
        <v>45811.309525462966</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32"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t="str">
        <f>A!CI331</f>
        <v>urn:imsikb0101:Applicaties:id:16</v>
      </c>
      <c r="CK331" t="str">
        <f>A!CJ331</f>
        <v>urn:imsikb0101:DatastroomType:id:1</v>
      </c>
      <c r="CL331">
        <f>A!CK331</f>
        <v>45811</v>
      </c>
      <c r="CM331" t="str">
        <f>A!CL331</f>
        <v>SGS, Rotterdam</v>
      </c>
      <c r="CN331" t="str">
        <f>A!CM331</f>
        <v>LABRESULTAAT SGS</v>
      </c>
      <c r="CO331">
        <f>A!CN331</f>
        <v>45811</v>
      </c>
      <c r="CP331">
        <f>A!CO331</f>
        <v>0</v>
      </c>
      <c r="CQ331">
        <f>A!CO641</f>
        <v>0</v>
      </c>
      <c r="CR331" t="e">
        <f>A!#REF!</f>
        <v>#REF!</v>
      </c>
      <c r="CS331" t="e">
        <f>A!#REF!</f>
        <v>#REF!</v>
      </c>
    </row>
    <row r="332" spans="1:97" x14ac:dyDescent="0.2">
      <c r="A332" t="str">
        <f>A!A332</f>
        <v>LABRESULTAAT</v>
      </c>
      <c r="B332">
        <f>A!B332</f>
        <v>151</v>
      </c>
      <c r="C332" t="str">
        <f>A!C332</f>
        <v>_78c88873-dfa2-498d-8822-64b052496593</v>
      </c>
      <c r="D332" t="str">
        <f>A!D332</f>
        <v>78c88873-dfa2-498d-8822-64b052496593</v>
      </c>
      <c r="E332" t="str">
        <f>A!E332</f>
        <v>SIKB</v>
      </c>
      <c r="F332" t="str">
        <f>A!F332</f>
        <v>urn:immetingen:hoedanigheid:id:1</v>
      </c>
      <c r="G332" t="str">
        <f>A!G332</f>
        <v>www.sikb.nl</v>
      </c>
      <c r="H332" t="str">
        <f>A!H332</f>
        <v>urn:immetingen:parameter:id:333</v>
      </c>
      <c r="I332" t="str">
        <f>A!I332</f>
        <v>www.sikb.nl</v>
      </c>
      <c r="J332" t="str">
        <f>A!J332</f>
        <v>urn:immetingen:parameter:id:2725</v>
      </c>
      <c r="K332" t="str">
        <f>A!K332</f>
        <v>www.sikb.nl</v>
      </c>
      <c r="L332">
        <f>A!L332</f>
        <v>45811</v>
      </c>
      <c r="M332" t="str">
        <f>A!M332</f>
        <v>urn:immetingen:LabopdrachtStatus:id:5</v>
      </c>
      <c r="N332">
        <f>A!N332</f>
        <v>1</v>
      </c>
      <c r="O332">
        <f>A!O332</f>
        <v>1</v>
      </c>
      <c r="P332" s="32" t="str">
        <f>IF(A!P332="","",INDEX(B!$A$1:$BT$2000,MATCH(A!P332,B!$AX$1:$AX$2000,0),D!$B$5))</f>
        <v>MM06 04 (200-250) 04 (250-300) 05 (200-250) 05 (250-300)</v>
      </c>
      <c r="Q332">
        <f>A!Q332</f>
        <v>0</v>
      </c>
      <c r="R332">
        <f>A!R332</f>
        <v>0</v>
      </c>
      <c r="S332">
        <f>A!S332</f>
        <v>0</v>
      </c>
      <c r="T332" t="str">
        <f>A!T332</f>
        <v>immetingen:AnalyticResultType</v>
      </c>
      <c r="U332" t="str">
        <f>A!U332</f>
        <v>&lt;20 mg/kgds</v>
      </c>
      <c r="V332" s="32">
        <f>IF(A!V332="&lt;",1,A!V332)</f>
        <v>1</v>
      </c>
      <c r="W332">
        <f>A!W332</f>
        <v>20</v>
      </c>
      <c r="X332">
        <f>A!X332</f>
        <v>20</v>
      </c>
      <c r="Y332" t="str">
        <f>A!Y332</f>
        <v>urn:immetingen:eenheid:id:58</v>
      </c>
      <c r="Z332" s="32">
        <f t="shared" si="5"/>
        <v>58</v>
      </c>
      <c r="AA332" t="str">
        <f>A!Z332</f>
        <v>urn:immetingen:kwaliteitsoordeel:id:0</v>
      </c>
      <c r="AB332" t="str">
        <f>A!AA332</f>
        <v>www.sikb.nl</v>
      </c>
      <c r="AC332" t="str">
        <f>A!AB332</f>
        <v>urn:immetingen:waardebewerkingsmethode:id:5</v>
      </c>
      <c r="AD332" t="str">
        <f>A!AC332</f>
        <v>www.sikb.nl</v>
      </c>
      <c r="AE332" t="str">
        <f>A!AD332</f>
        <v>_77517b3e-ea4a-4a20-897b-652be2f9ad22</v>
      </c>
      <c r="AF332">
        <f>A!AE332</f>
        <v>45811.649606481478</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32"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t="str">
        <f>A!CI332</f>
        <v>urn:imsikb0101:Applicaties:id:16</v>
      </c>
      <c r="CK332" t="str">
        <f>A!CJ332</f>
        <v>urn:imsikb0101:DatastroomType:id:1</v>
      </c>
      <c r="CL332">
        <f>A!CK332</f>
        <v>45811</v>
      </c>
      <c r="CM332" t="str">
        <f>A!CL332</f>
        <v>SGS, Rotterdam</v>
      </c>
      <c r="CN332" t="str">
        <f>A!CM332</f>
        <v>LABRESULTAAT SGS</v>
      </c>
      <c r="CO332">
        <f>A!CN332</f>
        <v>45811</v>
      </c>
      <c r="CP332">
        <f>A!CO332</f>
        <v>0</v>
      </c>
      <c r="CQ332">
        <f>A!CO642</f>
        <v>0</v>
      </c>
      <c r="CR332" t="e">
        <f>A!#REF!</f>
        <v>#REF!</v>
      </c>
      <c r="CS332" t="e">
        <f>A!#REF!</f>
        <v>#REF!</v>
      </c>
    </row>
    <row r="333" spans="1:97" x14ac:dyDescent="0.2">
      <c r="A333" t="str">
        <f>A!A333</f>
        <v>LABRESULTAAT</v>
      </c>
      <c r="B333">
        <f>A!B333</f>
        <v>152</v>
      </c>
      <c r="C333" t="str">
        <f>A!C333</f>
        <v>_b4571428-b0d0-4ea1-af19-f14dfe61de95</v>
      </c>
      <c r="D333" t="str">
        <f>A!D333</f>
        <v>b4571428-b0d0-4ea1-af19-f14dfe61de95</v>
      </c>
      <c r="E333" t="str">
        <f>A!E333</f>
        <v>SIKB</v>
      </c>
      <c r="F333" t="str">
        <f>A!F333</f>
        <v>urn:immetingen:hoedanigheid:id:1</v>
      </c>
      <c r="G333" t="str">
        <f>A!G333</f>
        <v>www.sikb.nl</v>
      </c>
      <c r="H333" t="str">
        <f>A!H333</f>
        <v>urn:immetingen:parameter:id:1693</v>
      </c>
      <c r="I333" t="str">
        <f>A!I333</f>
        <v>www.sikb.nl</v>
      </c>
      <c r="J333" t="str">
        <f>A!J333</f>
        <v>urn:immetingen:parameter:id:2725</v>
      </c>
      <c r="K333" t="str">
        <f>A!K333</f>
        <v>www.sikb.nl</v>
      </c>
      <c r="L333">
        <f>A!L333</f>
        <v>45811</v>
      </c>
      <c r="M333" t="str">
        <f>A!M333</f>
        <v>urn:immetingen:LabopdrachtStatus:id:5</v>
      </c>
      <c r="N333">
        <f>A!N333</f>
        <v>1</v>
      </c>
      <c r="O333">
        <f>A!O333</f>
        <v>1</v>
      </c>
      <c r="P333" s="32" t="str">
        <f>IF(A!P333="","",INDEX(B!$A$1:$BT$2000,MATCH(A!P333,B!$AX$1:$AX$2000,0),D!$B$5))</f>
        <v>MM06 04 (200-250) 04 (250-300) 05 (200-250) 05 (250-300)</v>
      </c>
      <c r="Q333">
        <f>A!Q333</f>
        <v>0</v>
      </c>
      <c r="R333">
        <f>A!R333</f>
        <v>0</v>
      </c>
      <c r="S333">
        <f>A!S333</f>
        <v>0</v>
      </c>
      <c r="T333" t="str">
        <f>A!T333</f>
        <v>immetingen:AnalyticResultType</v>
      </c>
      <c r="U333" t="str">
        <f>A!U333</f>
        <v>20 mg/kgds</v>
      </c>
      <c r="V333" s="32">
        <f>IF(A!V333="&lt;",1,A!V333)</f>
        <v>0</v>
      </c>
      <c r="W333">
        <f>A!W333</f>
        <v>20</v>
      </c>
      <c r="X333">
        <f>A!X333</f>
        <v>20</v>
      </c>
      <c r="Y333" t="str">
        <f>A!Y333</f>
        <v>urn:immetingen:eenheid:id:58</v>
      </c>
      <c r="Z333" s="32">
        <f t="shared" si="5"/>
        <v>58</v>
      </c>
      <c r="AA333" t="str">
        <f>A!Z333</f>
        <v>urn:immetingen:kwaliteitsoordeel:id:0</v>
      </c>
      <c r="AB333" t="str">
        <f>A!AA333</f>
        <v>www.sikb.nl</v>
      </c>
      <c r="AC333" t="str">
        <f>A!AB333</f>
        <v>urn:immetingen:waardebewerkingsmethode:id:5</v>
      </c>
      <c r="AD333" t="str">
        <f>A!AC333</f>
        <v>www.sikb.nl</v>
      </c>
      <c r="AE333" t="str">
        <f>A!AD333</f>
        <v>_76340d15-51db-466a-b771-f8398ec3ee86</v>
      </c>
      <c r="AF333">
        <f>A!AE333</f>
        <v>45811.649606481478</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32"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t="str">
        <f>A!CI333</f>
        <v>urn:imsikb0101:Applicaties:id:16</v>
      </c>
      <c r="CK333" t="str">
        <f>A!CJ333</f>
        <v>urn:imsikb0101:DatastroomType:id:1</v>
      </c>
      <c r="CL333">
        <f>A!CK333</f>
        <v>45811</v>
      </c>
      <c r="CM333" t="str">
        <f>A!CL333</f>
        <v>SGS, Rotterdam</v>
      </c>
      <c r="CN333" t="str">
        <f>A!CM333</f>
        <v>LABRESULTAAT SGS</v>
      </c>
      <c r="CO333">
        <f>A!CN333</f>
        <v>45811</v>
      </c>
      <c r="CP333">
        <f>A!CO333</f>
        <v>0</v>
      </c>
      <c r="CQ333">
        <f>A!CO643</f>
        <v>0</v>
      </c>
      <c r="CR333" t="e">
        <f>A!#REF!</f>
        <v>#REF!</v>
      </c>
      <c r="CS333" t="e">
        <f>A!#REF!</f>
        <v>#REF!</v>
      </c>
    </row>
    <row r="334" spans="1:97" x14ac:dyDescent="0.2">
      <c r="A334" t="str">
        <f>A!A334</f>
        <v>LABRESULTAAT</v>
      </c>
      <c r="B334">
        <f>A!B334</f>
        <v>153</v>
      </c>
      <c r="C334" t="str">
        <f>A!C334</f>
        <v>_f8d72cef-8b53-492a-8541-3375c81e3d56</v>
      </c>
      <c r="D334" t="str">
        <f>A!D334</f>
        <v>f8d72cef-8b53-492a-8541-3375c81e3d56</v>
      </c>
      <c r="E334" t="str">
        <f>A!E334</f>
        <v>SIKB</v>
      </c>
      <c r="F334" t="str">
        <f>A!F334</f>
        <v>urn:immetingen:hoedanigheid:id:1</v>
      </c>
      <c r="G334" t="str">
        <f>A!G334</f>
        <v>www.sikb.nl</v>
      </c>
      <c r="H334" t="str">
        <f>A!H334</f>
        <v>urn:immetingen:parameter:id:310</v>
      </c>
      <c r="I334" t="str">
        <f>A!I334</f>
        <v>www.sikb.nl</v>
      </c>
      <c r="J334" t="str">
        <f>A!J334</f>
        <v>urn:immetingen:parameter:id:2725</v>
      </c>
      <c r="K334" t="str">
        <f>A!K334</f>
        <v>www.sikb.nl</v>
      </c>
      <c r="L334">
        <f>A!L334</f>
        <v>45811</v>
      </c>
      <c r="M334" t="str">
        <f>A!M334</f>
        <v>urn:immetingen:LabopdrachtStatus:id:5</v>
      </c>
      <c r="N334">
        <f>A!N334</f>
        <v>1</v>
      </c>
      <c r="O334">
        <f>A!O334</f>
        <v>1</v>
      </c>
      <c r="P334" s="32" t="str">
        <f>IF(A!P334="","",INDEX(B!$A$1:$BT$2000,MATCH(A!P334,B!$AX$1:$AX$2000,0),D!$B$5))</f>
        <v>MM06 04 (200-250) 04 (250-300) 05 (200-250) 05 (250-300)</v>
      </c>
      <c r="Q334">
        <f>A!Q334</f>
        <v>0</v>
      </c>
      <c r="R334">
        <f>A!R334</f>
        <v>0</v>
      </c>
      <c r="S334">
        <f>A!S334</f>
        <v>0</v>
      </c>
      <c r="T334" t="str">
        <f>A!T334</f>
        <v>immetingen:AnalyticResultType</v>
      </c>
      <c r="U334" t="str">
        <f>A!U334</f>
        <v>5.0 mg/kgds</v>
      </c>
      <c r="V334" s="32">
        <f>IF(A!V334="&lt;",1,A!V334)</f>
        <v>0</v>
      </c>
      <c r="W334">
        <f>A!W334</f>
        <v>5</v>
      </c>
      <c r="X334">
        <f>A!X334</f>
        <v>5</v>
      </c>
      <c r="Y334" t="str">
        <f>A!Y334</f>
        <v>urn:immetingen:eenheid:id:58</v>
      </c>
      <c r="Z334" s="32">
        <f t="shared" si="5"/>
        <v>58</v>
      </c>
      <c r="AA334" t="str">
        <f>A!Z334</f>
        <v>urn:immetingen:kwaliteitsoordeel:id:0</v>
      </c>
      <c r="AB334" t="str">
        <f>A!AA334</f>
        <v>www.sikb.nl</v>
      </c>
      <c r="AC334" t="str">
        <f>A!AB334</f>
        <v>urn:immetingen:waardebewerkingsmethode:id:5</v>
      </c>
      <c r="AD334" t="str">
        <f>A!AC334</f>
        <v>www.sikb.nl</v>
      </c>
      <c r="AE334" t="str">
        <f>A!AD334</f>
        <v>_dab7c9f9-dcf1-4bba-8ed4-071e52d5b653</v>
      </c>
      <c r="AF334">
        <f>A!AE334</f>
        <v>45811.649606481478</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32"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t="str">
        <f>A!CI334</f>
        <v>urn:imsikb0101:Applicaties:id:16</v>
      </c>
      <c r="CK334" t="str">
        <f>A!CJ334</f>
        <v>urn:imsikb0101:DatastroomType:id:1</v>
      </c>
      <c r="CL334">
        <f>A!CK334</f>
        <v>45811</v>
      </c>
      <c r="CM334" t="str">
        <f>A!CL334</f>
        <v>SGS, Rotterdam</v>
      </c>
      <c r="CN334" t="str">
        <f>A!CM334</f>
        <v>LABRESULTAAT SGS</v>
      </c>
      <c r="CO334">
        <f>A!CN334</f>
        <v>45811</v>
      </c>
      <c r="CP334">
        <f>A!CO334</f>
        <v>0</v>
      </c>
      <c r="CQ334">
        <f>A!CO644</f>
        <v>0</v>
      </c>
      <c r="CR334" t="e">
        <f>A!#REF!</f>
        <v>#REF!</v>
      </c>
      <c r="CS334" t="e">
        <f>A!#REF!</f>
        <v>#REF!</v>
      </c>
    </row>
    <row r="335" spans="1:97" x14ac:dyDescent="0.2">
      <c r="A335" t="str">
        <f>A!A335</f>
        <v>LABRESULTAAT</v>
      </c>
      <c r="B335">
        <f>A!B335</f>
        <v>154</v>
      </c>
      <c r="C335" t="str">
        <f>A!C335</f>
        <v>_714374dc-08e3-4d53-8e1d-0e37d8862a6d</v>
      </c>
      <c r="D335" t="str">
        <f>A!D335</f>
        <v>714374dc-08e3-4d53-8e1d-0e37d8862a6d</v>
      </c>
      <c r="E335" t="str">
        <f>A!E335</f>
        <v>SIKB</v>
      </c>
      <c r="F335" t="str">
        <f>A!F335</f>
        <v>urn:immetingen:hoedanigheid:id:1</v>
      </c>
      <c r="G335" t="str">
        <f>A!G335</f>
        <v>www.sikb.nl</v>
      </c>
      <c r="H335" t="str">
        <f>A!H335</f>
        <v>urn:immetingen:parameter:id:441</v>
      </c>
      <c r="I335" t="str">
        <f>A!I335</f>
        <v>www.sikb.nl</v>
      </c>
      <c r="J335" t="str">
        <f>A!J335</f>
        <v>urn:immetingen:parameter:id:2725</v>
      </c>
      <c r="K335" t="str">
        <f>A!K335</f>
        <v>www.sikb.nl</v>
      </c>
      <c r="L335">
        <f>A!L335</f>
        <v>45811</v>
      </c>
      <c r="M335" t="str">
        <f>A!M335</f>
        <v>urn:immetingen:LabopdrachtStatus:id:5</v>
      </c>
      <c r="N335">
        <f>A!N335</f>
        <v>1</v>
      </c>
      <c r="O335">
        <f>A!O335</f>
        <v>1</v>
      </c>
      <c r="P335" s="32" t="str">
        <f>IF(A!P335="","",INDEX(B!$A$1:$BT$2000,MATCH(A!P335,B!$AX$1:$AX$2000,0),D!$B$5))</f>
        <v>MM06 04 (200-250) 04 (250-300) 05 (200-250) 05 (250-300)</v>
      </c>
      <c r="Q335">
        <f>A!Q335</f>
        <v>0</v>
      </c>
      <c r="R335">
        <f>A!R335</f>
        <v>0</v>
      </c>
      <c r="S335">
        <f>A!S335</f>
        <v>0</v>
      </c>
      <c r="T335" t="str">
        <f>A!T335</f>
        <v>immetingen:AnalyticResultType</v>
      </c>
      <c r="U335" t="str">
        <f>A!U335</f>
        <v>&lt;0.2 mg/kgds</v>
      </c>
      <c r="V335" s="32">
        <f>IF(A!V335="&lt;",1,A!V335)</f>
        <v>1</v>
      </c>
      <c r="W335">
        <f>A!W335</f>
        <v>0.2</v>
      </c>
      <c r="X335">
        <f>A!X335</f>
        <v>0.2</v>
      </c>
      <c r="Y335" t="str">
        <f>A!Y335</f>
        <v>urn:immetingen:eenheid:id:58</v>
      </c>
      <c r="Z335" s="32">
        <f t="shared" si="5"/>
        <v>58</v>
      </c>
      <c r="AA335" t="str">
        <f>A!Z335</f>
        <v>urn:immetingen:kwaliteitsoordeel:id:0</v>
      </c>
      <c r="AB335" t="str">
        <f>A!AA335</f>
        <v>www.sikb.nl</v>
      </c>
      <c r="AC335" t="str">
        <f>A!AB335</f>
        <v>urn:immetingen:waardebewerkingsmethode:id:5</v>
      </c>
      <c r="AD335" t="str">
        <f>A!AC335</f>
        <v>www.sikb.nl</v>
      </c>
      <c r="AE335" t="str">
        <f>A!AD335</f>
        <v>_866d14d8-b6ac-4e6a-8882-00d974df5589</v>
      </c>
      <c r="AF335">
        <f>A!AE335</f>
        <v>45811.649606481478</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32"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t="str">
        <f>A!CI335</f>
        <v>urn:imsikb0101:Applicaties:id:16</v>
      </c>
      <c r="CK335" t="str">
        <f>A!CJ335</f>
        <v>urn:imsikb0101:DatastroomType:id:1</v>
      </c>
      <c r="CL335">
        <f>A!CK335</f>
        <v>45811</v>
      </c>
      <c r="CM335" t="str">
        <f>A!CL335</f>
        <v>SGS, Rotterdam</v>
      </c>
      <c r="CN335" t="str">
        <f>A!CM335</f>
        <v>LABRESULTAAT SGS</v>
      </c>
      <c r="CO335">
        <f>A!CN335</f>
        <v>45811</v>
      </c>
      <c r="CP335">
        <f>A!CO335</f>
        <v>0</v>
      </c>
      <c r="CQ335">
        <f>A!CO645</f>
        <v>0</v>
      </c>
      <c r="CR335" t="e">
        <f>A!#REF!</f>
        <v>#REF!</v>
      </c>
      <c r="CS335" t="e">
        <f>A!#REF!</f>
        <v>#REF!</v>
      </c>
    </row>
    <row r="336" spans="1:97" x14ac:dyDescent="0.2">
      <c r="A336" t="str">
        <f>A!A336</f>
        <v>LABRESULTAAT</v>
      </c>
      <c r="B336">
        <f>A!B336</f>
        <v>155</v>
      </c>
      <c r="C336" t="str">
        <f>A!C336</f>
        <v>_285c588d-bf28-403d-837c-76ed81cf0041</v>
      </c>
      <c r="D336" t="str">
        <f>A!D336</f>
        <v>285c588d-bf28-403d-837c-76ed81cf0041</v>
      </c>
      <c r="E336" t="str">
        <f>A!E336</f>
        <v>SIKB</v>
      </c>
      <c r="F336" t="str">
        <f>A!F336</f>
        <v>urn:immetingen:hoedanigheid:id:1</v>
      </c>
      <c r="G336" t="str">
        <f>A!G336</f>
        <v>www.sikb.nl</v>
      </c>
      <c r="H336" t="str">
        <f>A!H336</f>
        <v>urn:immetingen:parameter:id:527</v>
      </c>
      <c r="I336" t="str">
        <f>A!I336</f>
        <v>www.sikb.nl</v>
      </c>
      <c r="J336" t="str">
        <f>A!J336</f>
        <v>urn:immetingen:parameter:id:2725</v>
      </c>
      <c r="K336" t="str">
        <f>A!K336</f>
        <v>www.sikb.nl</v>
      </c>
      <c r="L336">
        <f>A!L336</f>
        <v>45811</v>
      </c>
      <c r="M336" t="str">
        <f>A!M336</f>
        <v>urn:immetingen:LabopdrachtStatus:id:5</v>
      </c>
      <c r="N336">
        <f>A!N336</f>
        <v>1</v>
      </c>
      <c r="O336">
        <f>A!O336</f>
        <v>1</v>
      </c>
      <c r="P336" s="32" t="str">
        <f>IF(A!P336="","",INDEX(B!$A$1:$BT$2000,MATCH(A!P336,B!$AX$1:$AX$2000,0),D!$B$5))</f>
        <v>MM06 04 (200-250) 04 (250-300) 05 (200-250) 05 (250-300)</v>
      </c>
      <c r="Q336">
        <f>A!Q336</f>
        <v>0</v>
      </c>
      <c r="R336">
        <f>A!R336</f>
        <v>0</v>
      </c>
      <c r="S336">
        <f>A!S336</f>
        <v>0</v>
      </c>
      <c r="T336" t="str">
        <f>A!T336</f>
        <v>immetingen:AnalyticResultType</v>
      </c>
      <c r="U336" t="str">
        <f>A!U336</f>
        <v>3.4 mg/kgds</v>
      </c>
      <c r="V336" s="32">
        <f>IF(A!V336="&lt;",1,A!V336)</f>
        <v>0</v>
      </c>
      <c r="W336">
        <f>A!W336</f>
        <v>3.4</v>
      </c>
      <c r="X336">
        <f>A!X336</f>
        <v>3.4</v>
      </c>
      <c r="Y336" t="str">
        <f>A!Y336</f>
        <v>urn:immetingen:eenheid:id:58</v>
      </c>
      <c r="Z336" s="32">
        <f t="shared" si="5"/>
        <v>58</v>
      </c>
      <c r="AA336" t="str">
        <f>A!Z336</f>
        <v>urn:immetingen:kwaliteitsoordeel:id:0</v>
      </c>
      <c r="AB336" t="str">
        <f>A!AA336</f>
        <v>www.sikb.nl</v>
      </c>
      <c r="AC336" t="str">
        <f>A!AB336</f>
        <v>urn:immetingen:waardebewerkingsmethode:id:5</v>
      </c>
      <c r="AD336" t="str">
        <f>A!AC336</f>
        <v>www.sikb.nl</v>
      </c>
      <c r="AE336" t="str">
        <f>A!AD336</f>
        <v>_2e7df1ec-6239-449c-a1f2-816e38fd8b6c</v>
      </c>
      <c r="AF336">
        <f>A!AE336</f>
        <v>45811.649606481478</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32"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t="str">
        <f>A!CI336</f>
        <v>urn:imsikb0101:Applicaties:id:16</v>
      </c>
      <c r="CK336" t="str">
        <f>A!CJ336</f>
        <v>urn:imsikb0101:DatastroomType:id:1</v>
      </c>
      <c r="CL336">
        <f>A!CK336</f>
        <v>45811</v>
      </c>
      <c r="CM336" t="str">
        <f>A!CL336</f>
        <v>SGS, Rotterdam</v>
      </c>
      <c r="CN336" t="str">
        <f>A!CM336</f>
        <v>LABRESULTAAT SGS</v>
      </c>
      <c r="CO336">
        <f>A!CN336</f>
        <v>45811</v>
      </c>
      <c r="CP336">
        <f>A!CO336</f>
        <v>0</v>
      </c>
      <c r="CQ336">
        <f>A!CO646</f>
        <v>0</v>
      </c>
      <c r="CR336" t="e">
        <f>A!#REF!</f>
        <v>#REF!</v>
      </c>
      <c r="CS336" t="e">
        <f>A!#REF!</f>
        <v>#REF!</v>
      </c>
    </row>
    <row r="337" spans="1:97" x14ac:dyDescent="0.2">
      <c r="A337" t="str">
        <f>A!A337</f>
        <v>LABRESULTAAT</v>
      </c>
      <c r="B337">
        <f>A!B337</f>
        <v>156</v>
      </c>
      <c r="C337" t="str">
        <f>A!C337</f>
        <v>_58f858ae-176c-4673-a7b3-611bacd39ded</v>
      </c>
      <c r="D337" t="str">
        <f>A!D337</f>
        <v>58f858ae-176c-4673-a7b3-611bacd39ded</v>
      </c>
      <c r="E337" t="str">
        <f>A!E337</f>
        <v>SIKB</v>
      </c>
      <c r="F337" t="str">
        <f>A!F337</f>
        <v>urn:immetingen:hoedanigheid:id:1</v>
      </c>
      <c r="G337" t="str">
        <f>A!G337</f>
        <v>www.sikb.nl</v>
      </c>
      <c r="H337" t="str">
        <f>A!H337</f>
        <v>urn:immetingen:parameter:id:971</v>
      </c>
      <c r="I337" t="str">
        <f>A!I337</f>
        <v>www.sikb.nl</v>
      </c>
      <c r="J337" t="str">
        <f>A!J337</f>
        <v>urn:immetingen:parameter:id:2725</v>
      </c>
      <c r="K337" t="str">
        <f>A!K337</f>
        <v>www.sikb.nl</v>
      </c>
      <c r="L337">
        <f>A!L337</f>
        <v>45811</v>
      </c>
      <c r="M337" t="str">
        <f>A!M337</f>
        <v>urn:immetingen:LabopdrachtStatus:id:5</v>
      </c>
      <c r="N337">
        <f>A!N337</f>
        <v>1</v>
      </c>
      <c r="O337">
        <f>A!O337</f>
        <v>1</v>
      </c>
      <c r="P337" s="32" t="str">
        <f>IF(A!P337="","",INDEX(B!$A$1:$BT$2000,MATCH(A!P337,B!$AX$1:$AX$2000,0),D!$B$5))</f>
        <v>MM06 04 (200-250) 04 (250-300) 05 (200-250) 05 (250-300)</v>
      </c>
      <c r="Q337">
        <f>A!Q337</f>
        <v>0</v>
      </c>
      <c r="R337">
        <f>A!R337</f>
        <v>0</v>
      </c>
      <c r="S337">
        <f>A!S337</f>
        <v>0</v>
      </c>
      <c r="T337" t="str">
        <f>A!T337</f>
        <v>immetingen:AnalyticResultType</v>
      </c>
      <c r="U337" t="str">
        <f>A!U337</f>
        <v>&lt;5 mg/kgds</v>
      </c>
      <c r="V337" s="32">
        <f>IF(A!V337="&lt;",1,A!V337)</f>
        <v>1</v>
      </c>
      <c r="W337">
        <f>A!W337</f>
        <v>5</v>
      </c>
      <c r="X337">
        <f>A!X337</f>
        <v>5</v>
      </c>
      <c r="Y337" t="str">
        <f>A!Y337</f>
        <v>urn:immetingen:eenheid:id:58</v>
      </c>
      <c r="Z337" s="32">
        <f t="shared" si="5"/>
        <v>58</v>
      </c>
      <c r="AA337" t="str">
        <f>A!Z337</f>
        <v>urn:immetingen:kwaliteitsoordeel:id:0</v>
      </c>
      <c r="AB337" t="str">
        <f>A!AA337</f>
        <v>www.sikb.nl</v>
      </c>
      <c r="AC337" t="str">
        <f>A!AB337</f>
        <v>urn:immetingen:waardebewerkingsmethode:id:5</v>
      </c>
      <c r="AD337" t="str">
        <f>A!AC337</f>
        <v>www.sikb.nl</v>
      </c>
      <c r="AE337" t="str">
        <f>A!AD337</f>
        <v>_b298425d-9caa-4dab-9c19-21234391fd59</v>
      </c>
      <c r="AF337">
        <f>A!AE337</f>
        <v>45811.649606481478</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32"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t="str">
        <f>A!CI337</f>
        <v>urn:imsikb0101:Applicaties:id:16</v>
      </c>
      <c r="CK337" t="str">
        <f>A!CJ337</f>
        <v>urn:imsikb0101:DatastroomType:id:1</v>
      </c>
      <c r="CL337">
        <f>A!CK337</f>
        <v>45811</v>
      </c>
      <c r="CM337" t="str">
        <f>A!CL337</f>
        <v>SGS, Rotterdam</v>
      </c>
      <c r="CN337" t="str">
        <f>A!CM337</f>
        <v>LABRESULTAAT SGS</v>
      </c>
      <c r="CO337">
        <f>A!CN337</f>
        <v>45811</v>
      </c>
      <c r="CP337">
        <f>A!CO337</f>
        <v>0</v>
      </c>
      <c r="CQ337">
        <f>A!CO647</f>
        <v>0</v>
      </c>
      <c r="CR337" t="e">
        <f>A!#REF!</f>
        <v>#REF!</v>
      </c>
      <c r="CS337" t="e">
        <f>A!#REF!</f>
        <v>#REF!</v>
      </c>
    </row>
    <row r="338" spans="1:97" x14ac:dyDescent="0.2">
      <c r="A338" t="str">
        <f>A!A338</f>
        <v>LABRESULTAAT</v>
      </c>
      <c r="B338">
        <f>A!B338</f>
        <v>157</v>
      </c>
      <c r="C338" t="str">
        <f>A!C338</f>
        <v>_6c359bc4-9110-4d0e-828c-68e8285726ee</v>
      </c>
      <c r="D338" t="str">
        <f>A!D338</f>
        <v>6c359bc4-9110-4d0e-828c-68e8285726ee</v>
      </c>
      <c r="E338" t="str">
        <f>A!E338</f>
        <v>SIKB</v>
      </c>
      <c r="F338" t="str">
        <f>A!F338</f>
        <v>urn:immetingen:hoedanigheid:id:1</v>
      </c>
      <c r="G338" t="str">
        <f>A!G338</f>
        <v>www.sikb.nl</v>
      </c>
      <c r="H338" t="str">
        <f>A!H338</f>
        <v>urn:immetingen:parameter:id:1097</v>
      </c>
      <c r="I338" t="str">
        <f>A!I338</f>
        <v>www.sikb.nl</v>
      </c>
      <c r="J338" t="str">
        <f>A!J338</f>
        <v>urn:immetingen:parameter:id:2725</v>
      </c>
      <c r="K338" t="str">
        <f>A!K338</f>
        <v>www.sikb.nl</v>
      </c>
      <c r="L338">
        <f>A!L338</f>
        <v>45811</v>
      </c>
      <c r="M338" t="str">
        <f>A!M338</f>
        <v>urn:immetingen:LabopdrachtStatus:id:5</v>
      </c>
      <c r="N338">
        <f>A!N338</f>
        <v>1</v>
      </c>
      <c r="O338">
        <f>A!O338</f>
        <v>1</v>
      </c>
      <c r="P338" s="32" t="str">
        <f>IF(A!P338="","",INDEX(B!$A$1:$BT$2000,MATCH(A!P338,B!$AX$1:$AX$2000,0),D!$B$5))</f>
        <v>MM06 04 (200-250) 04 (250-300) 05 (200-250) 05 (250-300)</v>
      </c>
      <c r="Q338">
        <f>A!Q338</f>
        <v>0</v>
      </c>
      <c r="R338">
        <f>A!R338</f>
        <v>0</v>
      </c>
      <c r="S338">
        <f>A!S338</f>
        <v>0</v>
      </c>
      <c r="T338" t="str">
        <f>A!T338</f>
        <v>immetingen:AnalyticResultType</v>
      </c>
      <c r="U338" t="str">
        <f>A!U338</f>
        <v>&lt;0.05 mg/kgds</v>
      </c>
      <c r="V338" s="32">
        <f>IF(A!V338="&lt;",1,A!V338)</f>
        <v>1</v>
      </c>
      <c r="W338">
        <f>A!W338</f>
        <v>0.05</v>
      </c>
      <c r="X338">
        <f>A!X338</f>
        <v>0.05</v>
      </c>
      <c r="Y338" t="str">
        <f>A!Y338</f>
        <v>urn:immetingen:eenheid:id:58</v>
      </c>
      <c r="Z338" s="32">
        <f t="shared" si="5"/>
        <v>58</v>
      </c>
      <c r="AA338" t="str">
        <f>A!Z338</f>
        <v>urn:immetingen:kwaliteitsoordeel:id:0</v>
      </c>
      <c r="AB338" t="str">
        <f>A!AA338</f>
        <v>www.sikb.nl</v>
      </c>
      <c r="AC338" t="str">
        <f>A!AB338</f>
        <v>urn:immetingen:waardebewerkingsmethode:id:5</v>
      </c>
      <c r="AD338" t="str">
        <f>A!AC338</f>
        <v>www.sikb.nl</v>
      </c>
      <c r="AE338" t="str">
        <f>A!AD338</f>
        <v>_e4617691-4a6d-4d53-8a69-fcc8376a87a1</v>
      </c>
      <c r="AF338">
        <f>A!AE338</f>
        <v>45811.649606481478</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32"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t="str">
        <f>A!CI338</f>
        <v>urn:imsikb0101:Applicaties:id:16</v>
      </c>
      <c r="CK338" t="str">
        <f>A!CJ338</f>
        <v>urn:imsikb0101:DatastroomType:id:1</v>
      </c>
      <c r="CL338">
        <f>A!CK338</f>
        <v>45811</v>
      </c>
      <c r="CM338" t="str">
        <f>A!CL338</f>
        <v>SGS, Rotterdam</v>
      </c>
      <c r="CN338" t="str">
        <f>A!CM338</f>
        <v>LABRESULTAAT SGS</v>
      </c>
      <c r="CO338">
        <f>A!CN338</f>
        <v>45811</v>
      </c>
      <c r="CP338">
        <f>A!CO338</f>
        <v>0</v>
      </c>
      <c r="CQ338">
        <f>A!CO648</f>
        <v>0</v>
      </c>
      <c r="CR338" t="e">
        <f>A!#REF!</f>
        <v>#REF!</v>
      </c>
      <c r="CS338" t="e">
        <f>A!#REF!</f>
        <v>#REF!</v>
      </c>
    </row>
    <row r="339" spans="1:97" x14ac:dyDescent="0.2">
      <c r="A339" t="str">
        <f>A!A339</f>
        <v>LABRESULTAAT</v>
      </c>
      <c r="B339">
        <f>A!B339</f>
        <v>158</v>
      </c>
      <c r="C339" t="str">
        <f>A!C339</f>
        <v>_68606326-6b45-4ba8-b432-c73b0d858a7f</v>
      </c>
      <c r="D339" t="str">
        <f>A!D339</f>
        <v>68606326-6b45-4ba8-b432-c73b0d858a7f</v>
      </c>
      <c r="E339" t="str">
        <f>A!E339</f>
        <v>SIKB</v>
      </c>
      <c r="F339" t="str">
        <f>A!F339</f>
        <v>urn:immetingen:hoedanigheid:id:1</v>
      </c>
      <c r="G339" t="str">
        <f>A!G339</f>
        <v>www.sikb.nl</v>
      </c>
      <c r="H339" t="str">
        <f>A!H339</f>
        <v>urn:immetingen:parameter:id:1243</v>
      </c>
      <c r="I339" t="str">
        <f>A!I339</f>
        <v>www.sikb.nl</v>
      </c>
      <c r="J339" t="str">
        <f>A!J339</f>
        <v>urn:immetingen:parameter:id:2725</v>
      </c>
      <c r="K339" t="str">
        <f>A!K339</f>
        <v>www.sikb.nl</v>
      </c>
      <c r="L339">
        <f>A!L339</f>
        <v>45811</v>
      </c>
      <c r="M339" t="str">
        <f>A!M339</f>
        <v>urn:immetingen:LabopdrachtStatus:id:5</v>
      </c>
      <c r="N339">
        <f>A!N339</f>
        <v>1</v>
      </c>
      <c r="O339">
        <f>A!O339</f>
        <v>1</v>
      </c>
      <c r="P339" s="32" t="str">
        <f>IF(A!P339="","",INDEX(B!$A$1:$BT$2000,MATCH(A!P339,B!$AX$1:$AX$2000,0),D!$B$5))</f>
        <v>MM06 04 (200-250) 04 (250-300) 05 (200-250) 05 (250-300)</v>
      </c>
      <c r="Q339">
        <f>A!Q339</f>
        <v>0</v>
      </c>
      <c r="R339">
        <f>A!R339</f>
        <v>0</v>
      </c>
      <c r="S339">
        <f>A!S339</f>
        <v>0</v>
      </c>
      <c r="T339" t="str">
        <f>A!T339</f>
        <v>immetingen:AnalyticResultType</v>
      </c>
      <c r="U339" t="str">
        <f>A!U339</f>
        <v>&lt;1.5 mg/kgds</v>
      </c>
      <c r="V339" s="32">
        <f>IF(A!V339="&lt;",1,A!V339)</f>
        <v>1</v>
      </c>
      <c r="W339">
        <f>A!W339</f>
        <v>1.5</v>
      </c>
      <c r="X339">
        <f>A!X339</f>
        <v>1.5</v>
      </c>
      <c r="Y339" t="str">
        <f>A!Y339</f>
        <v>urn:immetingen:eenheid:id:58</v>
      </c>
      <c r="Z339" s="32">
        <f t="shared" si="5"/>
        <v>58</v>
      </c>
      <c r="AA339" t="str">
        <f>A!Z339</f>
        <v>urn:immetingen:kwaliteitsoordeel:id:0</v>
      </c>
      <c r="AB339" t="str">
        <f>A!AA339</f>
        <v>www.sikb.nl</v>
      </c>
      <c r="AC339" t="str">
        <f>A!AB339</f>
        <v>urn:immetingen:waardebewerkingsmethode:id:5</v>
      </c>
      <c r="AD339" t="str">
        <f>A!AC339</f>
        <v>www.sikb.nl</v>
      </c>
      <c r="AE339" t="str">
        <f>A!AD339</f>
        <v>_3af625ca-1ad1-4b59-8886-0b951d82ed33</v>
      </c>
      <c r="AF339">
        <f>A!AE339</f>
        <v>45811.649606481478</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32"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t="str">
        <f>A!CI339</f>
        <v>urn:imsikb0101:Applicaties:id:16</v>
      </c>
      <c r="CK339" t="str">
        <f>A!CJ339</f>
        <v>urn:imsikb0101:DatastroomType:id:1</v>
      </c>
      <c r="CL339">
        <f>A!CK339</f>
        <v>45811</v>
      </c>
      <c r="CM339" t="str">
        <f>A!CL339</f>
        <v>SGS, Rotterdam</v>
      </c>
      <c r="CN339" t="str">
        <f>A!CM339</f>
        <v>LABRESULTAAT SGS</v>
      </c>
      <c r="CO339">
        <f>A!CN339</f>
        <v>45811</v>
      </c>
      <c r="CP339">
        <f>A!CO339</f>
        <v>0</v>
      </c>
      <c r="CQ339">
        <f>A!CO649</f>
        <v>0</v>
      </c>
      <c r="CR339" t="e">
        <f>A!#REF!</f>
        <v>#REF!</v>
      </c>
      <c r="CS339" t="e">
        <f>A!#REF!</f>
        <v>#REF!</v>
      </c>
    </row>
    <row r="340" spans="1:97" x14ac:dyDescent="0.2">
      <c r="A340" t="str">
        <f>A!A340</f>
        <v>LABRESULTAAT</v>
      </c>
      <c r="B340">
        <f>A!B340</f>
        <v>159</v>
      </c>
      <c r="C340" t="str">
        <f>A!C340</f>
        <v>_2bb9cf5f-2978-4314-a9f2-462e1ad97f04</v>
      </c>
      <c r="D340" t="str">
        <f>A!D340</f>
        <v>2bb9cf5f-2978-4314-a9f2-462e1ad97f04</v>
      </c>
      <c r="E340" t="str">
        <f>A!E340</f>
        <v>SIKB</v>
      </c>
      <c r="F340" t="str">
        <f>A!F340</f>
        <v>urn:immetingen:hoedanigheid:id:1</v>
      </c>
      <c r="G340" t="str">
        <f>A!G340</f>
        <v>www.sikb.nl</v>
      </c>
      <c r="H340" t="str">
        <f>A!H340</f>
        <v>urn:immetingen:parameter:id:1267</v>
      </c>
      <c r="I340" t="str">
        <f>A!I340</f>
        <v>www.sikb.nl</v>
      </c>
      <c r="J340" t="str">
        <f>A!J340</f>
        <v>urn:immetingen:parameter:id:2725</v>
      </c>
      <c r="K340" t="str">
        <f>A!K340</f>
        <v>www.sikb.nl</v>
      </c>
      <c r="L340">
        <f>A!L340</f>
        <v>45811</v>
      </c>
      <c r="M340" t="str">
        <f>A!M340</f>
        <v>urn:immetingen:LabopdrachtStatus:id:5</v>
      </c>
      <c r="N340">
        <f>A!N340</f>
        <v>1</v>
      </c>
      <c r="O340">
        <f>A!O340</f>
        <v>1</v>
      </c>
      <c r="P340" s="32" t="str">
        <f>IF(A!P340="","",INDEX(B!$A$1:$BT$2000,MATCH(A!P340,B!$AX$1:$AX$2000,0),D!$B$5))</f>
        <v>MM06 04 (200-250) 04 (250-300) 05 (200-250) 05 (250-300)</v>
      </c>
      <c r="Q340">
        <f>A!Q340</f>
        <v>0</v>
      </c>
      <c r="R340">
        <f>A!R340</f>
        <v>0</v>
      </c>
      <c r="S340">
        <f>A!S340</f>
        <v>0</v>
      </c>
      <c r="T340" t="str">
        <f>A!T340</f>
        <v>immetingen:AnalyticResultType</v>
      </c>
      <c r="U340" t="str">
        <f>A!U340</f>
        <v>10 mg/kgds</v>
      </c>
      <c r="V340" s="32">
        <f>IF(A!V340="&lt;",1,A!V340)</f>
        <v>0</v>
      </c>
      <c r="W340">
        <f>A!W340</f>
        <v>10</v>
      </c>
      <c r="X340">
        <f>A!X340</f>
        <v>10</v>
      </c>
      <c r="Y340" t="str">
        <f>A!Y340</f>
        <v>urn:immetingen:eenheid:id:58</v>
      </c>
      <c r="Z340" s="32">
        <f t="shared" si="5"/>
        <v>58</v>
      </c>
      <c r="AA340" t="str">
        <f>A!Z340</f>
        <v>urn:immetingen:kwaliteitsoordeel:id:0</v>
      </c>
      <c r="AB340" t="str">
        <f>A!AA340</f>
        <v>www.sikb.nl</v>
      </c>
      <c r="AC340" t="str">
        <f>A!AB340</f>
        <v>urn:immetingen:waardebewerkingsmethode:id:5</v>
      </c>
      <c r="AD340" t="str">
        <f>A!AC340</f>
        <v>www.sikb.nl</v>
      </c>
      <c r="AE340" t="str">
        <f>A!AD340</f>
        <v>_817d22f1-caaf-461d-90b9-bac389245732</v>
      </c>
      <c r="AF340">
        <f>A!AE340</f>
        <v>45811.649606481478</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32"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t="str">
        <f>A!CI340</f>
        <v>urn:imsikb0101:Applicaties:id:16</v>
      </c>
      <c r="CK340" t="str">
        <f>A!CJ340</f>
        <v>urn:imsikb0101:DatastroomType:id:1</v>
      </c>
      <c r="CL340">
        <f>A!CK340</f>
        <v>45811</v>
      </c>
      <c r="CM340" t="str">
        <f>A!CL340</f>
        <v>SGS, Rotterdam</v>
      </c>
      <c r="CN340" t="str">
        <f>A!CM340</f>
        <v>LABRESULTAAT SGS</v>
      </c>
      <c r="CO340">
        <f>A!CN340</f>
        <v>45811</v>
      </c>
      <c r="CP340">
        <f>A!CO340</f>
        <v>0</v>
      </c>
      <c r="CQ340">
        <f>A!CO650</f>
        <v>0</v>
      </c>
      <c r="CR340" t="e">
        <f>A!#REF!</f>
        <v>#REF!</v>
      </c>
      <c r="CS340" t="e">
        <f>A!#REF!</f>
        <v>#REF!</v>
      </c>
    </row>
    <row r="341" spans="1:97" x14ac:dyDescent="0.2">
      <c r="A341" t="str">
        <f>A!A341</f>
        <v>LABRESULTAAT</v>
      </c>
      <c r="B341">
        <f>A!B341</f>
        <v>160</v>
      </c>
      <c r="C341" t="str">
        <f>A!C341</f>
        <v>_a7f87ba0-c540-408e-bbc5-a4cd1d94b849</v>
      </c>
      <c r="D341" t="str">
        <f>A!D341</f>
        <v>a7f87ba0-c540-408e-bbc5-a4cd1d94b849</v>
      </c>
      <c r="E341" t="str">
        <f>A!E341</f>
        <v>SIKB</v>
      </c>
      <c r="F341" t="str">
        <f>A!F341</f>
        <v>urn:immetingen:hoedanigheid:id:1</v>
      </c>
      <c r="G341" t="str">
        <f>A!G341</f>
        <v>www.sikb.nl</v>
      </c>
      <c r="H341" t="str">
        <f>A!H341</f>
        <v>urn:immetingen:parameter:id:1116</v>
      </c>
      <c r="I341" t="str">
        <f>A!I341</f>
        <v>www.sikb.nl</v>
      </c>
      <c r="J341" t="str">
        <f>A!J341</f>
        <v>urn:immetingen:parameter:id:2725</v>
      </c>
      <c r="K341" t="str">
        <f>A!K341</f>
        <v>www.sikb.nl</v>
      </c>
      <c r="L341">
        <f>A!L341</f>
        <v>45811</v>
      </c>
      <c r="M341" t="str">
        <f>A!M341</f>
        <v>urn:immetingen:LabopdrachtStatus:id:5</v>
      </c>
      <c r="N341">
        <f>A!N341</f>
        <v>1</v>
      </c>
      <c r="O341">
        <f>A!O341</f>
        <v>1</v>
      </c>
      <c r="P341" s="32" t="str">
        <f>IF(A!P341="","",INDEX(B!$A$1:$BT$2000,MATCH(A!P341,B!$AX$1:$AX$2000,0),D!$B$5))</f>
        <v>MM06 04 (200-250) 04 (250-300) 05 (200-250) 05 (250-300)</v>
      </c>
      <c r="Q341">
        <f>A!Q341</f>
        <v>0</v>
      </c>
      <c r="R341">
        <f>A!R341</f>
        <v>0</v>
      </c>
      <c r="S341">
        <f>A!S341</f>
        <v>0</v>
      </c>
      <c r="T341" t="str">
        <f>A!T341</f>
        <v>immetingen:AnalyticResultType</v>
      </c>
      <c r="U341" t="str">
        <f>A!U341</f>
        <v>&lt;10 mg/kgds</v>
      </c>
      <c r="V341" s="32">
        <f>IF(A!V341="&lt;",1,A!V341)</f>
        <v>1</v>
      </c>
      <c r="W341">
        <f>A!W341</f>
        <v>10</v>
      </c>
      <c r="X341">
        <f>A!X341</f>
        <v>10</v>
      </c>
      <c r="Y341" t="str">
        <f>A!Y341</f>
        <v>urn:immetingen:eenheid:id:58</v>
      </c>
      <c r="Z341" s="32">
        <f t="shared" si="5"/>
        <v>58</v>
      </c>
      <c r="AA341" t="str">
        <f>A!Z341</f>
        <v>urn:immetingen:kwaliteitsoordeel:id:0</v>
      </c>
      <c r="AB341" t="str">
        <f>A!AA341</f>
        <v>www.sikb.nl</v>
      </c>
      <c r="AC341" t="str">
        <f>A!AB341</f>
        <v>urn:immetingen:waardebewerkingsmethode:id:5</v>
      </c>
      <c r="AD341" t="str">
        <f>A!AC341</f>
        <v>www.sikb.nl</v>
      </c>
      <c r="AE341" t="str">
        <f>A!AD341</f>
        <v>_66ceb9d0-9050-4423-91e9-9d882555fd0b</v>
      </c>
      <c r="AF341">
        <f>A!AE341</f>
        <v>45811.649606481478</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32"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t="str">
        <f>A!CI341</f>
        <v>urn:imsikb0101:Applicaties:id:16</v>
      </c>
      <c r="CK341" t="str">
        <f>A!CJ341</f>
        <v>urn:imsikb0101:DatastroomType:id:1</v>
      </c>
      <c r="CL341">
        <f>A!CK341</f>
        <v>45811</v>
      </c>
      <c r="CM341" t="str">
        <f>A!CL341</f>
        <v>SGS, Rotterdam</v>
      </c>
      <c r="CN341" t="str">
        <f>A!CM341</f>
        <v>LABRESULTAAT SGS</v>
      </c>
      <c r="CO341">
        <f>A!CN341</f>
        <v>45811</v>
      </c>
      <c r="CP341">
        <f>A!CO341</f>
        <v>0</v>
      </c>
      <c r="CQ341">
        <f>A!CO651</f>
        <v>0</v>
      </c>
      <c r="CR341" t="e">
        <f>A!#REF!</f>
        <v>#REF!</v>
      </c>
      <c r="CS341" t="e">
        <f>A!#REF!</f>
        <v>#REF!</v>
      </c>
    </row>
    <row r="342" spans="1:97" x14ac:dyDescent="0.2">
      <c r="A342" t="str">
        <f>A!A342</f>
        <v>LABRESULTAAT</v>
      </c>
      <c r="B342">
        <f>A!B342</f>
        <v>161</v>
      </c>
      <c r="C342" t="str">
        <f>A!C342</f>
        <v>_7beaa33c-03c7-45af-9527-163e2c7fb916</v>
      </c>
      <c r="D342" t="str">
        <f>A!D342</f>
        <v>7beaa33c-03c7-45af-9527-163e2c7fb916</v>
      </c>
      <c r="E342" t="str">
        <f>A!E342</f>
        <v>SIKB</v>
      </c>
      <c r="F342" t="str">
        <f>A!F342</f>
        <v>urn:immetingen:hoedanigheid:id:1</v>
      </c>
      <c r="G342" t="str">
        <f>A!G342</f>
        <v>www.sikb.nl</v>
      </c>
      <c r="H342" t="str">
        <f>A!H342</f>
        <v>urn:immetingen:parameter:id:5996</v>
      </c>
      <c r="I342" t="str">
        <f>A!I342</f>
        <v>www.sikb.nl</v>
      </c>
      <c r="J342" t="str">
        <f>A!J342</f>
        <v>urn:immetingen:parameter:id:2725</v>
      </c>
      <c r="K342" t="str">
        <f>A!K342</f>
        <v>www.sikb.nl</v>
      </c>
      <c r="L342">
        <f>A!L342</f>
        <v>45811</v>
      </c>
      <c r="M342" t="str">
        <f>A!M342</f>
        <v>urn:immetingen:LabopdrachtStatus:id:5</v>
      </c>
      <c r="N342">
        <f>A!N342</f>
        <v>1</v>
      </c>
      <c r="O342">
        <f>A!O342</f>
        <v>1</v>
      </c>
      <c r="P342" s="32" t="str">
        <f>IF(A!P342="","",INDEX(B!$A$1:$BT$2000,MATCH(A!P342,B!$AX$1:$AX$2000,0),D!$B$5))</f>
        <v>MM06 04 (200-250) 04 (250-300) 05 (200-250) 05 (250-300)</v>
      </c>
      <c r="Q342">
        <f>A!Q342</f>
        <v>0</v>
      </c>
      <c r="R342">
        <f>A!R342</f>
        <v>0</v>
      </c>
      <c r="S342">
        <f>A!S342</f>
        <v>0</v>
      </c>
      <c r="T342" t="str">
        <f>A!T342</f>
        <v>immetingen:AnalyticResultType</v>
      </c>
      <c r="U342" t="str">
        <f>A!U342</f>
        <v>&lt;0.1 µg/kgds</v>
      </c>
      <c r="V342" s="32">
        <f>IF(A!V342="&lt;",1,A!V342)</f>
        <v>1</v>
      </c>
      <c r="W342">
        <f>A!W342</f>
        <v>0.1</v>
      </c>
      <c r="X342">
        <f>A!X342</f>
        <v>0.1</v>
      </c>
      <c r="Y342" t="str">
        <f>A!Y342</f>
        <v>urn:immetingen:eenheid:id:131</v>
      </c>
      <c r="Z342" s="32">
        <f t="shared" si="5"/>
        <v>131</v>
      </c>
      <c r="AA342" t="str">
        <f>A!Z342</f>
        <v>urn:immetingen:kwaliteitsoordeel:id:0</v>
      </c>
      <c r="AB342" t="str">
        <f>A!AA342</f>
        <v>www.sikb.nl</v>
      </c>
      <c r="AC342" t="str">
        <f>A!AB342</f>
        <v>urn:immetingen:waardebewerkingsmethode:id:5</v>
      </c>
      <c r="AD342" t="str">
        <f>A!AC342</f>
        <v>www.sikb.nl</v>
      </c>
      <c r="AE342" t="str">
        <f>A!AD342</f>
        <v>_47e037a3-674b-4a88-9c38-5e1d50002031</v>
      </c>
      <c r="AF342">
        <f>A!AE342</f>
        <v>45811.61818287037</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32"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t="str">
        <f>A!CI342</f>
        <v>urn:imsikb0101:Applicaties:id:16</v>
      </c>
      <c r="CK342" t="str">
        <f>A!CJ342</f>
        <v>urn:imsikb0101:DatastroomType:id:1</v>
      </c>
      <c r="CL342">
        <f>A!CK342</f>
        <v>45811</v>
      </c>
      <c r="CM342" t="str">
        <f>A!CL342</f>
        <v>SGS, Rotterdam</v>
      </c>
      <c r="CN342" t="str">
        <f>A!CM342</f>
        <v>LABRESULTAAT SGS</v>
      </c>
      <c r="CO342">
        <f>A!CN342</f>
        <v>45811</v>
      </c>
      <c r="CP342">
        <f>A!CO342</f>
        <v>0</v>
      </c>
      <c r="CQ342">
        <f>A!CO652</f>
        <v>0</v>
      </c>
      <c r="CR342" t="e">
        <f>A!#REF!</f>
        <v>#REF!</v>
      </c>
      <c r="CS342" t="e">
        <f>A!#REF!</f>
        <v>#REF!</v>
      </c>
    </row>
    <row r="343" spans="1:97" x14ac:dyDescent="0.2">
      <c r="A343" t="str">
        <f>A!A343</f>
        <v>LABRESULTAAT</v>
      </c>
      <c r="B343">
        <f>A!B343</f>
        <v>162</v>
      </c>
      <c r="C343" t="str">
        <f>A!C343</f>
        <v>_a3d72883-95c6-46cc-ba3c-4e96c4000551</v>
      </c>
      <c r="D343" t="str">
        <f>A!D343</f>
        <v>a3d72883-95c6-46cc-ba3c-4e96c4000551</v>
      </c>
      <c r="E343" t="str">
        <f>A!E343</f>
        <v>SIKB</v>
      </c>
      <c r="F343" t="str">
        <f>A!F343</f>
        <v>urn:immetingen:hoedanigheid:id:1</v>
      </c>
      <c r="G343" t="str">
        <f>A!G343</f>
        <v>www.sikb.nl</v>
      </c>
      <c r="H343" t="str">
        <f>A!H343</f>
        <v>urn:immetingen:parameter:id:5517</v>
      </c>
      <c r="I343" t="str">
        <f>A!I343</f>
        <v>www.sikb.nl</v>
      </c>
      <c r="J343" t="str">
        <f>A!J343</f>
        <v>urn:immetingen:parameter:id:2725</v>
      </c>
      <c r="K343" t="str">
        <f>A!K343</f>
        <v>www.sikb.nl</v>
      </c>
      <c r="L343">
        <f>A!L343</f>
        <v>45811</v>
      </c>
      <c r="M343" t="str">
        <f>A!M343</f>
        <v>urn:immetingen:LabopdrachtStatus:id:5</v>
      </c>
      <c r="N343">
        <f>A!N343</f>
        <v>1</v>
      </c>
      <c r="O343">
        <f>A!O343</f>
        <v>1</v>
      </c>
      <c r="P343" s="32" t="str">
        <f>IF(A!P343="","",INDEX(B!$A$1:$BT$2000,MATCH(A!P343,B!$AX$1:$AX$2000,0),D!$B$5))</f>
        <v>MM06 04 (200-250) 04 (250-300) 05 (200-250) 05 (250-300)</v>
      </c>
      <c r="Q343">
        <f>A!Q343</f>
        <v>0</v>
      </c>
      <c r="R343">
        <f>A!R343</f>
        <v>0</v>
      </c>
      <c r="S343">
        <f>A!S343</f>
        <v>0</v>
      </c>
      <c r="T343" t="str">
        <f>A!T343</f>
        <v>immetingen:AnalyticResultType</v>
      </c>
      <c r="U343" t="str">
        <f>A!U343</f>
        <v>&lt;0.1 µg/kgds</v>
      </c>
      <c r="V343" s="32">
        <f>IF(A!V343="&lt;",1,A!V343)</f>
        <v>1</v>
      </c>
      <c r="W343">
        <f>A!W343</f>
        <v>0.1</v>
      </c>
      <c r="X343">
        <f>A!X343</f>
        <v>0.1</v>
      </c>
      <c r="Y343" t="str">
        <f>A!Y343</f>
        <v>urn:immetingen:eenheid:id:131</v>
      </c>
      <c r="Z343" s="32">
        <f t="shared" si="5"/>
        <v>131</v>
      </c>
      <c r="AA343" t="str">
        <f>A!Z343</f>
        <v>urn:immetingen:kwaliteitsoordeel:id:0</v>
      </c>
      <c r="AB343" t="str">
        <f>A!AA343</f>
        <v>www.sikb.nl</v>
      </c>
      <c r="AC343" t="str">
        <f>A!AB343</f>
        <v>urn:immetingen:waardebewerkingsmethode:id:5</v>
      </c>
      <c r="AD343" t="str">
        <f>A!AC343</f>
        <v>www.sikb.nl</v>
      </c>
      <c r="AE343" t="str">
        <f>A!AD343</f>
        <v>_b6a94397-3157-452d-859b-3a070376ed4c</v>
      </c>
      <c r="AF343">
        <f>A!AE343</f>
        <v>45811.61818287037</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32"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t="str">
        <f>A!CI343</f>
        <v>urn:imsikb0101:Applicaties:id:16</v>
      </c>
      <c r="CK343" t="str">
        <f>A!CJ343</f>
        <v>urn:imsikb0101:DatastroomType:id:1</v>
      </c>
      <c r="CL343">
        <f>A!CK343</f>
        <v>45811</v>
      </c>
      <c r="CM343" t="str">
        <f>A!CL343</f>
        <v>SGS, Rotterdam</v>
      </c>
      <c r="CN343" t="str">
        <f>A!CM343</f>
        <v>LABRESULTAAT SGS</v>
      </c>
      <c r="CO343">
        <f>A!CN343</f>
        <v>45811</v>
      </c>
      <c r="CP343">
        <f>A!CO343</f>
        <v>0</v>
      </c>
      <c r="CQ343">
        <f>A!CO653</f>
        <v>0</v>
      </c>
      <c r="CR343" t="e">
        <f>A!#REF!</f>
        <v>#REF!</v>
      </c>
      <c r="CS343" t="e">
        <f>A!#REF!</f>
        <v>#REF!</v>
      </c>
    </row>
    <row r="344" spans="1:97" x14ac:dyDescent="0.2">
      <c r="A344" t="str">
        <f>A!A344</f>
        <v>LABRESULTAAT</v>
      </c>
      <c r="B344">
        <f>A!B344</f>
        <v>163</v>
      </c>
      <c r="C344" t="str">
        <f>A!C344</f>
        <v>_ba7bcd6a-bce5-4d62-8ed3-1bec287b0f2d</v>
      </c>
      <c r="D344" t="str">
        <f>A!D344</f>
        <v>ba7bcd6a-bce5-4d62-8ed3-1bec287b0f2d</v>
      </c>
      <c r="E344" t="str">
        <f>A!E344</f>
        <v>SIKB</v>
      </c>
      <c r="F344" t="str">
        <f>A!F344</f>
        <v>urn:immetingen:hoedanigheid:id:1</v>
      </c>
      <c r="G344" t="str">
        <f>A!G344</f>
        <v>www.sikb.nl</v>
      </c>
      <c r="H344" t="str">
        <f>A!H344</f>
        <v>urn:immetingen:parameter:id:5830</v>
      </c>
      <c r="I344" t="str">
        <f>A!I344</f>
        <v>www.sikb.nl</v>
      </c>
      <c r="J344" t="str">
        <f>A!J344</f>
        <v>urn:immetingen:parameter:id:2725</v>
      </c>
      <c r="K344" t="str">
        <f>A!K344</f>
        <v>www.sikb.nl</v>
      </c>
      <c r="L344">
        <f>A!L344</f>
        <v>45811</v>
      </c>
      <c r="M344" t="str">
        <f>A!M344</f>
        <v>urn:immetingen:LabopdrachtStatus:id:5</v>
      </c>
      <c r="N344">
        <f>A!N344</f>
        <v>1</v>
      </c>
      <c r="O344">
        <f>A!O344</f>
        <v>1</v>
      </c>
      <c r="P344" s="32" t="str">
        <f>IF(A!P344="","",INDEX(B!$A$1:$BT$2000,MATCH(A!P344,B!$AX$1:$AX$2000,0),D!$B$5))</f>
        <v>MM06 04 (200-250) 04 (250-300) 05 (200-250) 05 (250-300)</v>
      </c>
      <c r="Q344">
        <f>A!Q344</f>
        <v>0</v>
      </c>
      <c r="R344">
        <f>A!R344</f>
        <v>0</v>
      </c>
      <c r="S344">
        <f>A!S344</f>
        <v>0</v>
      </c>
      <c r="T344" t="str">
        <f>A!T344</f>
        <v>immetingen:AnalyticResultType</v>
      </c>
      <c r="U344" t="str">
        <f>A!U344</f>
        <v>&lt;0.1 µg/kgds</v>
      </c>
      <c r="V344" s="32">
        <f>IF(A!V344="&lt;",1,A!V344)</f>
        <v>1</v>
      </c>
      <c r="W344">
        <f>A!W344</f>
        <v>0.1</v>
      </c>
      <c r="X344">
        <f>A!X344</f>
        <v>0.1</v>
      </c>
      <c r="Y344" t="str">
        <f>A!Y344</f>
        <v>urn:immetingen:eenheid:id:131</v>
      </c>
      <c r="Z344" s="32">
        <f t="shared" si="5"/>
        <v>131</v>
      </c>
      <c r="AA344" t="str">
        <f>A!Z344</f>
        <v>urn:immetingen:kwaliteitsoordeel:id:0</v>
      </c>
      <c r="AB344" t="str">
        <f>A!AA344</f>
        <v>www.sikb.nl</v>
      </c>
      <c r="AC344" t="str">
        <f>A!AB344</f>
        <v>urn:immetingen:waardebewerkingsmethode:id:5</v>
      </c>
      <c r="AD344" t="str">
        <f>A!AC344</f>
        <v>www.sikb.nl</v>
      </c>
      <c r="AE344" t="str">
        <f>A!AD344</f>
        <v>_d41e0e71-d678-4e68-b454-b0fe5a5317aa</v>
      </c>
      <c r="AF344">
        <f>A!AE344</f>
        <v>45811.61818287037</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32"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t="str">
        <f>A!CI344</f>
        <v>urn:imsikb0101:Applicaties:id:16</v>
      </c>
      <c r="CK344" t="str">
        <f>A!CJ344</f>
        <v>urn:imsikb0101:DatastroomType:id:1</v>
      </c>
      <c r="CL344">
        <f>A!CK344</f>
        <v>45811</v>
      </c>
      <c r="CM344" t="str">
        <f>A!CL344</f>
        <v>SGS, Rotterdam</v>
      </c>
      <c r="CN344" t="str">
        <f>A!CM344</f>
        <v>LABRESULTAAT SGS</v>
      </c>
      <c r="CO344">
        <f>A!CN344</f>
        <v>45811</v>
      </c>
      <c r="CP344">
        <f>A!CO344</f>
        <v>0</v>
      </c>
      <c r="CQ344">
        <f>A!CO654</f>
        <v>0</v>
      </c>
      <c r="CR344" t="e">
        <f>A!#REF!</f>
        <v>#REF!</v>
      </c>
      <c r="CS344" t="e">
        <f>A!#REF!</f>
        <v>#REF!</v>
      </c>
    </row>
    <row r="345" spans="1:97" x14ac:dyDescent="0.2">
      <c r="A345" t="str">
        <f>A!A345</f>
        <v>LABRESULTAAT</v>
      </c>
      <c r="B345">
        <f>A!B345</f>
        <v>164</v>
      </c>
      <c r="C345" t="str">
        <f>A!C345</f>
        <v>_0bd854f3-111b-4b2e-9f41-b652f7a982e9</v>
      </c>
      <c r="D345" t="str">
        <f>A!D345</f>
        <v>0bd854f3-111b-4b2e-9f41-b652f7a982e9</v>
      </c>
      <c r="E345" t="str">
        <f>A!E345</f>
        <v>SIKB</v>
      </c>
      <c r="F345" t="str">
        <f>A!F345</f>
        <v>urn:immetingen:hoedanigheid:id:1</v>
      </c>
      <c r="G345" t="str">
        <f>A!G345</f>
        <v>www.sikb.nl</v>
      </c>
      <c r="H345" t="str">
        <f>A!H345</f>
        <v>urn:immetingen:parameter:id:3895</v>
      </c>
      <c r="I345" t="str">
        <f>A!I345</f>
        <v>www.sikb.nl</v>
      </c>
      <c r="J345" t="str">
        <f>A!J345</f>
        <v>urn:immetingen:parameter:id:2725</v>
      </c>
      <c r="K345" t="str">
        <f>A!K345</f>
        <v>www.sikb.nl</v>
      </c>
      <c r="L345">
        <f>A!L345</f>
        <v>45811</v>
      </c>
      <c r="M345" t="str">
        <f>A!M345</f>
        <v>urn:immetingen:LabopdrachtStatus:id:5</v>
      </c>
      <c r="N345">
        <f>A!N345</f>
        <v>1</v>
      </c>
      <c r="O345">
        <f>A!O345</f>
        <v>1</v>
      </c>
      <c r="P345" s="32" t="str">
        <f>IF(A!P345="","",INDEX(B!$A$1:$BT$2000,MATCH(A!P345,B!$AX$1:$AX$2000,0),D!$B$5))</f>
        <v>MM06 04 (200-250) 04 (250-300) 05 (200-250) 05 (250-300)</v>
      </c>
      <c r="Q345">
        <f>A!Q345</f>
        <v>0</v>
      </c>
      <c r="R345">
        <f>A!R345</f>
        <v>0</v>
      </c>
      <c r="S345">
        <f>A!S345</f>
        <v>0</v>
      </c>
      <c r="T345" t="str">
        <f>A!T345</f>
        <v>immetingen:AnalyticResultType</v>
      </c>
      <c r="U345" t="str">
        <f>A!U345</f>
        <v>&lt;0.1 µg/kgds</v>
      </c>
      <c r="V345" s="32">
        <f>IF(A!V345="&lt;",1,A!V345)</f>
        <v>1</v>
      </c>
      <c r="W345">
        <f>A!W345</f>
        <v>0.1</v>
      </c>
      <c r="X345">
        <f>A!X345</f>
        <v>0.1</v>
      </c>
      <c r="Y345" t="str">
        <f>A!Y345</f>
        <v>urn:immetingen:eenheid:id:131</v>
      </c>
      <c r="Z345" s="32">
        <f t="shared" si="5"/>
        <v>131</v>
      </c>
      <c r="AA345" t="str">
        <f>A!Z345</f>
        <v>urn:immetingen:kwaliteitsoordeel:id:0</v>
      </c>
      <c r="AB345" t="str">
        <f>A!AA345</f>
        <v>www.sikb.nl</v>
      </c>
      <c r="AC345" t="str">
        <f>A!AB345</f>
        <v>urn:immetingen:waardebewerkingsmethode:id:5</v>
      </c>
      <c r="AD345" t="str">
        <f>A!AC345</f>
        <v>www.sikb.nl</v>
      </c>
      <c r="AE345" t="str">
        <f>A!AD345</f>
        <v>_e2ac4058-f434-479a-a149-d136a9f2a839</v>
      </c>
      <c r="AF345">
        <f>A!AE345</f>
        <v>45811.618171296293</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32"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t="str">
        <f>A!CI345</f>
        <v>urn:imsikb0101:Applicaties:id:16</v>
      </c>
      <c r="CK345" t="str">
        <f>A!CJ345</f>
        <v>urn:imsikb0101:DatastroomType:id:1</v>
      </c>
      <c r="CL345">
        <f>A!CK345</f>
        <v>45811</v>
      </c>
      <c r="CM345" t="str">
        <f>A!CL345</f>
        <v>SGS, Rotterdam</v>
      </c>
      <c r="CN345" t="str">
        <f>A!CM345</f>
        <v>LABRESULTAAT SGS</v>
      </c>
      <c r="CO345">
        <f>A!CN345</f>
        <v>45811</v>
      </c>
      <c r="CP345">
        <f>A!CO345</f>
        <v>0</v>
      </c>
      <c r="CQ345">
        <f>A!CO655</f>
        <v>0</v>
      </c>
      <c r="CR345" t="e">
        <f>A!#REF!</f>
        <v>#REF!</v>
      </c>
      <c r="CS345" t="e">
        <f>A!#REF!</f>
        <v>#REF!</v>
      </c>
    </row>
    <row r="346" spans="1:97" x14ac:dyDescent="0.2">
      <c r="A346" t="str">
        <f>A!A346</f>
        <v>LABRESULTAAT</v>
      </c>
      <c r="B346">
        <f>A!B346</f>
        <v>165</v>
      </c>
      <c r="C346" t="str">
        <f>A!C346</f>
        <v>_ea123272-9723-4a10-924a-709a9b092d1a</v>
      </c>
      <c r="D346" t="str">
        <f>A!D346</f>
        <v>ea123272-9723-4a10-924a-709a9b092d1a</v>
      </c>
      <c r="E346" t="str">
        <f>A!E346</f>
        <v>SIKB</v>
      </c>
      <c r="F346" t="str">
        <f>A!F346</f>
        <v>urn:immetingen:hoedanigheid:id:1</v>
      </c>
      <c r="G346" t="str">
        <f>A!G346</f>
        <v>www.sikb.nl</v>
      </c>
      <c r="H346" t="str">
        <f>A!H346</f>
        <v>urn:immetingen:parameter:id:4437</v>
      </c>
      <c r="I346" t="str">
        <f>A!I346</f>
        <v>www.sikb.nl</v>
      </c>
      <c r="J346" t="str">
        <f>A!J346</f>
        <v>urn:immetingen:parameter:id:2725</v>
      </c>
      <c r="K346" t="str">
        <f>A!K346</f>
        <v>www.sikb.nl</v>
      </c>
      <c r="L346">
        <f>A!L346</f>
        <v>45811</v>
      </c>
      <c r="M346" t="str">
        <f>A!M346</f>
        <v>urn:immetingen:LabopdrachtStatus:id:5</v>
      </c>
      <c r="N346">
        <f>A!N346</f>
        <v>1</v>
      </c>
      <c r="O346">
        <f>A!O346</f>
        <v>1</v>
      </c>
      <c r="P346" s="32" t="str">
        <f>IF(A!P346="","",INDEX(B!$A$1:$BT$2000,MATCH(A!P346,B!$AX$1:$AX$2000,0),D!$B$5))</f>
        <v>MM06 04 (200-250) 04 (250-300) 05 (200-250) 05 (250-300)</v>
      </c>
      <c r="Q346">
        <f>A!Q346</f>
        <v>0</v>
      </c>
      <c r="R346">
        <f>A!R346</f>
        <v>0</v>
      </c>
      <c r="S346">
        <f>A!S346</f>
        <v>0</v>
      </c>
      <c r="T346" t="str">
        <f>A!T346</f>
        <v>immetingen:AnalyticResultType</v>
      </c>
      <c r="U346" t="str">
        <f>A!U346</f>
        <v>&lt;0.1 µg/kgds</v>
      </c>
      <c r="V346" s="32">
        <f>IF(A!V346="&lt;",1,A!V346)</f>
        <v>1</v>
      </c>
      <c r="W346">
        <f>A!W346</f>
        <v>0.1</v>
      </c>
      <c r="X346">
        <f>A!X346</f>
        <v>0.1</v>
      </c>
      <c r="Y346" t="str">
        <f>A!Y346</f>
        <v>urn:immetingen:eenheid:id:131</v>
      </c>
      <c r="Z346" s="32">
        <f t="shared" si="5"/>
        <v>131</v>
      </c>
      <c r="AA346" t="str">
        <f>A!Z346</f>
        <v>urn:immetingen:kwaliteitsoordeel:id:0</v>
      </c>
      <c r="AB346" t="str">
        <f>A!AA346</f>
        <v>www.sikb.nl</v>
      </c>
      <c r="AC346" t="str">
        <f>A!AB346</f>
        <v>urn:immetingen:waardebewerkingsmethode:id:5</v>
      </c>
      <c r="AD346" t="str">
        <f>A!AC346</f>
        <v>www.sikb.nl</v>
      </c>
      <c r="AE346" t="str">
        <f>A!AD346</f>
        <v>_5b4e918f-1f53-41c8-80d4-c41a778fa681</v>
      </c>
      <c r="AF346">
        <f>A!AE346</f>
        <v>45811.618171296293</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32"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t="str">
        <f>A!CI346</f>
        <v>urn:imsikb0101:Applicaties:id:16</v>
      </c>
      <c r="CK346" t="str">
        <f>A!CJ346</f>
        <v>urn:imsikb0101:DatastroomType:id:1</v>
      </c>
      <c r="CL346">
        <f>A!CK346</f>
        <v>45811</v>
      </c>
      <c r="CM346" t="str">
        <f>A!CL346</f>
        <v>SGS, Rotterdam</v>
      </c>
      <c r="CN346" t="str">
        <f>A!CM346</f>
        <v>LABRESULTAAT SGS</v>
      </c>
      <c r="CO346">
        <f>A!CN346</f>
        <v>45811</v>
      </c>
      <c r="CP346">
        <f>A!CO346</f>
        <v>0</v>
      </c>
      <c r="CQ346">
        <f>A!CO656</f>
        <v>0</v>
      </c>
      <c r="CR346" t="e">
        <f>A!#REF!</f>
        <v>#REF!</v>
      </c>
      <c r="CS346" t="e">
        <f>A!#REF!</f>
        <v>#REF!</v>
      </c>
    </row>
    <row r="347" spans="1:97" x14ac:dyDescent="0.2">
      <c r="A347" t="str">
        <f>A!A347</f>
        <v>LABRESULTAAT</v>
      </c>
      <c r="B347">
        <f>A!B347</f>
        <v>166</v>
      </c>
      <c r="C347" t="str">
        <f>A!C347</f>
        <v>_2fda2afe-0bee-4dfa-860f-0863ba243764</v>
      </c>
      <c r="D347" t="str">
        <f>A!D347</f>
        <v>2fda2afe-0bee-4dfa-860f-0863ba243764</v>
      </c>
      <c r="E347" t="str">
        <f>A!E347</f>
        <v>SIKB</v>
      </c>
      <c r="F347" t="str">
        <f>A!F347</f>
        <v>urn:immetingen:hoedanigheid:id:1</v>
      </c>
      <c r="G347" t="str">
        <f>A!G347</f>
        <v>www.sikb.nl</v>
      </c>
      <c r="H347" t="str">
        <f>A!H347</f>
        <v>urn:immetingen:parameter:id:3898</v>
      </c>
      <c r="I347" t="str">
        <f>A!I347</f>
        <v>www.sikb.nl</v>
      </c>
      <c r="J347" t="str">
        <f>A!J347</f>
        <v>urn:immetingen:parameter:id:2725</v>
      </c>
      <c r="K347" t="str">
        <f>A!K347</f>
        <v>www.sikb.nl</v>
      </c>
      <c r="L347">
        <f>A!L347</f>
        <v>45811</v>
      </c>
      <c r="M347" t="str">
        <f>A!M347</f>
        <v>urn:immetingen:LabopdrachtStatus:id:5</v>
      </c>
      <c r="N347">
        <f>A!N347</f>
        <v>1</v>
      </c>
      <c r="O347">
        <f>A!O347</f>
        <v>1</v>
      </c>
      <c r="P347" s="32" t="str">
        <f>IF(A!P347="","",INDEX(B!$A$1:$BT$2000,MATCH(A!P347,B!$AX$1:$AX$2000,0),D!$B$5))</f>
        <v>MM06 04 (200-250) 04 (250-300) 05 (200-250) 05 (250-300)</v>
      </c>
      <c r="Q347">
        <f>A!Q347</f>
        <v>0</v>
      </c>
      <c r="R347">
        <f>A!R347</f>
        <v>0</v>
      </c>
      <c r="S347">
        <f>A!S347</f>
        <v>0</v>
      </c>
      <c r="T347" t="str">
        <f>A!T347</f>
        <v>immetingen:AnalyticResultType</v>
      </c>
      <c r="U347" t="str">
        <f>A!U347</f>
        <v>&lt;0.1 µg/kgds</v>
      </c>
      <c r="V347" s="32">
        <f>IF(A!V347="&lt;",1,A!V347)</f>
        <v>1</v>
      </c>
      <c r="W347">
        <f>A!W347</f>
        <v>0.1</v>
      </c>
      <c r="X347">
        <f>A!X347</f>
        <v>0.1</v>
      </c>
      <c r="Y347" t="str">
        <f>A!Y347</f>
        <v>urn:immetingen:eenheid:id:131</v>
      </c>
      <c r="Z347" s="32">
        <f t="shared" si="5"/>
        <v>131</v>
      </c>
      <c r="AA347" t="str">
        <f>A!Z347</f>
        <v>urn:immetingen:kwaliteitsoordeel:id:0</v>
      </c>
      <c r="AB347" t="str">
        <f>A!AA347</f>
        <v>www.sikb.nl</v>
      </c>
      <c r="AC347" t="str">
        <f>A!AB347</f>
        <v>urn:immetingen:waardebewerkingsmethode:id:5</v>
      </c>
      <c r="AD347" t="str">
        <f>A!AC347</f>
        <v>www.sikb.nl</v>
      </c>
      <c r="AE347" t="str">
        <f>A!AD347</f>
        <v>_012b902a-02c3-4c70-8549-a1bcc7ca4a56</v>
      </c>
      <c r="AF347">
        <f>A!AE347</f>
        <v>45811.61818287037</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32"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t="str">
        <f>A!CI347</f>
        <v>urn:imsikb0101:Applicaties:id:16</v>
      </c>
      <c r="CK347" t="str">
        <f>A!CJ347</f>
        <v>urn:imsikb0101:DatastroomType:id:1</v>
      </c>
      <c r="CL347">
        <f>A!CK347</f>
        <v>45811</v>
      </c>
      <c r="CM347" t="str">
        <f>A!CL347</f>
        <v>SGS, Rotterdam</v>
      </c>
      <c r="CN347" t="str">
        <f>A!CM347</f>
        <v>LABRESULTAAT SGS</v>
      </c>
      <c r="CO347">
        <f>A!CN347</f>
        <v>45811</v>
      </c>
      <c r="CP347">
        <f>A!CO347</f>
        <v>0</v>
      </c>
      <c r="CQ347">
        <f>A!CO657</f>
        <v>0</v>
      </c>
      <c r="CR347" t="e">
        <f>A!#REF!</f>
        <v>#REF!</v>
      </c>
      <c r="CS347" t="e">
        <f>A!#REF!</f>
        <v>#REF!</v>
      </c>
    </row>
    <row r="348" spans="1:97" x14ac:dyDescent="0.2">
      <c r="A348" t="str">
        <f>A!A348</f>
        <v>LABRESULTAAT</v>
      </c>
      <c r="B348">
        <f>A!B348</f>
        <v>167</v>
      </c>
      <c r="C348" t="str">
        <f>A!C348</f>
        <v>_429a6632-7628-4dfb-9afd-ccaa0a6f45ea</v>
      </c>
      <c r="D348" t="str">
        <f>A!D348</f>
        <v>429a6632-7628-4dfb-9afd-ccaa0a6f45ea</v>
      </c>
      <c r="E348" t="str">
        <f>A!E348</f>
        <v>SIKB</v>
      </c>
      <c r="F348" t="str">
        <f>A!F348</f>
        <v>urn:immetingen:hoedanigheid:id:1</v>
      </c>
      <c r="G348" t="str">
        <f>A!G348</f>
        <v>www.sikb.nl</v>
      </c>
      <c r="H348" t="str">
        <f>A!H348</f>
        <v>urn:immetingen:parameter:id:4438</v>
      </c>
      <c r="I348" t="str">
        <f>A!I348</f>
        <v>www.sikb.nl</v>
      </c>
      <c r="J348" t="str">
        <f>A!J348</f>
        <v>urn:immetingen:parameter:id:2725</v>
      </c>
      <c r="K348" t="str">
        <f>A!K348</f>
        <v>www.sikb.nl</v>
      </c>
      <c r="L348">
        <f>A!L348</f>
        <v>45811</v>
      </c>
      <c r="M348" t="str">
        <f>A!M348</f>
        <v>urn:immetingen:LabopdrachtStatus:id:5</v>
      </c>
      <c r="N348">
        <f>A!N348</f>
        <v>1</v>
      </c>
      <c r="O348">
        <f>A!O348</f>
        <v>1</v>
      </c>
      <c r="P348" s="32" t="str">
        <f>IF(A!P348="","",INDEX(B!$A$1:$BT$2000,MATCH(A!P348,B!$AX$1:$AX$2000,0),D!$B$5))</f>
        <v>MM06 04 (200-250) 04 (250-300) 05 (200-250) 05 (250-300)</v>
      </c>
      <c r="Q348">
        <f>A!Q348</f>
        <v>0</v>
      </c>
      <c r="R348">
        <f>A!R348</f>
        <v>0</v>
      </c>
      <c r="S348">
        <f>A!S348</f>
        <v>0</v>
      </c>
      <c r="T348" t="str">
        <f>A!T348</f>
        <v>immetingen:AnalyticResultType</v>
      </c>
      <c r="U348" t="str">
        <f>A!U348</f>
        <v>&lt;0.1 µg/kgds</v>
      </c>
      <c r="V348" s="32">
        <f>IF(A!V348="&lt;",1,A!V348)</f>
        <v>1</v>
      </c>
      <c r="W348">
        <f>A!W348</f>
        <v>0.1</v>
      </c>
      <c r="X348">
        <f>A!X348</f>
        <v>0.1</v>
      </c>
      <c r="Y348" t="str">
        <f>A!Y348</f>
        <v>urn:immetingen:eenheid:id:131</v>
      </c>
      <c r="Z348" s="32">
        <f t="shared" si="5"/>
        <v>131</v>
      </c>
      <c r="AA348" t="str">
        <f>A!Z348</f>
        <v>urn:immetingen:kwaliteitsoordeel:id:0</v>
      </c>
      <c r="AB348" t="str">
        <f>A!AA348</f>
        <v>www.sikb.nl</v>
      </c>
      <c r="AC348" t="str">
        <f>A!AB348</f>
        <v>urn:immetingen:waardebewerkingsmethode:id:5</v>
      </c>
      <c r="AD348" t="str">
        <f>A!AC348</f>
        <v>www.sikb.nl</v>
      </c>
      <c r="AE348" t="str">
        <f>A!AD348</f>
        <v>_b6cb197b-1539-4dec-8028-7986b45213f3</v>
      </c>
      <c r="AF348">
        <f>A!AE348</f>
        <v>45811.618171296293</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32"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t="str">
        <f>A!CI348</f>
        <v>urn:imsikb0101:Applicaties:id:16</v>
      </c>
      <c r="CK348" t="str">
        <f>A!CJ348</f>
        <v>urn:imsikb0101:DatastroomType:id:1</v>
      </c>
      <c r="CL348">
        <f>A!CK348</f>
        <v>45811</v>
      </c>
      <c r="CM348" t="str">
        <f>A!CL348</f>
        <v>SGS, Rotterdam</v>
      </c>
      <c r="CN348" t="str">
        <f>A!CM348</f>
        <v>LABRESULTAAT SGS</v>
      </c>
      <c r="CO348">
        <f>A!CN348</f>
        <v>45811</v>
      </c>
      <c r="CP348">
        <f>A!CO348</f>
        <v>0</v>
      </c>
      <c r="CQ348">
        <f>A!CO658</f>
        <v>0</v>
      </c>
      <c r="CR348" t="e">
        <f>A!#REF!</f>
        <v>#REF!</v>
      </c>
      <c r="CS348" t="e">
        <f>A!#REF!</f>
        <v>#REF!</v>
      </c>
    </row>
    <row r="349" spans="1:97" x14ac:dyDescent="0.2">
      <c r="A349" t="str">
        <f>A!A349</f>
        <v>LABRESULTAAT</v>
      </c>
      <c r="B349">
        <f>A!B349</f>
        <v>168</v>
      </c>
      <c r="C349" t="str">
        <f>A!C349</f>
        <v>_69aec5f5-85c3-4114-9670-c3a5e0c46867</v>
      </c>
      <c r="D349" t="str">
        <f>A!D349</f>
        <v>69aec5f5-85c3-4114-9670-c3a5e0c46867</v>
      </c>
      <c r="E349" t="str">
        <f>A!E349</f>
        <v>SIKB</v>
      </c>
      <c r="F349" t="str">
        <f>A!F349</f>
        <v>urn:immetingen:hoedanigheid:id:1</v>
      </c>
      <c r="G349" t="str">
        <f>A!G349</f>
        <v>www.sikb.nl</v>
      </c>
      <c r="H349" t="str">
        <f>A!H349</f>
        <v>urn:immetingen:parameter:id:4439</v>
      </c>
      <c r="I349" t="str">
        <f>A!I349</f>
        <v>www.sikb.nl</v>
      </c>
      <c r="J349" t="str">
        <f>A!J349</f>
        <v>urn:immetingen:parameter:id:2725</v>
      </c>
      <c r="K349" t="str">
        <f>A!K349</f>
        <v>www.sikb.nl</v>
      </c>
      <c r="L349">
        <f>A!L349</f>
        <v>45811</v>
      </c>
      <c r="M349" t="str">
        <f>A!M349</f>
        <v>urn:immetingen:LabopdrachtStatus:id:5</v>
      </c>
      <c r="N349">
        <f>A!N349</f>
        <v>1</v>
      </c>
      <c r="O349">
        <f>A!O349</f>
        <v>1</v>
      </c>
      <c r="P349" s="32" t="str">
        <f>IF(A!P349="","",INDEX(B!$A$1:$BT$2000,MATCH(A!P349,B!$AX$1:$AX$2000,0),D!$B$5))</f>
        <v>MM06 04 (200-250) 04 (250-300) 05 (200-250) 05 (250-300)</v>
      </c>
      <c r="Q349">
        <f>A!Q349</f>
        <v>0</v>
      </c>
      <c r="R349">
        <f>A!R349</f>
        <v>0</v>
      </c>
      <c r="S349">
        <f>A!S349</f>
        <v>0</v>
      </c>
      <c r="T349" t="str">
        <f>A!T349</f>
        <v>immetingen:AnalyticResultType</v>
      </c>
      <c r="U349" t="str">
        <f>A!U349</f>
        <v>&lt;0.1 µg/kgds</v>
      </c>
      <c r="V349" s="32">
        <f>IF(A!V349="&lt;",1,A!V349)</f>
        <v>1</v>
      </c>
      <c r="W349">
        <f>A!W349</f>
        <v>0.1</v>
      </c>
      <c r="X349">
        <f>A!X349</f>
        <v>0.1</v>
      </c>
      <c r="Y349" t="str">
        <f>A!Y349</f>
        <v>urn:immetingen:eenheid:id:131</v>
      </c>
      <c r="Z349" s="32">
        <f t="shared" si="5"/>
        <v>131</v>
      </c>
      <c r="AA349" t="str">
        <f>A!Z349</f>
        <v>urn:immetingen:kwaliteitsoordeel:id:0</v>
      </c>
      <c r="AB349" t="str">
        <f>A!AA349</f>
        <v>www.sikb.nl</v>
      </c>
      <c r="AC349" t="str">
        <f>A!AB349</f>
        <v>urn:immetingen:waardebewerkingsmethode:id:5</v>
      </c>
      <c r="AD349" t="str">
        <f>A!AC349</f>
        <v>www.sikb.nl</v>
      </c>
      <c r="AE349" t="str">
        <f>A!AD349</f>
        <v>_67556a5f-e720-4f69-8f9e-e14d64e000a6</v>
      </c>
      <c r="AF349">
        <f>A!AE349</f>
        <v>45811.618171296293</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32"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t="str">
        <f>A!CI349</f>
        <v>urn:imsikb0101:Applicaties:id:16</v>
      </c>
      <c r="CK349" t="str">
        <f>A!CJ349</f>
        <v>urn:imsikb0101:DatastroomType:id:1</v>
      </c>
      <c r="CL349">
        <f>A!CK349</f>
        <v>45811</v>
      </c>
      <c r="CM349" t="str">
        <f>A!CL349</f>
        <v>SGS, Rotterdam</v>
      </c>
      <c r="CN349" t="str">
        <f>A!CM349</f>
        <v>LABRESULTAAT SGS</v>
      </c>
      <c r="CO349">
        <f>A!CN349</f>
        <v>45811</v>
      </c>
      <c r="CP349">
        <f>A!CO349</f>
        <v>0</v>
      </c>
      <c r="CQ349">
        <f>A!CO659</f>
        <v>0</v>
      </c>
      <c r="CR349" t="e">
        <f>A!#REF!</f>
        <v>#REF!</v>
      </c>
      <c r="CS349" t="e">
        <f>A!#REF!</f>
        <v>#REF!</v>
      </c>
    </row>
    <row r="350" spans="1:97" x14ac:dyDescent="0.2">
      <c r="A350" t="str">
        <f>A!A350</f>
        <v>LABRESULTAAT</v>
      </c>
      <c r="B350">
        <f>A!B350</f>
        <v>169</v>
      </c>
      <c r="C350" t="str">
        <f>A!C350</f>
        <v>_92ba8ed5-efb6-4b83-9e8c-8921f8405e0b</v>
      </c>
      <c r="D350" t="str">
        <f>A!D350</f>
        <v>92ba8ed5-efb6-4b83-9e8c-8921f8405e0b</v>
      </c>
      <c r="E350" t="str">
        <f>A!E350</f>
        <v>SIKB</v>
      </c>
      <c r="F350" t="str">
        <f>A!F350</f>
        <v>urn:immetingen:hoedanigheid:id:1</v>
      </c>
      <c r="G350" t="str">
        <f>A!G350</f>
        <v>www.sikb.nl</v>
      </c>
      <c r="H350" t="str">
        <f>A!H350</f>
        <v>urn:immetingen:parameter:id:3931</v>
      </c>
      <c r="I350" t="str">
        <f>A!I350</f>
        <v>www.sikb.nl</v>
      </c>
      <c r="J350" t="str">
        <f>A!J350</f>
        <v>urn:immetingen:parameter:id:2725</v>
      </c>
      <c r="K350" t="str">
        <f>A!K350</f>
        <v>www.sikb.nl</v>
      </c>
      <c r="L350">
        <f>A!L350</f>
        <v>45811</v>
      </c>
      <c r="M350" t="str">
        <f>A!M350</f>
        <v>urn:immetingen:LabopdrachtStatus:id:5</v>
      </c>
      <c r="N350">
        <f>A!N350</f>
        <v>1</v>
      </c>
      <c r="O350">
        <f>A!O350</f>
        <v>1</v>
      </c>
      <c r="P350" s="32" t="str">
        <f>IF(A!P350="","",INDEX(B!$A$1:$BT$2000,MATCH(A!P350,B!$AX$1:$AX$2000,0),D!$B$5))</f>
        <v>MM06 04 (200-250) 04 (250-300) 05 (200-250) 05 (250-300)</v>
      </c>
      <c r="Q350">
        <f>A!Q350</f>
        <v>0</v>
      </c>
      <c r="R350">
        <f>A!R350</f>
        <v>0</v>
      </c>
      <c r="S350">
        <f>A!S350</f>
        <v>0</v>
      </c>
      <c r="T350" t="str">
        <f>A!T350</f>
        <v>immetingen:AnalyticResultType</v>
      </c>
      <c r="U350" t="str">
        <f>A!U350</f>
        <v>&lt;0.1 µg/kgds</v>
      </c>
      <c r="V350" s="32">
        <f>IF(A!V350="&lt;",1,A!V350)</f>
        <v>1</v>
      </c>
      <c r="W350">
        <f>A!W350</f>
        <v>0.1</v>
      </c>
      <c r="X350">
        <f>A!X350</f>
        <v>0.1</v>
      </c>
      <c r="Y350" t="str">
        <f>A!Y350</f>
        <v>urn:immetingen:eenheid:id:131</v>
      </c>
      <c r="Z350" s="32">
        <f t="shared" si="5"/>
        <v>131</v>
      </c>
      <c r="AA350" t="str">
        <f>A!Z350</f>
        <v>urn:immetingen:kwaliteitsoordeel:id:0</v>
      </c>
      <c r="AB350" t="str">
        <f>A!AA350</f>
        <v>www.sikb.nl</v>
      </c>
      <c r="AC350" t="str">
        <f>A!AB350</f>
        <v>urn:immetingen:waardebewerkingsmethode:id:5</v>
      </c>
      <c r="AD350" t="str">
        <f>A!AC350</f>
        <v>www.sikb.nl</v>
      </c>
      <c r="AE350" t="str">
        <f>A!AD350</f>
        <v>_c1196fce-d278-4a42-a434-2eff0e358558</v>
      </c>
      <c r="AF350">
        <f>A!AE350</f>
        <v>45811.61818287037</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32"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t="str">
        <f>A!CI350</f>
        <v>urn:imsikb0101:Applicaties:id:16</v>
      </c>
      <c r="CK350" t="str">
        <f>A!CJ350</f>
        <v>urn:imsikb0101:DatastroomType:id:1</v>
      </c>
      <c r="CL350">
        <f>A!CK350</f>
        <v>45811</v>
      </c>
      <c r="CM350" t="str">
        <f>A!CL350</f>
        <v>SGS, Rotterdam</v>
      </c>
      <c r="CN350" t="str">
        <f>A!CM350</f>
        <v>LABRESULTAAT SGS</v>
      </c>
      <c r="CO350">
        <f>A!CN350</f>
        <v>45811</v>
      </c>
      <c r="CP350">
        <f>A!CO350</f>
        <v>0</v>
      </c>
      <c r="CQ350">
        <f>A!CO660</f>
        <v>0</v>
      </c>
      <c r="CR350" t="e">
        <f>A!#REF!</f>
        <v>#REF!</v>
      </c>
      <c r="CS350" t="e">
        <f>A!#REF!</f>
        <v>#REF!</v>
      </c>
    </row>
    <row r="351" spans="1:97" x14ac:dyDescent="0.2">
      <c r="A351" t="str">
        <f>A!A351</f>
        <v>LABRESULTAAT</v>
      </c>
      <c r="B351">
        <f>A!B351</f>
        <v>170</v>
      </c>
      <c r="C351" t="str">
        <f>A!C351</f>
        <v>_390915b2-dc6c-40d6-b0c1-35057ef66d0a</v>
      </c>
      <c r="D351" t="str">
        <f>A!D351</f>
        <v>390915b2-dc6c-40d6-b0c1-35057ef66d0a</v>
      </c>
      <c r="E351" t="str">
        <f>A!E351</f>
        <v>SIKB</v>
      </c>
      <c r="F351" t="str">
        <f>A!F351</f>
        <v>urn:immetingen:hoedanigheid:id:1</v>
      </c>
      <c r="G351" t="str">
        <f>A!G351</f>
        <v>www.sikb.nl</v>
      </c>
      <c r="H351" t="str">
        <f>A!H351</f>
        <v>urn:immetingen:parameter:id:4440</v>
      </c>
      <c r="I351" t="str">
        <f>A!I351</f>
        <v>www.sikb.nl</v>
      </c>
      <c r="J351" t="str">
        <f>A!J351</f>
        <v>urn:immetingen:parameter:id:2725</v>
      </c>
      <c r="K351" t="str">
        <f>A!K351</f>
        <v>www.sikb.nl</v>
      </c>
      <c r="L351">
        <f>A!L351</f>
        <v>45811</v>
      </c>
      <c r="M351" t="str">
        <f>A!M351</f>
        <v>urn:immetingen:LabopdrachtStatus:id:5</v>
      </c>
      <c r="N351">
        <f>A!N351</f>
        <v>1</v>
      </c>
      <c r="O351">
        <f>A!O351</f>
        <v>1</v>
      </c>
      <c r="P351" s="32" t="str">
        <f>IF(A!P351="","",INDEX(B!$A$1:$BT$2000,MATCH(A!P351,B!$AX$1:$AX$2000,0),D!$B$5))</f>
        <v>MM06 04 (200-250) 04 (250-300) 05 (200-250) 05 (250-300)</v>
      </c>
      <c r="Q351">
        <f>A!Q351</f>
        <v>0</v>
      </c>
      <c r="R351">
        <f>A!R351</f>
        <v>0</v>
      </c>
      <c r="S351">
        <f>A!S351</f>
        <v>0</v>
      </c>
      <c r="T351" t="str">
        <f>A!T351</f>
        <v>immetingen:AnalyticResultType</v>
      </c>
      <c r="U351" t="str">
        <f>A!U351</f>
        <v>&lt;0.1 µg/kgds</v>
      </c>
      <c r="V351" s="32">
        <f>IF(A!V351="&lt;",1,A!V351)</f>
        <v>1</v>
      </c>
      <c r="W351">
        <f>A!W351</f>
        <v>0.1</v>
      </c>
      <c r="X351">
        <f>A!X351</f>
        <v>0.1</v>
      </c>
      <c r="Y351" t="str">
        <f>A!Y351</f>
        <v>urn:immetingen:eenheid:id:131</v>
      </c>
      <c r="Z351" s="32">
        <f t="shared" si="5"/>
        <v>131</v>
      </c>
      <c r="AA351" t="str">
        <f>A!Z351</f>
        <v>urn:immetingen:kwaliteitsoordeel:id:0</v>
      </c>
      <c r="AB351" t="str">
        <f>A!AA351</f>
        <v>www.sikb.nl</v>
      </c>
      <c r="AC351" t="str">
        <f>A!AB351</f>
        <v>urn:immetingen:waardebewerkingsmethode:id:5</v>
      </c>
      <c r="AD351" t="str">
        <f>A!AC351</f>
        <v>www.sikb.nl</v>
      </c>
      <c r="AE351" t="str">
        <f>A!AD351</f>
        <v>_31241a33-9a88-4e9e-869f-0d7d87db741a</v>
      </c>
      <c r="AF351">
        <f>A!AE351</f>
        <v>45811.618171296293</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32"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t="str">
        <f>A!CI351</f>
        <v>urn:imsikb0101:Applicaties:id:16</v>
      </c>
      <c r="CK351" t="str">
        <f>A!CJ351</f>
        <v>urn:imsikb0101:DatastroomType:id:1</v>
      </c>
      <c r="CL351">
        <f>A!CK351</f>
        <v>45811</v>
      </c>
      <c r="CM351" t="str">
        <f>A!CL351</f>
        <v>SGS, Rotterdam</v>
      </c>
      <c r="CN351" t="str">
        <f>A!CM351</f>
        <v>LABRESULTAAT SGS</v>
      </c>
      <c r="CO351">
        <f>A!CN351</f>
        <v>45811</v>
      </c>
      <c r="CP351">
        <f>A!CO351</f>
        <v>0</v>
      </c>
      <c r="CQ351">
        <f>A!CO661</f>
        <v>0</v>
      </c>
      <c r="CR351" t="e">
        <f>A!#REF!</f>
        <v>#REF!</v>
      </c>
      <c r="CS351" t="e">
        <f>A!#REF!</f>
        <v>#REF!</v>
      </c>
    </row>
    <row r="352" spans="1:97" x14ac:dyDescent="0.2">
      <c r="A352" t="str">
        <f>A!A352</f>
        <v>LABRESULTAAT</v>
      </c>
      <c r="B352">
        <f>A!B352</f>
        <v>171</v>
      </c>
      <c r="C352" t="str">
        <f>A!C352</f>
        <v>_89444f4c-81a1-4c8b-9f9e-5464ba476407</v>
      </c>
      <c r="D352" t="str">
        <f>A!D352</f>
        <v>89444f4c-81a1-4c8b-9f9e-5464ba476407</v>
      </c>
      <c r="E352" t="str">
        <f>A!E352</f>
        <v>SIKB</v>
      </c>
      <c r="F352" t="str">
        <f>A!F352</f>
        <v>urn:immetingen:hoedanigheid:id:1</v>
      </c>
      <c r="G352" t="str">
        <f>A!G352</f>
        <v>www.sikb.nl</v>
      </c>
      <c r="H352" t="str">
        <f>A!H352</f>
        <v>urn:immetingen:parameter:id:3932</v>
      </c>
      <c r="I352" t="str">
        <f>A!I352</f>
        <v>www.sikb.nl</v>
      </c>
      <c r="J352" t="str">
        <f>A!J352</f>
        <v>urn:immetingen:parameter:id:2725</v>
      </c>
      <c r="K352" t="str">
        <f>A!K352</f>
        <v>www.sikb.nl</v>
      </c>
      <c r="L352">
        <f>A!L352</f>
        <v>45811</v>
      </c>
      <c r="M352" t="str">
        <f>A!M352</f>
        <v>urn:immetingen:LabopdrachtStatus:id:5</v>
      </c>
      <c r="N352">
        <f>A!N352</f>
        <v>1</v>
      </c>
      <c r="O352">
        <f>A!O352</f>
        <v>1</v>
      </c>
      <c r="P352" s="32" t="str">
        <f>IF(A!P352="","",INDEX(B!$A$1:$BT$2000,MATCH(A!P352,B!$AX$1:$AX$2000,0),D!$B$5))</f>
        <v>MM06 04 (200-250) 04 (250-300) 05 (200-250) 05 (250-300)</v>
      </c>
      <c r="Q352">
        <f>A!Q352</f>
        <v>0</v>
      </c>
      <c r="R352">
        <f>A!R352</f>
        <v>0</v>
      </c>
      <c r="S352">
        <f>A!S352</f>
        <v>0</v>
      </c>
      <c r="T352" t="str">
        <f>A!T352</f>
        <v>immetingen:AnalyticResultType</v>
      </c>
      <c r="U352" t="str">
        <f>A!U352</f>
        <v>&lt;0.1 µg/kgds</v>
      </c>
      <c r="V352" s="32">
        <f>IF(A!V352="&lt;",1,A!V352)</f>
        <v>1</v>
      </c>
      <c r="W352">
        <f>A!W352</f>
        <v>0.1</v>
      </c>
      <c r="X352">
        <f>A!X352</f>
        <v>0.1</v>
      </c>
      <c r="Y352" t="str">
        <f>A!Y352</f>
        <v>urn:immetingen:eenheid:id:131</v>
      </c>
      <c r="Z352" s="32">
        <f t="shared" si="5"/>
        <v>131</v>
      </c>
      <c r="AA352" t="str">
        <f>A!Z352</f>
        <v>urn:immetingen:kwaliteitsoordeel:id:0</v>
      </c>
      <c r="AB352" t="str">
        <f>A!AA352</f>
        <v>www.sikb.nl</v>
      </c>
      <c r="AC352" t="str">
        <f>A!AB352</f>
        <v>urn:immetingen:waardebewerkingsmethode:id:5</v>
      </c>
      <c r="AD352" t="str">
        <f>A!AC352</f>
        <v>www.sikb.nl</v>
      </c>
      <c r="AE352" t="str">
        <f>A!AD352</f>
        <v>_0d40b326-760b-43d2-9474-2396cff64a7d</v>
      </c>
      <c r="AF352">
        <f>A!AE352</f>
        <v>45811.61818287037</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32"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t="str">
        <f>A!CI352</f>
        <v>urn:imsikb0101:Applicaties:id:16</v>
      </c>
      <c r="CK352" t="str">
        <f>A!CJ352</f>
        <v>urn:imsikb0101:DatastroomType:id:1</v>
      </c>
      <c r="CL352">
        <f>A!CK352</f>
        <v>45811</v>
      </c>
      <c r="CM352" t="str">
        <f>A!CL352</f>
        <v>SGS, Rotterdam</v>
      </c>
      <c r="CN352" t="str">
        <f>A!CM352</f>
        <v>LABRESULTAAT SGS</v>
      </c>
      <c r="CO352">
        <f>A!CN352</f>
        <v>45811</v>
      </c>
      <c r="CP352">
        <f>A!CO352</f>
        <v>0</v>
      </c>
      <c r="CQ352">
        <f>A!CO662</f>
        <v>0</v>
      </c>
      <c r="CR352" t="e">
        <f>A!#REF!</f>
        <v>#REF!</v>
      </c>
      <c r="CS352" t="e">
        <f>A!#REF!</f>
        <v>#REF!</v>
      </c>
    </row>
    <row r="353" spans="1:97" x14ac:dyDescent="0.2">
      <c r="A353" t="str">
        <f>A!A353</f>
        <v>LABRESULTAAT</v>
      </c>
      <c r="B353">
        <f>A!B353</f>
        <v>172</v>
      </c>
      <c r="C353" t="str">
        <f>A!C353</f>
        <v>_10f764d5-7acb-43e6-a233-e479cecd8848</v>
      </c>
      <c r="D353" t="str">
        <f>A!D353</f>
        <v>10f764d5-7acb-43e6-a233-e479cecd8848</v>
      </c>
      <c r="E353" t="str">
        <f>A!E353</f>
        <v>SIKB</v>
      </c>
      <c r="F353" t="str">
        <f>A!F353</f>
        <v>urn:immetingen:hoedanigheid:id:1</v>
      </c>
      <c r="G353" t="str">
        <f>A!G353</f>
        <v>www.sikb.nl</v>
      </c>
      <c r="H353" t="str">
        <f>A!H353</f>
        <v>urn:immetingen:parameter:id:4441</v>
      </c>
      <c r="I353" t="str">
        <f>A!I353</f>
        <v>www.sikb.nl</v>
      </c>
      <c r="J353" t="str">
        <f>A!J353</f>
        <v>urn:immetingen:parameter:id:2725</v>
      </c>
      <c r="K353" t="str">
        <f>A!K353</f>
        <v>www.sikb.nl</v>
      </c>
      <c r="L353">
        <f>A!L353</f>
        <v>45811</v>
      </c>
      <c r="M353" t="str">
        <f>A!M353</f>
        <v>urn:immetingen:LabopdrachtStatus:id:5</v>
      </c>
      <c r="N353">
        <f>A!N353</f>
        <v>1</v>
      </c>
      <c r="O353">
        <f>A!O353</f>
        <v>1</v>
      </c>
      <c r="P353" s="32" t="str">
        <f>IF(A!P353="","",INDEX(B!$A$1:$BT$2000,MATCH(A!P353,B!$AX$1:$AX$2000,0),D!$B$5))</f>
        <v>MM06 04 (200-250) 04 (250-300) 05 (200-250) 05 (250-300)</v>
      </c>
      <c r="Q353">
        <f>A!Q353</f>
        <v>0</v>
      </c>
      <c r="R353">
        <f>A!R353</f>
        <v>0</v>
      </c>
      <c r="S353">
        <f>A!S353</f>
        <v>0</v>
      </c>
      <c r="T353" t="str">
        <f>A!T353</f>
        <v>immetingen:AnalyticResultType</v>
      </c>
      <c r="U353" t="str">
        <f>A!U353</f>
        <v>&lt;0.1 µg/kgds</v>
      </c>
      <c r="V353" s="32">
        <f>IF(A!V353="&lt;",1,A!V353)</f>
        <v>1</v>
      </c>
      <c r="W353">
        <f>A!W353</f>
        <v>0.1</v>
      </c>
      <c r="X353">
        <f>A!X353</f>
        <v>0.1</v>
      </c>
      <c r="Y353" t="str">
        <f>A!Y353</f>
        <v>urn:immetingen:eenheid:id:131</v>
      </c>
      <c r="Z353" s="32">
        <f t="shared" si="5"/>
        <v>131</v>
      </c>
      <c r="AA353" t="str">
        <f>A!Z353</f>
        <v>urn:immetingen:kwaliteitsoordeel:id:0</v>
      </c>
      <c r="AB353" t="str">
        <f>A!AA353</f>
        <v>www.sikb.nl</v>
      </c>
      <c r="AC353" t="str">
        <f>A!AB353</f>
        <v>urn:immetingen:waardebewerkingsmethode:id:5</v>
      </c>
      <c r="AD353" t="str">
        <f>A!AC353</f>
        <v>www.sikb.nl</v>
      </c>
      <c r="AE353" t="str">
        <f>A!AD353</f>
        <v>_964a595c-fdc5-477f-ab8f-41550fbc1d01</v>
      </c>
      <c r="AF353">
        <f>A!AE353</f>
        <v>45811.618171296293</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32"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t="str">
        <f>A!CI353</f>
        <v>urn:imsikb0101:Applicaties:id:16</v>
      </c>
      <c r="CK353" t="str">
        <f>A!CJ353</f>
        <v>urn:imsikb0101:DatastroomType:id:1</v>
      </c>
      <c r="CL353">
        <f>A!CK353</f>
        <v>45811</v>
      </c>
      <c r="CM353" t="str">
        <f>A!CL353</f>
        <v>SGS, Rotterdam</v>
      </c>
      <c r="CN353" t="str">
        <f>A!CM353</f>
        <v>LABRESULTAAT SGS</v>
      </c>
      <c r="CO353">
        <f>A!CN353</f>
        <v>45811</v>
      </c>
      <c r="CP353">
        <f>A!CO353</f>
        <v>0</v>
      </c>
      <c r="CQ353">
        <f>A!CO663</f>
        <v>0</v>
      </c>
      <c r="CR353" t="e">
        <f>A!#REF!</f>
        <v>#REF!</v>
      </c>
      <c r="CS353" t="e">
        <f>A!#REF!</f>
        <v>#REF!</v>
      </c>
    </row>
    <row r="354" spans="1:97" x14ac:dyDescent="0.2">
      <c r="A354" t="str">
        <f>A!A354</f>
        <v>LABRESULTAAT</v>
      </c>
      <c r="B354">
        <f>A!B354</f>
        <v>173</v>
      </c>
      <c r="C354" t="str">
        <f>A!C354</f>
        <v>_070cc990-c8d6-4819-a4ff-c004b2b5170e</v>
      </c>
      <c r="D354" t="str">
        <f>A!D354</f>
        <v>070cc990-c8d6-4819-a4ff-c004b2b5170e</v>
      </c>
      <c r="E354" t="str">
        <f>A!E354</f>
        <v>SIKB</v>
      </c>
      <c r="F354" t="str">
        <f>A!F354</f>
        <v>urn:immetingen:hoedanigheid:id:1</v>
      </c>
      <c r="G354" t="str">
        <f>A!G354</f>
        <v>www.sikb.nl</v>
      </c>
      <c r="H354" t="str">
        <f>A!H354</f>
        <v>urn:immetingen:parameter:id:4442</v>
      </c>
      <c r="I354" t="str">
        <f>A!I354</f>
        <v>www.sikb.nl</v>
      </c>
      <c r="J354" t="str">
        <f>A!J354</f>
        <v>urn:immetingen:parameter:id:2725</v>
      </c>
      <c r="K354" t="str">
        <f>A!K354</f>
        <v>www.sikb.nl</v>
      </c>
      <c r="L354">
        <f>A!L354</f>
        <v>45811</v>
      </c>
      <c r="M354" t="str">
        <f>A!M354</f>
        <v>urn:immetingen:LabopdrachtStatus:id:5</v>
      </c>
      <c r="N354">
        <f>A!N354</f>
        <v>1</v>
      </c>
      <c r="O354">
        <f>A!O354</f>
        <v>1</v>
      </c>
      <c r="P354" s="32" t="str">
        <f>IF(A!P354="","",INDEX(B!$A$1:$BT$2000,MATCH(A!P354,B!$AX$1:$AX$2000,0),D!$B$5))</f>
        <v>MM06 04 (200-250) 04 (250-300) 05 (200-250) 05 (250-300)</v>
      </c>
      <c r="Q354">
        <f>A!Q354</f>
        <v>0</v>
      </c>
      <c r="R354">
        <f>A!R354</f>
        <v>0</v>
      </c>
      <c r="S354">
        <f>A!S354</f>
        <v>0</v>
      </c>
      <c r="T354" t="str">
        <f>A!T354</f>
        <v>immetingen:AnalyticResultType</v>
      </c>
      <c r="U354" t="str">
        <f>A!U354</f>
        <v>&lt;0.1 µg/kgds</v>
      </c>
      <c r="V354" s="32">
        <f>IF(A!V354="&lt;",1,A!V354)</f>
        <v>1</v>
      </c>
      <c r="W354">
        <f>A!W354</f>
        <v>0.1</v>
      </c>
      <c r="X354">
        <f>A!X354</f>
        <v>0.1</v>
      </c>
      <c r="Y354" t="str">
        <f>A!Y354</f>
        <v>urn:immetingen:eenheid:id:131</v>
      </c>
      <c r="Z354" s="32">
        <f t="shared" si="5"/>
        <v>131</v>
      </c>
      <c r="AA354" t="str">
        <f>A!Z354</f>
        <v>urn:immetingen:kwaliteitsoordeel:id:0</v>
      </c>
      <c r="AB354" t="str">
        <f>A!AA354</f>
        <v>www.sikb.nl</v>
      </c>
      <c r="AC354" t="str">
        <f>A!AB354</f>
        <v>urn:immetingen:waardebewerkingsmethode:id:5</v>
      </c>
      <c r="AD354" t="str">
        <f>A!AC354</f>
        <v>www.sikb.nl</v>
      </c>
      <c r="AE354" t="str">
        <f>A!AD354</f>
        <v>_0d657ed2-1d97-481f-b8bf-f067c32daf8a</v>
      </c>
      <c r="AF354">
        <f>A!AE354</f>
        <v>45811.618171296293</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32"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t="str">
        <f>A!CI354</f>
        <v>urn:imsikb0101:Applicaties:id:16</v>
      </c>
      <c r="CK354" t="str">
        <f>A!CJ354</f>
        <v>urn:imsikb0101:DatastroomType:id:1</v>
      </c>
      <c r="CL354">
        <f>A!CK354</f>
        <v>45811</v>
      </c>
      <c r="CM354" t="str">
        <f>A!CL354</f>
        <v>SGS, Rotterdam</v>
      </c>
      <c r="CN354" t="str">
        <f>A!CM354</f>
        <v>LABRESULTAAT SGS</v>
      </c>
      <c r="CO354">
        <f>A!CN354</f>
        <v>45811</v>
      </c>
      <c r="CP354">
        <f>A!CO354</f>
        <v>0</v>
      </c>
      <c r="CQ354">
        <f>A!CO664</f>
        <v>0</v>
      </c>
      <c r="CR354" t="e">
        <f>A!#REF!</f>
        <v>#REF!</v>
      </c>
      <c r="CS354" t="e">
        <f>A!#REF!</f>
        <v>#REF!</v>
      </c>
    </row>
    <row r="355" spans="1:97" x14ac:dyDescent="0.2">
      <c r="A355" t="str">
        <f>A!A355</f>
        <v>LABRESULTAAT</v>
      </c>
      <c r="B355">
        <f>A!B355</f>
        <v>174</v>
      </c>
      <c r="C355" t="str">
        <f>A!C355</f>
        <v>_02aee646-8867-4f45-9ae1-f5a39897e37a</v>
      </c>
      <c r="D355" t="str">
        <f>A!D355</f>
        <v>02aee646-8867-4f45-9ae1-f5a39897e37a</v>
      </c>
      <c r="E355" t="str">
        <f>A!E355</f>
        <v>SIKB</v>
      </c>
      <c r="F355" t="str">
        <f>A!F355</f>
        <v>urn:immetingen:hoedanigheid:id:1</v>
      </c>
      <c r="G355" t="str">
        <f>A!G355</f>
        <v>www.sikb.nl</v>
      </c>
      <c r="H355" t="str">
        <f>A!H355</f>
        <v>urn:immetingen:parameter:id:4446</v>
      </c>
      <c r="I355" t="str">
        <f>A!I355</f>
        <v>www.sikb.nl</v>
      </c>
      <c r="J355" t="str">
        <f>A!J355</f>
        <v>urn:immetingen:parameter:id:2725</v>
      </c>
      <c r="K355" t="str">
        <f>A!K355</f>
        <v>www.sikb.nl</v>
      </c>
      <c r="L355">
        <f>A!L355</f>
        <v>45811</v>
      </c>
      <c r="M355" t="str">
        <f>A!M355</f>
        <v>urn:immetingen:LabopdrachtStatus:id:5</v>
      </c>
      <c r="N355">
        <f>A!N355</f>
        <v>1</v>
      </c>
      <c r="O355">
        <f>A!O355</f>
        <v>1</v>
      </c>
      <c r="P355" s="32" t="str">
        <f>IF(A!P355="","",INDEX(B!$A$1:$BT$2000,MATCH(A!P355,B!$AX$1:$AX$2000,0),D!$B$5))</f>
        <v>MM06 04 (200-250) 04 (250-300) 05 (200-250) 05 (250-300)</v>
      </c>
      <c r="Q355">
        <f>A!Q355</f>
        <v>0</v>
      </c>
      <c r="R355">
        <f>A!R355</f>
        <v>0</v>
      </c>
      <c r="S355">
        <f>A!S355</f>
        <v>0</v>
      </c>
      <c r="T355" t="str">
        <f>A!T355</f>
        <v>immetingen:AnalyticResultType</v>
      </c>
      <c r="U355" t="str">
        <f>A!U355</f>
        <v>&lt;0.1 µg/kgds</v>
      </c>
      <c r="V355" s="32">
        <f>IF(A!V355="&lt;",1,A!V355)</f>
        <v>1</v>
      </c>
      <c r="W355">
        <f>A!W355</f>
        <v>0.1</v>
      </c>
      <c r="X355">
        <f>A!X355</f>
        <v>0.1</v>
      </c>
      <c r="Y355" t="str">
        <f>A!Y355</f>
        <v>urn:immetingen:eenheid:id:131</v>
      </c>
      <c r="Z355" s="32">
        <f t="shared" si="5"/>
        <v>131</v>
      </c>
      <c r="AA355" t="str">
        <f>A!Z355</f>
        <v>urn:immetingen:kwaliteitsoordeel:id:0</v>
      </c>
      <c r="AB355" t="str">
        <f>A!AA355</f>
        <v>www.sikb.nl</v>
      </c>
      <c r="AC355" t="str">
        <f>A!AB355</f>
        <v>urn:immetingen:waardebewerkingsmethode:id:5</v>
      </c>
      <c r="AD355" t="str">
        <f>A!AC355</f>
        <v>www.sikb.nl</v>
      </c>
      <c r="AE355" t="str">
        <f>A!AD355</f>
        <v>_b792af7b-6569-46c1-8a28-3a4beb4a2544</v>
      </c>
      <c r="AF355">
        <f>A!AE355</f>
        <v>45811.61818287037</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32"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t="str">
        <f>A!CI355</f>
        <v>urn:imsikb0101:Applicaties:id:16</v>
      </c>
      <c r="CK355" t="str">
        <f>A!CJ355</f>
        <v>urn:imsikb0101:DatastroomType:id:1</v>
      </c>
      <c r="CL355">
        <f>A!CK355</f>
        <v>45811</v>
      </c>
      <c r="CM355" t="str">
        <f>A!CL355</f>
        <v>SGS, Rotterdam</v>
      </c>
      <c r="CN355" t="str">
        <f>A!CM355</f>
        <v>LABRESULTAAT SGS</v>
      </c>
      <c r="CO355">
        <f>A!CN355</f>
        <v>45811</v>
      </c>
      <c r="CP355">
        <f>A!CO355</f>
        <v>0</v>
      </c>
      <c r="CQ355">
        <f>A!CO665</f>
        <v>0</v>
      </c>
      <c r="CR355" t="e">
        <f>A!#REF!</f>
        <v>#REF!</v>
      </c>
      <c r="CS355" t="e">
        <f>A!#REF!</f>
        <v>#REF!</v>
      </c>
    </row>
    <row r="356" spans="1:97" x14ac:dyDescent="0.2">
      <c r="A356" t="str">
        <f>A!A356</f>
        <v>LABRESULTAAT</v>
      </c>
      <c r="B356">
        <f>A!B356</f>
        <v>175</v>
      </c>
      <c r="C356" t="str">
        <f>A!C356</f>
        <v>_602c695d-f9e1-4d50-b1e6-ebb0f1d3e425</v>
      </c>
      <c r="D356" t="str">
        <f>A!D356</f>
        <v>602c695d-f9e1-4d50-b1e6-ebb0f1d3e425</v>
      </c>
      <c r="E356" t="str">
        <f>A!E356</f>
        <v>SIKB</v>
      </c>
      <c r="F356" t="str">
        <f>A!F356</f>
        <v>urn:immetingen:hoedanigheid:id:1</v>
      </c>
      <c r="G356" t="str">
        <f>A!G356</f>
        <v>www.sikb.nl</v>
      </c>
      <c r="H356" t="str">
        <f>A!H356</f>
        <v>urn:immetingen:parameter:id:4445</v>
      </c>
      <c r="I356" t="str">
        <f>A!I356</f>
        <v>www.sikb.nl</v>
      </c>
      <c r="J356" t="str">
        <f>A!J356</f>
        <v>urn:immetingen:parameter:id:2725</v>
      </c>
      <c r="K356" t="str">
        <f>A!K356</f>
        <v>www.sikb.nl</v>
      </c>
      <c r="L356">
        <f>A!L356</f>
        <v>45811</v>
      </c>
      <c r="M356" t="str">
        <f>A!M356</f>
        <v>urn:immetingen:LabopdrachtStatus:id:5</v>
      </c>
      <c r="N356">
        <f>A!N356</f>
        <v>1</v>
      </c>
      <c r="O356">
        <f>A!O356</f>
        <v>1</v>
      </c>
      <c r="P356" s="32" t="str">
        <f>IF(A!P356="","",INDEX(B!$A$1:$BT$2000,MATCH(A!P356,B!$AX$1:$AX$2000,0),D!$B$5))</f>
        <v>MM06 04 (200-250) 04 (250-300) 05 (200-250) 05 (250-300)</v>
      </c>
      <c r="Q356">
        <f>A!Q356</f>
        <v>0</v>
      </c>
      <c r="R356">
        <f>A!R356</f>
        <v>0</v>
      </c>
      <c r="S356">
        <f>A!S356</f>
        <v>0</v>
      </c>
      <c r="T356" t="str">
        <f>A!T356</f>
        <v>immetingen:AnalyticResultType</v>
      </c>
      <c r="U356" t="str">
        <f>A!U356</f>
        <v>&lt;0.1 µg/kgds</v>
      </c>
      <c r="V356" s="32">
        <f>IF(A!V356="&lt;",1,A!V356)</f>
        <v>1</v>
      </c>
      <c r="W356">
        <f>A!W356</f>
        <v>0.1</v>
      </c>
      <c r="X356">
        <f>A!X356</f>
        <v>0.1</v>
      </c>
      <c r="Y356" t="str">
        <f>A!Y356</f>
        <v>urn:immetingen:eenheid:id:131</v>
      </c>
      <c r="Z356" s="32">
        <f t="shared" si="5"/>
        <v>131</v>
      </c>
      <c r="AA356" t="str">
        <f>A!Z356</f>
        <v>urn:immetingen:kwaliteitsoordeel:id:0</v>
      </c>
      <c r="AB356" t="str">
        <f>A!AA356</f>
        <v>www.sikb.nl</v>
      </c>
      <c r="AC356" t="str">
        <f>A!AB356</f>
        <v>urn:immetingen:waardebewerkingsmethode:id:5</v>
      </c>
      <c r="AD356" t="str">
        <f>A!AC356</f>
        <v>www.sikb.nl</v>
      </c>
      <c r="AE356" t="str">
        <f>A!AD356</f>
        <v>_fc11b2bd-7a4b-4bd8-b0bc-605deed98ad6</v>
      </c>
      <c r="AF356">
        <f>A!AE356</f>
        <v>45811.61818287037</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32"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t="str">
        <f>A!CI356</f>
        <v>urn:imsikb0101:Applicaties:id:16</v>
      </c>
      <c r="CK356" t="str">
        <f>A!CJ356</f>
        <v>urn:imsikb0101:DatastroomType:id:1</v>
      </c>
      <c r="CL356">
        <f>A!CK356</f>
        <v>45811</v>
      </c>
      <c r="CM356" t="str">
        <f>A!CL356</f>
        <v>SGS, Rotterdam</v>
      </c>
      <c r="CN356" t="str">
        <f>A!CM356</f>
        <v>LABRESULTAAT SGS</v>
      </c>
      <c r="CO356">
        <f>A!CN356</f>
        <v>45811</v>
      </c>
      <c r="CP356">
        <f>A!CO356</f>
        <v>0</v>
      </c>
      <c r="CQ356">
        <f>A!CO666</f>
        <v>0</v>
      </c>
      <c r="CR356" t="e">
        <f>A!#REF!</f>
        <v>#REF!</v>
      </c>
      <c r="CS356" t="e">
        <f>A!#REF!</f>
        <v>#REF!</v>
      </c>
    </row>
    <row r="357" spans="1:97" x14ac:dyDescent="0.2">
      <c r="A357" t="str">
        <f>A!A357</f>
        <v>LABRESULTAAT</v>
      </c>
      <c r="B357">
        <f>A!B357</f>
        <v>176</v>
      </c>
      <c r="C357" t="str">
        <f>A!C357</f>
        <v>_9f246735-33b9-4e3e-ba95-23ae4d4ce206</v>
      </c>
      <c r="D357" t="str">
        <f>A!D357</f>
        <v>9f246735-33b9-4e3e-ba95-23ae4d4ce206</v>
      </c>
      <c r="E357" t="str">
        <f>A!E357</f>
        <v>SIKB</v>
      </c>
      <c r="F357" t="str">
        <f>A!F357</f>
        <v>urn:immetingen:hoedanigheid:id:1</v>
      </c>
      <c r="G357" t="str">
        <f>A!G357</f>
        <v>www.sikb.nl</v>
      </c>
      <c r="H357" t="str">
        <f>A!H357</f>
        <v>urn:immetingen:parameter:id:6040</v>
      </c>
      <c r="I357" t="str">
        <f>A!I357</f>
        <v>www.sikb.nl</v>
      </c>
      <c r="J357" t="str">
        <f>A!J357</f>
        <v>urn:immetingen:parameter:id:2725</v>
      </c>
      <c r="K357" t="str">
        <f>A!K357</f>
        <v>www.sikb.nl</v>
      </c>
      <c r="L357">
        <f>A!L357</f>
        <v>45811</v>
      </c>
      <c r="M357" t="str">
        <f>A!M357</f>
        <v>urn:immetingen:LabopdrachtStatus:id:5</v>
      </c>
      <c r="N357">
        <f>A!N357</f>
        <v>1</v>
      </c>
      <c r="O357">
        <f>A!O357</f>
        <v>1</v>
      </c>
      <c r="P357" s="32" t="str">
        <f>IF(A!P357="","",INDEX(B!$A$1:$BT$2000,MATCH(A!P357,B!$AX$1:$AX$2000,0),D!$B$5))</f>
        <v>MM06 04 (200-250) 04 (250-300) 05 (200-250) 05 (250-300)</v>
      </c>
      <c r="Q357">
        <f>A!Q357</f>
        <v>0</v>
      </c>
      <c r="R357">
        <f>A!R357</f>
        <v>0</v>
      </c>
      <c r="S357">
        <f>A!S357</f>
        <v>0</v>
      </c>
      <c r="T357" t="str">
        <f>A!T357</f>
        <v>immetingen:AnalyticResultType</v>
      </c>
      <c r="U357" t="str">
        <f>A!U357</f>
        <v>0.1 µg/kgds</v>
      </c>
      <c r="V357" s="32">
        <f>IF(A!V357="&lt;",1,A!V357)</f>
        <v>0</v>
      </c>
      <c r="W357">
        <f>A!W357</f>
        <v>0.1</v>
      </c>
      <c r="X357">
        <f>A!X357</f>
        <v>0.1</v>
      </c>
      <c r="Y357" t="str">
        <f>A!Y357</f>
        <v>urn:immetingen:eenheid:id:131</v>
      </c>
      <c r="Z357" s="32">
        <f t="shared" si="5"/>
        <v>131</v>
      </c>
      <c r="AA357" t="str">
        <f>A!Z357</f>
        <v>urn:immetingen:kwaliteitsoordeel:id:0</v>
      </c>
      <c r="AB357" t="str">
        <f>A!AA357</f>
        <v>www.sikb.nl</v>
      </c>
      <c r="AC357" t="str">
        <f>A!AB357</f>
        <v>urn:immetingen:waardebewerkingsmethode:id:5</v>
      </c>
      <c r="AD357" t="str">
        <f>A!AC357</f>
        <v>www.sikb.nl</v>
      </c>
      <c r="AE357" t="str">
        <f>A!AD357</f>
        <v>_21e683c3-372a-4c6d-972a-afe9adb788ef</v>
      </c>
      <c r="AF357">
        <f>A!AE357</f>
        <v>45811.618483796294</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32"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t="str">
        <f>A!CI357</f>
        <v>urn:imsikb0101:Applicaties:id:16</v>
      </c>
      <c r="CK357" t="str">
        <f>A!CJ357</f>
        <v>urn:imsikb0101:DatastroomType:id:1</v>
      </c>
      <c r="CL357">
        <f>A!CK357</f>
        <v>45811</v>
      </c>
      <c r="CM357" t="str">
        <f>A!CL357</f>
        <v>SGS, Rotterdam</v>
      </c>
      <c r="CN357" t="str">
        <f>A!CM357</f>
        <v>LABRESULTAAT SGS</v>
      </c>
      <c r="CO357">
        <f>A!CN357</f>
        <v>45811</v>
      </c>
      <c r="CP357">
        <f>A!CO357</f>
        <v>0</v>
      </c>
      <c r="CQ357">
        <f>A!CO667</f>
        <v>0</v>
      </c>
      <c r="CR357" t="e">
        <f>A!#REF!</f>
        <v>#REF!</v>
      </c>
      <c r="CS357" t="e">
        <f>A!#REF!</f>
        <v>#REF!</v>
      </c>
    </row>
    <row r="358" spans="1:97" x14ac:dyDescent="0.2">
      <c r="A358" t="str">
        <f>A!A358</f>
        <v>LABRESULTAAT</v>
      </c>
      <c r="B358">
        <f>A!B358</f>
        <v>177</v>
      </c>
      <c r="C358" t="str">
        <f>A!C358</f>
        <v>_0cfe58a7-aed4-4d8c-b671-e2a8f957c257</v>
      </c>
      <c r="D358" t="str">
        <f>A!D358</f>
        <v>0cfe58a7-aed4-4d8c-b671-e2a8f957c257</v>
      </c>
      <c r="E358" t="str">
        <f>A!E358</f>
        <v>SIKB</v>
      </c>
      <c r="F358" t="str">
        <f>A!F358</f>
        <v>urn:immetingen:hoedanigheid:id:1</v>
      </c>
      <c r="G358" t="str">
        <f>A!G358</f>
        <v>www.sikb.nl</v>
      </c>
      <c r="H358" t="str">
        <f>A!H358</f>
        <v>urn:immetingen:parameter:id:5518</v>
      </c>
      <c r="I358" t="str">
        <f>A!I358</f>
        <v>www.sikb.nl</v>
      </c>
      <c r="J358" t="str">
        <f>A!J358</f>
        <v>urn:immetingen:parameter:id:2725</v>
      </c>
      <c r="K358" t="str">
        <f>A!K358</f>
        <v>www.sikb.nl</v>
      </c>
      <c r="L358">
        <f>A!L358</f>
        <v>45811</v>
      </c>
      <c r="M358" t="str">
        <f>A!M358</f>
        <v>urn:immetingen:LabopdrachtStatus:id:5</v>
      </c>
      <c r="N358">
        <f>A!N358</f>
        <v>1</v>
      </c>
      <c r="O358">
        <f>A!O358</f>
        <v>1</v>
      </c>
      <c r="P358" s="32" t="str">
        <f>IF(A!P358="","",INDEX(B!$A$1:$BT$2000,MATCH(A!P358,B!$AX$1:$AX$2000,0),D!$B$5))</f>
        <v>MM06 04 (200-250) 04 (250-300) 05 (200-250) 05 (250-300)</v>
      </c>
      <c r="Q358">
        <f>A!Q358</f>
        <v>0</v>
      </c>
      <c r="R358">
        <f>A!R358</f>
        <v>0</v>
      </c>
      <c r="S358">
        <f>A!S358</f>
        <v>0</v>
      </c>
      <c r="T358" t="str">
        <f>A!T358</f>
        <v>immetingen:AnalyticResultType</v>
      </c>
      <c r="U358" t="str">
        <f>A!U358</f>
        <v>&lt;0.1 µg/kgds</v>
      </c>
      <c r="V358" s="32">
        <f>IF(A!V358="&lt;",1,A!V358)</f>
        <v>1</v>
      </c>
      <c r="W358">
        <f>A!W358</f>
        <v>0.1</v>
      </c>
      <c r="X358">
        <f>A!X358</f>
        <v>0.1</v>
      </c>
      <c r="Y358" t="str">
        <f>A!Y358</f>
        <v>urn:immetingen:eenheid:id:131</v>
      </c>
      <c r="Z358" s="32">
        <f t="shared" si="5"/>
        <v>131</v>
      </c>
      <c r="AA358" t="str">
        <f>A!Z358</f>
        <v>urn:immetingen:kwaliteitsoordeel:id:0</v>
      </c>
      <c r="AB358" t="str">
        <f>A!AA358</f>
        <v>www.sikb.nl</v>
      </c>
      <c r="AC358" t="str">
        <f>A!AB358</f>
        <v>urn:immetingen:waardebewerkingsmethode:id:5</v>
      </c>
      <c r="AD358" t="str">
        <f>A!AC358</f>
        <v>www.sikb.nl</v>
      </c>
      <c r="AE358" t="str">
        <f>A!AD358</f>
        <v>_f97f4e20-14f1-4a87-b433-f195d1cbc860</v>
      </c>
      <c r="AF358">
        <f>A!AE358</f>
        <v>45811.61818287037</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32"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t="str">
        <f>A!CI358</f>
        <v>urn:imsikb0101:Applicaties:id:16</v>
      </c>
      <c r="CK358" t="str">
        <f>A!CJ358</f>
        <v>urn:imsikb0101:DatastroomType:id:1</v>
      </c>
      <c r="CL358">
        <f>A!CK358</f>
        <v>45811</v>
      </c>
      <c r="CM358" t="str">
        <f>A!CL358</f>
        <v>SGS, Rotterdam</v>
      </c>
      <c r="CN358" t="str">
        <f>A!CM358</f>
        <v>LABRESULTAAT SGS</v>
      </c>
      <c r="CO358">
        <f>A!CN358</f>
        <v>45811</v>
      </c>
      <c r="CP358">
        <f>A!CO358</f>
        <v>0</v>
      </c>
      <c r="CQ358">
        <f>A!CO668</f>
        <v>0</v>
      </c>
      <c r="CR358" t="e">
        <f>A!#REF!</f>
        <v>#REF!</v>
      </c>
      <c r="CS358" t="e">
        <f>A!#REF!</f>
        <v>#REF!</v>
      </c>
    </row>
    <row r="359" spans="1:97" x14ac:dyDescent="0.2">
      <c r="A359" t="str">
        <f>A!A359</f>
        <v>LABRESULTAAT</v>
      </c>
      <c r="B359">
        <f>A!B359</f>
        <v>178</v>
      </c>
      <c r="C359" t="str">
        <f>A!C359</f>
        <v>_ec0d9663-c728-4f20-8fc1-4bd4d5ae1f30</v>
      </c>
      <c r="D359" t="str">
        <f>A!D359</f>
        <v>ec0d9663-c728-4f20-8fc1-4bd4d5ae1f30</v>
      </c>
      <c r="E359" t="str">
        <f>A!E359</f>
        <v>SIKB</v>
      </c>
      <c r="F359" t="str">
        <f>A!F359</f>
        <v>urn:immetingen:hoedanigheid:id:1</v>
      </c>
      <c r="G359" t="str">
        <f>A!G359</f>
        <v>www.sikb.nl</v>
      </c>
      <c r="H359" t="str">
        <f>A!H359</f>
        <v>urn:immetingen:parameter:id:4443</v>
      </c>
      <c r="I359" t="str">
        <f>A!I359</f>
        <v>www.sikb.nl</v>
      </c>
      <c r="J359" t="str">
        <f>A!J359</f>
        <v>urn:immetingen:parameter:id:2725</v>
      </c>
      <c r="K359" t="str">
        <f>A!K359</f>
        <v>www.sikb.nl</v>
      </c>
      <c r="L359">
        <f>A!L359</f>
        <v>45811</v>
      </c>
      <c r="M359" t="str">
        <f>A!M359</f>
        <v>urn:immetingen:LabopdrachtStatus:id:5</v>
      </c>
      <c r="N359">
        <f>A!N359</f>
        <v>1</v>
      </c>
      <c r="O359">
        <f>A!O359</f>
        <v>1</v>
      </c>
      <c r="P359" s="32" t="str">
        <f>IF(A!P359="","",INDEX(B!$A$1:$BT$2000,MATCH(A!P359,B!$AX$1:$AX$2000,0),D!$B$5))</f>
        <v>MM06 04 (200-250) 04 (250-300) 05 (200-250) 05 (250-300)</v>
      </c>
      <c r="Q359">
        <f>A!Q359</f>
        <v>0</v>
      </c>
      <c r="R359">
        <f>A!R359</f>
        <v>0</v>
      </c>
      <c r="S359">
        <f>A!S359</f>
        <v>0</v>
      </c>
      <c r="T359" t="str">
        <f>A!T359</f>
        <v>immetingen:AnalyticResultType</v>
      </c>
      <c r="U359" t="str">
        <f>A!U359</f>
        <v>&lt;0.1 µg/kgds</v>
      </c>
      <c r="V359" s="32">
        <f>IF(A!V359="&lt;",1,A!V359)</f>
        <v>1</v>
      </c>
      <c r="W359">
        <f>A!W359</f>
        <v>0.1</v>
      </c>
      <c r="X359">
        <f>A!X359</f>
        <v>0.1</v>
      </c>
      <c r="Y359" t="str">
        <f>A!Y359</f>
        <v>urn:immetingen:eenheid:id:131</v>
      </c>
      <c r="Z359" s="32">
        <f t="shared" si="5"/>
        <v>131</v>
      </c>
      <c r="AA359" t="str">
        <f>A!Z359</f>
        <v>urn:immetingen:kwaliteitsoordeel:id:0</v>
      </c>
      <c r="AB359" t="str">
        <f>A!AA359</f>
        <v>www.sikb.nl</v>
      </c>
      <c r="AC359" t="str">
        <f>A!AB359</f>
        <v>urn:immetingen:waardebewerkingsmethode:id:5</v>
      </c>
      <c r="AD359" t="str">
        <f>A!AC359</f>
        <v>www.sikb.nl</v>
      </c>
      <c r="AE359" t="str">
        <f>A!AD359</f>
        <v>_c0db105f-7a9f-4714-b8f4-69c3ea55d46d</v>
      </c>
      <c r="AF359">
        <f>A!AE359</f>
        <v>45811.618171296293</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32"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t="str">
        <f>A!CI359</f>
        <v>urn:imsikb0101:Applicaties:id:16</v>
      </c>
      <c r="CK359" t="str">
        <f>A!CJ359</f>
        <v>urn:imsikb0101:DatastroomType:id:1</v>
      </c>
      <c r="CL359">
        <f>A!CK359</f>
        <v>45811</v>
      </c>
      <c r="CM359" t="str">
        <f>A!CL359</f>
        <v>SGS, Rotterdam</v>
      </c>
      <c r="CN359" t="str">
        <f>A!CM359</f>
        <v>LABRESULTAAT SGS</v>
      </c>
      <c r="CO359">
        <f>A!CN359</f>
        <v>45811</v>
      </c>
      <c r="CP359">
        <f>A!CO359</f>
        <v>0</v>
      </c>
      <c r="CQ359">
        <f>A!CO669</f>
        <v>0</v>
      </c>
      <c r="CR359" t="e">
        <f>A!#REF!</f>
        <v>#REF!</v>
      </c>
      <c r="CS359" t="e">
        <f>A!#REF!</f>
        <v>#REF!</v>
      </c>
    </row>
    <row r="360" spans="1:97" x14ac:dyDescent="0.2">
      <c r="A360" t="str">
        <f>A!A360</f>
        <v>LABRESULTAAT</v>
      </c>
      <c r="B360">
        <f>A!B360</f>
        <v>179</v>
      </c>
      <c r="C360" t="str">
        <f>A!C360</f>
        <v>_660f6169-e893-4ebd-889f-d890bf70a5b1</v>
      </c>
      <c r="D360" t="str">
        <f>A!D360</f>
        <v>660f6169-e893-4ebd-889f-d890bf70a5b1</v>
      </c>
      <c r="E360" t="str">
        <f>A!E360</f>
        <v>SIKB</v>
      </c>
      <c r="F360" t="str">
        <f>A!F360</f>
        <v>urn:immetingen:hoedanigheid:id:1</v>
      </c>
      <c r="G360" t="str">
        <f>A!G360</f>
        <v>www.sikb.nl</v>
      </c>
      <c r="H360" t="str">
        <f>A!H360</f>
        <v>urn:immetingen:parameter:id:6039</v>
      </c>
      <c r="I360" t="str">
        <f>A!I360</f>
        <v>www.sikb.nl</v>
      </c>
      <c r="J360" t="str">
        <f>A!J360</f>
        <v>urn:immetingen:parameter:id:2725</v>
      </c>
      <c r="K360" t="str">
        <f>A!K360</f>
        <v>www.sikb.nl</v>
      </c>
      <c r="L360">
        <f>A!L360</f>
        <v>45811</v>
      </c>
      <c r="M360" t="str">
        <f>A!M360</f>
        <v>urn:immetingen:LabopdrachtStatus:id:5</v>
      </c>
      <c r="N360">
        <f>A!N360</f>
        <v>1</v>
      </c>
      <c r="O360">
        <f>A!O360</f>
        <v>1</v>
      </c>
      <c r="P360" s="32" t="str">
        <f>IF(A!P360="","",INDEX(B!$A$1:$BT$2000,MATCH(A!P360,B!$AX$1:$AX$2000,0),D!$B$5))</f>
        <v>MM06 04 (200-250) 04 (250-300) 05 (200-250) 05 (250-300)</v>
      </c>
      <c r="Q360">
        <f>A!Q360</f>
        <v>0</v>
      </c>
      <c r="R360">
        <f>A!R360</f>
        <v>0</v>
      </c>
      <c r="S360">
        <f>A!S360</f>
        <v>0</v>
      </c>
      <c r="T360" t="str">
        <f>A!T360</f>
        <v>immetingen:AnalyticResultType</v>
      </c>
      <c r="U360" t="str">
        <f>A!U360</f>
        <v>0.1 µg/kgds</v>
      </c>
      <c r="V360" s="32">
        <f>IF(A!V360="&lt;",1,A!V360)</f>
        <v>0</v>
      </c>
      <c r="W360">
        <f>A!W360</f>
        <v>0.1</v>
      </c>
      <c r="X360">
        <f>A!X360</f>
        <v>0.1</v>
      </c>
      <c r="Y360" t="str">
        <f>A!Y360</f>
        <v>urn:immetingen:eenheid:id:131</v>
      </c>
      <c r="Z360" s="32">
        <f t="shared" si="5"/>
        <v>131</v>
      </c>
      <c r="AA360" t="str">
        <f>A!Z360</f>
        <v>urn:immetingen:kwaliteitsoordeel:id:0</v>
      </c>
      <c r="AB360" t="str">
        <f>A!AA360</f>
        <v>www.sikb.nl</v>
      </c>
      <c r="AC360" t="str">
        <f>A!AB360</f>
        <v>urn:immetingen:waardebewerkingsmethode:id:5</v>
      </c>
      <c r="AD360" t="str">
        <f>A!AC360</f>
        <v>www.sikb.nl</v>
      </c>
      <c r="AE360" t="str">
        <f>A!AD360</f>
        <v>_5e95319a-76e2-4130-9be1-3a9d39fff734</v>
      </c>
      <c r="AF360">
        <f>A!AE360</f>
        <v>45811.618483796294</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32"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t="str">
        <f>A!CI360</f>
        <v>urn:imsikb0101:Applicaties:id:16</v>
      </c>
      <c r="CK360" t="str">
        <f>A!CJ360</f>
        <v>urn:imsikb0101:DatastroomType:id:1</v>
      </c>
      <c r="CL360">
        <f>A!CK360</f>
        <v>45811</v>
      </c>
      <c r="CM360" t="str">
        <f>A!CL360</f>
        <v>SGS, Rotterdam</v>
      </c>
      <c r="CN360" t="str">
        <f>A!CM360</f>
        <v>LABRESULTAAT SGS</v>
      </c>
      <c r="CO360">
        <f>A!CN360</f>
        <v>45811</v>
      </c>
      <c r="CP360">
        <f>A!CO360</f>
        <v>0</v>
      </c>
      <c r="CQ360">
        <f>A!CO670</f>
        <v>0</v>
      </c>
      <c r="CR360" t="e">
        <f>A!#REF!</f>
        <v>#REF!</v>
      </c>
      <c r="CS360" t="e">
        <f>A!#REF!</f>
        <v>#REF!</v>
      </c>
    </row>
    <row r="361" spans="1:97" x14ac:dyDescent="0.2">
      <c r="A361" t="str">
        <f>A!A361</f>
        <v>LABRESULTAAT</v>
      </c>
      <c r="B361">
        <f>A!B361</f>
        <v>180</v>
      </c>
      <c r="C361" t="str">
        <f>A!C361</f>
        <v>_99aa04e7-f6e6-4752-989d-61f9fdc57e72</v>
      </c>
      <c r="D361" t="str">
        <f>A!D361</f>
        <v>99aa04e7-f6e6-4752-989d-61f9fdc57e72</v>
      </c>
      <c r="E361" t="str">
        <f>A!E361</f>
        <v>SIKB</v>
      </c>
      <c r="F361" t="str">
        <f>A!F361</f>
        <v>urn:immetingen:hoedanigheid:id:1</v>
      </c>
      <c r="G361" t="str">
        <f>A!G361</f>
        <v>www.sikb.nl</v>
      </c>
      <c r="H361" t="str">
        <f>A!H361</f>
        <v>urn:immetingen:parameter:id:5577</v>
      </c>
      <c r="I361" t="str">
        <f>A!I361</f>
        <v>www.sikb.nl</v>
      </c>
      <c r="J361" t="str">
        <f>A!J361</f>
        <v>urn:immetingen:parameter:id:2725</v>
      </c>
      <c r="K361" t="str">
        <f>A!K361</f>
        <v>www.sikb.nl</v>
      </c>
      <c r="L361">
        <f>A!L361</f>
        <v>45811</v>
      </c>
      <c r="M361" t="str">
        <f>A!M361</f>
        <v>urn:immetingen:LabopdrachtStatus:id:5</v>
      </c>
      <c r="N361">
        <f>A!N361</f>
        <v>1</v>
      </c>
      <c r="O361">
        <f>A!O361</f>
        <v>1</v>
      </c>
      <c r="P361" s="32" t="str">
        <f>IF(A!P361="","",INDEX(B!$A$1:$BT$2000,MATCH(A!P361,B!$AX$1:$AX$2000,0),D!$B$5))</f>
        <v>MM06 04 (200-250) 04 (250-300) 05 (200-250) 05 (250-300)</v>
      </c>
      <c r="Q361">
        <f>A!Q361</f>
        <v>0</v>
      </c>
      <c r="R361">
        <f>A!R361</f>
        <v>0</v>
      </c>
      <c r="S361">
        <f>A!S361</f>
        <v>0</v>
      </c>
      <c r="T361" t="str">
        <f>A!T361</f>
        <v>immetingen:AnalyticResultType</v>
      </c>
      <c r="U361" t="str">
        <f>A!U361</f>
        <v>&lt;0.1 µg/kgds</v>
      </c>
      <c r="V361" s="32">
        <f>IF(A!V361="&lt;",1,A!V361)</f>
        <v>1</v>
      </c>
      <c r="W361">
        <f>A!W361</f>
        <v>0.1</v>
      </c>
      <c r="X361">
        <f>A!X361</f>
        <v>0.1</v>
      </c>
      <c r="Y361" t="str">
        <f>A!Y361</f>
        <v>urn:immetingen:eenheid:id:131</v>
      </c>
      <c r="Z361" s="32">
        <f t="shared" si="5"/>
        <v>131</v>
      </c>
      <c r="AA361" t="str">
        <f>A!Z361</f>
        <v>urn:immetingen:kwaliteitsoordeel:id:0</v>
      </c>
      <c r="AB361" t="str">
        <f>A!AA361</f>
        <v>www.sikb.nl</v>
      </c>
      <c r="AC361" t="str">
        <f>A!AB361</f>
        <v>urn:immetingen:waardebewerkingsmethode:id:5</v>
      </c>
      <c r="AD361" t="str">
        <f>A!AC361</f>
        <v>www.sikb.nl</v>
      </c>
      <c r="AE361" t="str">
        <f>A!AD361</f>
        <v>_1ea2972b-4f0e-49de-94c1-8e83ceb469c3</v>
      </c>
      <c r="AF361">
        <f>A!AE361</f>
        <v>45811.618171296293</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32"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t="str">
        <f>A!CI361</f>
        <v>urn:imsikb0101:Applicaties:id:16</v>
      </c>
      <c r="CK361" t="str">
        <f>A!CJ361</f>
        <v>urn:imsikb0101:DatastroomType:id:1</v>
      </c>
      <c r="CL361">
        <f>A!CK361</f>
        <v>45811</v>
      </c>
      <c r="CM361" t="str">
        <f>A!CL361</f>
        <v>SGS, Rotterdam</v>
      </c>
      <c r="CN361" t="str">
        <f>A!CM361</f>
        <v>LABRESULTAAT SGS</v>
      </c>
      <c r="CO361">
        <f>A!CN361</f>
        <v>45811</v>
      </c>
      <c r="CP361">
        <f>A!CO361</f>
        <v>0</v>
      </c>
      <c r="CQ361">
        <f>A!CO671</f>
        <v>0</v>
      </c>
      <c r="CR361" t="e">
        <f>A!#REF!</f>
        <v>#REF!</v>
      </c>
      <c r="CS361" t="e">
        <f>A!#REF!</f>
        <v>#REF!</v>
      </c>
    </row>
    <row r="362" spans="1:97" x14ac:dyDescent="0.2">
      <c r="A362" t="str">
        <f>A!A362</f>
        <v>LABRESULTAAT</v>
      </c>
      <c r="B362">
        <f>A!B362</f>
        <v>181</v>
      </c>
      <c r="C362" t="str">
        <f>A!C362</f>
        <v>_ba7321bf-8684-4a51-970d-dda789eb31ef</v>
      </c>
      <c r="D362" t="str">
        <f>A!D362</f>
        <v>ba7321bf-8684-4a51-970d-dda789eb31ef</v>
      </c>
      <c r="E362" t="str">
        <f>A!E362</f>
        <v>SIKB</v>
      </c>
      <c r="F362" t="str">
        <f>A!F362</f>
        <v>urn:immetingen:hoedanigheid:id:1</v>
      </c>
      <c r="G362" t="str">
        <f>A!G362</f>
        <v>www.sikb.nl</v>
      </c>
      <c r="H362" t="str">
        <f>A!H362</f>
        <v>urn:immetingen:parameter:id:5935</v>
      </c>
      <c r="I362" t="str">
        <f>A!I362</f>
        <v>www.sikb.nl</v>
      </c>
      <c r="J362" t="str">
        <f>A!J362</f>
        <v>urn:immetingen:parameter:id:2725</v>
      </c>
      <c r="K362" t="str">
        <f>A!K362</f>
        <v>www.sikb.nl</v>
      </c>
      <c r="L362">
        <f>A!L362</f>
        <v>45811</v>
      </c>
      <c r="M362" t="str">
        <f>A!M362</f>
        <v>urn:immetingen:LabopdrachtStatus:id:5</v>
      </c>
      <c r="N362">
        <f>A!N362</f>
        <v>1</v>
      </c>
      <c r="O362">
        <f>A!O362</f>
        <v>1</v>
      </c>
      <c r="P362" s="32" t="str">
        <f>IF(A!P362="","",INDEX(B!$A$1:$BT$2000,MATCH(A!P362,B!$AX$1:$AX$2000,0),D!$B$5))</f>
        <v>MM06 04 (200-250) 04 (250-300) 05 (200-250) 05 (250-300)</v>
      </c>
      <c r="Q362">
        <f>A!Q362</f>
        <v>0</v>
      </c>
      <c r="R362">
        <f>A!R362</f>
        <v>0</v>
      </c>
      <c r="S362">
        <f>A!S362</f>
        <v>0</v>
      </c>
      <c r="T362" t="str">
        <f>A!T362</f>
        <v>immetingen:AnalyticResultType</v>
      </c>
      <c r="U362" t="str">
        <f>A!U362</f>
        <v>&lt;0.1 µg/kgds</v>
      </c>
      <c r="V362" s="32">
        <f>IF(A!V362="&lt;",1,A!V362)</f>
        <v>1</v>
      </c>
      <c r="W362">
        <f>A!W362</f>
        <v>0.1</v>
      </c>
      <c r="X362">
        <f>A!X362</f>
        <v>0.1</v>
      </c>
      <c r="Y362" t="str">
        <f>A!Y362</f>
        <v>urn:immetingen:eenheid:id:131</v>
      </c>
      <c r="Z362" s="32">
        <f t="shared" si="5"/>
        <v>131</v>
      </c>
      <c r="AA362" t="str">
        <f>A!Z362</f>
        <v>urn:immetingen:kwaliteitsoordeel:id:0</v>
      </c>
      <c r="AB362" t="str">
        <f>A!AA362</f>
        <v>www.sikb.nl</v>
      </c>
      <c r="AC362" t="str">
        <f>A!AB362</f>
        <v>urn:immetingen:waardebewerkingsmethode:id:5</v>
      </c>
      <c r="AD362" t="str">
        <f>A!AC362</f>
        <v>www.sikb.nl</v>
      </c>
      <c r="AE362" t="str">
        <f>A!AD362</f>
        <v>_ae341dde-4129-4e1f-b9c4-6d277dce2f96</v>
      </c>
      <c r="AF362">
        <f>A!AE362</f>
        <v>45811.61818287037</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32"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t="str">
        <f>A!CI362</f>
        <v>urn:imsikb0101:Applicaties:id:16</v>
      </c>
      <c r="CK362" t="str">
        <f>A!CJ362</f>
        <v>urn:imsikb0101:DatastroomType:id:1</v>
      </c>
      <c r="CL362">
        <f>A!CK362</f>
        <v>45811</v>
      </c>
      <c r="CM362" t="str">
        <f>A!CL362</f>
        <v>SGS, Rotterdam</v>
      </c>
      <c r="CN362" t="str">
        <f>A!CM362</f>
        <v>LABRESULTAAT SGS</v>
      </c>
      <c r="CO362">
        <f>A!CN362</f>
        <v>45811</v>
      </c>
      <c r="CP362">
        <f>A!CO362</f>
        <v>0</v>
      </c>
      <c r="CQ362">
        <f>A!CO672</f>
        <v>0</v>
      </c>
      <c r="CR362" t="e">
        <f>A!#REF!</f>
        <v>#REF!</v>
      </c>
      <c r="CS362" t="e">
        <f>A!#REF!</f>
        <v>#REF!</v>
      </c>
    </row>
    <row r="363" spans="1:97" x14ac:dyDescent="0.2">
      <c r="A363" t="str">
        <f>A!A363</f>
        <v>LABRESULTAAT</v>
      </c>
      <c r="B363">
        <f>A!B363</f>
        <v>182</v>
      </c>
      <c r="C363" t="str">
        <f>A!C363</f>
        <v>_50bca4ef-f6a2-49e1-8b46-cb0122ce642b</v>
      </c>
      <c r="D363" t="str">
        <f>A!D363</f>
        <v>50bca4ef-f6a2-49e1-8b46-cb0122ce642b</v>
      </c>
      <c r="E363" t="str">
        <f>A!E363</f>
        <v>SIKB</v>
      </c>
      <c r="F363" t="str">
        <f>A!F363</f>
        <v>urn:immetingen:hoedanigheid:id:1</v>
      </c>
      <c r="G363" t="str">
        <f>A!G363</f>
        <v>www.sikb.nl</v>
      </c>
      <c r="H363" t="str">
        <f>A!H363</f>
        <v>urn:immetingen:parameter:id:4448</v>
      </c>
      <c r="I363" t="str">
        <f>A!I363</f>
        <v>www.sikb.nl</v>
      </c>
      <c r="J363" t="str">
        <f>A!J363</f>
        <v>urn:immetingen:parameter:id:2725</v>
      </c>
      <c r="K363" t="str">
        <f>A!K363</f>
        <v>www.sikb.nl</v>
      </c>
      <c r="L363">
        <f>A!L363</f>
        <v>45811</v>
      </c>
      <c r="M363" t="str">
        <f>A!M363</f>
        <v>urn:immetingen:LabopdrachtStatus:id:5</v>
      </c>
      <c r="N363">
        <f>A!N363</f>
        <v>1</v>
      </c>
      <c r="O363">
        <f>A!O363</f>
        <v>1</v>
      </c>
      <c r="P363" s="32" t="str">
        <f>IF(A!P363="","",INDEX(B!$A$1:$BT$2000,MATCH(A!P363,B!$AX$1:$AX$2000,0),D!$B$5))</f>
        <v>MM06 04 (200-250) 04 (250-300) 05 (200-250) 05 (250-300)</v>
      </c>
      <c r="Q363">
        <f>A!Q363</f>
        <v>0</v>
      </c>
      <c r="R363">
        <f>A!R363</f>
        <v>0</v>
      </c>
      <c r="S363">
        <f>A!S363</f>
        <v>0</v>
      </c>
      <c r="T363" t="str">
        <f>A!T363</f>
        <v>immetingen:AnalyticResultType</v>
      </c>
      <c r="U363" t="str">
        <f>A!U363</f>
        <v>&lt;0.1 µg/kgds</v>
      </c>
      <c r="V363" s="32">
        <f>IF(A!V363="&lt;",1,A!V363)</f>
        <v>1</v>
      </c>
      <c r="W363">
        <f>A!W363</f>
        <v>0.1</v>
      </c>
      <c r="X363">
        <f>A!X363</f>
        <v>0.1</v>
      </c>
      <c r="Y363" t="str">
        <f>A!Y363</f>
        <v>urn:immetingen:eenheid:id:131</v>
      </c>
      <c r="Z363" s="32">
        <f t="shared" si="5"/>
        <v>131</v>
      </c>
      <c r="AA363" t="str">
        <f>A!Z363</f>
        <v>urn:immetingen:kwaliteitsoordeel:id:0</v>
      </c>
      <c r="AB363" t="str">
        <f>A!AA363</f>
        <v>www.sikb.nl</v>
      </c>
      <c r="AC363" t="str">
        <f>A!AB363</f>
        <v>urn:immetingen:waardebewerkingsmethode:id:5</v>
      </c>
      <c r="AD363" t="str">
        <f>A!AC363</f>
        <v>www.sikb.nl</v>
      </c>
      <c r="AE363" t="str">
        <f>A!AD363</f>
        <v>_3b733813-ddb7-4d6b-9354-b92e56a4543b</v>
      </c>
      <c r="AF363">
        <f>A!AE363</f>
        <v>45811.618171296293</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32"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t="str">
        <f>A!CI363</f>
        <v>urn:imsikb0101:Applicaties:id:16</v>
      </c>
      <c r="CK363" t="str">
        <f>A!CJ363</f>
        <v>urn:imsikb0101:DatastroomType:id:1</v>
      </c>
      <c r="CL363">
        <f>A!CK363</f>
        <v>45811</v>
      </c>
      <c r="CM363" t="str">
        <f>A!CL363</f>
        <v>SGS, Rotterdam</v>
      </c>
      <c r="CN363" t="str">
        <f>A!CM363</f>
        <v>LABRESULTAAT SGS</v>
      </c>
      <c r="CO363">
        <f>A!CN363</f>
        <v>45811</v>
      </c>
      <c r="CP363">
        <f>A!CO363</f>
        <v>0</v>
      </c>
      <c r="CQ363">
        <f>A!CO673</f>
        <v>0</v>
      </c>
      <c r="CR363" t="e">
        <f>A!#REF!</f>
        <v>#REF!</v>
      </c>
      <c r="CS363" t="e">
        <f>A!#REF!</f>
        <v>#REF!</v>
      </c>
    </row>
    <row r="364" spans="1:97" x14ac:dyDescent="0.2">
      <c r="A364" t="str">
        <f>A!A364</f>
        <v>LABRESULTAAT</v>
      </c>
      <c r="B364">
        <f>A!B364</f>
        <v>183</v>
      </c>
      <c r="C364" t="str">
        <f>A!C364</f>
        <v>_52736e38-54ab-440e-853c-f9a9e2b3ad08</v>
      </c>
      <c r="D364" t="str">
        <f>A!D364</f>
        <v>52736e38-54ab-440e-853c-f9a9e2b3ad08</v>
      </c>
      <c r="E364" t="str">
        <f>A!E364</f>
        <v>SIKB</v>
      </c>
      <c r="F364" t="str">
        <f>A!F364</f>
        <v>urn:immetingen:hoedanigheid:id:1</v>
      </c>
      <c r="G364" t="str">
        <f>A!G364</f>
        <v>www.sikb.nl</v>
      </c>
      <c r="H364" t="str">
        <f>A!H364</f>
        <v>urn:immetingen:parameter:id:4451</v>
      </c>
      <c r="I364" t="str">
        <f>A!I364</f>
        <v>www.sikb.nl</v>
      </c>
      <c r="J364" t="str">
        <f>A!J364</f>
        <v>urn:immetingen:parameter:id:2725</v>
      </c>
      <c r="K364" t="str">
        <f>A!K364</f>
        <v>www.sikb.nl</v>
      </c>
      <c r="L364">
        <f>A!L364</f>
        <v>45811</v>
      </c>
      <c r="M364" t="str">
        <f>A!M364</f>
        <v>urn:immetingen:LabopdrachtStatus:id:5</v>
      </c>
      <c r="N364">
        <f>A!N364</f>
        <v>1</v>
      </c>
      <c r="O364">
        <f>A!O364</f>
        <v>1</v>
      </c>
      <c r="P364" s="32" t="str">
        <f>IF(A!P364="","",INDEX(B!$A$1:$BT$2000,MATCH(A!P364,B!$AX$1:$AX$2000,0),D!$B$5))</f>
        <v>MM06 04 (200-250) 04 (250-300) 05 (200-250) 05 (250-300)</v>
      </c>
      <c r="Q364">
        <f>A!Q364</f>
        <v>0</v>
      </c>
      <c r="R364">
        <f>A!R364</f>
        <v>0</v>
      </c>
      <c r="S364">
        <f>A!S364</f>
        <v>0</v>
      </c>
      <c r="T364" t="str">
        <f>A!T364</f>
        <v>immetingen:AnalyticResultType</v>
      </c>
      <c r="U364" t="str">
        <f>A!U364</f>
        <v>&lt;0.1 µg/kgds</v>
      </c>
      <c r="V364" s="32">
        <f>IF(A!V364="&lt;",1,A!V364)</f>
        <v>1</v>
      </c>
      <c r="W364">
        <f>A!W364</f>
        <v>0.1</v>
      </c>
      <c r="X364">
        <f>A!X364</f>
        <v>0.1</v>
      </c>
      <c r="Y364" t="str">
        <f>A!Y364</f>
        <v>urn:immetingen:eenheid:id:131</v>
      </c>
      <c r="Z364" s="32">
        <f t="shared" si="5"/>
        <v>131</v>
      </c>
      <c r="AA364" t="str">
        <f>A!Z364</f>
        <v>urn:immetingen:kwaliteitsoordeel:id:0</v>
      </c>
      <c r="AB364" t="str">
        <f>A!AA364</f>
        <v>www.sikb.nl</v>
      </c>
      <c r="AC364" t="str">
        <f>A!AB364</f>
        <v>urn:immetingen:waardebewerkingsmethode:id:5</v>
      </c>
      <c r="AD364" t="str">
        <f>A!AC364</f>
        <v>www.sikb.nl</v>
      </c>
      <c r="AE364" t="str">
        <f>A!AD364</f>
        <v>_9aec3a12-c179-4239-8ac5-7ca97a22da6c</v>
      </c>
      <c r="AF364">
        <f>A!AE364</f>
        <v>45811.618171296293</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32"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t="str">
        <f>A!CI364</f>
        <v>urn:imsikb0101:Applicaties:id:16</v>
      </c>
      <c r="CK364" t="str">
        <f>A!CJ364</f>
        <v>urn:imsikb0101:DatastroomType:id:1</v>
      </c>
      <c r="CL364">
        <f>A!CK364</f>
        <v>45811</v>
      </c>
      <c r="CM364" t="str">
        <f>A!CL364</f>
        <v>SGS, Rotterdam</v>
      </c>
      <c r="CN364" t="str">
        <f>A!CM364</f>
        <v>LABRESULTAAT SGS</v>
      </c>
      <c r="CO364">
        <f>A!CN364</f>
        <v>45811</v>
      </c>
      <c r="CP364">
        <f>A!CO364</f>
        <v>0</v>
      </c>
      <c r="CQ364">
        <f>A!CO674</f>
        <v>0</v>
      </c>
      <c r="CR364" t="e">
        <f>A!#REF!</f>
        <v>#REF!</v>
      </c>
      <c r="CS364" t="e">
        <f>A!#REF!</f>
        <v>#REF!</v>
      </c>
    </row>
    <row r="365" spans="1:97" x14ac:dyDescent="0.2">
      <c r="A365" t="str">
        <f>A!A365</f>
        <v>LABRESULTAAT</v>
      </c>
      <c r="B365">
        <f>A!B365</f>
        <v>184</v>
      </c>
      <c r="C365" t="str">
        <f>A!C365</f>
        <v>_cc986c64-d347-4d4c-90ba-4469fd6ddcab</v>
      </c>
      <c r="D365" t="str">
        <f>A!D365</f>
        <v>cc986c64-d347-4d4c-90ba-4469fd6ddcab</v>
      </c>
      <c r="E365" t="str">
        <f>A!E365</f>
        <v>SIKB</v>
      </c>
      <c r="F365" t="str">
        <f>A!F365</f>
        <v>urn:immetingen:hoedanigheid:id:86</v>
      </c>
      <c r="G365" t="str">
        <f>A!G365</f>
        <v>www.sikb.nl</v>
      </c>
      <c r="H365" t="str">
        <f>A!H365</f>
        <v>urn:immetingen:parameter:id:1200</v>
      </c>
      <c r="I365" t="str">
        <f>A!I365</f>
        <v>www.sikb.nl</v>
      </c>
      <c r="J365" t="str">
        <f>A!J365</f>
        <v>urn:immetingen:parameter:id:2725</v>
      </c>
      <c r="K365" t="str">
        <f>A!K365</f>
        <v>www.sikb.nl</v>
      </c>
      <c r="L365">
        <f>A!L365</f>
        <v>45811</v>
      </c>
      <c r="M365" t="str">
        <f>A!M365</f>
        <v>urn:immetingen:LabopdrachtStatus:id:5</v>
      </c>
      <c r="N365">
        <f>A!N365</f>
        <v>1</v>
      </c>
      <c r="O365">
        <f>A!O365</f>
        <v>1</v>
      </c>
      <c r="P365" s="32" t="str">
        <f>IF(A!P365="","",INDEX(B!$A$1:$BT$2000,MATCH(A!P365,B!$AX$1:$AX$2000,0),D!$B$5))</f>
        <v>MM06 04 (200-250) 04 (250-300) 05 (200-250) 05 (250-300)</v>
      </c>
      <c r="Q365">
        <f>A!Q365</f>
        <v>0</v>
      </c>
      <c r="R365">
        <f>A!R365</f>
        <v>0</v>
      </c>
      <c r="S365">
        <f>A!S365</f>
        <v>0</v>
      </c>
      <c r="T365" t="str">
        <f>A!T365</f>
        <v>immetingen:AnalyticResultType</v>
      </c>
      <c r="U365" t="str">
        <f>A!U365</f>
        <v>&lt;5 mg/kgds</v>
      </c>
      <c r="V365" s="32">
        <f>IF(A!V365="&lt;",1,A!V365)</f>
        <v>1</v>
      </c>
      <c r="W365">
        <f>A!W365</f>
        <v>5</v>
      </c>
      <c r="X365">
        <f>A!X365</f>
        <v>5</v>
      </c>
      <c r="Y365" t="str">
        <f>A!Y365</f>
        <v>urn:immetingen:eenheid:id:58</v>
      </c>
      <c r="Z365" s="32">
        <f t="shared" si="5"/>
        <v>58</v>
      </c>
      <c r="AA365" t="str">
        <f>A!Z365</f>
        <v>urn:immetingen:kwaliteitsoordeel:id:0</v>
      </c>
      <c r="AB365" t="str">
        <f>A!AA365</f>
        <v>www.sikb.nl</v>
      </c>
      <c r="AC365" t="str">
        <f>A!AB365</f>
        <v>urn:immetingen:waardebewerkingsmethode:id:5</v>
      </c>
      <c r="AD365" t="str">
        <f>A!AC365</f>
        <v>www.sikb.nl</v>
      </c>
      <c r="AE365" t="str">
        <f>A!AD365</f>
        <v>_0a8468ce-f505-4617-b868-4cf3ce9cf3ee</v>
      </c>
      <c r="AF365">
        <f>A!AE365</f>
        <v>45811.321585648147</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32"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t="str">
        <f>A!CI365</f>
        <v>urn:imsikb0101:Applicaties:id:16</v>
      </c>
      <c r="CK365" t="str">
        <f>A!CJ365</f>
        <v>urn:imsikb0101:DatastroomType:id:1</v>
      </c>
      <c r="CL365">
        <f>A!CK365</f>
        <v>45811</v>
      </c>
      <c r="CM365" t="str">
        <f>A!CL365</f>
        <v>SGS, Rotterdam</v>
      </c>
      <c r="CN365" t="str">
        <f>A!CM365</f>
        <v>LABRESULTAAT SGS</v>
      </c>
      <c r="CO365">
        <f>A!CN365</f>
        <v>45811</v>
      </c>
      <c r="CP365">
        <f>A!CO365</f>
        <v>0</v>
      </c>
      <c r="CQ365">
        <f>A!CO675</f>
        <v>0</v>
      </c>
      <c r="CR365" t="e">
        <f>A!#REF!</f>
        <v>#REF!</v>
      </c>
      <c r="CS365" t="e">
        <f>A!#REF!</f>
        <v>#REF!</v>
      </c>
    </row>
    <row r="366" spans="1:97" x14ac:dyDescent="0.2">
      <c r="A366" t="str">
        <f>A!A366</f>
        <v>LABRESULTAAT</v>
      </c>
      <c r="B366">
        <f>A!B366</f>
        <v>185</v>
      </c>
      <c r="C366" t="str">
        <f>A!C366</f>
        <v>_79741cc2-d30b-4982-aa8a-3b244bd4d227</v>
      </c>
      <c r="D366" t="str">
        <f>A!D366</f>
        <v>79741cc2-d30b-4982-aa8a-3b244bd4d227</v>
      </c>
      <c r="E366" t="str">
        <f>A!E366</f>
        <v>SIKB</v>
      </c>
      <c r="F366" t="str">
        <f>A!F366</f>
        <v>urn:immetingen:hoedanigheid:id:99</v>
      </c>
      <c r="G366" t="str">
        <f>A!G366</f>
        <v>www.sikb.nl</v>
      </c>
      <c r="H366" t="str">
        <f>A!H366</f>
        <v>urn:immetingen:parameter:id:1200</v>
      </c>
      <c r="I366" t="str">
        <f>A!I366</f>
        <v>www.sikb.nl</v>
      </c>
      <c r="J366" t="str">
        <f>A!J366</f>
        <v>urn:immetingen:parameter:id:2725</v>
      </c>
      <c r="K366" t="str">
        <f>A!K366</f>
        <v>www.sikb.nl</v>
      </c>
      <c r="L366">
        <f>A!L366</f>
        <v>45811</v>
      </c>
      <c r="M366" t="str">
        <f>A!M366</f>
        <v>urn:immetingen:LabopdrachtStatus:id:5</v>
      </c>
      <c r="N366">
        <f>A!N366</f>
        <v>1</v>
      </c>
      <c r="O366">
        <f>A!O366</f>
        <v>1</v>
      </c>
      <c r="P366" s="32" t="str">
        <f>IF(A!P366="","",INDEX(B!$A$1:$BT$2000,MATCH(A!P366,B!$AX$1:$AX$2000,0),D!$B$5))</f>
        <v>MM06 04 (200-250) 04 (250-300) 05 (200-250) 05 (250-300)</v>
      </c>
      <c r="Q366">
        <f>A!Q366</f>
        <v>0</v>
      </c>
      <c r="R366">
        <f>A!R366</f>
        <v>0</v>
      </c>
      <c r="S366">
        <f>A!S366</f>
        <v>0</v>
      </c>
      <c r="T366" t="str">
        <f>A!T366</f>
        <v>immetingen:AnalyticResultType</v>
      </c>
      <c r="U366" t="str">
        <f>A!U366</f>
        <v>&lt;5 mg/kgds</v>
      </c>
      <c r="V366" s="32">
        <f>IF(A!V366="&lt;",1,A!V366)</f>
        <v>1</v>
      </c>
      <c r="W366">
        <f>A!W366</f>
        <v>5</v>
      </c>
      <c r="X366">
        <f>A!X366</f>
        <v>5</v>
      </c>
      <c r="Y366" t="str">
        <f>A!Y366</f>
        <v>urn:immetingen:eenheid:id:58</v>
      </c>
      <c r="Z366" s="32">
        <f t="shared" si="5"/>
        <v>58</v>
      </c>
      <c r="AA366" t="str">
        <f>A!Z366</f>
        <v>urn:immetingen:kwaliteitsoordeel:id:0</v>
      </c>
      <c r="AB366" t="str">
        <f>A!AA366</f>
        <v>www.sikb.nl</v>
      </c>
      <c r="AC366" t="str">
        <f>A!AB366</f>
        <v>urn:immetingen:waardebewerkingsmethode:id:5</v>
      </c>
      <c r="AD366" t="str">
        <f>A!AC366</f>
        <v>www.sikb.nl</v>
      </c>
      <c r="AE366" t="str">
        <f>A!AD366</f>
        <v>_3a5f008b-0a89-419f-9662-cdd098a1b2e5</v>
      </c>
      <c r="AF366">
        <f>A!AE366</f>
        <v>45811.321585648147</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32"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t="str">
        <f>A!CI366</f>
        <v>urn:imsikb0101:Applicaties:id:16</v>
      </c>
      <c r="CK366" t="str">
        <f>A!CJ366</f>
        <v>urn:imsikb0101:DatastroomType:id:1</v>
      </c>
      <c r="CL366">
        <f>A!CK366</f>
        <v>45811</v>
      </c>
      <c r="CM366" t="str">
        <f>A!CL366</f>
        <v>SGS, Rotterdam</v>
      </c>
      <c r="CN366" t="str">
        <f>A!CM366</f>
        <v>LABRESULTAAT SGS</v>
      </c>
      <c r="CO366">
        <f>A!CN366</f>
        <v>45811</v>
      </c>
      <c r="CP366">
        <f>A!CO366</f>
        <v>0</v>
      </c>
      <c r="CQ366">
        <f>A!CO676</f>
        <v>0</v>
      </c>
      <c r="CR366" t="e">
        <f>A!#REF!</f>
        <v>#REF!</v>
      </c>
      <c r="CS366" t="e">
        <f>A!#REF!</f>
        <v>#REF!</v>
      </c>
    </row>
    <row r="367" spans="1:97" x14ac:dyDescent="0.2">
      <c r="A367" t="str">
        <f>A!A367</f>
        <v>LABRESULTAAT</v>
      </c>
      <c r="B367">
        <f>A!B367</f>
        <v>186</v>
      </c>
      <c r="C367" t="str">
        <f>A!C367</f>
        <v>_c99632b0-bdfd-43c0-b931-f00d41778a98</v>
      </c>
      <c r="D367" t="str">
        <f>A!D367</f>
        <v>c99632b0-bdfd-43c0-b931-f00d41778a98</v>
      </c>
      <c r="E367" t="str">
        <f>A!E367</f>
        <v>SIKB</v>
      </c>
      <c r="F367" t="str">
        <f>A!F367</f>
        <v>urn:immetingen:hoedanigheid:id:114</v>
      </c>
      <c r="G367" t="str">
        <f>A!G367</f>
        <v>www.sikb.nl</v>
      </c>
      <c r="H367" t="str">
        <f>A!H367</f>
        <v>urn:immetingen:parameter:id:1200</v>
      </c>
      <c r="I367" t="str">
        <f>A!I367</f>
        <v>www.sikb.nl</v>
      </c>
      <c r="J367" t="str">
        <f>A!J367</f>
        <v>urn:immetingen:parameter:id:2725</v>
      </c>
      <c r="K367" t="str">
        <f>A!K367</f>
        <v>www.sikb.nl</v>
      </c>
      <c r="L367">
        <f>A!L367</f>
        <v>45811</v>
      </c>
      <c r="M367" t="str">
        <f>A!M367</f>
        <v>urn:immetingen:LabopdrachtStatus:id:5</v>
      </c>
      <c r="N367">
        <f>A!N367</f>
        <v>1</v>
      </c>
      <c r="O367">
        <f>A!O367</f>
        <v>1</v>
      </c>
      <c r="P367" s="32" t="str">
        <f>IF(A!P367="","",INDEX(B!$A$1:$BT$2000,MATCH(A!P367,B!$AX$1:$AX$2000,0),D!$B$5))</f>
        <v>MM06 04 (200-250) 04 (250-300) 05 (200-250) 05 (250-300)</v>
      </c>
      <c r="Q367">
        <f>A!Q367</f>
        <v>0</v>
      </c>
      <c r="R367">
        <f>A!R367</f>
        <v>0</v>
      </c>
      <c r="S367">
        <f>A!S367</f>
        <v>0</v>
      </c>
      <c r="T367" t="str">
        <f>A!T367</f>
        <v>immetingen:AnalyticResultType</v>
      </c>
      <c r="U367" t="str">
        <f>A!U367</f>
        <v>&lt;5 mg/kgds</v>
      </c>
      <c r="V367" s="32">
        <f>IF(A!V367="&lt;",1,A!V367)</f>
        <v>1</v>
      </c>
      <c r="W367">
        <f>A!W367</f>
        <v>5</v>
      </c>
      <c r="X367">
        <f>A!X367</f>
        <v>5</v>
      </c>
      <c r="Y367" t="str">
        <f>A!Y367</f>
        <v>urn:immetingen:eenheid:id:58</v>
      </c>
      <c r="Z367" s="32">
        <f t="shared" si="5"/>
        <v>58</v>
      </c>
      <c r="AA367" t="str">
        <f>A!Z367</f>
        <v>urn:immetingen:kwaliteitsoordeel:id:0</v>
      </c>
      <c r="AB367" t="str">
        <f>A!AA367</f>
        <v>www.sikb.nl</v>
      </c>
      <c r="AC367" t="str">
        <f>A!AB367</f>
        <v>urn:immetingen:waardebewerkingsmethode:id:5</v>
      </c>
      <c r="AD367" t="str">
        <f>A!AC367</f>
        <v>www.sikb.nl</v>
      </c>
      <c r="AE367" t="str">
        <f>A!AD367</f>
        <v>_94f621fc-c372-4a5d-a4da-ac4e921d422a</v>
      </c>
      <c r="AF367">
        <f>A!AE367</f>
        <v>45811.321585648147</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32"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t="str">
        <f>A!CI367</f>
        <v>urn:imsikb0101:Applicaties:id:16</v>
      </c>
      <c r="CK367" t="str">
        <f>A!CJ367</f>
        <v>urn:imsikb0101:DatastroomType:id:1</v>
      </c>
      <c r="CL367">
        <f>A!CK367</f>
        <v>45811</v>
      </c>
      <c r="CM367" t="str">
        <f>A!CL367</f>
        <v>SGS, Rotterdam</v>
      </c>
      <c r="CN367" t="str">
        <f>A!CM367</f>
        <v>LABRESULTAAT SGS</v>
      </c>
      <c r="CO367">
        <f>A!CN367</f>
        <v>45811</v>
      </c>
      <c r="CP367">
        <f>A!CO367</f>
        <v>0</v>
      </c>
      <c r="CQ367">
        <f>A!CO677</f>
        <v>0</v>
      </c>
      <c r="CR367" t="e">
        <f>A!#REF!</f>
        <v>#REF!</v>
      </c>
      <c r="CS367" t="e">
        <f>A!#REF!</f>
        <v>#REF!</v>
      </c>
    </row>
    <row r="368" spans="1:97" x14ac:dyDescent="0.2">
      <c r="A368" t="str">
        <f>A!A368</f>
        <v>LABRESULTAAT</v>
      </c>
      <c r="B368">
        <f>A!B368</f>
        <v>187</v>
      </c>
      <c r="C368" t="str">
        <f>A!C368</f>
        <v>_564cbdbd-8997-4e42-9c83-f59689922d90</v>
      </c>
      <c r="D368" t="str">
        <f>A!D368</f>
        <v>564cbdbd-8997-4e42-9c83-f59689922d90</v>
      </c>
      <c r="E368" t="str">
        <f>A!E368</f>
        <v>SIKB</v>
      </c>
      <c r="F368" t="str">
        <f>A!F368</f>
        <v>urn:immetingen:hoedanigheid:id:122</v>
      </c>
      <c r="G368" t="str">
        <f>A!G368</f>
        <v>www.sikb.nl</v>
      </c>
      <c r="H368" t="str">
        <f>A!H368</f>
        <v>urn:immetingen:parameter:id:1200</v>
      </c>
      <c r="I368" t="str">
        <f>A!I368</f>
        <v>www.sikb.nl</v>
      </c>
      <c r="J368" t="str">
        <f>A!J368</f>
        <v>urn:immetingen:parameter:id:2725</v>
      </c>
      <c r="K368" t="str">
        <f>A!K368</f>
        <v>www.sikb.nl</v>
      </c>
      <c r="L368">
        <f>A!L368</f>
        <v>45811</v>
      </c>
      <c r="M368" t="str">
        <f>A!M368</f>
        <v>urn:immetingen:LabopdrachtStatus:id:5</v>
      </c>
      <c r="N368">
        <f>A!N368</f>
        <v>1</v>
      </c>
      <c r="O368">
        <f>A!O368</f>
        <v>1</v>
      </c>
      <c r="P368" s="32" t="str">
        <f>IF(A!P368="","",INDEX(B!$A$1:$BT$2000,MATCH(A!P368,B!$AX$1:$AX$2000,0),D!$B$5))</f>
        <v>MM06 04 (200-250) 04 (250-300) 05 (200-250) 05 (250-300)</v>
      </c>
      <c r="Q368">
        <f>A!Q368</f>
        <v>0</v>
      </c>
      <c r="R368">
        <f>A!R368</f>
        <v>0</v>
      </c>
      <c r="S368">
        <f>A!S368</f>
        <v>0</v>
      </c>
      <c r="T368" t="str">
        <f>A!T368</f>
        <v>immetingen:AnalyticResultType</v>
      </c>
      <c r="U368" t="str">
        <f>A!U368</f>
        <v>&lt;5 mg/kgds</v>
      </c>
      <c r="V368" s="32">
        <f>IF(A!V368="&lt;",1,A!V368)</f>
        <v>1</v>
      </c>
      <c r="W368">
        <f>A!W368</f>
        <v>5</v>
      </c>
      <c r="X368">
        <f>A!X368</f>
        <v>5</v>
      </c>
      <c r="Y368" t="str">
        <f>A!Y368</f>
        <v>urn:immetingen:eenheid:id:58</v>
      </c>
      <c r="Z368" s="32">
        <f t="shared" si="5"/>
        <v>58</v>
      </c>
      <c r="AA368" t="str">
        <f>A!Z368</f>
        <v>urn:immetingen:kwaliteitsoordeel:id:0</v>
      </c>
      <c r="AB368" t="str">
        <f>A!AA368</f>
        <v>www.sikb.nl</v>
      </c>
      <c r="AC368" t="str">
        <f>A!AB368</f>
        <v>urn:immetingen:waardebewerkingsmethode:id:5</v>
      </c>
      <c r="AD368" t="str">
        <f>A!AC368</f>
        <v>www.sikb.nl</v>
      </c>
      <c r="AE368" t="str">
        <f>A!AD368</f>
        <v>_770de7c6-142c-4f39-8097-bd29b9a1f57a</v>
      </c>
      <c r="AF368">
        <f>A!AE368</f>
        <v>45811.321597222224</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32"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t="str">
        <f>A!CI368</f>
        <v>urn:imsikb0101:Applicaties:id:16</v>
      </c>
      <c r="CK368" t="str">
        <f>A!CJ368</f>
        <v>urn:imsikb0101:DatastroomType:id:1</v>
      </c>
      <c r="CL368">
        <f>A!CK368</f>
        <v>45811</v>
      </c>
      <c r="CM368" t="str">
        <f>A!CL368</f>
        <v>SGS, Rotterdam</v>
      </c>
      <c r="CN368" t="str">
        <f>A!CM368</f>
        <v>LABRESULTAAT SGS</v>
      </c>
      <c r="CO368">
        <f>A!CN368</f>
        <v>45811</v>
      </c>
      <c r="CP368">
        <f>A!CO368</f>
        <v>0</v>
      </c>
      <c r="CQ368">
        <f>A!CO678</f>
        <v>0</v>
      </c>
      <c r="CR368" t="str">
        <f>A!CP368</f>
        <v>urn:imsikb0101:Leveranciers:id:21</v>
      </c>
      <c r="CS368" t="str">
        <f>A!CQ368</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32" t="str">
        <f>IF(A!P369="","",INDEX(B!$A$1:$BT$2000,MATCH(A!P369,B!$AX$1:$AX$2000,0),D!$B$5))</f>
        <v/>
      </c>
      <c r="Q369">
        <f>A!Q369</f>
        <v>0</v>
      </c>
      <c r="R369">
        <f>A!R369</f>
        <v>0</v>
      </c>
      <c r="S369">
        <f>A!S369</f>
        <v>0</v>
      </c>
      <c r="T369">
        <f>A!T369</f>
        <v>0</v>
      </c>
      <c r="U369">
        <f>A!U369</f>
        <v>0</v>
      </c>
      <c r="V369" s="32">
        <f>IF(A!V369="&lt;",1,A!V369)</f>
        <v>0</v>
      </c>
      <c r="W369">
        <f>A!W369</f>
        <v>0</v>
      </c>
      <c r="X369">
        <f>A!X369</f>
        <v>0</v>
      </c>
      <c r="Y369">
        <f>A!Y369</f>
        <v>0</v>
      </c>
      <c r="Z369" s="32">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32"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A!CO679</f>
        <v>0</v>
      </c>
      <c r="CR369">
        <f>A!CP369</f>
        <v>0</v>
      </c>
      <c r="CS369">
        <f>A!CQ369</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32" t="str">
        <f>IF(A!P370="","",INDEX(B!$A$1:$BT$2000,MATCH(A!P370,B!$AX$1:$AX$2000,0),D!$B$5))</f>
        <v/>
      </c>
      <c r="Q370">
        <f>A!Q370</f>
        <v>0</v>
      </c>
      <c r="R370">
        <f>A!R370</f>
        <v>0</v>
      </c>
      <c r="S370">
        <f>A!S370</f>
        <v>0</v>
      </c>
      <c r="T370">
        <f>A!T370</f>
        <v>0</v>
      </c>
      <c r="U370">
        <f>A!U370</f>
        <v>0</v>
      </c>
      <c r="V370" s="32">
        <f>IF(A!V370="&lt;",1,A!V370)</f>
        <v>0</v>
      </c>
      <c r="W370">
        <f>A!W370</f>
        <v>0</v>
      </c>
      <c r="X370">
        <f>A!X370</f>
        <v>0</v>
      </c>
      <c r="Y370">
        <f>A!Y370</f>
        <v>0</v>
      </c>
      <c r="Z370" s="32">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32"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A!CO680</f>
        <v>0</v>
      </c>
      <c r="CR370">
        <f>A!CP370</f>
        <v>0</v>
      </c>
      <c r="CS370">
        <f>A!CQ370</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32" t="str">
        <f>IF(A!P371="","",INDEX(B!$A$1:$BT$2000,MATCH(A!P371,B!$AX$1:$AX$2000,0),D!$B$5))</f>
        <v/>
      </c>
      <c r="Q371">
        <f>A!Q371</f>
        <v>0</v>
      </c>
      <c r="R371">
        <f>A!R371</f>
        <v>0</v>
      </c>
      <c r="S371">
        <f>A!S371</f>
        <v>0</v>
      </c>
      <c r="T371">
        <f>A!T371</f>
        <v>0</v>
      </c>
      <c r="U371">
        <f>A!U371</f>
        <v>0</v>
      </c>
      <c r="V371" s="32">
        <f>IF(A!V371="&lt;",1,A!V371)</f>
        <v>0</v>
      </c>
      <c r="W371">
        <f>A!W371</f>
        <v>0</v>
      </c>
      <c r="X371">
        <f>A!X371</f>
        <v>0</v>
      </c>
      <c r="Y371">
        <f>A!Y371</f>
        <v>0</v>
      </c>
      <c r="Z371" s="32">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32"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A!CO681</f>
        <v>0</v>
      </c>
      <c r="CR371">
        <f>A!CP371</f>
        <v>0</v>
      </c>
      <c r="CS371">
        <f>A!CQ371</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32" t="str">
        <f>IF(A!P372="","",INDEX(B!$A$1:$BT$2000,MATCH(A!P372,B!$AX$1:$AX$2000,0),D!$B$5))</f>
        <v/>
      </c>
      <c r="Q372">
        <f>A!Q372</f>
        <v>0</v>
      </c>
      <c r="R372">
        <f>A!R372</f>
        <v>0</v>
      </c>
      <c r="S372">
        <f>A!S372</f>
        <v>0</v>
      </c>
      <c r="T372">
        <f>A!T372</f>
        <v>0</v>
      </c>
      <c r="U372">
        <f>A!U372</f>
        <v>0</v>
      </c>
      <c r="V372" s="32">
        <f>IF(A!V372="&lt;",1,A!V372)</f>
        <v>0</v>
      </c>
      <c r="W372">
        <f>A!W372</f>
        <v>0</v>
      </c>
      <c r="X372">
        <f>A!X372</f>
        <v>0</v>
      </c>
      <c r="Y372">
        <f>A!Y372</f>
        <v>0</v>
      </c>
      <c r="Z372" s="32">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32"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A!CO682</f>
        <v>0</v>
      </c>
      <c r="CR372">
        <f>A!CP372</f>
        <v>0</v>
      </c>
      <c r="CS372">
        <f>A!CQ372</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32" t="str">
        <f>IF(A!P373="","",INDEX(B!$A$1:$BT$2000,MATCH(A!P373,B!$AX$1:$AX$2000,0),D!$B$5))</f>
        <v/>
      </c>
      <c r="Q373">
        <f>A!Q373</f>
        <v>0</v>
      </c>
      <c r="R373">
        <f>A!R373</f>
        <v>0</v>
      </c>
      <c r="S373">
        <f>A!S373</f>
        <v>0</v>
      </c>
      <c r="T373">
        <f>A!T373</f>
        <v>0</v>
      </c>
      <c r="U373">
        <f>A!U373</f>
        <v>0</v>
      </c>
      <c r="V373" s="32">
        <f>IF(A!V373="&lt;",1,A!V373)</f>
        <v>0</v>
      </c>
      <c r="W373">
        <f>A!W373</f>
        <v>0</v>
      </c>
      <c r="X373">
        <f>A!X373</f>
        <v>0</v>
      </c>
      <c r="Y373">
        <f>A!Y373</f>
        <v>0</v>
      </c>
      <c r="Z373" s="32">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32"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A!CO683</f>
        <v>0</v>
      </c>
      <c r="CR373">
        <f>A!CP373</f>
        <v>0</v>
      </c>
      <c r="CS373">
        <f>A!CQ373</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32" t="str">
        <f>IF(A!P374="","",INDEX(B!$A$1:$BT$2000,MATCH(A!P374,B!$AX$1:$AX$2000,0),D!$B$5))</f>
        <v/>
      </c>
      <c r="Q374">
        <f>A!Q374</f>
        <v>0</v>
      </c>
      <c r="R374">
        <f>A!R374</f>
        <v>0</v>
      </c>
      <c r="S374">
        <f>A!S374</f>
        <v>0</v>
      </c>
      <c r="T374">
        <f>A!T374</f>
        <v>0</v>
      </c>
      <c r="U374">
        <f>A!U374</f>
        <v>0</v>
      </c>
      <c r="V374" s="32">
        <f>IF(A!V374="&lt;",1,A!V374)</f>
        <v>0</v>
      </c>
      <c r="W374">
        <f>A!W374</f>
        <v>0</v>
      </c>
      <c r="X374">
        <f>A!X374</f>
        <v>0</v>
      </c>
      <c r="Y374">
        <f>A!Y374</f>
        <v>0</v>
      </c>
      <c r="Z374" s="32">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32"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A!CO684</f>
        <v>0</v>
      </c>
      <c r="CR374">
        <f>A!CP374</f>
        <v>0</v>
      </c>
      <c r="CS374">
        <f>A!CQ374</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32" t="str">
        <f>IF(A!P375="","",INDEX(B!$A$1:$BT$2000,MATCH(A!P375,B!$AX$1:$AX$2000,0),D!$B$5))</f>
        <v/>
      </c>
      <c r="Q375">
        <f>A!Q375</f>
        <v>0</v>
      </c>
      <c r="R375">
        <f>A!R375</f>
        <v>0</v>
      </c>
      <c r="S375">
        <f>A!S375</f>
        <v>0</v>
      </c>
      <c r="T375">
        <f>A!T375</f>
        <v>0</v>
      </c>
      <c r="U375">
        <f>A!U375</f>
        <v>0</v>
      </c>
      <c r="V375" s="32">
        <f>IF(A!V375="&lt;",1,A!V375)</f>
        <v>0</v>
      </c>
      <c r="W375">
        <f>A!W375</f>
        <v>0</v>
      </c>
      <c r="X375">
        <f>A!X375</f>
        <v>0</v>
      </c>
      <c r="Y375">
        <f>A!Y375</f>
        <v>0</v>
      </c>
      <c r="Z375" s="32">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32"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A!CO685</f>
        <v>0</v>
      </c>
      <c r="CR375">
        <f>A!CP375</f>
        <v>0</v>
      </c>
      <c r="CS375">
        <f>A!CQ375</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32" t="str">
        <f>IF(A!P376="","",INDEX(B!$A$1:$BT$2000,MATCH(A!P376,B!$AX$1:$AX$2000,0),D!$B$5))</f>
        <v/>
      </c>
      <c r="Q376">
        <f>A!Q376</f>
        <v>0</v>
      </c>
      <c r="R376">
        <f>A!R376</f>
        <v>0</v>
      </c>
      <c r="S376">
        <f>A!S376</f>
        <v>0</v>
      </c>
      <c r="T376">
        <f>A!T376</f>
        <v>0</v>
      </c>
      <c r="U376">
        <f>A!U376</f>
        <v>0</v>
      </c>
      <c r="V376" s="32">
        <f>IF(A!V376="&lt;",1,A!V376)</f>
        <v>0</v>
      </c>
      <c r="W376">
        <f>A!W376</f>
        <v>0</v>
      </c>
      <c r="X376">
        <f>A!X376</f>
        <v>0</v>
      </c>
      <c r="Y376">
        <f>A!Y376</f>
        <v>0</v>
      </c>
      <c r="Z376" s="32">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32"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A!CO686</f>
        <v>0</v>
      </c>
      <c r="CR376">
        <f>A!CP376</f>
        <v>0</v>
      </c>
      <c r="CS376">
        <f>A!CQ376</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32" t="str">
        <f>IF(A!P377="","",INDEX(B!$A$1:$BT$2000,MATCH(A!P377,B!$AX$1:$AX$2000,0),D!$B$5))</f>
        <v/>
      </c>
      <c r="Q377">
        <f>A!Q377</f>
        <v>0</v>
      </c>
      <c r="R377">
        <f>A!R377</f>
        <v>0</v>
      </c>
      <c r="S377">
        <f>A!S377</f>
        <v>0</v>
      </c>
      <c r="T377">
        <f>A!T377</f>
        <v>0</v>
      </c>
      <c r="U377">
        <f>A!U377</f>
        <v>0</v>
      </c>
      <c r="V377" s="32">
        <f>IF(A!V377="&lt;",1,A!V377)</f>
        <v>0</v>
      </c>
      <c r="W377">
        <f>A!W377</f>
        <v>0</v>
      </c>
      <c r="X377">
        <f>A!X377</f>
        <v>0</v>
      </c>
      <c r="Y377">
        <f>A!Y377</f>
        <v>0</v>
      </c>
      <c r="Z377" s="32">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32"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A!CO687</f>
        <v>0</v>
      </c>
      <c r="CR377">
        <f>A!CP377</f>
        <v>0</v>
      </c>
      <c r="CS377">
        <f>A!CQ377</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32" t="str">
        <f>IF(A!P378="","",INDEX(B!$A$1:$BT$2000,MATCH(A!P378,B!$AX$1:$AX$2000,0),D!$B$5))</f>
        <v/>
      </c>
      <c r="Q378">
        <f>A!Q378</f>
        <v>0</v>
      </c>
      <c r="R378">
        <f>A!R378</f>
        <v>0</v>
      </c>
      <c r="S378">
        <f>A!S378</f>
        <v>0</v>
      </c>
      <c r="T378">
        <f>A!T378</f>
        <v>0</v>
      </c>
      <c r="U378">
        <f>A!U378</f>
        <v>0</v>
      </c>
      <c r="V378" s="32">
        <f>IF(A!V378="&lt;",1,A!V378)</f>
        <v>0</v>
      </c>
      <c r="W378">
        <f>A!W378</f>
        <v>0</v>
      </c>
      <c r="X378">
        <f>A!X378</f>
        <v>0</v>
      </c>
      <c r="Y378">
        <f>A!Y378</f>
        <v>0</v>
      </c>
      <c r="Z378" s="32">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32"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A!CO688</f>
        <v>0</v>
      </c>
      <c r="CR378">
        <f>A!CP378</f>
        <v>0</v>
      </c>
      <c r="CS378">
        <f>A!CQ378</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32" t="str">
        <f>IF(A!P379="","",INDEX(B!$A$1:$BT$2000,MATCH(A!P379,B!$AX$1:$AX$2000,0),D!$B$5))</f>
        <v/>
      </c>
      <c r="Q379">
        <f>A!Q379</f>
        <v>0</v>
      </c>
      <c r="R379">
        <f>A!R379</f>
        <v>0</v>
      </c>
      <c r="S379">
        <f>A!S379</f>
        <v>0</v>
      </c>
      <c r="T379">
        <f>A!T379</f>
        <v>0</v>
      </c>
      <c r="U379">
        <f>A!U379</f>
        <v>0</v>
      </c>
      <c r="V379" s="32">
        <f>IF(A!V379="&lt;",1,A!V379)</f>
        <v>0</v>
      </c>
      <c r="W379">
        <f>A!W379</f>
        <v>0</v>
      </c>
      <c r="X379">
        <f>A!X379</f>
        <v>0</v>
      </c>
      <c r="Y379">
        <f>A!Y379</f>
        <v>0</v>
      </c>
      <c r="Z379" s="32">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32"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A!CO689</f>
        <v>0</v>
      </c>
      <c r="CR379">
        <f>A!CP379</f>
        <v>0</v>
      </c>
      <c r="CS379">
        <f>A!CQ379</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32" t="str">
        <f>IF(A!P380="","",INDEX(B!$A$1:$BT$2000,MATCH(A!P380,B!$AX$1:$AX$2000,0),D!$B$5))</f>
        <v/>
      </c>
      <c r="Q380">
        <f>A!Q380</f>
        <v>0</v>
      </c>
      <c r="R380">
        <f>A!R380</f>
        <v>0</v>
      </c>
      <c r="S380">
        <f>A!S380</f>
        <v>0</v>
      </c>
      <c r="T380">
        <f>A!T380</f>
        <v>0</v>
      </c>
      <c r="U380">
        <f>A!U380</f>
        <v>0</v>
      </c>
      <c r="V380" s="32">
        <f>IF(A!V380="&lt;",1,A!V380)</f>
        <v>0</v>
      </c>
      <c r="W380">
        <f>A!W380</f>
        <v>0</v>
      </c>
      <c r="X380">
        <f>A!X380</f>
        <v>0</v>
      </c>
      <c r="Y380">
        <f>A!Y380</f>
        <v>0</v>
      </c>
      <c r="Z380" s="32">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32"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A!CO690</f>
        <v>0</v>
      </c>
      <c r="CR380">
        <f>A!CP380</f>
        <v>0</v>
      </c>
      <c r="CS380">
        <f>A!CQ380</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32" t="str">
        <f>IF(A!P381="","",INDEX(B!$A$1:$BT$2000,MATCH(A!P381,B!$AX$1:$AX$2000,0),D!$B$5))</f>
        <v/>
      </c>
      <c r="Q381">
        <f>A!Q381</f>
        <v>0</v>
      </c>
      <c r="R381">
        <f>A!R381</f>
        <v>0</v>
      </c>
      <c r="S381">
        <f>A!S381</f>
        <v>0</v>
      </c>
      <c r="T381">
        <f>A!T381</f>
        <v>0</v>
      </c>
      <c r="U381">
        <f>A!U381</f>
        <v>0</v>
      </c>
      <c r="V381" s="32">
        <f>IF(A!V381="&lt;",1,A!V381)</f>
        <v>0</v>
      </c>
      <c r="W381">
        <f>A!W381</f>
        <v>0</v>
      </c>
      <c r="X381">
        <f>A!X381</f>
        <v>0</v>
      </c>
      <c r="Y381">
        <f>A!Y381</f>
        <v>0</v>
      </c>
      <c r="Z381" s="32">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32"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A!CO691</f>
        <v>0</v>
      </c>
      <c r="CR381">
        <f>A!CP381</f>
        <v>0</v>
      </c>
      <c r="CS381">
        <f>A!CQ381</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32" t="str">
        <f>IF(A!P382="","",INDEX(B!$A$1:$BT$2000,MATCH(A!P382,B!$AX$1:$AX$2000,0),D!$B$5))</f>
        <v/>
      </c>
      <c r="Q382">
        <f>A!Q382</f>
        <v>0</v>
      </c>
      <c r="R382">
        <f>A!R382</f>
        <v>0</v>
      </c>
      <c r="S382">
        <f>A!S382</f>
        <v>0</v>
      </c>
      <c r="T382">
        <f>A!T382</f>
        <v>0</v>
      </c>
      <c r="U382">
        <f>A!U382</f>
        <v>0</v>
      </c>
      <c r="V382" s="32">
        <f>IF(A!V382="&lt;",1,A!V382)</f>
        <v>0</v>
      </c>
      <c r="W382">
        <f>A!W382</f>
        <v>0</v>
      </c>
      <c r="X382">
        <f>A!X382</f>
        <v>0</v>
      </c>
      <c r="Y382">
        <f>A!Y382</f>
        <v>0</v>
      </c>
      <c r="Z382" s="32">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32"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A!CO692</f>
        <v>0</v>
      </c>
      <c r="CR382">
        <f>A!CP382</f>
        <v>0</v>
      </c>
      <c r="CS382">
        <f>A!CQ382</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32" t="str">
        <f>IF(A!P383="","",INDEX(B!$A$1:$BT$2000,MATCH(A!P383,B!$AX$1:$AX$2000,0),D!$B$5))</f>
        <v/>
      </c>
      <c r="Q383">
        <f>A!Q383</f>
        <v>0</v>
      </c>
      <c r="R383">
        <f>A!R383</f>
        <v>0</v>
      </c>
      <c r="S383">
        <f>A!S383</f>
        <v>0</v>
      </c>
      <c r="T383">
        <f>A!T383</f>
        <v>0</v>
      </c>
      <c r="U383">
        <f>A!U383</f>
        <v>0</v>
      </c>
      <c r="V383" s="32">
        <f>IF(A!V383="&lt;",1,A!V383)</f>
        <v>0</v>
      </c>
      <c r="W383">
        <f>A!W383</f>
        <v>0</v>
      </c>
      <c r="X383">
        <f>A!X383</f>
        <v>0</v>
      </c>
      <c r="Y383">
        <f>A!Y383</f>
        <v>0</v>
      </c>
      <c r="Z383" s="32">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32"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A!CO693</f>
        <v>0</v>
      </c>
      <c r="CR383">
        <f>A!CP383</f>
        <v>0</v>
      </c>
      <c r="CS383">
        <f>A!CQ383</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32" t="str">
        <f>IF(A!P384="","",INDEX(B!$A$1:$BT$2000,MATCH(A!P384,B!$AX$1:$AX$2000,0),D!$B$5))</f>
        <v/>
      </c>
      <c r="Q384">
        <f>A!Q384</f>
        <v>0</v>
      </c>
      <c r="R384">
        <f>A!R384</f>
        <v>0</v>
      </c>
      <c r="S384">
        <f>A!S384</f>
        <v>0</v>
      </c>
      <c r="T384">
        <f>A!T384</f>
        <v>0</v>
      </c>
      <c r="U384">
        <f>A!U384</f>
        <v>0</v>
      </c>
      <c r="V384" s="32">
        <f>IF(A!V384="&lt;",1,A!V384)</f>
        <v>0</v>
      </c>
      <c r="W384">
        <f>A!W384</f>
        <v>0</v>
      </c>
      <c r="X384">
        <f>A!X384</f>
        <v>0</v>
      </c>
      <c r="Y384">
        <f>A!Y384</f>
        <v>0</v>
      </c>
      <c r="Z384" s="32">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32"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A!CO694</f>
        <v>0</v>
      </c>
      <c r="CR384">
        <f>A!CP384</f>
        <v>0</v>
      </c>
      <c r="CS384">
        <f>A!CQ384</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32" t="str">
        <f>IF(A!P385="","",INDEX(B!$A$1:$BT$2000,MATCH(A!P385,B!$AX$1:$AX$2000,0),D!$B$5))</f>
        <v/>
      </c>
      <c r="Q385">
        <f>A!Q385</f>
        <v>0</v>
      </c>
      <c r="R385">
        <f>A!R385</f>
        <v>0</v>
      </c>
      <c r="S385">
        <f>A!S385</f>
        <v>0</v>
      </c>
      <c r="T385">
        <f>A!T385</f>
        <v>0</v>
      </c>
      <c r="U385">
        <f>A!U385</f>
        <v>0</v>
      </c>
      <c r="V385" s="32">
        <f>IF(A!V385="&lt;",1,A!V385)</f>
        <v>0</v>
      </c>
      <c r="W385">
        <f>A!W385</f>
        <v>0</v>
      </c>
      <c r="X385">
        <f>A!X385</f>
        <v>0</v>
      </c>
      <c r="Y385">
        <f>A!Y385</f>
        <v>0</v>
      </c>
      <c r="Z385" s="32">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32"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A!CO695</f>
        <v>0</v>
      </c>
      <c r="CR385">
        <f>A!CP385</f>
        <v>0</v>
      </c>
      <c r="CS385">
        <f>A!CQ385</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32" t="str">
        <f>IF(A!P386="","",INDEX(B!$A$1:$BT$2000,MATCH(A!P386,B!$AX$1:$AX$2000,0),D!$B$5))</f>
        <v/>
      </c>
      <c r="Q386">
        <f>A!Q386</f>
        <v>0</v>
      </c>
      <c r="R386">
        <f>A!R386</f>
        <v>0</v>
      </c>
      <c r="S386">
        <f>A!S386</f>
        <v>0</v>
      </c>
      <c r="T386">
        <f>A!T386</f>
        <v>0</v>
      </c>
      <c r="U386">
        <f>A!U386</f>
        <v>0</v>
      </c>
      <c r="V386" s="32">
        <f>IF(A!V386="&lt;",1,A!V386)</f>
        <v>0</v>
      </c>
      <c r="W386">
        <f>A!W386</f>
        <v>0</v>
      </c>
      <c r="X386">
        <f>A!X386</f>
        <v>0</v>
      </c>
      <c r="Y386">
        <f>A!Y386</f>
        <v>0</v>
      </c>
      <c r="Z386" s="32">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32"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A!CO696</f>
        <v>0</v>
      </c>
      <c r="CR386">
        <f>A!CP386</f>
        <v>0</v>
      </c>
      <c r="CS386">
        <f>A!CQ386</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32" t="str">
        <f>IF(A!P387="","",INDEX(B!$A$1:$BT$2000,MATCH(A!P387,B!$AX$1:$AX$2000,0),D!$B$5))</f>
        <v/>
      </c>
      <c r="Q387">
        <f>A!Q387</f>
        <v>0</v>
      </c>
      <c r="R387">
        <f>A!R387</f>
        <v>0</v>
      </c>
      <c r="S387">
        <f>A!S387</f>
        <v>0</v>
      </c>
      <c r="T387">
        <f>A!T387</f>
        <v>0</v>
      </c>
      <c r="U387">
        <f>A!U387</f>
        <v>0</v>
      </c>
      <c r="V387" s="32">
        <f>IF(A!V387="&lt;",1,A!V387)</f>
        <v>0</v>
      </c>
      <c r="W387">
        <f>A!W387</f>
        <v>0</v>
      </c>
      <c r="X387">
        <f>A!X387</f>
        <v>0</v>
      </c>
      <c r="Y387">
        <f>A!Y387</f>
        <v>0</v>
      </c>
      <c r="Z387" s="32">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32"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A!CO697</f>
        <v>0</v>
      </c>
      <c r="CR387">
        <f>A!CP387</f>
        <v>0</v>
      </c>
      <c r="CS387">
        <f>A!CQ387</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32" t="str">
        <f>IF(A!P388="","",INDEX(B!$A$1:$BT$2000,MATCH(A!P388,B!$AX$1:$AX$2000,0),D!$B$5))</f>
        <v/>
      </c>
      <c r="Q388">
        <f>A!Q388</f>
        <v>0</v>
      </c>
      <c r="R388">
        <f>A!R388</f>
        <v>0</v>
      </c>
      <c r="S388">
        <f>A!S388</f>
        <v>0</v>
      </c>
      <c r="T388">
        <f>A!T388</f>
        <v>0</v>
      </c>
      <c r="U388">
        <f>A!U388</f>
        <v>0</v>
      </c>
      <c r="V388" s="32">
        <f>IF(A!V388="&lt;",1,A!V388)</f>
        <v>0</v>
      </c>
      <c r="W388">
        <f>A!W388</f>
        <v>0</v>
      </c>
      <c r="X388">
        <f>A!X388</f>
        <v>0</v>
      </c>
      <c r="Y388">
        <f>A!Y388</f>
        <v>0</v>
      </c>
      <c r="Z388" s="32">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32"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A!CO698</f>
        <v>0</v>
      </c>
      <c r="CR388">
        <f>A!CP388</f>
        <v>0</v>
      </c>
      <c r="CS388">
        <f>A!CQ388</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32" t="str">
        <f>IF(A!P389="","",INDEX(B!$A$1:$BT$2000,MATCH(A!P389,B!$AX$1:$AX$2000,0),D!$B$5))</f>
        <v/>
      </c>
      <c r="Q389">
        <f>A!Q389</f>
        <v>0</v>
      </c>
      <c r="R389">
        <f>A!R389</f>
        <v>0</v>
      </c>
      <c r="S389">
        <f>A!S389</f>
        <v>0</v>
      </c>
      <c r="T389">
        <f>A!T389</f>
        <v>0</v>
      </c>
      <c r="U389">
        <f>A!U389</f>
        <v>0</v>
      </c>
      <c r="V389" s="32">
        <f>IF(A!V389="&lt;",1,A!V389)</f>
        <v>0</v>
      </c>
      <c r="W389">
        <f>A!W389</f>
        <v>0</v>
      </c>
      <c r="X389">
        <f>A!X389</f>
        <v>0</v>
      </c>
      <c r="Y389">
        <f>A!Y389</f>
        <v>0</v>
      </c>
      <c r="Z389" s="32">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32"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A!CO699</f>
        <v>0</v>
      </c>
      <c r="CR389">
        <f>A!CP389</f>
        <v>0</v>
      </c>
      <c r="CS389">
        <f>A!CQ389</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32" t="str">
        <f>IF(A!P390="","",INDEX(B!$A$1:$BT$2000,MATCH(A!P390,B!$AX$1:$AX$2000,0),D!$B$5))</f>
        <v/>
      </c>
      <c r="Q390">
        <f>A!Q390</f>
        <v>0</v>
      </c>
      <c r="R390">
        <f>A!R390</f>
        <v>0</v>
      </c>
      <c r="S390">
        <f>A!S390</f>
        <v>0</v>
      </c>
      <c r="T390">
        <f>A!T390</f>
        <v>0</v>
      </c>
      <c r="U390">
        <f>A!U390</f>
        <v>0</v>
      </c>
      <c r="V390" s="32">
        <f>IF(A!V390="&lt;",1,A!V390)</f>
        <v>0</v>
      </c>
      <c r="W390">
        <f>A!W390</f>
        <v>0</v>
      </c>
      <c r="X390">
        <f>A!X390</f>
        <v>0</v>
      </c>
      <c r="Y390">
        <f>A!Y390</f>
        <v>0</v>
      </c>
      <c r="Z390" s="32">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32"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A!CO700</f>
        <v>0</v>
      </c>
      <c r="CR390">
        <f>A!CP390</f>
        <v>0</v>
      </c>
      <c r="CS390">
        <f>A!CQ390</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32" t="str">
        <f>IF(A!P391="","",INDEX(B!$A$1:$BT$2000,MATCH(A!P391,B!$AX$1:$AX$2000,0),D!$B$5))</f>
        <v/>
      </c>
      <c r="Q391">
        <f>A!Q391</f>
        <v>0</v>
      </c>
      <c r="R391">
        <f>A!R391</f>
        <v>0</v>
      </c>
      <c r="S391">
        <f>A!S391</f>
        <v>0</v>
      </c>
      <c r="T391">
        <f>A!T391</f>
        <v>0</v>
      </c>
      <c r="U391">
        <f>A!U391</f>
        <v>0</v>
      </c>
      <c r="V391" s="32">
        <f>IF(A!V391="&lt;",1,A!V391)</f>
        <v>0</v>
      </c>
      <c r="W391">
        <f>A!W391</f>
        <v>0</v>
      </c>
      <c r="X391">
        <f>A!X391</f>
        <v>0</v>
      </c>
      <c r="Y391">
        <f>A!Y391</f>
        <v>0</v>
      </c>
      <c r="Z391" s="32">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32"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A!CO701</f>
        <v>0</v>
      </c>
      <c r="CR391">
        <f>A!CP391</f>
        <v>0</v>
      </c>
      <c r="CS391">
        <f>A!CQ391</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32" t="str">
        <f>IF(A!P392="","",INDEX(B!$A$1:$BT$2000,MATCH(A!P392,B!$AX$1:$AX$2000,0),D!$B$5))</f>
        <v/>
      </c>
      <c r="Q392">
        <f>A!Q392</f>
        <v>0</v>
      </c>
      <c r="R392">
        <f>A!R392</f>
        <v>0</v>
      </c>
      <c r="S392">
        <f>A!S392</f>
        <v>0</v>
      </c>
      <c r="T392">
        <f>A!T392</f>
        <v>0</v>
      </c>
      <c r="U392">
        <f>A!U392</f>
        <v>0</v>
      </c>
      <c r="V392" s="32">
        <f>IF(A!V392="&lt;",1,A!V392)</f>
        <v>0</v>
      </c>
      <c r="W392">
        <f>A!W392</f>
        <v>0</v>
      </c>
      <c r="X392">
        <f>A!X392</f>
        <v>0</v>
      </c>
      <c r="Y392">
        <f>A!Y392</f>
        <v>0</v>
      </c>
      <c r="Z392" s="32">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32"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A!CO702</f>
        <v>0</v>
      </c>
      <c r="CR392">
        <f>A!CP392</f>
        <v>0</v>
      </c>
      <c r="CS392">
        <f>A!CQ392</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32" t="str">
        <f>IF(A!P393="","",INDEX(B!$A$1:$BT$2000,MATCH(A!P393,B!$AX$1:$AX$2000,0),D!$B$5))</f>
        <v/>
      </c>
      <c r="Q393">
        <f>A!Q393</f>
        <v>0</v>
      </c>
      <c r="R393">
        <f>A!R393</f>
        <v>0</v>
      </c>
      <c r="S393">
        <f>A!S393</f>
        <v>0</v>
      </c>
      <c r="T393">
        <f>A!T393</f>
        <v>0</v>
      </c>
      <c r="U393">
        <f>A!U393</f>
        <v>0</v>
      </c>
      <c r="V393" s="32">
        <f>IF(A!V393="&lt;",1,A!V393)</f>
        <v>0</v>
      </c>
      <c r="W393">
        <f>A!W393</f>
        <v>0</v>
      </c>
      <c r="X393">
        <f>A!X393</f>
        <v>0</v>
      </c>
      <c r="Y393">
        <f>A!Y393</f>
        <v>0</v>
      </c>
      <c r="Z393" s="32">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32"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A!CO703</f>
        <v>0</v>
      </c>
      <c r="CR393">
        <f>A!CP393</f>
        <v>0</v>
      </c>
      <c r="CS393">
        <f>A!CQ393</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32" t="str">
        <f>IF(A!P394="","",INDEX(B!$A$1:$BT$2000,MATCH(A!P394,B!$AX$1:$AX$2000,0),D!$B$5))</f>
        <v/>
      </c>
      <c r="Q394">
        <f>A!Q394</f>
        <v>0</v>
      </c>
      <c r="R394">
        <f>A!R394</f>
        <v>0</v>
      </c>
      <c r="S394">
        <f>A!S394</f>
        <v>0</v>
      </c>
      <c r="T394">
        <f>A!T394</f>
        <v>0</v>
      </c>
      <c r="U394">
        <f>A!U394</f>
        <v>0</v>
      </c>
      <c r="V394" s="32">
        <f>IF(A!V394="&lt;",1,A!V394)</f>
        <v>0</v>
      </c>
      <c r="W394">
        <f>A!W394</f>
        <v>0</v>
      </c>
      <c r="X394">
        <f>A!X394</f>
        <v>0</v>
      </c>
      <c r="Y394">
        <f>A!Y394</f>
        <v>0</v>
      </c>
      <c r="Z394" s="32">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32"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A!CO704</f>
        <v>0</v>
      </c>
      <c r="CR394">
        <f>A!CP394</f>
        <v>0</v>
      </c>
      <c r="CS394">
        <f>A!CQ394</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32" t="str">
        <f>IF(A!P395="","",INDEX(B!$A$1:$BT$2000,MATCH(A!P395,B!$AX$1:$AX$2000,0),D!$B$5))</f>
        <v/>
      </c>
      <c r="Q395">
        <f>A!Q395</f>
        <v>0</v>
      </c>
      <c r="R395">
        <f>A!R395</f>
        <v>0</v>
      </c>
      <c r="S395">
        <f>A!S395</f>
        <v>0</v>
      </c>
      <c r="T395">
        <f>A!T395</f>
        <v>0</v>
      </c>
      <c r="U395">
        <f>A!U395</f>
        <v>0</v>
      </c>
      <c r="V395" s="32">
        <f>IF(A!V395="&lt;",1,A!V395)</f>
        <v>0</v>
      </c>
      <c r="W395">
        <f>A!W395</f>
        <v>0</v>
      </c>
      <c r="X395">
        <f>A!X395</f>
        <v>0</v>
      </c>
      <c r="Y395">
        <f>A!Y395</f>
        <v>0</v>
      </c>
      <c r="Z395" s="32">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32"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A!CO705</f>
        <v>0</v>
      </c>
      <c r="CR395">
        <f>A!CP395</f>
        <v>0</v>
      </c>
      <c r="CS395">
        <f>A!CQ395</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32" t="str">
        <f>IF(A!P396="","",INDEX(B!$A$1:$BT$2000,MATCH(A!P396,B!$AX$1:$AX$2000,0),D!$B$5))</f>
        <v/>
      </c>
      <c r="Q396">
        <f>A!Q396</f>
        <v>0</v>
      </c>
      <c r="R396">
        <f>A!R396</f>
        <v>0</v>
      </c>
      <c r="S396">
        <f>A!S396</f>
        <v>0</v>
      </c>
      <c r="T396">
        <f>A!T396</f>
        <v>0</v>
      </c>
      <c r="U396">
        <f>A!U396</f>
        <v>0</v>
      </c>
      <c r="V396" s="32">
        <f>IF(A!V396="&lt;",1,A!V396)</f>
        <v>0</v>
      </c>
      <c r="W396">
        <f>A!W396</f>
        <v>0</v>
      </c>
      <c r="X396">
        <f>A!X396</f>
        <v>0</v>
      </c>
      <c r="Y396">
        <f>A!Y396</f>
        <v>0</v>
      </c>
      <c r="Z396" s="32">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32"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A!CO706</f>
        <v>0</v>
      </c>
      <c r="CR396">
        <f>A!CP396</f>
        <v>0</v>
      </c>
      <c r="CS396">
        <f>A!CQ396</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32" t="str">
        <f>IF(A!P397="","",INDEX(B!$A$1:$BT$2000,MATCH(A!P397,B!$AX$1:$AX$2000,0),D!$B$5))</f>
        <v/>
      </c>
      <c r="Q397">
        <f>A!Q397</f>
        <v>0</v>
      </c>
      <c r="R397">
        <f>A!R397</f>
        <v>0</v>
      </c>
      <c r="S397">
        <f>A!S397</f>
        <v>0</v>
      </c>
      <c r="T397">
        <f>A!T397</f>
        <v>0</v>
      </c>
      <c r="U397">
        <f>A!U397</f>
        <v>0</v>
      </c>
      <c r="V397" s="32">
        <f>IF(A!V397="&lt;",1,A!V397)</f>
        <v>0</v>
      </c>
      <c r="W397">
        <f>A!W397</f>
        <v>0</v>
      </c>
      <c r="X397">
        <f>A!X397</f>
        <v>0</v>
      </c>
      <c r="Y397">
        <f>A!Y397</f>
        <v>0</v>
      </c>
      <c r="Z397" s="32">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32"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A!CO707</f>
        <v>0</v>
      </c>
      <c r="CR397">
        <f>A!CP397</f>
        <v>0</v>
      </c>
      <c r="CS397">
        <f>A!CQ397</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32" t="str">
        <f>IF(A!P398="","",INDEX(B!$A$1:$BT$2000,MATCH(A!P398,B!$AX$1:$AX$2000,0),D!$B$5))</f>
        <v/>
      </c>
      <c r="Q398">
        <f>A!Q398</f>
        <v>0</v>
      </c>
      <c r="R398">
        <f>A!R398</f>
        <v>0</v>
      </c>
      <c r="S398">
        <f>A!S398</f>
        <v>0</v>
      </c>
      <c r="T398">
        <f>A!T398</f>
        <v>0</v>
      </c>
      <c r="U398">
        <f>A!U398</f>
        <v>0</v>
      </c>
      <c r="V398" s="32">
        <f>IF(A!V398="&lt;",1,A!V398)</f>
        <v>0</v>
      </c>
      <c r="W398">
        <f>A!W398</f>
        <v>0</v>
      </c>
      <c r="X398">
        <f>A!X398</f>
        <v>0</v>
      </c>
      <c r="Y398">
        <f>A!Y398</f>
        <v>0</v>
      </c>
      <c r="Z398" s="32">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32"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A!CO708</f>
        <v>0</v>
      </c>
      <c r="CR398">
        <f>A!CP398</f>
        <v>0</v>
      </c>
      <c r="CS398">
        <f>A!CQ398</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32" t="str">
        <f>IF(A!P399="","",INDEX(B!$A$1:$BT$2000,MATCH(A!P399,B!$AX$1:$AX$2000,0),D!$B$5))</f>
        <v/>
      </c>
      <c r="Q399">
        <f>A!Q399</f>
        <v>0</v>
      </c>
      <c r="R399">
        <f>A!R399</f>
        <v>0</v>
      </c>
      <c r="S399">
        <f>A!S399</f>
        <v>0</v>
      </c>
      <c r="T399">
        <f>A!T399</f>
        <v>0</v>
      </c>
      <c r="U399">
        <f>A!U399</f>
        <v>0</v>
      </c>
      <c r="V399" s="32">
        <f>IF(A!V399="&lt;",1,A!V399)</f>
        <v>0</v>
      </c>
      <c r="W399">
        <f>A!W399</f>
        <v>0</v>
      </c>
      <c r="X399">
        <f>A!X399</f>
        <v>0</v>
      </c>
      <c r="Y399">
        <f>A!Y399</f>
        <v>0</v>
      </c>
      <c r="Z399" s="32">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32"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A!CO709</f>
        <v>0</v>
      </c>
      <c r="CR399">
        <f>A!CP399</f>
        <v>0</v>
      </c>
      <c r="CS399">
        <f>A!CQ399</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32" t="str">
        <f>IF(A!P400="","",INDEX(B!$A$1:$BT$2000,MATCH(A!P400,B!$AX$1:$AX$2000,0),D!$B$5))</f>
        <v/>
      </c>
      <c r="Q400">
        <f>A!Q400</f>
        <v>0</v>
      </c>
      <c r="R400">
        <f>A!R400</f>
        <v>0</v>
      </c>
      <c r="S400">
        <f>A!S400</f>
        <v>0</v>
      </c>
      <c r="T400">
        <f>A!T400</f>
        <v>0</v>
      </c>
      <c r="U400">
        <f>A!U400</f>
        <v>0</v>
      </c>
      <c r="V400" s="32">
        <f>IF(A!V400="&lt;",1,A!V400)</f>
        <v>0</v>
      </c>
      <c r="W400">
        <f>A!W400</f>
        <v>0</v>
      </c>
      <c r="X400">
        <f>A!X400</f>
        <v>0</v>
      </c>
      <c r="Y400">
        <f>A!Y400</f>
        <v>0</v>
      </c>
      <c r="Z400" s="32">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32"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A!CO710</f>
        <v>0</v>
      </c>
      <c r="CR400">
        <f>A!CP400</f>
        <v>0</v>
      </c>
      <c r="CS400">
        <f>A!CQ400</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32" t="str">
        <f>IF(A!P401="","",INDEX(B!$A$1:$BT$2000,MATCH(A!P401,B!$AX$1:$AX$2000,0),D!$B$5))</f>
        <v/>
      </c>
      <c r="Q401">
        <f>A!Q401</f>
        <v>0</v>
      </c>
      <c r="R401">
        <f>A!R401</f>
        <v>0</v>
      </c>
      <c r="S401">
        <f>A!S401</f>
        <v>0</v>
      </c>
      <c r="T401">
        <f>A!T401</f>
        <v>0</v>
      </c>
      <c r="U401">
        <f>A!U401</f>
        <v>0</v>
      </c>
      <c r="V401" s="32">
        <f>IF(A!V401="&lt;",1,A!V401)</f>
        <v>0</v>
      </c>
      <c r="W401">
        <f>A!W401</f>
        <v>0</v>
      </c>
      <c r="X401">
        <f>A!X401</f>
        <v>0</v>
      </c>
      <c r="Y401">
        <f>A!Y401</f>
        <v>0</v>
      </c>
      <c r="Z401" s="32">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32"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A!CO711</f>
        <v>0</v>
      </c>
      <c r="CR401">
        <f>A!CP401</f>
        <v>0</v>
      </c>
      <c r="CS401">
        <f>A!CQ401</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32" t="str">
        <f>IF(A!P402="","",INDEX(B!$A$1:$BT$2000,MATCH(A!P402,B!$AX$1:$AX$2000,0),D!$B$5))</f>
        <v/>
      </c>
      <c r="Q402">
        <f>A!Q402</f>
        <v>0</v>
      </c>
      <c r="R402">
        <f>A!R402</f>
        <v>0</v>
      </c>
      <c r="S402">
        <f>A!S402</f>
        <v>0</v>
      </c>
      <c r="T402">
        <f>A!T402</f>
        <v>0</v>
      </c>
      <c r="U402">
        <f>A!U402</f>
        <v>0</v>
      </c>
      <c r="V402" s="32">
        <f>IF(A!V402="&lt;",1,A!V402)</f>
        <v>0</v>
      </c>
      <c r="W402">
        <f>A!W402</f>
        <v>0</v>
      </c>
      <c r="X402">
        <f>A!X402</f>
        <v>0</v>
      </c>
      <c r="Y402">
        <f>A!Y402</f>
        <v>0</v>
      </c>
      <c r="Z402" s="32">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32"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A!CO712</f>
        <v>0</v>
      </c>
      <c r="CR402">
        <f>A!CP402</f>
        <v>0</v>
      </c>
      <c r="CS402">
        <f>A!CQ402</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32" t="str">
        <f>IF(A!P403="","",INDEX(B!$A$1:$BT$2000,MATCH(A!P403,B!$AX$1:$AX$2000,0),D!$B$5))</f>
        <v/>
      </c>
      <c r="Q403">
        <f>A!Q403</f>
        <v>0</v>
      </c>
      <c r="R403">
        <f>A!R403</f>
        <v>0</v>
      </c>
      <c r="S403">
        <f>A!S403</f>
        <v>0</v>
      </c>
      <c r="T403">
        <f>A!T403</f>
        <v>0</v>
      </c>
      <c r="U403">
        <f>A!U403</f>
        <v>0</v>
      </c>
      <c r="V403" s="32">
        <f>IF(A!V403="&lt;",1,A!V403)</f>
        <v>0</v>
      </c>
      <c r="W403">
        <f>A!W403</f>
        <v>0</v>
      </c>
      <c r="X403">
        <f>A!X403</f>
        <v>0</v>
      </c>
      <c r="Y403">
        <f>A!Y403</f>
        <v>0</v>
      </c>
      <c r="Z403" s="32">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32"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A!CO713</f>
        <v>0</v>
      </c>
      <c r="CR403">
        <f>A!CP403</f>
        <v>0</v>
      </c>
      <c r="CS403">
        <f>A!CQ403</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32" t="str">
        <f>IF(A!P404="","",INDEX(B!$A$1:$BT$2000,MATCH(A!P404,B!$AX$1:$AX$2000,0),D!$B$5))</f>
        <v/>
      </c>
      <c r="Q404">
        <f>A!Q404</f>
        <v>0</v>
      </c>
      <c r="R404">
        <f>A!R404</f>
        <v>0</v>
      </c>
      <c r="S404">
        <f>A!S404</f>
        <v>0</v>
      </c>
      <c r="T404">
        <f>A!T404</f>
        <v>0</v>
      </c>
      <c r="U404">
        <f>A!U404</f>
        <v>0</v>
      </c>
      <c r="V404" s="32">
        <f>IF(A!V404="&lt;",1,A!V404)</f>
        <v>0</v>
      </c>
      <c r="W404">
        <f>A!W404</f>
        <v>0</v>
      </c>
      <c r="X404">
        <f>A!X404</f>
        <v>0</v>
      </c>
      <c r="Y404">
        <f>A!Y404</f>
        <v>0</v>
      </c>
      <c r="Z404" s="32">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32"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A!CO714</f>
        <v>0</v>
      </c>
      <c r="CR404">
        <f>A!CP404</f>
        <v>0</v>
      </c>
      <c r="CS404">
        <f>A!CQ404</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32" t="str">
        <f>IF(A!P405="","",INDEX(B!$A$1:$BT$2000,MATCH(A!P405,B!$AX$1:$AX$2000,0),D!$B$5))</f>
        <v/>
      </c>
      <c r="Q405">
        <f>A!Q405</f>
        <v>0</v>
      </c>
      <c r="R405">
        <f>A!R405</f>
        <v>0</v>
      </c>
      <c r="S405">
        <f>A!S405</f>
        <v>0</v>
      </c>
      <c r="T405">
        <f>A!T405</f>
        <v>0</v>
      </c>
      <c r="U405">
        <f>A!U405</f>
        <v>0</v>
      </c>
      <c r="V405" s="32">
        <f>IF(A!V405="&lt;",1,A!V405)</f>
        <v>0</v>
      </c>
      <c r="W405">
        <f>A!W405</f>
        <v>0</v>
      </c>
      <c r="X405">
        <f>A!X405</f>
        <v>0</v>
      </c>
      <c r="Y405">
        <f>A!Y405</f>
        <v>0</v>
      </c>
      <c r="Z405" s="32">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32"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A!CO715</f>
        <v>0</v>
      </c>
      <c r="CR405">
        <f>A!CP405</f>
        <v>0</v>
      </c>
      <c r="CS405">
        <f>A!CQ405</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32" t="str">
        <f>IF(A!P406="","",INDEX(B!$A$1:$BT$2000,MATCH(A!P406,B!$AX$1:$AX$2000,0),D!$B$5))</f>
        <v/>
      </c>
      <c r="Q406">
        <f>A!Q406</f>
        <v>0</v>
      </c>
      <c r="R406">
        <f>A!R406</f>
        <v>0</v>
      </c>
      <c r="S406">
        <f>A!S406</f>
        <v>0</v>
      </c>
      <c r="T406">
        <f>A!T406</f>
        <v>0</v>
      </c>
      <c r="U406">
        <f>A!U406</f>
        <v>0</v>
      </c>
      <c r="V406" s="32">
        <f>IF(A!V406="&lt;",1,A!V406)</f>
        <v>0</v>
      </c>
      <c r="W406">
        <f>A!W406</f>
        <v>0</v>
      </c>
      <c r="X406">
        <f>A!X406</f>
        <v>0</v>
      </c>
      <c r="Y406">
        <f>A!Y406</f>
        <v>0</v>
      </c>
      <c r="Z406" s="32">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32"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A!CO716</f>
        <v>0</v>
      </c>
      <c r="CR406">
        <f>A!CP406</f>
        <v>0</v>
      </c>
      <c r="CS406">
        <f>A!CQ406</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32" t="str">
        <f>IF(A!P407="","",INDEX(B!$A$1:$BT$2000,MATCH(A!P407,B!$AX$1:$AX$2000,0),D!$B$5))</f>
        <v/>
      </c>
      <c r="Q407">
        <f>A!Q407</f>
        <v>0</v>
      </c>
      <c r="R407">
        <f>A!R407</f>
        <v>0</v>
      </c>
      <c r="S407">
        <f>A!S407</f>
        <v>0</v>
      </c>
      <c r="T407">
        <f>A!T407</f>
        <v>0</v>
      </c>
      <c r="U407">
        <f>A!U407</f>
        <v>0</v>
      </c>
      <c r="V407" s="32">
        <f>IF(A!V407="&lt;",1,A!V407)</f>
        <v>0</v>
      </c>
      <c r="W407">
        <f>A!W407</f>
        <v>0</v>
      </c>
      <c r="X407">
        <f>A!X407</f>
        <v>0</v>
      </c>
      <c r="Y407">
        <f>A!Y407</f>
        <v>0</v>
      </c>
      <c r="Z407" s="32">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32"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A!CO717</f>
        <v>0</v>
      </c>
      <c r="CR407">
        <f>A!CP407</f>
        <v>0</v>
      </c>
      <c r="CS407">
        <f>A!CQ407</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32" t="str">
        <f>IF(A!P408="","",INDEX(B!$A$1:$BT$2000,MATCH(A!P408,B!$AX$1:$AX$2000,0),D!$B$5))</f>
        <v/>
      </c>
      <c r="Q408">
        <f>A!Q408</f>
        <v>0</v>
      </c>
      <c r="R408">
        <f>A!R408</f>
        <v>0</v>
      </c>
      <c r="S408">
        <f>A!S408</f>
        <v>0</v>
      </c>
      <c r="T408">
        <f>A!T408</f>
        <v>0</v>
      </c>
      <c r="U408">
        <f>A!U408</f>
        <v>0</v>
      </c>
      <c r="V408" s="32">
        <f>IF(A!V408="&lt;",1,A!V408)</f>
        <v>0</v>
      </c>
      <c r="W408">
        <f>A!W408</f>
        <v>0</v>
      </c>
      <c r="X408">
        <f>A!X408</f>
        <v>0</v>
      </c>
      <c r="Y408">
        <f>A!Y408</f>
        <v>0</v>
      </c>
      <c r="Z408" s="32">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32"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A!CO718</f>
        <v>0</v>
      </c>
      <c r="CR408">
        <f>A!CP408</f>
        <v>0</v>
      </c>
      <c r="CS408">
        <f>A!CQ408</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32" t="str">
        <f>IF(A!P409="","",INDEX(B!$A$1:$BT$2000,MATCH(A!P409,B!$AX$1:$AX$2000,0),D!$B$5))</f>
        <v/>
      </c>
      <c r="Q409">
        <f>A!Q409</f>
        <v>0</v>
      </c>
      <c r="R409">
        <f>A!R409</f>
        <v>0</v>
      </c>
      <c r="S409">
        <f>A!S409</f>
        <v>0</v>
      </c>
      <c r="T409">
        <f>A!T409</f>
        <v>0</v>
      </c>
      <c r="U409">
        <f>A!U409</f>
        <v>0</v>
      </c>
      <c r="V409" s="32">
        <f>IF(A!V409="&lt;",1,A!V409)</f>
        <v>0</v>
      </c>
      <c r="W409">
        <f>A!W409</f>
        <v>0</v>
      </c>
      <c r="X409">
        <f>A!X409</f>
        <v>0</v>
      </c>
      <c r="Y409">
        <f>A!Y409</f>
        <v>0</v>
      </c>
      <c r="Z409" s="32">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32"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A!CO719</f>
        <v>0</v>
      </c>
      <c r="CR409">
        <f>A!CP409</f>
        <v>0</v>
      </c>
      <c r="CS409">
        <f>A!CQ409</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32" t="str">
        <f>IF(A!P410="","",INDEX(B!$A$1:$BT$2000,MATCH(A!P410,B!$AX$1:$AX$2000,0),D!$B$5))</f>
        <v/>
      </c>
      <c r="Q410">
        <f>A!Q410</f>
        <v>0</v>
      </c>
      <c r="R410">
        <f>A!R410</f>
        <v>0</v>
      </c>
      <c r="S410">
        <f>A!S410</f>
        <v>0</v>
      </c>
      <c r="T410">
        <f>A!T410</f>
        <v>0</v>
      </c>
      <c r="U410">
        <f>A!U410</f>
        <v>0</v>
      </c>
      <c r="V410" s="32">
        <f>IF(A!V410="&lt;",1,A!V410)</f>
        <v>0</v>
      </c>
      <c r="W410">
        <f>A!W410</f>
        <v>0</v>
      </c>
      <c r="X410">
        <f>A!X410</f>
        <v>0</v>
      </c>
      <c r="Y410">
        <f>A!Y410</f>
        <v>0</v>
      </c>
      <c r="Z410" s="32">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32"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A!CO720</f>
        <v>0</v>
      </c>
      <c r="CR410">
        <f>A!CP410</f>
        <v>0</v>
      </c>
      <c r="CS410">
        <f>A!CQ410</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32" t="str">
        <f>IF(A!P411="","",INDEX(B!$A$1:$BT$2000,MATCH(A!P411,B!$AX$1:$AX$2000,0),D!$B$5))</f>
        <v/>
      </c>
      <c r="Q411">
        <f>A!Q411</f>
        <v>0</v>
      </c>
      <c r="R411">
        <f>A!R411</f>
        <v>0</v>
      </c>
      <c r="S411">
        <f>A!S411</f>
        <v>0</v>
      </c>
      <c r="T411">
        <f>A!T411</f>
        <v>0</v>
      </c>
      <c r="U411">
        <f>A!U411</f>
        <v>0</v>
      </c>
      <c r="V411" s="32">
        <f>IF(A!V411="&lt;",1,A!V411)</f>
        <v>0</v>
      </c>
      <c r="W411">
        <f>A!W411</f>
        <v>0</v>
      </c>
      <c r="X411">
        <f>A!X411</f>
        <v>0</v>
      </c>
      <c r="Y411">
        <f>A!Y411</f>
        <v>0</v>
      </c>
      <c r="Z411" s="32">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32"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A!CO721</f>
        <v>0</v>
      </c>
      <c r="CR411">
        <f>A!CP411</f>
        <v>0</v>
      </c>
      <c r="CS411">
        <f>A!CQ411</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32" t="str">
        <f>IF(A!P412="","",INDEX(B!$A$1:$BT$2000,MATCH(A!P412,B!$AX$1:$AX$2000,0),D!$B$5))</f>
        <v/>
      </c>
      <c r="Q412">
        <f>A!Q412</f>
        <v>0</v>
      </c>
      <c r="R412">
        <f>A!R412</f>
        <v>0</v>
      </c>
      <c r="S412">
        <f>A!S412</f>
        <v>0</v>
      </c>
      <c r="T412">
        <f>A!T412</f>
        <v>0</v>
      </c>
      <c r="U412">
        <f>A!U412</f>
        <v>0</v>
      </c>
      <c r="V412" s="32">
        <f>IF(A!V412="&lt;",1,A!V412)</f>
        <v>0</v>
      </c>
      <c r="W412">
        <f>A!W412</f>
        <v>0</v>
      </c>
      <c r="X412">
        <f>A!X412</f>
        <v>0</v>
      </c>
      <c r="Y412">
        <f>A!Y412</f>
        <v>0</v>
      </c>
      <c r="Z412" s="32">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32"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A!CO722</f>
        <v>0</v>
      </c>
      <c r="CR412">
        <f>A!CP412</f>
        <v>0</v>
      </c>
      <c r="CS412">
        <f>A!CQ412</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32" t="str">
        <f>IF(A!P413="","",INDEX(B!$A$1:$BT$2000,MATCH(A!P413,B!$AX$1:$AX$2000,0),D!$B$5))</f>
        <v/>
      </c>
      <c r="Q413">
        <f>A!Q413</f>
        <v>0</v>
      </c>
      <c r="R413">
        <f>A!R413</f>
        <v>0</v>
      </c>
      <c r="S413">
        <f>A!S413</f>
        <v>0</v>
      </c>
      <c r="T413">
        <f>A!T413</f>
        <v>0</v>
      </c>
      <c r="U413">
        <f>A!U413</f>
        <v>0</v>
      </c>
      <c r="V413" s="32">
        <f>IF(A!V413="&lt;",1,A!V413)</f>
        <v>0</v>
      </c>
      <c r="W413">
        <f>A!W413</f>
        <v>0</v>
      </c>
      <c r="X413">
        <f>A!X413</f>
        <v>0</v>
      </c>
      <c r="Y413">
        <f>A!Y413</f>
        <v>0</v>
      </c>
      <c r="Z413" s="32">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32"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A!CO723</f>
        <v>0</v>
      </c>
      <c r="CR413">
        <f>A!CP413</f>
        <v>0</v>
      </c>
      <c r="CS413">
        <f>A!CQ413</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32" t="str">
        <f>IF(A!P414="","",INDEX(B!$A$1:$BT$2000,MATCH(A!P414,B!$AX$1:$AX$2000,0),D!$B$5))</f>
        <v/>
      </c>
      <c r="Q414">
        <f>A!Q414</f>
        <v>0</v>
      </c>
      <c r="R414">
        <f>A!R414</f>
        <v>0</v>
      </c>
      <c r="S414">
        <f>A!S414</f>
        <v>0</v>
      </c>
      <c r="T414">
        <f>A!T414</f>
        <v>0</v>
      </c>
      <c r="U414">
        <f>A!U414</f>
        <v>0</v>
      </c>
      <c r="V414" s="32">
        <f>IF(A!V414="&lt;",1,A!V414)</f>
        <v>0</v>
      </c>
      <c r="W414">
        <f>A!W414</f>
        <v>0</v>
      </c>
      <c r="X414">
        <f>A!X414</f>
        <v>0</v>
      </c>
      <c r="Y414">
        <f>A!Y414</f>
        <v>0</v>
      </c>
      <c r="Z414" s="32">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32"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A!CO724</f>
        <v>0</v>
      </c>
      <c r="CR414">
        <f>A!CP414</f>
        <v>0</v>
      </c>
      <c r="CS414">
        <f>A!CQ414</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32" t="str">
        <f>IF(A!P415="","",INDEX(B!$A$1:$BT$2000,MATCH(A!P415,B!$AX$1:$AX$2000,0),D!$B$5))</f>
        <v/>
      </c>
      <c r="Q415">
        <f>A!Q415</f>
        <v>0</v>
      </c>
      <c r="R415">
        <f>A!R415</f>
        <v>0</v>
      </c>
      <c r="S415">
        <f>A!S415</f>
        <v>0</v>
      </c>
      <c r="T415">
        <f>A!T415</f>
        <v>0</v>
      </c>
      <c r="U415">
        <f>A!U415</f>
        <v>0</v>
      </c>
      <c r="V415" s="32">
        <f>IF(A!V415="&lt;",1,A!V415)</f>
        <v>0</v>
      </c>
      <c r="W415">
        <f>A!W415</f>
        <v>0</v>
      </c>
      <c r="X415">
        <f>A!X415</f>
        <v>0</v>
      </c>
      <c r="Y415">
        <f>A!Y415</f>
        <v>0</v>
      </c>
      <c r="Z415" s="32">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32"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A!CO725</f>
        <v>0</v>
      </c>
      <c r="CR415">
        <f>A!CP415</f>
        <v>0</v>
      </c>
      <c r="CS415">
        <f>A!CQ415</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32" t="str">
        <f>IF(A!P416="","",INDEX(B!$A$1:$BT$2000,MATCH(A!P416,B!$AX$1:$AX$2000,0),D!$B$5))</f>
        <v/>
      </c>
      <c r="Q416">
        <f>A!Q416</f>
        <v>0</v>
      </c>
      <c r="R416">
        <f>A!R416</f>
        <v>0</v>
      </c>
      <c r="S416">
        <f>A!S416</f>
        <v>0</v>
      </c>
      <c r="T416">
        <f>A!T416</f>
        <v>0</v>
      </c>
      <c r="U416">
        <f>A!U416</f>
        <v>0</v>
      </c>
      <c r="V416" s="32">
        <f>IF(A!V416="&lt;",1,A!V416)</f>
        <v>0</v>
      </c>
      <c r="W416">
        <f>A!W416</f>
        <v>0</v>
      </c>
      <c r="X416">
        <f>A!X416</f>
        <v>0</v>
      </c>
      <c r="Y416">
        <f>A!Y416</f>
        <v>0</v>
      </c>
      <c r="Z416" s="32">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32"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A!CO726</f>
        <v>0</v>
      </c>
      <c r="CR416">
        <f>A!CP416</f>
        <v>0</v>
      </c>
      <c r="CS416">
        <f>A!CQ416</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32" t="str">
        <f>IF(A!P417="","",INDEX(B!$A$1:$BT$2000,MATCH(A!P417,B!$AX$1:$AX$2000,0),D!$B$5))</f>
        <v/>
      </c>
      <c r="Q417">
        <f>A!Q417</f>
        <v>0</v>
      </c>
      <c r="R417">
        <f>A!R417</f>
        <v>0</v>
      </c>
      <c r="S417">
        <f>A!S417</f>
        <v>0</v>
      </c>
      <c r="T417">
        <f>A!T417</f>
        <v>0</v>
      </c>
      <c r="U417">
        <f>A!U417</f>
        <v>0</v>
      </c>
      <c r="V417" s="32">
        <f>IF(A!V417="&lt;",1,A!V417)</f>
        <v>0</v>
      </c>
      <c r="W417">
        <f>A!W417</f>
        <v>0</v>
      </c>
      <c r="X417">
        <f>A!X417</f>
        <v>0</v>
      </c>
      <c r="Y417">
        <f>A!Y417</f>
        <v>0</v>
      </c>
      <c r="Z417" s="32">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32"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A!CO727</f>
        <v>0</v>
      </c>
      <c r="CR417">
        <f>A!CP417</f>
        <v>0</v>
      </c>
      <c r="CS417">
        <f>A!CQ417</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32" t="str">
        <f>IF(A!P418="","",INDEX(B!$A$1:$BT$2000,MATCH(A!P418,B!$AX$1:$AX$2000,0),D!$B$5))</f>
        <v/>
      </c>
      <c r="Q418">
        <f>A!Q418</f>
        <v>0</v>
      </c>
      <c r="R418">
        <f>A!R418</f>
        <v>0</v>
      </c>
      <c r="S418">
        <f>A!S418</f>
        <v>0</v>
      </c>
      <c r="T418">
        <f>A!T418</f>
        <v>0</v>
      </c>
      <c r="U418">
        <f>A!U418</f>
        <v>0</v>
      </c>
      <c r="V418" s="32">
        <f>IF(A!V418="&lt;",1,A!V418)</f>
        <v>0</v>
      </c>
      <c r="W418">
        <f>A!W418</f>
        <v>0</v>
      </c>
      <c r="X418">
        <f>A!X418</f>
        <v>0</v>
      </c>
      <c r="Y418">
        <f>A!Y418</f>
        <v>0</v>
      </c>
      <c r="Z418" s="32">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32"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A!CO728</f>
        <v>0</v>
      </c>
      <c r="CR418">
        <f>A!CP418</f>
        <v>0</v>
      </c>
      <c r="CS418">
        <f>A!CQ418</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32" t="str">
        <f>IF(A!P419="","",INDEX(B!$A$1:$BT$2000,MATCH(A!P419,B!$AX$1:$AX$2000,0),D!$B$5))</f>
        <v/>
      </c>
      <c r="Q419">
        <f>A!Q419</f>
        <v>0</v>
      </c>
      <c r="R419">
        <f>A!R419</f>
        <v>0</v>
      </c>
      <c r="S419">
        <f>A!S419</f>
        <v>0</v>
      </c>
      <c r="T419">
        <f>A!T419</f>
        <v>0</v>
      </c>
      <c r="U419">
        <f>A!U419</f>
        <v>0</v>
      </c>
      <c r="V419" s="32">
        <f>IF(A!V419="&lt;",1,A!V419)</f>
        <v>0</v>
      </c>
      <c r="W419">
        <f>A!W419</f>
        <v>0</v>
      </c>
      <c r="X419">
        <f>A!X419</f>
        <v>0</v>
      </c>
      <c r="Y419">
        <f>A!Y419</f>
        <v>0</v>
      </c>
      <c r="Z419" s="32">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32"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A!CO729</f>
        <v>0</v>
      </c>
      <c r="CR419">
        <f>A!CP419</f>
        <v>0</v>
      </c>
      <c r="CS419">
        <f>A!CQ419</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32" t="str">
        <f>IF(A!P420="","",INDEX(B!$A$1:$BT$2000,MATCH(A!P420,B!$AX$1:$AX$2000,0),D!$B$5))</f>
        <v/>
      </c>
      <c r="Q420">
        <f>A!Q420</f>
        <v>0</v>
      </c>
      <c r="R420">
        <f>A!R420</f>
        <v>0</v>
      </c>
      <c r="S420">
        <f>A!S420</f>
        <v>0</v>
      </c>
      <c r="T420">
        <f>A!T420</f>
        <v>0</v>
      </c>
      <c r="U420">
        <f>A!U420</f>
        <v>0</v>
      </c>
      <c r="V420" s="32">
        <f>IF(A!V420="&lt;",1,A!V420)</f>
        <v>0</v>
      </c>
      <c r="W420">
        <f>A!W420</f>
        <v>0</v>
      </c>
      <c r="X420">
        <f>A!X420</f>
        <v>0</v>
      </c>
      <c r="Y420">
        <f>A!Y420</f>
        <v>0</v>
      </c>
      <c r="Z420" s="32">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32"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A!CO730</f>
        <v>0</v>
      </c>
      <c r="CR420">
        <f>A!CP420</f>
        <v>0</v>
      </c>
      <c r="CS420">
        <f>A!CQ420</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32" t="str">
        <f>IF(A!P421="","",INDEX(B!$A$1:$BT$2000,MATCH(A!P421,B!$AX$1:$AX$2000,0),D!$B$5))</f>
        <v/>
      </c>
      <c r="Q421">
        <f>A!Q421</f>
        <v>0</v>
      </c>
      <c r="R421">
        <f>A!R421</f>
        <v>0</v>
      </c>
      <c r="S421">
        <f>A!S421</f>
        <v>0</v>
      </c>
      <c r="T421">
        <f>A!T421</f>
        <v>0</v>
      </c>
      <c r="U421">
        <f>A!U421</f>
        <v>0</v>
      </c>
      <c r="V421" s="32">
        <f>IF(A!V421="&lt;",1,A!V421)</f>
        <v>0</v>
      </c>
      <c r="W421">
        <f>A!W421</f>
        <v>0</v>
      </c>
      <c r="X421">
        <f>A!X421</f>
        <v>0</v>
      </c>
      <c r="Y421">
        <f>A!Y421</f>
        <v>0</v>
      </c>
      <c r="Z421" s="32">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32"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A!CO731</f>
        <v>0</v>
      </c>
      <c r="CR421">
        <f>A!CP421</f>
        <v>0</v>
      </c>
      <c r="CS421">
        <f>A!CQ421</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32" t="str">
        <f>IF(A!P422="","",INDEX(B!$A$1:$BT$2000,MATCH(A!P422,B!$AX$1:$AX$2000,0),D!$B$5))</f>
        <v/>
      </c>
      <c r="Q422">
        <f>A!Q422</f>
        <v>0</v>
      </c>
      <c r="R422">
        <f>A!R422</f>
        <v>0</v>
      </c>
      <c r="S422">
        <f>A!S422</f>
        <v>0</v>
      </c>
      <c r="T422">
        <f>A!T422</f>
        <v>0</v>
      </c>
      <c r="U422">
        <f>A!U422</f>
        <v>0</v>
      </c>
      <c r="V422" s="32">
        <f>IF(A!V422="&lt;",1,A!V422)</f>
        <v>0</v>
      </c>
      <c r="W422">
        <f>A!W422</f>
        <v>0</v>
      </c>
      <c r="X422">
        <f>A!X422</f>
        <v>0</v>
      </c>
      <c r="Y422">
        <f>A!Y422</f>
        <v>0</v>
      </c>
      <c r="Z422" s="32">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32"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A!CO732</f>
        <v>0</v>
      </c>
      <c r="CR422">
        <f>A!CP422</f>
        <v>0</v>
      </c>
      <c r="CS422">
        <f>A!CQ422</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32" t="str">
        <f>IF(A!P423="","",INDEX(B!$A$1:$BT$2000,MATCH(A!P423,B!$AX$1:$AX$2000,0),D!$B$5))</f>
        <v/>
      </c>
      <c r="Q423">
        <f>A!Q423</f>
        <v>0</v>
      </c>
      <c r="R423">
        <f>A!R423</f>
        <v>0</v>
      </c>
      <c r="S423">
        <f>A!S423</f>
        <v>0</v>
      </c>
      <c r="T423">
        <f>A!T423</f>
        <v>0</v>
      </c>
      <c r="U423">
        <f>A!U423</f>
        <v>0</v>
      </c>
      <c r="V423" s="32">
        <f>IF(A!V423="&lt;",1,A!V423)</f>
        <v>0</v>
      </c>
      <c r="W423">
        <f>A!W423</f>
        <v>0</v>
      </c>
      <c r="X423">
        <f>A!X423</f>
        <v>0</v>
      </c>
      <c r="Y423">
        <f>A!Y423</f>
        <v>0</v>
      </c>
      <c r="Z423" s="32">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32"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A!CO733</f>
        <v>0</v>
      </c>
      <c r="CR423">
        <f>A!CP423</f>
        <v>0</v>
      </c>
      <c r="CS423">
        <f>A!CQ423</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32" t="str">
        <f>IF(A!P424="","",INDEX(B!$A$1:$BT$2000,MATCH(A!P424,B!$AX$1:$AX$2000,0),D!$B$5))</f>
        <v/>
      </c>
      <c r="Q424">
        <f>A!Q424</f>
        <v>0</v>
      </c>
      <c r="R424">
        <f>A!R424</f>
        <v>0</v>
      </c>
      <c r="S424">
        <f>A!S424</f>
        <v>0</v>
      </c>
      <c r="T424">
        <f>A!T424</f>
        <v>0</v>
      </c>
      <c r="U424">
        <f>A!U424</f>
        <v>0</v>
      </c>
      <c r="V424" s="32">
        <f>IF(A!V424="&lt;",1,A!V424)</f>
        <v>0</v>
      </c>
      <c r="W424">
        <f>A!W424</f>
        <v>0</v>
      </c>
      <c r="X424">
        <f>A!X424</f>
        <v>0</v>
      </c>
      <c r="Y424">
        <f>A!Y424</f>
        <v>0</v>
      </c>
      <c r="Z424" s="32">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32"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A!CO734</f>
        <v>0</v>
      </c>
      <c r="CR424">
        <f>A!CP424</f>
        <v>0</v>
      </c>
      <c r="CS424">
        <f>A!CQ424</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32" t="str">
        <f>IF(A!P425="","",INDEX(B!$A$1:$BT$2000,MATCH(A!P425,B!$AX$1:$AX$2000,0),D!$B$5))</f>
        <v/>
      </c>
      <c r="Q425">
        <f>A!Q425</f>
        <v>0</v>
      </c>
      <c r="R425">
        <f>A!R425</f>
        <v>0</v>
      </c>
      <c r="S425">
        <f>A!S425</f>
        <v>0</v>
      </c>
      <c r="T425">
        <f>A!T425</f>
        <v>0</v>
      </c>
      <c r="U425">
        <f>A!U425</f>
        <v>0</v>
      </c>
      <c r="V425" s="32">
        <f>IF(A!V425="&lt;",1,A!V425)</f>
        <v>0</v>
      </c>
      <c r="W425">
        <f>A!W425</f>
        <v>0</v>
      </c>
      <c r="X425">
        <f>A!X425</f>
        <v>0</v>
      </c>
      <c r="Y425">
        <f>A!Y425</f>
        <v>0</v>
      </c>
      <c r="Z425" s="32">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32"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A!CO735</f>
        <v>0</v>
      </c>
      <c r="CR425">
        <f>A!CP425</f>
        <v>0</v>
      </c>
      <c r="CS425">
        <f>A!CQ425</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32" t="str">
        <f>IF(A!P426="","",INDEX(B!$A$1:$BT$2000,MATCH(A!P426,B!$AX$1:$AX$2000,0),D!$B$5))</f>
        <v/>
      </c>
      <c r="Q426">
        <f>A!Q426</f>
        <v>0</v>
      </c>
      <c r="R426">
        <f>A!R426</f>
        <v>0</v>
      </c>
      <c r="S426">
        <f>A!S426</f>
        <v>0</v>
      </c>
      <c r="T426">
        <f>A!T426</f>
        <v>0</v>
      </c>
      <c r="U426">
        <f>A!U426</f>
        <v>0</v>
      </c>
      <c r="V426" s="32">
        <f>IF(A!V426="&lt;",1,A!V426)</f>
        <v>0</v>
      </c>
      <c r="W426">
        <f>A!W426</f>
        <v>0</v>
      </c>
      <c r="X426">
        <f>A!X426</f>
        <v>0</v>
      </c>
      <c r="Y426">
        <f>A!Y426</f>
        <v>0</v>
      </c>
      <c r="Z426" s="32">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32"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A!CO736</f>
        <v>0</v>
      </c>
      <c r="CR426">
        <f>A!CP426</f>
        <v>0</v>
      </c>
      <c r="CS426">
        <f>A!CQ426</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32" t="str">
        <f>IF(A!P427="","",INDEX(B!$A$1:$BT$2000,MATCH(A!P427,B!$AX$1:$AX$2000,0),D!$B$5))</f>
        <v/>
      </c>
      <c r="Q427">
        <f>A!Q427</f>
        <v>0</v>
      </c>
      <c r="R427">
        <f>A!R427</f>
        <v>0</v>
      </c>
      <c r="S427">
        <f>A!S427</f>
        <v>0</v>
      </c>
      <c r="T427">
        <f>A!T427</f>
        <v>0</v>
      </c>
      <c r="U427">
        <f>A!U427</f>
        <v>0</v>
      </c>
      <c r="V427" s="32">
        <f>IF(A!V427="&lt;",1,A!V427)</f>
        <v>0</v>
      </c>
      <c r="W427">
        <f>A!W427</f>
        <v>0</v>
      </c>
      <c r="X427">
        <f>A!X427</f>
        <v>0</v>
      </c>
      <c r="Y427">
        <f>A!Y427</f>
        <v>0</v>
      </c>
      <c r="Z427" s="32">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32"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A!CO737</f>
        <v>0</v>
      </c>
      <c r="CR427">
        <f>A!CP427</f>
        <v>0</v>
      </c>
      <c r="CS427">
        <f>A!CQ427</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32" t="str">
        <f>IF(A!P428="","",INDEX(B!$A$1:$BT$2000,MATCH(A!P428,B!$AX$1:$AX$2000,0),D!$B$5))</f>
        <v/>
      </c>
      <c r="Q428">
        <f>A!Q428</f>
        <v>0</v>
      </c>
      <c r="R428">
        <f>A!R428</f>
        <v>0</v>
      </c>
      <c r="S428">
        <f>A!S428</f>
        <v>0</v>
      </c>
      <c r="T428">
        <f>A!T428</f>
        <v>0</v>
      </c>
      <c r="U428">
        <f>A!U428</f>
        <v>0</v>
      </c>
      <c r="V428" s="32">
        <f>IF(A!V428="&lt;",1,A!V428)</f>
        <v>0</v>
      </c>
      <c r="W428">
        <f>A!W428</f>
        <v>0</v>
      </c>
      <c r="X428">
        <f>A!X428</f>
        <v>0</v>
      </c>
      <c r="Y428">
        <f>A!Y428</f>
        <v>0</v>
      </c>
      <c r="Z428" s="32">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32"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A!CO738</f>
        <v>0</v>
      </c>
      <c r="CR428">
        <f>A!CP428</f>
        <v>0</v>
      </c>
      <c r="CS428">
        <f>A!CQ428</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32" t="str">
        <f>IF(A!P429="","",INDEX(B!$A$1:$BT$2000,MATCH(A!P429,B!$AX$1:$AX$2000,0),D!$B$5))</f>
        <v/>
      </c>
      <c r="Q429">
        <f>A!Q429</f>
        <v>0</v>
      </c>
      <c r="R429">
        <f>A!R429</f>
        <v>0</v>
      </c>
      <c r="S429">
        <f>A!S429</f>
        <v>0</v>
      </c>
      <c r="T429">
        <f>A!T429</f>
        <v>0</v>
      </c>
      <c r="U429">
        <f>A!U429</f>
        <v>0</v>
      </c>
      <c r="V429" s="32">
        <f>IF(A!V429="&lt;",1,A!V429)</f>
        <v>0</v>
      </c>
      <c r="W429">
        <f>A!W429</f>
        <v>0</v>
      </c>
      <c r="X429">
        <f>A!X429</f>
        <v>0</v>
      </c>
      <c r="Y429">
        <f>A!Y429</f>
        <v>0</v>
      </c>
      <c r="Z429" s="32">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32"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A!CO739</f>
        <v>0</v>
      </c>
      <c r="CR429">
        <f>A!CP429</f>
        <v>0</v>
      </c>
      <c r="CS429">
        <f>A!CQ429</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32" t="str">
        <f>IF(A!P430="","",INDEX(B!$A$1:$BT$2000,MATCH(A!P430,B!$AX$1:$AX$2000,0),D!$B$5))</f>
        <v/>
      </c>
      <c r="Q430">
        <f>A!Q430</f>
        <v>0</v>
      </c>
      <c r="R430">
        <f>A!R430</f>
        <v>0</v>
      </c>
      <c r="S430">
        <f>A!S430</f>
        <v>0</v>
      </c>
      <c r="T430">
        <f>A!T430</f>
        <v>0</v>
      </c>
      <c r="U430">
        <f>A!U430</f>
        <v>0</v>
      </c>
      <c r="V430" s="32">
        <f>IF(A!V430="&lt;",1,A!V430)</f>
        <v>0</v>
      </c>
      <c r="W430">
        <f>A!W430</f>
        <v>0</v>
      </c>
      <c r="X430">
        <f>A!X430</f>
        <v>0</v>
      </c>
      <c r="Y430">
        <f>A!Y430</f>
        <v>0</v>
      </c>
      <c r="Z430" s="32">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32"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A!CO740</f>
        <v>0</v>
      </c>
      <c r="CR430">
        <f>A!CP430</f>
        <v>0</v>
      </c>
      <c r="CS430">
        <f>A!CQ430</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32" t="str">
        <f>IF(A!P431="","",INDEX(B!$A$1:$BT$2000,MATCH(A!P431,B!$AX$1:$AX$2000,0),D!$B$5))</f>
        <v/>
      </c>
      <c r="Q431">
        <f>A!Q431</f>
        <v>0</v>
      </c>
      <c r="R431">
        <f>A!R431</f>
        <v>0</v>
      </c>
      <c r="S431">
        <f>A!S431</f>
        <v>0</v>
      </c>
      <c r="T431">
        <f>A!T431</f>
        <v>0</v>
      </c>
      <c r="U431">
        <f>A!U431</f>
        <v>0</v>
      </c>
      <c r="V431" s="32">
        <f>IF(A!V431="&lt;",1,A!V431)</f>
        <v>0</v>
      </c>
      <c r="W431">
        <f>A!W431</f>
        <v>0</v>
      </c>
      <c r="X431">
        <f>A!X431</f>
        <v>0</v>
      </c>
      <c r="Y431">
        <f>A!Y431</f>
        <v>0</v>
      </c>
      <c r="Z431" s="32">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32"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A!CO741</f>
        <v>0</v>
      </c>
      <c r="CR431">
        <f>A!CP431</f>
        <v>0</v>
      </c>
      <c r="CS431">
        <f>A!CQ431</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32" t="str">
        <f>IF(A!P432="","",INDEX(B!$A$1:$BT$2000,MATCH(A!P432,B!$AX$1:$AX$2000,0),D!$B$5))</f>
        <v/>
      </c>
      <c r="Q432">
        <f>A!Q432</f>
        <v>0</v>
      </c>
      <c r="R432">
        <f>A!R432</f>
        <v>0</v>
      </c>
      <c r="S432">
        <f>A!S432</f>
        <v>0</v>
      </c>
      <c r="T432">
        <f>A!T432</f>
        <v>0</v>
      </c>
      <c r="U432">
        <f>A!U432</f>
        <v>0</v>
      </c>
      <c r="V432" s="32">
        <f>IF(A!V432="&lt;",1,A!V432)</f>
        <v>0</v>
      </c>
      <c r="W432">
        <f>A!W432</f>
        <v>0</v>
      </c>
      <c r="X432">
        <f>A!X432</f>
        <v>0</v>
      </c>
      <c r="Y432">
        <f>A!Y432</f>
        <v>0</v>
      </c>
      <c r="Z432" s="32">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32"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A!CO742</f>
        <v>0</v>
      </c>
      <c r="CR432">
        <f>A!CP432</f>
        <v>0</v>
      </c>
      <c r="CS432">
        <f>A!CQ432</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32" t="str">
        <f>IF(A!P433="","",INDEX(B!$A$1:$BT$2000,MATCH(A!P433,B!$AX$1:$AX$2000,0),D!$B$5))</f>
        <v/>
      </c>
      <c r="Q433">
        <f>A!Q433</f>
        <v>0</v>
      </c>
      <c r="R433">
        <f>A!R433</f>
        <v>0</v>
      </c>
      <c r="S433">
        <f>A!S433</f>
        <v>0</v>
      </c>
      <c r="T433">
        <f>A!T433</f>
        <v>0</v>
      </c>
      <c r="U433">
        <f>A!U433</f>
        <v>0</v>
      </c>
      <c r="V433" s="32">
        <f>IF(A!V433="&lt;",1,A!V433)</f>
        <v>0</v>
      </c>
      <c r="W433">
        <f>A!W433</f>
        <v>0</v>
      </c>
      <c r="X433">
        <f>A!X433</f>
        <v>0</v>
      </c>
      <c r="Y433">
        <f>A!Y433</f>
        <v>0</v>
      </c>
      <c r="Z433" s="32">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32"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A!CO743</f>
        <v>0</v>
      </c>
      <c r="CR433">
        <f>A!CP433</f>
        <v>0</v>
      </c>
      <c r="CS433">
        <f>A!CQ433</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32" t="str">
        <f>IF(A!P434="","",INDEX(B!$A$1:$BT$2000,MATCH(A!P434,B!$AX$1:$AX$2000,0),D!$B$5))</f>
        <v/>
      </c>
      <c r="Q434">
        <f>A!Q434</f>
        <v>0</v>
      </c>
      <c r="R434">
        <f>A!R434</f>
        <v>0</v>
      </c>
      <c r="S434">
        <f>A!S434</f>
        <v>0</v>
      </c>
      <c r="T434">
        <f>A!T434</f>
        <v>0</v>
      </c>
      <c r="U434">
        <f>A!U434</f>
        <v>0</v>
      </c>
      <c r="V434" s="32">
        <f>IF(A!V434="&lt;",1,A!V434)</f>
        <v>0</v>
      </c>
      <c r="W434">
        <f>A!W434</f>
        <v>0</v>
      </c>
      <c r="X434">
        <f>A!X434</f>
        <v>0</v>
      </c>
      <c r="Y434">
        <f>A!Y434</f>
        <v>0</v>
      </c>
      <c r="Z434" s="32">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32"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A!CO744</f>
        <v>0</v>
      </c>
      <c r="CR434">
        <f>A!CP434</f>
        <v>0</v>
      </c>
      <c r="CS434">
        <f>A!CQ434</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32" t="str">
        <f>IF(A!P435="","",INDEX(B!$A$1:$BT$2000,MATCH(A!P435,B!$AX$1:$AX$2000,0),D!$B$5))</f>
        <v/>
      </c>
      <c r="Q435">
        <f>A!Q435</f>
        <v>0</v>
      </c>
      <c r="R435">
        <f>A!R435</f>
        <v>0</v>
      </c>
      <c r="S435">
        <f>A!S435</f>
        <v>0</v>
      </c>
      <c r="T435">
        <f>A!T435</f>
        <v>0</v>
      </c>
      <c r="U435">
        <f>A!U435</f>
        <v>0</v>
      </c>
      <c r="V435" s="32">
        <f>IF(A!V435="&lt;",1,A!V435)</f>
        <v>0</v>
      </c>
      <c r="W435">
        <f>A!W435</f>
        <v>0</v>
      </c>
      <c r="X435">
        <f>A!X435</f>
        <v>0</v>
      </c>
      <c r="Y435">
        <f>A!Y435</f>
        <v>0</v>
      </c>
      <c r="Z435" s="32">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32"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A!CO745</f>
        <v>0</v>
      </c>
      <c r="CR435">
        <f>A!CP435</f>
        <v>0</v>
      </c>
      <c r="CS435">
        <f>A!CQ435</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32" t="str">
        <f>IF(A!P436="","",INDEX(B!$A$1:$BT$2000,MATCH(A!P436,B!$AX$1:$AX$2000,0),D!$B$5))</f>
        <v/>
      </c>
      <c r="Q436">
        <f>A!Q436</f>
        <v>0</v>
      </c>
      <c r="R436">
        <f>A!R436</f>
        <v>0</v>
      </c>
      <c r="S436">
        <f>A!S436</f>
        <v>0</v>
      </c>
      <c r="T436">
        <f>A!T436</f>
        <v>0</v>
      </c>
      <c r="U436">
        <f>A!U436</f>
        <v>0</v>
      </c>
      <c r="V436" s="32">
        <f>IF(A!V436="&lt;",1,A!V436)</f>
        <v>0</v>
      </c>
      <c r="W436">
        <f>A!W436</f>
        <v>0</v>
      </c>
      <c r="X436">
        <f>A!X436</f>
        <v>0</v>
      </c>
      <c r="Y436">
        <f>A!Y436</f>
        <v>0</v>
      </c>
      <c r="Z436" s="32">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32"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A!CO746</f>
        <v>0</v>
      </c>
      <c r="CR436">
        <f>A!CP436</f>
        <v>0</v>
      </c>
      <c r="CS436">
        <f>A!CQ436</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32" t="str">
        <f>IF(A!P437="","",INDEX(B!$A$1:$BT$2000,MATCH(A!P437,B!$AX$1:$AX$2000,0),D!$B$5))</f>
        <v/>
      </c>
      <c r="Q437">
        <f>A!Q437</f>
        <v>0</v>
      </c>
      <c r="R437">
        <f>A!R437</f>
        <v>0</v>
      </c>
      <c r="S437">
        <f>A!S437</f>
        <v>0</v>
      </c>
      <c r="T437">
        <f>A!T437</f>
        <v>0</v>
      </c>
      <c r="U437">
        <f>A!U437</f>
        <v>0</v>
      </c>
      <c r="V437" s="32">
        <f>IF(A!V437="&lt;",1,A!V437)</f>
        <v>0</v>
      </c>
      <c r="W437">
        <f>A!W437</f>
        <v>0</v>
      </c>
      <c r="X437">
        <f>A!X437</f>
        <v>0</v>
      </c>
      <c r="Y437">
        <f>A!Y437</f>
        <v>0</v>
      </c>
      <c r="Z437" s="32">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32"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A!CO747</f>
        <v>0</v>
      </c>
      <c r="CR437">
        <f>A!CP437</f>
        <v>0</v>
      </c>
      <c r="CS437">
        <f>A!CQ437</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32" t="str">
        <f>IF(A!P438="","",INDEX(B!$A$1:$BT$2000,MATCH(A!P438,B!$AX$1:$AX$2000,0),D!$B$5))</f>
        <v/>
      </c>
      <c r="Q438">
        <f>A!Q438</f>
        <v>0</v>
      </c>
      <c r="R438">
        <f>A!R438</f>
        <v>0</v>
      </c>
      <c r="S438">
        <f>A!S438</f>
        <v>0</v>
      </c>
      <c r="T438">
        <f>A!T438</f>
        <v>0</v>
      </c>
      <c r="U438">
        <f>A!U438</f>
        <v>0</v>
      </c>
      <c r="V438" s="32">
        <f>IF(A!V438="&lt;",1,A!V438)</f>
        <v>0</v>
      </c>
      <c r="W438">
        <f>A!W438</f>
        <v>0</v>
      </c>
      <c r="X438">
        <f>A!X438</f>
        <v>0</v>
      </c>
      <c r="Y438">
        <f>A!Y438</f>
        <v>0</v>
      </c>
      <c r="Z438" s="32">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32"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A!CO748</f>
        <v>0</v>
      </c>
      <c r="CR438">
        <f>A!CP438</f>
        <v>0</v>
      </c>
      <c r="CS438">
        <f>A!CQ438</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32" t="str">
        <f>IF(A!P439="","",INDEX(B!$A$1:$BT$2000,MATCH(A!P439,B!$AX$1:$AX$2000,0),D!$B$5))</f>
        <v/>
      </c>
      <c r="Q439">
        <f>A!Q439</f>
        <v>0</v>
      </c>
      <c r="R439">
        <f>A!R439</f>
        <v>0</v>
      </c>
      <c r="S439">
        <f>A!S439</f>
        <v>0</v>
      </c>
      <c r="T439">
        <f>A!T439</f>
        <v>0</v>
      </c>
      <c r="U439">
        <f>A!U439</f>
        <v>0</v>
      </c>
      <c r="V439" s="32">
        <f>IF(A!V439="&lt;",1,A!V439)</f>
        <v>0</v>
      </c>
      <c r="W439">
        <f>A!W439</f>
        <v>0</v>
      </c>
      <c r="X439">
        <f>A!X439</f>
        <v>0</v>
      </c>
      <c r="Y439">
        <f>A!Y439</f>
        <v>0</v>
      </c>
      <c r="Z439" s="32">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32"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A!CO749</f>
        <v>0</v>
      </c>
      <c r="CR439">
        <f>A!CP439</f>
        <v>0</v>
      </c>
      <c r="CS439">
        <f>A!CQ439</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32" t="str">
        <f>IF(A!P440="","",INDEX(B!$A$1:$BT$2000,MATCH(A!P440,B!$AX$1:$AX$2000,0),D!$B$5))</f>
        <v/>
      </c>
      <c r="Q440">
        <f>A!Q440</f>
        <v>0</v>
      </c>
      <c r="R440">
        <f>A!R440</f>
        <v>0</v>
      </c>
      <c r="S440">
        <f>A!S440</f>
        <v>0</v>
      </c>
      <c r="T440">
        <f>A!T440</f>
        <v>0</v>
      </c>
      <c r="U440">
        <f>A!U440</f>
        <v>0</v>
      </c>
      <c r="V440" s="32">
        <f>IF(A!V440="&lt;",1,A!V440)</f>
        <v>0</v>
      </c>
      <c r="W440">
        <f>A!W440</f>
        <v>0</v>
      </c>
      <c r="X440">
        <f>A!X440</f>
        <v>0</v>
      </c>
      <c r="Y440">
        <f>A!Y440</f>
        <v>0</v>
      </c>
      <c r="Z440" s="32">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32"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A!CO750</f>
        <v>0</v>
      </c>
      <c r="CR440">
        <f>A!CP440</f>
        <v>0</v>
      </c>
      <c r="CS440">
        <f>A!CQ440</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32" t="str">
        <f>IF(A!P441="","",INDEX(B!$A$1:$BT$2000,MATCH(A!P441,B!$AX$1:$AX$2000,0),D!$B$5))</f>
        <v/>
      </c>
      <c r="Q441">
        <f>A!Q441</f>
        <v>0</v>
      </c>
      <c r="R441">
        <f>A!R441</f>
        <v>0</v>
      </c>
      <c r="S441">
        <f>A!S441</f>
        <v>0</v>
      </c>
      <c r="T441">
        <f>A!T441</f>
        <v>0</v>
      </c>
      <c r="U441">
        <f>A!U441</f>
        <v>0</v>
      </c>
      <c r="V441" s="32">
        <f>IF(A!V441="&lt;",1,A!V441)</f>
        <v>0</v>
      </c>
      <c r="W441">
        <f>A!W441</f>
        <v>0</v>
      </c>
      <c r="X441">
        <f>A!X441</f>
        <v>0</v>
      </c>
      <c r="Y441">
        <f>A!Y441</f>
        <v>0</v>
      </c>
      <c r="Z441" s="32">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32"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A!CO751</f>
        <v>0</v>
      </c>
      <c r="CR441">
        <f>A!CP441</f>
        <v>0</v>
      </c>
      <c r="CS441">
        <f>A!CQ441</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32" t="str">
        <f>IF(A!P442="","",INDEX(B!$A$1:$BT$2000,MATCH(A!P442,B!$AX$1:$AX$2000,0),D!$B$5))</f>
        <v/>
      </c>
      <c r="Q442">
        <f>A!Q442</f>
        <v>0</v>
      </c>
      <c r="R442">
        <f>A!R442</f>
        <v>0</v>
      </c>
      <c r="S442">
        <f>A!S442</f>
        <v>0</v>
      </c>
      <c r="T442">
        <f>A!T442</f>
        <v>0</v>
      </c>
      <c r="U442">
        <f>A!U442</f>
        <v>0</v>
      </c>
      <c r="V442" s="32">
        <f>IF(A!V442="&lt;",1,A!V442)</f>
        <v>0</v>
      </c>
      <c r="W442">
        <f>A!W442</f>
        <v>0</v>
      </c>
      <c r="X442">
        <f>A!X442</f>
        <v>0</v>
      </c>
      <c r="Y442">
        <f>A!Y442</f>
        <v>0</v>
      </c>
      <c r="Z442" s="32">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32"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A!CO752</f>
        <v>0</v>
      </c>
      <c r="CR442">
        <f>A!CP442</f>
        <v>0</v>
      </c>
      <c r="CS442">
        <f>A!CQ442</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32" t="str">
        <f>IF(A!P443="","",INDEX(B!$A$1:$BT$2000,MATCH(A!P443,B!$AX$1:$AX$2000,0),D!$B$5))</f>
        <v/>
      </c>
      <c r="Q443">
        <f>A!Q443</f>
        <v>0</v>
      </c>
      <c r="R443">
        <f>A!R443</f>
        <v>0</v>
      </c>
      <c r="S443">
        <f>A!S443</f>
        <v>0</v>
      </c>
      <c r="T443">
        <f>A!T443</f>
        <v>0</v>
      </c>
      <c r="U443">
        <f>A!U443</f>
        <v>0</v>
      </c>
      <c r="V443" s="32">
        <f>IF(A!V443="&lt;",1,A!V443)</f>
        <v>0</v>
      </c>
      <c r="W443">
        <f>A!W443</f>
        <v>0</v>
      </c>
      <c r="X443">
        <f>A!X443</f>
        <v>0</v>
      </c>
      <c r="Y443">
        <f>A!Y443</f>
        <v>0</v>
      </c>
      <c r="Z443" s="32">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32"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A!CO753</f>
        <v>0</v>
      </c>
      <c r="CR443">
        <f>A!CP443</f>
        <v>0</v>
      </c>
      <c r="CS443">
        <f>A!CQ443</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32" t="str">
        <f>IF(A!P444="","",INDEX(B!$A$1:$BT$2000,MATCH(A!P444,B!$AX$1:$AX$2000,0),D!$B$5))</f>
        <v/>
      </c>
      <c r="Q444">
        <f>A!Q444</f>
        <v>0</v>
      </c>
      <c r="R444">
        <f>A!R444</f>
        <v>0</v>
      </c>
      <c r="S444">
        <f>A!S444</f>
        <v>0</v>
      </c>
      <c r="T444">
        <f>A!T444</f>
        <v>0</v>
      </c>
      <c r="U444">
        <f>A!U444</f>
        <v>0</v>
      </c>
      <c r="V444" s="32">
        <f>IF(A!V444="&lt;",1,A!V444)</f>
        <v>0</v>
      </c>
      <c r="W444">
        <f>A!W444</f>
        <v>0</v>
      </c>
      <c r="X444">
        <f>A!X444</f>
        <v>0</v>
      </c>
      <c r="Y444">
        <f>A!Y444</f>
        <v>0</v>
      </c>
      <c r="Z444" s="32">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32"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A!CO754</f>
        <v>0</v>
      </c>
      <c r="CR444">
        <f>A!CP444</f>
        <v>0</v>
      </c>
      <c r="CS444">
        <f>A!CQ444</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32" t="str">
        <f>IF(A!P445="","",INDEX(B!$A$1:$BT$2000,MATCH(A!P445,B!$AX$1:$AX$2000,0),D!$B$5))</f>
        <v/>
      </c>
      <c r="Q445">
        <f>A!Q445</f>
        <v>0</v>
      </c>
      <c r="R445">
        <f>A!R445</f>
        <v>0</v>
      </c>
      <c r="S445">
        <f>A!S445</f>
        <v>0</v>
      </c>
      <c r="T445">
        <f>A!T445</f>
        <v>0</v>
      </c>
      <c r="U445">
        <f>A!U445</f>
        <v>0</v>
      </c>
      <c r="V445" s="32">
        <f>IF(A!V445="&lt;",1,A!V445)</f>
        <v>0</v>
      </c>
      <c r="W445">
        <f>A!W445</f>
        <v>0</v>
      </c>
      <c r="X445">
        <f>A!X445</f>
        <v>0</v>
      </c>
      <c r="Y445">
        <f>A!Y445</f>
        <v>0</v>
      </c>
      <c r="Z445" s="32">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32"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A!CO755</f>
        <v>0</v>
      </c>
      <c r="CR445">
        <f>A!CP445</f>
        <v>0</v>
      </c>
      <c r="CS445">
        <f>A!CQ445</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32" t="str">
        <f>IF(A!P446="","",INDEX(B!$A$1:$BT$2000,MATCH(A!P446,B!$AX$1:$AX$2000,0),D!$B$5))</f>
        <v/>
      </c>
      <c r="Q446">
        <f>A!Q446</f>
        <v>0</v>
      </c>
      <c r="R446">
        <f>A!R446</f>
        <v>0</v>
      </c>
      <c r="S446">
        <f>A!S446</f>
        <v>0</v>
      </c>
      <c r="T446">
        <f>A!T446</f>
        <v>0</v>
      </c>
      <c r="U446">
        <f>A!U446</f>
        <v>0</v>
      </c>
      <c r="V446" s="32">
        <f>IF(A!V446="&lt;",1,A!V446)</f>
        <v>0</v>
      </c>
      <c r="W446">
        <f>A!W446</f>
        <v>0</v>
      </c>
      <c r="X446">
        <f>A!X446</f>
        <v>0</v>
      </c>
      <c r="Y446">
        <f>A!Y446</f>
        <v>0</v>
      </c>
      <c r="Z446" s="32">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32"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A!CO756</f>
        <v>0</v>
      </c>
      <c r="CR446">
        <f>A!CP446</f>
        <v>0</v>
      </c>
      <c r="CS446">
        <f>A!CQ446</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32" t="str">
        <f>IF(A!P447="","",INDEX(B!$A$1:$BT$2000,MATCH(A!P447,B!$AX$1:$AX$2000,0),D!$B$5))</f>
        <v/>
      </c>
      <c r="Q447">
        <f>A!Q447</f>
        <v>0</v>
      </c>
      <c r="R447">
        <f>A!R447</f>
        <v>0</v>
      </c>
      <c r="S447">
        <f>A!S447</f>
        <v>0</v>
      </c>
      <c r="T447">
        <f>A!T447</f>
        <v>0</v>
      </c>
      <c r="U447">
        <f>A!U447</f>
        <v>0</v>
      </c>
      <c r="V447" s="32">
        <f>IF(A!V447="&lt;",1,A!V447)</f>
        <v>0</v>
      </c>
      <c r="W447">
        <f>A!W447</f>
        <v>0</v>
      </c>
      <c r="X447">
        <f>A!X447</f>
        <v>0</v>
      </c>
      <c r="Y447">
        <f>A!Y447</f>
        <v>0</v>
      </c>
      <c r="Z447" s="32">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32"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A!CO757</f>
        <v>0</v>
      </c>
      <c r="CR447">
        <f>A!CP447</f>
        <v>0</v>
      </c>
      <c r="CS447">
        <f>A!CQ447</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32" t="str">
        <f>IF(A!P448="","",INDEX(B!$A$1:$BT$2000,MATCH(A!P448,B!$AX$1:$AX$2000,0),D!$B$5))</f>
        <v/>
      </c>
      <c r="Q448">
        <f>A!Q448</f>
        <v>0</v>
      </c>
      <c r="R448">
        <f>A!R448</f>
        <v>0</v>
      </c>
      <c r="S448">
        <f>A!S448</f>
        <v>0</v>
      </c>
      <c r="T448">
        <f>A!T448</f>
        <v>0</v>
      </c>
      <c r="U448">
        <f>A!U448</f>
        <v>0</v>
      </c>
      <c r="V448" s="32">
        <f>IF(A!V448="&lt;",1,A!V448)</f>
        <v>0</v>
      </c>
      <c r="W448">
        <f>A!W448</f>
        <v>0</v>
      </c>
      <c r="X448">
        <f>A!X448</f>
        <v>0</v>
      </c>
      <c r="Y448">
        <f>A!Y448</f>
        <v>0</v>
      </c>
      <c r="Z448" s="32">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32"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A!CO758</f>
        <v>0</v>
      </c>
      <c r="CR448">
        <f>A!CP448</f>
        <v>0</v>
      </c>
      <c r="CS448">
        <f>A!CQ448</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32" t="str">
        <f>IF(A!P449="","",INDEX(B!$A$1:$BT$2000,MATCH(A!P449,B!$AX$1:$AX$2000,0),D!$B$5))</f>
        <v/>
      </c>
      <c r="Q449">
        <f>A!Q449</f>
        <v>0</v>
      </c>
      <c r="R449">
        <f>A!R449</f>
        <v>0</v>
      </c>
      <c r="S449">
        <f>A!S449</f>
        <v>0</v>
      </c>
      <c r="T449">
        <f>A!T449</f>
        <v>0</v>
      </c>
      <c r="U449">
        <f>A!U449</f>
        <v>0</v>
      </c>
      <c r="V449" s="32">
        <f>IF(A!V449="&lt;",1,A!V449)</f>
        <v>0</v>
      </c>
      <c r="W449">
        <f>A!W449</f>
        <v>0</v>
      </c>
      <c r="X449">
        <f>A!X449</f>
        <v>0</v>
      </c>
      <c r="Y449">
        <f>A!Y449</f>
        <v>0</v>
      </c>
      <c r="Z449" s="32">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32"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A!CO759</f>
        <v>0</v>
      </c>
      <c r="CR449">
        <f>A!CP449</f>
        <v>0</v>
      </c>
      <c r="CS449">
        <f>A!CQ449</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32" t="str">
        <f>IF(A!P450="","",INDEX(B!$A$1:$BT$2000,MATCH(A!P450,B!$AX$1:$AX$2000,0),D!$B$5))</f>
        <v/>
      </c>
      <c r="Q450">
        <f>A!Q450</f>
        <v>0</v>
      </c>
      <c r="R450">
        <f>A!R450</f>
        <v>0</v>
      </c>
      <c r="S450">
        <f>A!S450</f>
        <v>0</v>
      </c>
      <c r="T450">
        <f>A!T450</f>
        <v>0</v>
      </c>
      <c r="U450">
        <f>A!U450</f>
        <v>0</v>
      </c>
      <c r="V450" s="32">
        <f>IF(A!V450="&lt;",1,A!V450)</f>
        <v>0</v>
      </c>
      <c r="W450">
        <f>A!W450</f>
        <v>0</v>
      </c>
      <c r="X450">
        <f>A!X450</f>
        <v>0</v>
      </c>
      <c r="Y450">
        <f>A!Y450</f>
        <v>0</v>
      </c>
      <c r="Z450" s="32">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32"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A!CO760</f>
        <v>0</v>
      </c>
      <c r="CR450">
        <f>A!CP450</f>
        <v>0</v>
      </c>
      <c r="CS450">
        <f>A!CQ450</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32" t="str">
        <f>IF(A!P451="","",INDEX(B!$A$1:$BT$2000,MATCH(A!P451,B!$AX$1:$AX$2000,0),D!$B$5))</f>
        <v/>
      </c>
      <c r="Q451">
        <f>A!Q451</f>
        <v>0</v>
      </c>
      <c r="R451">
        <f>A!R451</f>
        <v>0</v>
      </c>
      <c r="S451">
        <f>A!S451</f>
        <v>0</v>
      </c>
      <c r="T451">
        <f>A!T451</f>
        <v>0</v>
      </c>
      <c r="U451">
        <f>A!U451</f>
        <v>0</v>
      </c>
      <c r="V451" s="32">
        <f>IF(A!V451="&lt;",1,A!V451)</f>
        <v>0</v>
      </c>
      <c r="W451">
        <f>A!W451</f>
        <v>0</v>
      </c>
      <c r="X451">
        <f>A!X451</f>
        <v>0</v>
      </c>
      <c r="Y451">
        <f>A!Y451</f>
        <v>0</v>
      </c>
      <c r="Z451" s="32">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32"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A!CO761</f>
        <v>0</v>
      </c>
      <c r="CR451">
        <f>A!CP451</f>
        <v>0</v>
      </c>
      <c r="CS451">
        <f>A!CQ451</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32" t="str">
        <f>IF(A!P452="","",INDEX(B!$A$1:$BT$2000,MATCH(A!P452,B!$AX$1:$AX$2000,0),D!$B$5))</f>
        <v/>
      </c>
      <c r="Q452">
        <f>A!Q452</f>
        <v>0</v>
      </c>
      <c r="R452">
        <f>A!R452</f>
        <v>0</v>
      </c>
      <c r="S452">
        <f>A!S452</f>
        <v>0</v>
      </c>
      <c r="T452">
        <f>A!T452</f>
        <v>0</v>
      </c>
      <c r="U452">
        <f>A!U452</f>
        <v>0</v>
      </c>
      <c r="V452" s="32">
        <f>IF(A!V452="&lt;",1,A!V452)</f>
        <v>0</v>
      </c>
      <c r="W452">
        <f>A!W452</f>
        <v>0</v>
      </c>
      <c r="X452">
        <f>A!X452</f>
        <v>0</v>
      </c>
      <c r="Y452">
        <f>A!Y452</f>
        <v>0</v>
      </c>
      <c r="Z452" s="32">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32"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A!CO762</f>
        <v>0</v>
      </c>
      <c r="CR452">
        <f>A!CP452</f>
        <v>0</v>
      </c>
      <c r="CS452">
        <f>A!CQ452</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32" t="str">
        <f>IF(A!P453="","",INDEX(B!$A$1:$BT$2000,MATCH(A!P453,B!$AX$1:$AX$2000,0),D!$B$5))</f>
        <v/>
      </c>
      <c r="Q453">
        <f>A!Q453</f>
        <v>0</v>
      </c>
      <c r="R453">
        <f>A!R453</f>
        <v>0</v>
      </c>
      <c r="S453">
        <f>A!S453</f>
        <v>0</v>
      </c>
      <c r="T453">
        <f>A!T453</f>
        <v>0</v>
      </c>
      <c r="U453">
        <f>A!U453</f>
        <v>0</v>
      </c>
      <c r="V453" s="32">
        <f>IF(A!V453="&lt;",1,A!V453)</f>
        <v>0</v>
      </c>
      <c r="W453">
        <f>A!W453</f>
        <v>0</v>
      </c>
      <c r="X453">
        <f>A!X453</f>
        <v>0</v>
      </c>
      <c r="Y453">
        <f>A!Y453</f>
        <v>0</v>
      </c>
      <c r="Z453" s="32">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32"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A!CO763</f>
        <v>0</v>
      </c>
      <c r="CR453">
        <f>A!CP453</f>
        <v>0</v>
      </c>
      <c r="CS453">
        <f>A!CQ453</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32" t="str">
        <f>IF(A!P454="","",INDEX(B!$A$1:$BT$2000,MATCH(A!P454,B!$AX$1:$AX$2000,0),D!$B$5))</f>
        <v/>
      </c>
      <c r="Q454">
        <f>A!Q454</f>
        <v>0</v>
      </c>
      <c r="R454">
        <f>A!R454</f>
        <v>0</v>
      </c>
      <c r="S454">
        <f>A!S454</f>
        <v>0</v>
      </c>
      <c r="T454">
        <f>A!T454</f>
        <v>0</v>
      </c>
      <c r="U454">
        <f>A!U454</f>
        <v>0</v>
      </c>
      <c r="V454" s="32">
        <f>IF(A!V454="&lt;",1,A!V454)</f>
        <v>0</v>
      </c>
      <c r="W454">
        <f>A!W454</f>
        <v>0</v>
      </c>
      <c r="X454">
        <f>A!X454</f>
        <v>0</v>
      </c>
      <c r="Y454">
        <f>A!Y454</f>
        <v>0</v>
      </c>
      <c r="Z454" s="32">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32"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A!CO764</f>
        <v>0</v>
      </c>
      <c r="CR454">
        <f>A!CP454</f>
        <v>0</v>
      </c>
      <c r="CS454">
        <f>A!CQ454</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32" t="str">
        <f>IF(A!P455="","",INDEX(B!$A$1:$BT$2000,MATCH(A!P455,B!$AX$1:$AX$2000,0),D!$B$5))</f>
        <v/>
      </c>
      <c r="Q455">
        <f>A!Q455</f>
        <v>0</v>
      </c>
      <c r="R455">
        <f>A!R455</f>
        <v>0</v>
      </c>
      <c r="S455">
        <f>A!S455</f>
        <v>0</v>
      </c>
      <c r="T455">
        <f>A!T455</f>
        <v>0</v>
      </c>
      <c r="U455">
        <f>A!U455</f>
        <v>0</v>
      </c>
      <c r="V455" s="32">
        <f>IF(A!V455="&lt;",1,A!V455)</f>
        <v>0</v>
      </c>
      <c r="W455">
        <f>A!W455</f>
        <v>0</v>
      </c>
      <c r="X455">
        <f>A!X455</f>
        <v>0</v>
      </c>
      <c r="Y455">
        <f>A!Y455</f>
        <v>0</v>
      </c>
      <c r="Z455" s="32">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32"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A!CO765</f>
        <v>0</v>
      </c>
      <c r="CR455">
        <f>A!CP455</f>
        <v>0</v>
      </c>
      <c r="CS455">
        <f>A!CQ455</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32" t="str">
        <f>IF(A!P456="","",INDEX(B!$A$1:$BT$2000,MATCH(A!P456,B!$AX$1:$AX$2000,0),D!$B$5))</f>
        <v/>
      </c>
      <c r="Q456">
        <f>A!Q456</f>
        <v>0</v>
      </c>
      <c r="R456">
        <f>A!R456</f>
        <v>0</v>
      </c>
      <c r="S456">
        <f>A!S456</f>
        <v>0</v>
      </c>
      <c r="T456">
        <f>A!T456</f>
        <v>0</v>
      </c>
      <c r="U456">
        <f>A!U456</f>
        <v>0</v>
      </c>
      <c r="V456" s="32">
        <f>IF(A!V456="&lt;",1,A!V456)</f>
        <v>0</v>
      </c>
      <c r="W456">
        <f>A!W456</f>
        <v>0</v>
      </c>
      <c r="X456">
        <f>A!X456</f>
        <v>0</v>
      </c>
      <c r="Y456">
        <f>A!Y456</f>
        <v>0</v>
      </c>
      <c r="Z456" s="32">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32"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A!CO766</f>
        <v>0</v>
      </c>
      <c r="CR456">
        <f>A!CP456</f>
        <v>0</v>
      </c>
      <c r="CS456">
        <f>A!CQ456</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32" t="str">
        <f>IF(A!P457="","",INDEX(B!$A$1:$BT$2000,MATCH(A!P457,B!$AX$1:$AX$2000,0),D!$B$5))</f>
        <v/>
      </c>
      <c r="Q457">
        <f>A!Q457</f>
        <v>0</v>
      </c>
      <c r="R457">
        <f>A!R457</f>
        <v>0</v>
      </c>
      <c r="S457">
        <f>A!S457</f>
        <v>0</v>
      </c>
      <c r="T457">
        <f>A!T457</f>
        <v>0</v>
      </c>
      <c r="U457">
        <f>A!U457</f>
        <v>0</v>
      </c>
      <c r="V457" s="32">
        <f>IF(A!V457="&lt;",1,A!V457)</f>
        <v>0</v>
      </c>
      <c r="W457">
        <f>A!W457</f>
        <v>0</v>
      </c>
      <c r="X457">
        <f>A!X457</f>
        <v>0</v>
      </c>
      <c r="Y457">
        <f>A!Y457</f>
        <v>0</v>
      </c>
      <c r="Z457" s="32">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32"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A!CO767</f>
        <v>0</v>
      </c>
      <c r="CR457">
        <f>A!CP457</f>
        <v>0</v>
      </c>
      <c r="CS457">
        <f>A!CQ457</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32" t="str">
        <f>IF(A!P458="","",INDEX(B!$A$1:$BT$2000,MATCH(A!P458,B!$AX$1:$AX$2000,0),D!$B$5))</f>
        <v/>
      </c>
      <c r="Q458">
        <f>A!Q458</f>
        <v>0</v>
      </c>
      <c r="R458">
        <f>A!R458</f>
        <v>0</v>
      </c>
      <c r="S458">
        <f>A!S458</f>
        <v>0</v>
      </c>
      <c r="T458">
        <f>A!T458</f>
        <v>0</v>
      </c>
      <c r="U458">
        <f>A!U458</f>
        <v>0</v>
      </c>
      <c r="V458" s="32">
        <f>IF(A!V458="&lt;",1,A!V458)</f>
        <v>0</v>
      </c>
      <c r="W458">
        <f>A!W458</f>
        <v>0</v>
      </c>
      <c r="X458">
        <f>A!X458</f>
        <v>0</v>
      </c>
      <c r="Y458">
        <f>A!Y458</f>
        <v>0</v>
      </c>
      <c r="Z458" s="32">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32"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A!CO768</f>
        <v>0</v>
      </c>
      <c r="CR458">
        <f>A!CP458</f>
        <v>0</v>
      </c>
      <c r="CS458">
        <f>A!CQ458</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32" t="str">
        <f>IF(A!P459="","",INDEX(B!$A$1:$BT$2000,MATCH(A!P459,B!$AX$1:$AX$2000,0),D!$B$5))</f>
        <v/>
      </c>
      <c r="Q459">
        <f>A!Q459</f>
        <v>0</v>
      </c>
      <c r="R459">
        <f>A!R459</f>
        <v>0</v>
      </c>
      <c r="S459">
        <f>A!S459</f>
        <v>0</v>
      </c>
      <c r="T459">
        <f>A!T459</f>
        <v>0</v>
      </c>
      <c r="U459">
        <f>A!U459</f>
        <v>0</v>
      </c>
      <c r="V459" s="32">
        <f>IF(A!V459="&lt;",1,A!V459)</f>
        <v>0</v>
      </c>
      <c r="W459">
        <f>A!W459</f>
        <v>0</v>
      </c>
      <c r="X459">
        <f>A!X459</f>
        <v>0</v>
      </c>
      <c r="Y459">
        <f>A!Y459</f>
        <v>0</v>
      </c>
      <c r="Z459" s="32">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32"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A!CO769</f>
        <v>0</v>
      </c>
      <c r="CR459">
        <f>A!CP459</f>
        <v>0</v>
      </c>
      <c r="CS459">
        <f>A!CQ459</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32" t="str">
        <f>IF(A!P460="","",INDEX(B!$A$1:$BT$2000,MATCH(A!P460,B!$AX$1:$AX$2000,0),D!$B$5))</f>
        <v/>
      </c>
      <c r="Q460">
        <f>A!Q460</f>
        <v>0</v>
      </c>
      <c r="R460">
        <f>A!R460</f>
        <v>0</v>
      </c>
      <c r="S460">
        <f>A!S460</f>
        <v>0</v>
      </c>
      <c r="T460">
        <f>A!T460</f>
        <v>0</v>
      </c>
      <c r="U460">
        <f>A!U460</f>
        <v>0</v>
      </c>
      <c r="V460" s="32">
        <f>IF(A!V460="&lt;",1,A!V460)</f>
        <v>0</v>
      </c>
      <c r="W460">
        <f>A!W460</f>
        <v>0</v>
      </c>
      <c r="X460">
        <f>A!X460</f>
        <v>0</v>
      </c>
      <c r="Y460">
        <f>A!Y460</f>
        <v>0</v>
      </c>
      <c r="Z460" s="32">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32"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A!CO770</f>
        <v>0</v>
      </c>
      <c r="CR460">
        <f>A!CP460</f>
        <v>0</v>
      </c>
      <c r="CS460">
        <f>A!CQ460</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32" t="str">
        <f>IF(A!P461="","",INDEX(B!$A$1:$BT$2000,MATCH(A!P461,B!$AX$1:$AX$2000,0),D!$B$5))</f>
        <v/>
      </c>
      <c r="Q461">
        <f>A!Q461</f>
        <v>0</v>
      </c>
      <c r="R461">
        <f>A!R461</f>
        <v>0</v>
      </c>
      <c r="S461">
        <f>A!S461</f>
        <v>0</v>
      </c>
      <c r="T461">
        <f>A!T461</f>
        <v>0</v>
      </c>
      <c r="U461">
        <f>A!U461</f>
        <v>0</v>
      </c>
      <c r="V461" s="32">
        <f>IF(A!V461="&lt;",1,A!V461)</f>
        <v>0</v>
      </c>
      <c r="W461">
        <f>A!W461</f>
        <v>0</v>
      </c>
      <c r="X461">
        <f>A!X461</f>
        <v>0</v>
      </c>
      <c r="Y461">
        <f>A!Y461</f>
        <v>0</v>
      </c>
      <c r="Z461" s="32">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32"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A!CO771</f>
        <v>0</v>
      </c>
      <c r="CR461">
        <f>A!CP461</f>
        <v>0</v>
      </c>
      <c r="CS461">
        <f>A!CQ461</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32" t="str">
        <f>IF(A!P462="","",INDEX(B!$A$1:$BT$2000,MATCH(A!P462,B!$AX$1:$AX$2000,0),D!$B$5))</f>
        <v/>
      </c>
      <c r="Q462">
        <f>A!Q462</f>
        <v>0</v>
      </c>
      <c r="R462">
        <f>A!R462</f>
        <v>0</v>
      </c>
      <c r="S462">
        <f>A!S462</f>
        <v>0</v>
      </c>
      <c r="T462">
        <f>A!T462</f>
        <v>0</v>
      </c>
      <c r="U462">
        <f>A!U462</f>
        <v>0</v>
      </c>
      <c r="V462" s="32">
        <f>IF(A!V462="&lt;",1,A!V462)</f>
        <v>0</v>
      </c>
      <c r="W462">
        <f>A!W462</f>
        <v>0</v>
      </c>
      <c r="X462">
        <f>A!X462</f>
        <v>0</v>
      </c>
      <c r="Y462">
        <f>A!Y462</f>
        <v>0</v>
      </c>
      <c r="Z462" s="32">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32"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A!CO772</f>
        <v>0</v>
      </c>
      <c r="CR462">
        <f>A!CP462</f>
        <v>0</v>
      </c>
      <c r="CS462">
        <f>A!CQ462</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32" t="str">
        <f>IF(A!P463="","",INDEX(B!$A$1:$BT$2000,MATCH(A!P463,B!$AX$1:$AX$2000,0),D!$B$5))</f>
        <v/>
      </c>
      <c r="Q463">
        <f>A!Q463</f>
        <v>0</v>
      </c>
      <c r="R463">
        <f>A!R463</f>
        <v>0</v>
      </c>
      <c r="S463">
        <f>A!S463</f>
        <v>0</v>
      </c>
      <c r="T463">
        <f>A!T463</f>
        <v>0</v>
      </c>
      <c r="U463">
        <f>A!U463</f>
        <v>0</v>
      </c>
      <c r="V463" s="32">
        <f>IF(A!V463="&lt;",1,A!V463)</f>
        <v>0</v>
      </c>
      <c r="W463">
        <f>A!W463</f>
        <v>0</v>
      </c>
      <c r="X463">
        <f>A!X463</f>
        <v>0</v>
      </c>
      <c r="Y463">
        <f>A!Y463</f>
        <v>0</v>
      </c>
      <c r="Z463" s="32">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32"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A!CO773</f>
        <v>0</v>
      </c>
      <c r="CR463">
        <f>A!CP463</f>
        <v>0</v>
      </c>
      <c r="CS463">
        <f>A!CQ463</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32" t="str">
        <f>IF(A!P464="","",INDEX(B!$A$1:$BT$2000,MATCH(A!P464,B!$AX$1:$AX$2000,0),D!$B$5))</f>
        <v/>
      </c>
      <c r="Q464">
        <f>A!Q464</f>
        <v>0</v>
      </c>
      <c r="R464">
        <f>A!R464</f>
        <v>0</v>
      </c>
      <c r="S464">
        <f>A!S464</f>
        <v>0</v>
      </c>
      <c r="T464">
        <f>A!T464</f>
        <v>0</v>
      </c>
      <c r="U464">
        <f>A!U464</f>
        <v>0</v>
      </c>
      <c r="V464" s="32">
        <f>IF(A!V464="&lt;",1,A!V464)</f>
        <v>0</v>
      </c>
      <c r="W464">
        <f>A!W464</f>
        <v>0</v>
      </c>
      <c r="X464">
        <f>A!X464</f>
        <v>0</v>
      </c>
      <c r="Y464">
        <f>A!Y464</f>
        <v>0</v>
      </c>
      <c r="Z464" s="32">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32"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A!CO774</f>
        <v>0</v>
      </c>
      <c r="CR464">
        <f>A!CP464</f>
        <v>0</v>
      </c>
      <c r="CS464">
        <f>A!CQ464</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32" t="str">
        <f>IF(A!P465="","",INDEX(B!$A$1:$BT$2000,MATCH(A!P465,B!$AX$1:$AX$2000,0),D!$B$5))</f>
        <v/>
      </c>
      <c r="Q465">
        <f>A!Q465</f>
        <v>0</v>
      </c>
      <c r="R465">
        <f>A!R465</f>
        <v>0</v>
      </c>
      <c r="S465">
        <f>A!S465</f>
        <v>0</v>
      </c>
      <c r="T465">
        <f>A!T465</f>
        <v>0</v>
      </c>
      <c r="U465">
        <f>A!U465</f>
        <v>0</v>
      </c>
      <c r="V465" s="32">
        <f>IF(A!V465="&lt;",1,A!V465)</f>
        <v>0</v>
      </c>
      <c r="W465">
        <f>A!W465</f>
        <v>0</v>
      </c>
      <c r="X465">
        <f>A!X465</f>
        <v>0</v>
      </c>
      <c r="Y465">
        <f>A!Y465</f>
        <v>0</v>
      </c>
      <c r="Z465" s="32">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32"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A!CO775</f>
        <v>0</v>
      </c>
      <c r="CR465">
        <f>A!CP465</f>
        <v>0</v>
      </c>
      <c r="CS465">
        <f>A!CQ465</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32" t="str">
        <f>IF(A!P466="","",INDEX(B!$A$1:$BT$2000,MATCH(A!P466,B!$AX$1:$AX$2000,0),D!$B$5))</f>
        <v/>
      </c>
      <c r="Q466">
        <f>A!Q466</f>
        <v>0</v>
      </c>
      <c r="R466">
        <f>A!R466</f>
        <v>0</v>
      </c>
      <c r="S466">
        <f>A!S466</f>
        <v>0</v>
      </c>
      <c r="T466">
        <f>A!T466</f>
        <v>0</v>
      </c>
      <c r="U466">
        <f>A!U466</f>
        <v>0</v>
      </c>
      <c r="V466" s="32">
        <f>IF(A!V466="&lt;",1,A!V466)</f>
        <v>0</v>
      </c>
      <c r="W466">
        <f>A!W466</f>
        <v>0</v>
      </c>
      <c r="X466">
        <f>A!X466</f>
        <v>0</v>
      </c>
      <c r="Y466">
        <f>A!Y466</f>
        <v>0</v>
      </c>
      <c r="Z466" s="32">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32"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A!CO776</f>
        <v>0</v>
      </c>
      <c r="CR466">
        <f>A!CP466</f>
        <v>0</v>
      </c>
      <c r="CS466">
        <f>A!CQ466</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32" t="str">
        <f>IF(A!P467="","",INDEX(B!$A$1:$BT$2000,MATCH(A!P467,B!$AX$1:$AX$2000,0),D!$B$5))</f>
        <v/>
      </c>
      <c r="Q467">
        <f>A!Q467</f>
        <v>0</v>
      </c>
      <c r="R467">
        <f>A!R467</f>
        <v>0</v>
      </c>
      <c r="S467">
        <f>A!S467</f>
        <v>0</v>
      </c>
      <c r="T467">
        <f>A!T467</f>
        <v>0</v>
      </c>
      <c r="U467">
        <f>A!U467</f>
        <v>0</v>
      </c>
      <c r="V467" s="32">
        <f>IF(A!V467="&lt;",1,A!V467)</f>
        <v>0</v>
      </c>
      <c r="W467">
        <f>A!W467</f>
        <v>0</v>
      </c>
      <c r="X467">
        <f>A!X467</f>
        <v>0</v>
      </c>
      <c r="Y467">
        <f>A!Y467</f>
        <v>0</v>
      </c>
      <c r="Z467" s="32">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32"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A!CO777</f>
        <v>0</v>
      </c>
      <c r="CR467">
        <f>A!CP467</f>
        <v>0</v>
      </c>
      <c r="CS467">
        <f>A!CQ467</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32" t="str">
        <f>IF(A!P468="","",INDEX(B!$A$1:$BT$2000,MATCH(A!P468,B!$AX$1:$AX$2000,0),D!$B$5))</f>
        <v/>
      </c>
      <c r="Q468">
        <f>A!Q468</f>
        <v>0</v>
      </c>
      <c r="R468">
        <f>A!R468</f>
        <v>0</v>
      </c>
      <c r="S468">
        <f>A!S468</f>
        <v>0</v>
      </c>
      <c r="T468">
        <f>A!T468</f>
        <v>0</v>
      </c>
      <c r="U468">
        <f>A!U468</f>
        <v>0</v>
      </c>
      <c r="V468" s="32">
        <f>IF(A!V468="&lt;",1,A!V468)</f>
        <v>0</v>
      </c>
      <c r="W468">
        <f>A!W468</f>
        <v>0</v>
      </c>
      <c r="X468">
        <f>A!X468</f>
        <v>0</v>
      </c>
      <c r="Y468">
        <f>A!Y468</f>
        <v>0</v>
      </c>
      <c r="Z468" s="32">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32"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A!CO778</f>
        <v>0</v>
      </c>
      <c r="CR468">
        <f>A!CP468</f>
        <v>0</v>
      </c>
      <c r="CS468">
        <f>A!CQ468</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32" t="str">
        <f>IF(A!P469="","",INDEX(B!$A$1:$BT$2000,MATCH(A!P469,B!$AX$1:$AX$2000,0),D!$B$5))</f>
        <v/>
      </c>
      <c r="Q469">
        <f>A!Q469</f>
        <v>0</v>
      </c>
      <c r="R469">
        <f>A!R469</f>
        <v>0</v>
      </c>
      <c r="S469">
        <f>A!S469</f>
        <v>0</v>
      </c>
      <c r="T469">
        <f>A!T469</f>
        <v>0</v>
      </c>
      <c r="U469">
        <f>A!U469</f>
        <v>0</v>
      </c>
      <c r="V469" s="32">
        <f>IF(A!V469="&lt;",1,A!V469)</f>
        <v>0</v>
      </c>
      <c r="W469">
        <f>A!W469</f>
        <v>0</v>
      </c>
      <c r="X469">
        <f>A!X469</f>
        <v>0</v>
      </c>
      <c r="Y469">
        <f>A!Y469</f>
        <v>0</v>
      </c>
      <c r="Z469" s="32">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32"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A!CO779</f>
        <v>0</v>
      </c>
      <c r="CR469">
        <f>A!CP469</f>
        <v>0</v>
      </c>
      <c r="CS469">
        <f>A!CQ469</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32" t="str">
        <f>IF(A!P470="","",INDEX(B!$A$1:$BT$2000,MATCH(A!P470,B!$AX$1:$AX$2000,0),D!$B$5))</f>
        <v/>
      </c>
      <c r="Q470">
        <f>A!Q470</f>
        <v>0</v>
      </c>
      <c r="R470">
        <f>A!R470</f>
        <v>0</v>
      </c>
      <c r="S470">
        <f>A!S470</f>
        <v>0</v>
      </c>
      <c r="T470">
        <f>A!T470</f>
        <v>0</v>
      </c>
      <c r="U470">
        <f>A!U470</f>
        <v>0</v>
      </c>
      <c r="V470" s="32">
        <f>IF(A!V470="&lt;",1,A!V470)</f>
        <v>0</v>
      </c>
      <c r="W470">
        <f>A!W470</f>
        <v>0</v>
      </c>
      <c r="X470">
        <f>A!X470</f>
        <v>0</v>
      </c>
      <c r="Y470">
        <f>A!Y470</f>
        <v>0</v>
      </c>
      <c r="Z470" s="32">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32"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A!CO780</f>
        <v>0</v>
      </c>
      <c r="CR470">
        <f>A!CP470</f>
        <v>0</v>
      </c>
      <c r="CS470">
        <f>A!CQ470</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32" t="str">
        <f>IF(A!P471="","",INDEX(B!$A$1:$BT$2000,MATCH(A!P471,B!$AX$1:$AX$2000,0),D!$B$5))</f>
        <v/>
      </c>
      <c r="Q471">
        <f>A!Q471</f>
        <v>0</v>
      </c>
      <c r="R471">
        <f>A!R471</f>
        <v>0</v>
      </c>
      <c r="S471">
        <f>A!S471</f>
        <v>0</v>
      </c>
      <c r="T471">
        <f>A!T471</f>
        <v>0</v>
      </c>
      <c r="U471">
        <f>A!U471</f>
        <v>0</v>
      </c>
      <c r="V471" s="32">
        <f>IF(A!V471="&lt;",1,A!V471)</f>
        <v>0</v>
      </c>
      <c r="W471">
        <f>A!W471</f>
        <v>0</v>
      </c>
      <c r="X471">
        <f>A!X471</f>
        <v>0</v>
      </c>
      <c r="Y471">
        <f>A!Y471</f>
        <v>0</v>
      </c>
      <c r="Z471" s="32">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32"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A!CO781</f>
        <v>0</v>
      </c>
      <c r="CR471">
        <f>A!CP471</f>
        <v>0</v>
      </c>
      <c r="CS471">
        <f>A!CQ471</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32" t="str">
        <f>IF(A!P472="","",INDEX(B!$A$1:$BT$2000,MATCH(A!P472,B!$AX$1:$AX$2000,0),D!$B$5))</f>
        <v/>
      </c>
      <c r="Q472">
        <f>A!Q472</f>
        <v>0</v>
      </c>
      <c r="R472">
        <f>A!R472</f>
        <v>0</v>
      </c>
      <c r="S472">
        <f>A!S472</f>
        <v>0</v>
      </c>
      <c r="T472">
        <f>A!T472</f>
        <v>0</v>
      </c>
      <c r="U472">
        <f>A!U472</f>
        <v>0</v>
      </c>
      <c r="V472" s="32">
        <f>IF(A!V472="&lt;",1,A!V472)</f>
        <v>0</v>
      </c>
      <c r="W472">
        <f>A!W472</f>
        <v>0</v>
      </c>
      <c r="X472">
        <f>A!X472</f>
        <v>0</v>
      </c>
      <c r="Y472">
        <f>A!Y472</f>
        <v>0</v>
      </c>
      <c r="Z472" s="32">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32"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A!CO782</f>
        <v>0</v>
      </c>
      <c r="CR472">
        <f>A!CP472</f>
        <v>0</v>
      </c>
      <c r="CS472">
        <f>A!CQ472</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32" t="str">
        <f>IF(A!P473="","",INDEX(B!$A$1:$BT$2000,MATCH(A!P473,B!$AX$1:$AX$2000,0),D!$B$5))</f>
        <v/>
      </c>
      <c r="Q473">
        <f>A!Q473</f>
        <v>0</v>
      </c>
      <c r="R473">
        <f>A!R473</f>
        <v>0</v>
      </c>
      <c r="S473">
        <f>A!S473</f>
        <v>0</v>
      </c>
      <c r="T473">
        <f>A!T473</f>
        <v>0</v>
      </c>
      <c r="U473">
        <f>A!U473</f>
        <v>0</v>
      </c>
      <c r="V473" s="32">
        <f>IF(A!V473="&lt;",1,A!V473)</f>
        <v>0</v>
      </c>
      <c r="W473">
        <f>A!W473</f>
        <v>0</v>
      </c>
      <c r="X473">
        <f>A!X473</f>
        <v>0</v>
      </c>
      <c r="Y473">
        <f>A!Y473</f>
        <v>0</v>
      </c>
      <c r="Z473" s="32">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32"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A!CO783</f>
        <v>0</v>
      </c>
      <c r="CR473">
        <f>A!CP473</f>
        <v>0</v>
      </c>
      <c r="CS473">
        <f>A!CQ473</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32" t="str">
        <f>IF(A!P474="","",INDEX(B!$A$1:$BT$2000,MATCH(A!P474,B!$AX$1:$AX$2000,0),D!$B$5))</f>
        <v/>
      </c>
      <c r="Q474">
        <f>A!Q474</f>
        <v>0</v>
      </c>
      <c r="R474">
        <f>A!R474</f>
        <v>0</v>
      </c>
      <c r="S474">
        <f>A!S474</f>
        <v>0</v>
      </c>
      <c r="T474">
        <f>A!T474</f>
        <v>0</v>
      </c>
      <c r="U474">
        <f>A!U474</f>
        <v>0</v>
      </c>
      <c r="V474" s="32">
        <f>IF(A!V474="&lt;",1,A!V474)</f>
        <v>0</v>
      </c>
      <c r="W474">
        <f>A!W474</f>
        <v>0</v>
      </c>
      <c r="X474">
        <f>A!X474</f>
        <v>0</v>
      </c>
      <c r="Y474">
        <f>A!Y474</f>
        <v>0</v>
      </c>
      <c r="Z474" s="32">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32"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A!CO784</f>
        <v>0</v>
      </c>
      <c r="CR474">
        <f>A!CP474</f>
        <v>0</v>
      </c>
      <c r="CS474">
        <f>A!CQ474</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32" t="str">
        <f>IF(A!P475="","",INDEX(B!$A$1:$BT$2000,MATCH(A!P475,B!$AX$1:$AX$2000,0),D!$B$5))</f>
        <v/>
      </c>
      <c r="Q475">
        <f>A!Q475</f>
        <v>0</v>
      </c>
      <c r="R475">
        <f>A!R475</f>
        <v>0</v>
      </c>
      <c r="S475">
        <f>A!S475</f>
        <v>0</v>
      </c>
      <c r="T475">
        <f>A!T475</f>
        <v>0</v>
      </c>
      <c r="U475">
        <f>A!U475</f>
        <v>0</v>
      </c>
      <c r="V475" s="32">
        <f>IF(A!V475="&lt;",1,A!V475)</f>
        <v>0</v>
      </c>
      <c r="W475">
        <f>A!W475</f>
        <v>0</v>
      </c>
      <c r="X475">
        <f>A!X475</f>
        <v>0</v>
      </c>
      <c r="Y475">
        <f>A!Y475</f>
        <v>0</v>
      </c>
      <c r="Z475" s="32">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32"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A!CO785</f>
        <v>0</v>
      </c>
      <c r="CR475">
        <f>A!CP475</f>
        <v>0</v>
      </c>
      <c r="CS475">
        <f>A!CQ475</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32" t="str">
        <f>IF(A!P476="","",INDEX(B!$A$1:$BT$2000,MATCH(A!P476,B!$AX$1:$AX$2000,0),D!$B$5))</f>
        <v/>
      </c>
      <c r="Q476">
        <f>A!Q476</f>
        <v>0</v>
      </c>
      <c r="R476">
        <f>A!R476</f>
        <v>0</v>
      </c>
      <c r="S476">
        <f>A!S476</f>
        <v>0</v>
      </c>
      <c r="T476">
        <f>A!T476</f>
        <v>0</v>
      </c>
      <c r="U476">
        <f>A!U476</f>
        <v>0</v>
      </c>
      <c r="V476" s="32">
        <f>IF(A!V476="&lt;",1,A!V476)</f>
        <v>0</v>
      </c>
      <c r="W476">
        <f>A!W476</f>
        <v>0</v>
      </c>
      <c r="X476">
        <f>A!X476</f>
        <v>0</v>
      </c>
      <c r="Y476">
        <f>A!Y476</f>
        <v>0</v>
      </c>
      <c r="Z476" s="32">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32"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A!CO786</f>
        <v>0</v>
      </c>
      <c r="CR476">
        <f>A!CP476</f>
        <v>0</v>
      </c>
      <c r="CS476">
        <f>A!CQ476</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32" t="str">
        <f>IF(A!P477="","",INDEX(B!$A$1:$BT$2000,MATCH(A!P477,B!$AX$1:$AX$2000,0),D!$B$5))</f>
        <v/>
      </c>
      <c r="Q477">
        <f>A!Q477</f>
        <v>0</v>
      </c>
      <c r="R477">
        <f>A!R477</f>
        <v>0</v>
      </c>
      <c r="S477">
        <f>A!S477</f>
        <v>0</v>
      </c>
      <c r="T477">
        <f>A!T477</f>
        <v>0</v>
      </c>
      <c r="U477">
        <f>A!U477</f>
        <v>0</v>
      </c>
      <c r="V477" s="32">
        <f>IF(A!V477="&lt;",1,A!V477)</f>
        <v>0</v>
      </c>
      <c r="W477">
        <f>A!W477</f>
        <v>0</v>
      </c>
      <c r="X477">
        <f>A!X477</f>
        <v>0</v>
      </c>
      <c r="Y477">
        <f>A!Y477</f>
        <v>0</v>
      </c>
      <c r="Z477" s="32">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32"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A!CO787</f>
        <v>0</v>
      </c>
      <c r="CR477">
        <f>A!CP477</f>
        <v>0</v>
      </c>
      <c r="CS477">
        <f>A!CQ477</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32" t="str">
        <f>IF(A!P478="","",INDEX(B!$A$1:$BT$2000,MATCH(A!P478,B!$AX$1:$AX$2000,0),D!$B$5))</f>
        <v/>
      </c>
      <c r="Q478">
        <f>A!Q478</f>
        <v>0</v>
      </c>
      <c r="R478">
        <f>A!R478</f>
        <v>0</v>
      </c>
      <c r="S478">
        <f>A!S478</f>
        <v>0</v>
      </c>
      <c r="T478">
        <f>A!T478</f>
        <v>0</v>
      </c>
      <c r="U478">
        <f>A!U478</f>
        <v>0</v>
      </c>
      <c r="V478" s="32">
        <f>IF(A!V478="&lt;",1,A!V478)</f>
        <v>0</v>
      </c>
      <c r="W478">
        <f>A!W478</f>
        <v>0</v>
      </c>
      <c r="X478">
        <f>A!X478</f>
        <v>0</v>
      </c>
      <c r="Y478">
        <f>A!Y478</f>
        <v>0</v>
      </c>
      <c r="Z478" s="32">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32"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A!CO788</f>
        <v>0</v>
      </c>
      <c r="CR478">
        <f>A!CP478</f>
        <v>0</v>
      </c>
      <c r="CS478">
        <f>A!CQ478</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32" t="str">
        <f>IF(A!P479="","",INDEX(B!$A$1:$BT$2000,MATCH(A!P479,B!$AX$1:$AX$2000,0),D!$B$5))</f>
        <v/>
      </c>
      <c r="Q479">
        <f>A!Q479</f>
        <v>0</v>
      </c>
      <c r="R479">
        <f>A!R479</f>
        <v>0</v>
      </c>
      <c r="S479">
        <f>A!S479</f>
        <v>0</v>
      </c>
      <c r="T479">
        <f>A!T479</f>
        <v>0</v>
      </c>
      <c r="U479">
        <f>A!U479</f>
        <v>0</v>
      </c>
      <c r="V479" s="32">
        <f>IF(A!V479="&lt;",1,A!V479)</f>
        <v>0</v>
      </c>
      <c r="W479">
        <f>A!W479</f>
        <v>0</v>
      </c>
      <c r="X479">
        <f>A!X479</f>
        <v>0</v>
      </c>
      <c r="Y479">
        <f>A!Y479</f>
        <v>0</v>
      </c>
      <c r="Z479" s="32">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32"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A!CO789</f>
        <v>0</v>
      </c>
      <c r="CR479">
        <f>A!CP479</f>
        <v>0</v>
      </c>
      <c r="CS479">
        <f>A!CQ479</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32" t="str">
        <f>IF(A!P480="","",INDEX(B!$A$1:$BT$2000,MATCH(A!P480,B!$AX$1:$AX$2000,0),D!$B$5))</f>
        <v/>
      </c>
      <c r="Q480">
        <f>A!Q480</f>
        <v>0</v>
      </c>
      <c r="R480">
        <f>A!R480</f>
        <v>0</v>
      </c>
      <c r="S480">
        <f>A!S480</f>
        <v>0</v>
      </c>
      <c r="T480">
        <f>A!T480</f>
        <v>0</v>
      </c>
      <c r="U480">
        <f>A!U480</f>
        <v>0</v>
      </c>
      <c r="V480" s="32">
        <f>IF(A!V480="&lt;",1,A!V480)</f>
        <v>0</v>
      </c>
      <c r="W480">
        <f>A!W480</f>
        <v>0</v>
      </c>
      <c r="X480">
        <f>A!X480</f>
        <v>0</v>
      </c>
      <c r="Y480">
        <f>A!Y480</f>
        <v>0</v>
      </c>
      <c r="Z480" s="32">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32"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A!CO790</f>
        <v>0</v>
      </c>
      <c r="CR480">
        <f>A!CP480</f>
        <v>0</v>
      </c>
      <c r="CS480">
        <f>A!CQ480</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32" t="str">
        <f>IF(A!P481="","",INDEX(B!$A$1:$BT$2000,MATCH(A!P481,B!$AX$1:$AX$2000,0),D!$B$5))</f>
        <v/>
      </c>
      <c r="Q481">
        <f>A!Q481</f>
        <v>0</v>
      </c>
      <c r="R481">
        <f>A!R481</f>
        <v>0</v>
      </c>
      <c r="S481">
        <f>A!S481</f>
        <v>0</v>
      </c>
      <c r="T481">
        <f>A!T481</f>
        <v>0</v>
      </c>
      <c r="U481">
        <f>A!U481</f>
        <v>0</v>
      </c>
      <c r="V481" s="32">
        <f>IF(A!V481="&lt;",1,A!V481)</f>
        <v>0</v>
      </c>
      <c r="W481">
        <f>A!W481</f>
        <v>0</v>
      </c>
      <c r="X481">
        <f>A!X481</f>
        <v>0</v>
      </c>
      <c r="Y481">
        <f>A!Y481</f>
        <v>0</v>
      </c>
      <c r="Z481" s="32">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32"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A!CO791</f>
        <v>0</v>
      </c>
      <c r="CR481">
        <f>A!CP481</f>
        <v>0</v>
      </c>
      <c r="CS481">
        <f>A!CQ481</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32" t="str">
        <f>IF(A!P482="","",INDEX(B!$A$1:$BT$2000,MATCH(A!P482,B!$AX$1:$AX$2000,0),D!$B$5))</f>
        <v/>
      </c>
      <c r="Q482">
        <f>A!Q482</f>
        <v>0</v>
      </c>
      <c r="R482">
        <f>A!R482</f>
        <v>0</v>
      </c>
      <c r="S482">
        <f>A!S482</f>
        <v>0</v>
      </c>
      <c r="T482">
        <f>A!T482</f>
        <v>0</v>
      </c>
      <c r="U482">
        <f>A!U482</f>
        <v>0</v>
      </c>
      <c r="V482" s="32">
        <f>IF(A!V482="&lt;",1,A!V482)</f>
        <v>0</v>
      </c>
      <c r="W482">
        <f>A!W482</f>
        <v>0</v>
      </c>
      <c r="X482">
        <f>A!X482</f>
        <v>0</v>
      </c>
      <c r="Y482">
        <f>A!Y482</f>
        <v>0</v>
      </c>
      <c r="Z482" s="32">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32"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A!CO792</f>
        <v>0</v>
      </c>
      <c r="CR482">
        <f>A!CP482</f>
        <v>0</v>
      </c>
      <c r="CS482">
        <f>A!CQ482</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32" t="str">
        <f>IF(A!P483="","",INDEX(B!$A$1:$BT$2000,MATCH(A!P483,B!$AX$1:$AX$2000,0),D!$B$5))</f>
        <v/>
      </c>
      <c r="Q483">
        <f>A!Q483</f>
        <v>0</v>
      </c>
      <c r="R483">
        <f>A!R483</f>
        <v>0</v>
      </c>
      <c r="S483">
        <f>A!S483</f>
        <v>0</v>
      </c>
      <c r="T483">
        <f>A!T483</f>
        <v>0</v>
      </c>
      <c r="U483">
        <f>A!U483</f>
        <v>0</v>
      </c>
      <c r="V483" s="32">
        <f>IF(A!V483="&lt;",1,A!V483)</f>
        <v>0</v>
      </c>
      <c r="W483">
        <f>A!W483</f>
        <v>0</v>
      </c>
      <c r="X483">
        <f>A!X483</f>
        <v>0</v>
      </c>
      <c r="Y483">
        <f>A!Y483</f>
        <v>0</v>
      </c>
      <c r="Z483" s="32">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32"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A!CO793</f>
        <v>0</v>
      </c>
      <c r="CR483">
        <f>A!CP483</f>
        <v>0</v>
      </c>
      <c r="CS483">
        <f>A!CQ483</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32" t="str">
        <f>IF(A!P484="","",INDEX(B!$A$1:$BT$2000,MATCH(A!P484,B!$AX$1:$AX$2000,0),D!$B$5))</f>
        <v/>
      </c>
      <c r="Q484">
        <f>A!Q484</f>
        <v>0</v>
      </c>
      <c r="R484">
        <f>A!R484</f>
        <v>0</v>
      </c>
      <c r="S484">
        <f>A!S484</f>
        <v>0</v>
      </c>
      <c r="T484">
        <f>A!T484</f>
        <v>0</v>
      </c>
      <c r="U484">
        <f>A!U484</f>
        <v>0</v>
      </c>
      <c r="V484" s="32">
        <f>IF(A!V484="&lt;",1,A!V484)</f>
        <v>0</v>
      </c>
      <c r="W484">
        <f>A!W484</f>
        <v>0</v>
      </c>
      <c r="X484">
        <f>A!X484</f>
        <v>0</v>
      </c>
      <c r="Y484">
        <f>A!Y484</f>
        <v>0</v>
      </c>
      <c r="Z484" s="32">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32"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A!CO794</f>
        <v>0</v>
      </c>
      <c r="CR484">
        <f>A!CP484</f>
        <v>0</v>
      </c>
      <c r="CS484">
        <f>A!CQ484</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32" t="str">
        <f>IF(A!P485="","",INDEX(B!$A$1:$BT$2000,MATCH(A!P485,B!$AX$1:$AX$2000,0),D!$B$5))</f>
        <v/>
      </c>
      <c r="Q485">
        <f>A!Q485</f>
        <v>0</v>
      </c>
      <c r="R485">
        <f>A!R485</f>
        <v>0</v>
      </c>
      <c r="S485">
        <f>A!S485</f>
        <v>0</v>
      </c>
      <c r="T485">
        <f>A!T485</f>
        <v>0</v>
      </c>
      <c r="U485">
        <f>A!U485</f>
        <v>0</v>
      </c>
      <c r="V485" s="32">
        <f>IF(A!V485="&lt;",1,A!V485)</f>
        <v>0</v>
      </c>
      <c r="W485">
        <f>A!W485</f>
        <v>0</v>
      </c>
      <c r="X485">
        <f>A!X485</f>
        <v>0</v>
      </c>
      <c r="Y485">
        <f>A!Y485</f>
        <v>0</v>
      </c>
      <c r="Z485" s="32">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32"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A!CO795</f>
        <v>0</v>
      </c>
      <c r="CR485">
        <f>A!CP485</f>
        <v>0</v>
      </c>
      <c r="CS485">
        <f>A!CQ485</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32" t="str">
        <f>IF(A!P486="","",INDEX(B!$A$1:$BT$2000,MATCH(A!P486,B!$AX$1:$AX$2000,0),D!$B$5))</f>
        <v/>
      </c>
      <c r="Q486">
        <f>A!Q486</f>
        <v>0</v>
      </c>
      <c r="R486">
        <f>A!R486</f>
        <v>0</v>
      </c>
      <c r="S486">
        <f>A!S486</f>
        <v>0</v>
      </c>
      <c r="T486">
        <f>A!T486</f>
        <v>0</v>
      </c>
      <c r="U486">
        <f>A!U486</f>
        <v>0</v>
      </c>
      <c r="V486" s="32">
        <f>IF(A!V486="&lt;",1,A!V486)</f>
        <v>0</v>
      </c>
      <c r="W486">
        <f>A!W486</f>
        <v>0</v>
      </c>
      <c r="X486">
        <f>A!X486</f>
        <v>0</v>
      </c>
      <c r="Y486">
        <f>A!Y486</f>
        <v>0</v>
      </c>
      <c r="Z486" s="32">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32"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A!CO796</f>
        <v>0</v>
      </c>
      <c r="CR486">
        <f>A!CP486</f>
        <v>0</v>
      </c>
      <c r="CS486">
        <f>A!CQ486</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32" t="str">
        <f>IF(A!P487="","",INDEX(B!$A$1:$BT$2000,MATCH(A!P487,B!$AX$1:$AX$2000,0),D!$B$5))</f>
        <v/>
      </c>
      <c r="Q487">
        <f>A!Q487</f>
        <v>0</v>
      </c>
      <c r="R487">
        <f>A!R487</f>
        <v>0</v>
      </c>
      <c r="S487">
        <f>A!S487</f>
        <v>0</v>
      </c>
      <c r="T487">
        <f>A!T487</f>
        <v>0</v>
      </c>
      <c r="U487">
        <f>A!U487</f>
        <v>0</v>
      </c>
      <c r="V487" s="32">
        <f>IF(A!V487="&lt;",1,A!V487)</f>
        <v>0</v>
      </c>
      <c r="W487">
        <f>A!W487</f>
        <v>0</v>
      </c>
      <c r="X487">
        <f>A!X487</f>
        <v>0</v>
      </c>
      <c r="Y487">
        <f>A!Y487</f>
        <v>0</v>
      </c>
      <c r="Z487" s="32">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32"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A!CO797</f>
        <v>0</v>
      </c>
      <c r="CR487">
        <f>A!CP487</f>
        <v>0</v>
      </c>
      <c r="CS487">
        <f>A!CQ487</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32" t="str">
        <f>IF(A!P488="","",INDEX(B!$A$1:$BT$2000,MATCH(A!P488,B!$AX$1:$AX$2000,0),D!$B$5))</f>
        <v/>
      </c>
      <c r="Q488">
        <f>A!Q488</f>
        <v>0</v>
      </c>
      <c r="R488">
        <f>A!R488</f>
        <v>0</v>
      </c>
      <c r="S488">
        <f>A!S488</f>
        <v>0</v>
      </c>
      <c r="T488">
        <f>A!T488</f>
        <v>0</v>
      </c>
      <c r="U488">
        <f>A!U488</f>
        <v>0</v>
      </c>
      <c r="V488" s="32">
        <f>IF(A!V488="&lt;",1,A!V488)</f>
        <v>0</v>
      </c>
      <c r="W488">
        <f>A!W488</f>
        <v>0</v>
      </c>
      <c r="X488">
        <f>A!X488</f>
        <v>0</v>
      </c>
      <c r="Y488">
        <f>A!Y488</f>
        <v>0</v>
      </c>
      <c r="Z488" s="32">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32"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A!CO798</f>
        <v>0</v>
      </c>
      <c r="CR488">
        <f>A!CP488</f>
        <v>0</v>
      </c>
      <c r="CS488">
        <f>A!CQ488</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32" t="str">
        <f>IF(A!P489="","",INDEX(B!$A$1:$BT$2000,MATCH(A!P489,B!$AX$1:$AX$2000,0),D!$B$5))</f>
        <v/>
      </c>
      <c r="Q489">
        <f>A!Q489</f>
        <v>0</v>
      </c>
      <c r="R489">
        <f>A!R489</f>
        <v>0</v>
      </c>
      <c r="S489">
        <f>A!S489</f>
        <v>0</v>
      </c>
      <c r="T489">
        <f>A!T489</f>
        <v>0</v>
      </c>
      <c r="U489">
        <f>A!U489</f>
        <v>0</v>
      </c>
      <c r="V489" s="32">
        <f>IF(A!V489="&lt;",1,A!V489)</f>
        <v>0</v>
      </c>
      <c r="W489">
        <f>A!W489</f>
        <v>0</v>
      </c>
      <c r="X489">
        <f>A!X489</f>
        <v>0</v>
      </c>
      <c r="Y489">
        <f>A!Y489</f>
        <v>0</v>
      </c>
      <c r="Z489" s="32">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32"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A!CO799</f>
        <v>0</v>
      </c>
      <c r="CR489">
        <f>A!CP489</f>
        <v>0</v>
      </c>
      <c r="CS489">
        <f>A!CQ489</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32" t="str">
        <f>IF(A!P490="","",INDEX(B!$A$1:$BT$2000,MATCH(A!P490,B!$AX$1:$AX$2000,0),D!$B$5))</f>
        <v/>
      </c>
      <c r="Q490">
        <f>A!Q490</f>
        <v>0</v>
      </c>
      <c r="R490">
        <f>A!R490</f>
        <v>0</v>
      </c>
      <c r="S490">
        <f>A!S490</f>
        <v>0</v>
      </c>
      <c r="T490">
        <f>A!T490</f>
        <v>0</v>
      </c>
      <c r="U490">
        <f>A!U490</f>
        <v>0</v>
      </c>
      <c r="V490" s="32">
        <f>IF(A!V490="&lt;",1,A!V490)</f>
        <v>0</v>
      </c>
      <c r="W490">
        <f>A!W490</f>
        <v>0</v>
      </c>
      <c r="X490">
        <f>A!X490</f>
        <v>0</v>
      </c>
      <c r="Y490">
        <f>A!Y490</f>
        <v>0</v>
      </c>
      <c r="Z490" s="32">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32"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A!CO800</f>
        <v>0</v>
      </c>
      <c r="CR490">
        <f>A!CP490</f>
        <v>0</v>
      </c>
      <c r="CS490">
        <f>A!CQ490</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32" t="str">
        <f>IF(A!P491="","",INDEX(B!$A$1:$BT$2000,MATCH(A!P491,B!$AX$1:$AX$2000,0),D!$B$5))</f>
        <v/>
      </c>
      <c r="Q491">
        <f>A!Q491</f>
        <v>0</v>
      </c>
      <c r="R491">
        <f>A!R491</f>
        <v>0</v>
      </c>
      <c r="S491">
        <f>A!S491</f>
        <v>0</v>
      </c>
      <c r="T491">
        <f>A!T491</f>
        <v>0</v>
      </c>
      <c r="U491">
        <f>A!U491</f>
        <v>0</v>
      </c>
      <c r="V491" s="32">
        <f>IF(A!V491="&lt;",1,A!V491)</f>
        <v>0</v>
      </c>
      <c r="W491">
        <f>A!W491</f>
        <v>0</v>
      </c>
      <c r="X491">
        <f>A!X491</f>
        <v>0</v>
      </c>
      <c r="Y491">
        <f>A!Y491</f>
        <v>0</v>
      </c>
      <c r="Z491" s="32">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32"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A!CO801</f>
        <v>0</v>
      </c>
      <c r="CR491">
        <f>A!CP491</f>
        <v>0</v>
      </c>
      <c r="CS491">
        <f>A!CQ491</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32" t="str">
        <f>IF(A!P492="","",INDEX(B!$A$1:$BT$2000,MATCH(A!P492,B!$AX$1:$AX$2000,0),D!$B$5))</f>
        <v/>
      </c>
      <c r="Q492">
        <f>A!Q492</f>
        <v>0</v>
      </c>
      <c r="R492">
        <f>A!R492</f>
        <v>0</v>
      </c>
      <c r="S492">
        <f>A!S492</f>
        <v>0</v>
      </c>
      <c r="T492">
        <f>A!T492</f>
        <v>0</v>
      </c>
      <c r="U492">
        <f>A!U492</f>
        <v>0</v>
      </c>
      <c r="V492" s="32">
        <f>IF(A!V492="&lt;",1,A!V492)</f>
        <v>0</v>
      </c>
      <c r="W492">
        <f>A!W492</f>
        <v>0</v>
      </c>
      <c r="X492">
        <f>A!X492</f>
        <v>0</v>
      </c>
      <c r="Y492">
        <f>A!Y492</f>
        <v>0</v>
      </c>
      <c r="Z492" s="32">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32"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A!CO802</f>
        <v>0</v>
      </c>
      <c r="CR492">
        <f>A!CP492</f>
        <v>0</v>
      </c>
      <c r="CS492">
        <f>A!CQ492</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32" t="str">
        <f>IF(A!P493="","",INDEX(B!$A$1:$BT$2000,MATCH(A!P493,B!$AX$1:$AX$2000,0),D!$B$5))</f>
        <v/>
      </c>
      <c r="Q493">
        <f>A!Q493</f>
        <v>0</v>
      </c>
      <c r="R493">
        <f>A!R493</f>
        <v>0</v>
      </c>
      <c r="S493">
        <f>A!S493</f>
        <v>0</v>
      </c>
      <c r="T493">
        <f>A!T493</f>
        <v>0</v>
      </c>
      <c r="U493">
        <f>A!U493</f>
        <v>0</v>
      </c>
      <c r="V493" s="32">
        <f>IF(A!V493="&lt;",1,A!V493)</f>
        <v>0</v>
      </c>
      <c r="W493">
        <f>A!W493</f>
        <v>0</v>
      </c>
      <c r="X493">
        <f>A!X493</f>
        <v>0</v>
      </c>
      <c r="Y493">
        <f>A!Y493</f>
        <v>0</v>
      </c>
      <c r="Z493" s="32">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32"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A!CO803</f>
        <v>0</v>
      </c>
      <c r="CR493">
        <f>A!CP493</f>
        <v>0</v>
      </c>
      <c r="CS493">
        <f>A!CQ493</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32" t="str">
        <f>IF(A!P494="","",INDEX(B!$A$1:$BT$2000,MATCH(A!P494,B!$AX$1:$AX$2000,0),D!$B$5))</f>
        <v/>
      </c>
      <c r="Q494">
        <f>A!Q494</f>
        <v>0</v>
      </c>
      <c r="R494">
        <f>A!R494</f>
        <v>0</v>
      </c>
      <c r="S494">
        <f>A!S494</f>
        <v>0</v>
      </c>
      <c r="T494">
        <f>A!T494</f>
        <v>0</v>
      </c>
      <c r="U494">
        <f>A!U494</f>
        <v>0</v>
      </c>
      <c r="V494" s="32">
        <f>IF(A!V494="&lt;",1,A!V494)</f>
        <v>0</v>
      </c>
      <c r="W494">
        <f>A!W494</f>
        <v>0</v>
      </c>
      <c r="X494">
        <f>A!X494</f>
        <v>0</v>
      </c>
      <c r="Y494">
        <f>A!Y494</f>
        <v>0</v>
      </c>
      <c r="Z494" s="32">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32"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A!CO804</f>
        <v>0</v>
      </c>
      <c r="CR494">
        <f>A!CP494</f>
        <v>0</v>
      </c>
      <c r="CS494">
        <f>A!CQ494</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32" t="str">
        <f>IF(A!P495="","",INDEX(B!$A$1:$BT$2000,MATCH(A!P495,B!$AX$1:$AX$2000,0),D!$B$5))</f>
        <v/>
      </c>
      <c r="Q495">
        <f>A!Q495</f>
        <v>0</v>
      </c>
      <c r="R495">
        <f>A!R495</f>
        <v>0</v>
      </c>
      <c r="S495">
        <f>A!S495</f>
        <v>0</v>
      </c>
      <c r="T495">
        <f>A!T495</f>
        <v>0</v>
      </c>
      <c r="U495">
        <f>A!U495</f>
        <v>0</v>
      </c>
      <c r="V495" s="32">
        <f>IF(A!V495="&lt;",1,A!V495)</f>
        <v>0</v>
      </c>
      <c r="W495">
        <f>A!W495</f>
        <v>0</v>
      </c>
      <c r="X495">
        <f>A!X495</f>
        <v>0</v>
      </c>
      <c r="Y495">
        <f>A!Y495</f>
        <v>0</v>
      </c>
      <c r="Z495" s="32">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32"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A!CO805</f>
        <v>0</v>
      </c>
      <c r="CR495">
        <f>A!CP495</f>
        <v>0</v>
      </c>
      <c r="CS495">
        <f>A!CQ495</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32" t="str">
        <f>IF(A!P496="","",INDEX(B!$A$1:$BT$2000,MATCH(A!P496,B!$AX$1:$AX$2000,0),D!$B$5))</f>
        <v/>
      </c>
      <c r="Q496">
        <f>A!Q496</f>
        <v>0</v>
      </c>
      <c r="R496">
        <f>A!R496</f>
        <v>0</v>
      </c>
      <c r="S496">
        <f>A!S496</f>
        <v>0</v>
      </c>
      <c r="T496">
        <f>A!T496</f>
        <v>0</v>
      </c>
      <c r="U496">
        <f>A!U496</f>
        <v>0</v>
      </c>
      <c r="V496" s="32">
        <f>IF(A!V496="&lt;",1,A!V496)</f>
        <v>0</v>
      </c>
      <c r="W496">
        <f>A!W496</f>
        <v>0</v>
      </c>
      <c r="X496">
        <f>A!X496</f>
        <v>0</v>
      </c>
      <c r="Y496">
        <f>A!Y496</f>
        <v>0</v>
      </c>
      <c r="Z496" s="32">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32"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A!CO806</f>
        <v>0</v>
      </c>
      <c r="CR496">
        <f>A!CP496</f>
        <v>0</v>
      </c>
      <c r="CS496">
        <f>A!CQ496</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32" t="str">
        <f>IF(A!P497="","",INDEX(B!$A$1:$BT$2000,MATCH(A!P497,B!$AX$1:$AX$2000,0),D!$B$5))</f>
        <v/>
      </c>
      <c r="Q497">
        <f>A!Q497</f>
        <v>0</v>
      </c>
      <c r="R497">
        <f>A!R497</f>
        <v>0</v>
      </c>
      <c r="S497">
        <f>A!S497</f>
        <v>0</v>
      </c>
      <c r="T497">
        <f>A!T497</f>
        <v>0</v>
      </c>
      <c r="U497">
        <f>A!U497</f>
        <v>0</v>
      </c>
      <c r="V497" s="32">
        <f>IF(A!V497="&lt;",1,A!V497)</f>
        <v>0</v>
      </c>
      <c r="W497">
        <f>A!W497</f>
        <v>0</v>
      </c>
      <c r="X497">
        <f>A!X497</f>
        <v>0</v>
      </c>
      <c r="Y497">
        <f>A!Y497</f>
        <v>0</v>
      </c>
      <c r="Z497" s="32">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32"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A!CO807</f>
        <v>0</v>
      </c>
      <c r="CR497">
        <f>A!CP497</f>
        <v>0</v>
      </c>
      <c r="CS497">
        <f>A!CQ497</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32" t="str">
        <f>IF(A!P498="","",INDEX(B!$A$1:$BT$2000,MATCH(A!P498,B!$AX$1:$AX$2000,0),D!$B$5))</f>
        <v/>
      </c>
      <c r="Q498">
        <f>A!Q498</f>
        <v>0</v>
      </c>
      <c r="R498">
        <f>A!R498</f>
        <v>0</v>
      </c>
      <c r="S498">
        <f>A!S498</f>
        <v>0</v>
      </c>
      <c r="T498">
        <f>A!T498</f>
        <v>0</v>
      </c>
      <c r="U498">
        <f>A!U498</f>
        <v>0</v>
      </c>
      <c r="V498" s="32">
        <f>IF(A!V498="&lt;",1,A!V498)</f>
        <v>0</v>
      </c>
      <c r="W498">
        <f>A!W498</f>
        <v>0</v>
      </c>
      <c r="X498">
        <f>A!X498</f>
        <v>0</v>
      </c>
      <c r="Y498">
        <f>A!Y498</f>
        <v>0</v>
      </c>
      <c r="Z498" s="32">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32"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A!CO808</f>
        <v>0</v>
      </c>
      <c r="CR498">
        <f>A!CP498</f>
        <v>0</v>
      </c>
      <c r="CS498">
        <f>A!CQ498</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32" t="str">
        <f>IF(A!P499="","",INDEX(B!$A$1:$BT$2000,MATCH(A!P499,B!$AX$1:$AX$2000,0),D!$B$5))</f>
        <v/>
      </c>
      <c r="Q499">
        <f>A!Q499</f>
        <v>0</v>
      </c>
      <c r="R499">
        <f>A!R499</f>
        <v>0</v>
      </c>
      <c r="S499">
        <f>A!S499</f>
        <v>0</v>
      </c>
      <c r="T499">
        <f>A!T499</f>
        <v>0</v>
      </c>
      <c r="U499">
        <f>A!U499</f>
        <v>0</v>
      </c>
      <c r="V499" s="32">
        <f>IF(A!V499="&lt;",1,A!V499)</f>
        <v>0</v>
      </c>
      <c r="W499">
        <f>A!W499</f>
        <v>0</v>
      </c>
      <c r="X499">
        <f>A!X499</f>
        <v>0</v>
      </c>
      <c r="Y499">
        <f>A!Y499</f>
        <v>0</v>
      </c>
      <c r="Z499" s="32">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32"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A!CO809</f>
        <v>0</v>
      </c>
      <c r="CR499">
        <f>A!CP499</f>
        <v>0</v>
      </c>
      <c r="CS499">
        <f>A!CQ499</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32" t="str">
        <f>IF(A!P500="","",INDEX(B!$A$1:$BT$2000,MATCH(A!P500,B!$AX$1:$AX$2000,0),D!$B$5))</f>
        <v/>
      </c>
      <c r="Q500">
        <f>A!Q500</f>
        <v>0</v>
      </c>
      <c r="R500">
        <f>A!R500</f>
        <v>0</v>
      </c>
      <c r="S500">
        <f>A!S500</f>
        <v>0</v>
      </c>
      <c r="T500">
        <f>A!T500</f>
        <v>0</v>
      </c>
      <c r="U500">
        <f>A!U500</f>
        <v>0</v>
      </c>
      <c r="V500" s="32">
        <f>IF(A!V500="&lt;",1,A!V500)</f>
        <v>0</v>
      </c>
      <c r="W500">
        <f>A!W500</f>
        <v>0</v>
      </c>
      <c r="X500">
        <f>A!X500</f>
        <v>0</v>
      </c>
      <c r="Y500">
        <f>A!Y500</f>
        <v>0</v>
      </c>
      <c r="Z500" s="32">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32"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A!CO810</f>
        <v>0</v>
      </c>
      <c r="CR500">
        <f>A!CP500</f>
        <v>0</v>
      </c>
      <c r="CS500">
        <f>A!CQ500</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32" t="str">
        <f>IF(A!P501="","",INDEX(B!$A$1:$BT$2000,MATCH(A!P501,B!$AX$1:$AX$2000,0),D!$B$5))</f>
        <v/>
      </c>
      <c r="Q501">
        <f>A!Q501</f>
        <v>0</v>
      </c>
      <c r="R501">
        <f>A!R501</f>
        <v>0</v>
      </c>
      <c r="S501">
        <f>A!S501</f>
        <v>0</v>
      </c>
      <c r="T501">
        <f>A!T501</f>
        <v>0</v>
      </c>
      <c r="U501">
        <f>A!U501</f>
        <v>0</v>
      </c>
      <c r="V501" s="32">
        <f>IF(A!V501="&lt;",1,A!V501)</f>
        <v>0</v>
      </c>
      <c r="W501">
        <f>A!W501</f>
        <v>0</v>
      </c>
      <c r="X501">
        <f>A!X501</f>
        <v>0</v>
      </c>
      <c r="Y501">
        <f>A!Y501</f>
        <v>0</v>
      </c>
      <c r="Z501" s="32">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32"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A!CO811</f>
        <v>0</v>
      </c>
      <c r="CR501">
        <f>A!CP501</f>
        <v>0</v>
      </c>
      <c r="CS501">
        <f>A!CQ501</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32" t="str">
        <f>IF(A!P502="","",INDEX(B!$A$1:$BT$2000,MATCH(A!P502,B!$AX$1:$AX$2000,0),D!$B$5))</f>
        <v/>
      </c>
      <c r="Q502">
        <f>A!Q502</f>
        <v>0</v>
      </c>
      <c r="R502">
        <f>A!R502</f>
        <v>0</v>
      </c>
      <c r="S502">
        <f>A!S502</f>
        <v>0</v>
      </c>
      <c r="T502">
        <f>A!T502</f>
        <v>0</v>
      </c>
      <c r="U502">
        <f>A!U502</f>
        <v>0</v>
      </c>
      <c r="V502" s="32">
        <f>IF(A!V502="&lt;",1,A!V502)</f>
        <v>0</v>
      </c>
      <c r="W502">
        <f>A!W502</f>
        <v>0</v>
      </c>
      <c r="X502">
        <f>A!X502</f>
        <v>0</v>
      </c>
      <c r="Y502">
        <f>A!Y502</f>
        <v>0</v>
      </c>
      <c r="Z502" s="32">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32"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A!CO812</f>
        <v>0</v>
      </c>
      <c r="CR502">
        <f>A!CP502</f>
        <v>0</v>
      </c>
      <c r="CS502">
        <f>A!CQ502</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32" t="str">
        <f>IF(A!P503="","",INDEX(B!$A$1:$BT$2000,MATCH(A!P503,B!$AX$1:$AX$2000,0),D!$B$5))</f>
        <v/>
      </c>
      <c r="Q503">
        <f>A!Q503</f>
        <v>0</v>
      </c>
      <c r="R503">
        <f>A!R503</f>
        <v>0</v>
      </c>
      <c r="S503">
        <f>A!S503</f>
        <v>0</v>
      </c>
      <c r="T503">
        <f>A!T503</f>
        <v>0</v>
      </c>
      <c r="U503">
        <f>A!U503</f>
        <v>0</v>
      </c>
      <c r="V503" s="32">
        <f>IF(A!V503="&lt;",1,A!V503)</f>
        <v>0</v>
      </c>
      <c r="W503">
        <f>A!W503</f>
        <v>0</v>
      </c>
      <c r="X503">
        <f>A!X503</f>
        <v>0</v>
      </c>
      <c r="Y503">
        <f>A!Y503</f>
        <v>0</v>
      </c>
      <c r="Z503" s="32">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32"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A!CO813</f>
        <v>0</v>
      </c>
      <c r="CR503">
        <f>A!CP503</f>
        <v>0</v>
      </c>
      <c r="CS503">
        <f>A!CQ503</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32" t="str">
        <f>IF(A!P504="","",INDEX(B!$A$1:$BT$2000,MATCH(A!P504,B!$AX$1:$AX$2000,0),D!$B$5))</f>
        <v/>
      </c>
      <c r="Q504">
        <f>A!Q504</f>
        <v>0</v>
      </c>
      <c r="R504">
        <f>A!R504</f>
        <v>0</v>
      </c>
      <c r="S504">
        <f>A!S504</f>
        <v>0</v>
      </c>
      <c r="T504">
        <f>A!T504</f>
        <v>0</v>
      </c>
      <c r="U504">
        <f>A!U504</f>
        <v>0</v>
      </c>
      <c r="V504" s="32">
        <f>IF(A!V504="&lt;",1,A!V504)</f>
        <v>0</v>
      </c>
      <c r="W504">
        <f>A!W504</f>
        <v>0</v>
      </c>
      <c r="X504">
        <f>A!X504</f>
        <v>0</v>
      </c>
      <c r="Y504">
        <f>A!Y504</f>
        <v>0</v>
      </c>
      <c r="Z504" s="32">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32"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A!CO814</f>
        <v>0</v>
      </c>
      <c r="CR504">
        <f>A!CP504</f>
        <v>0</v>
      </c>
      <c r="CS504">
        <f>A!CQ504</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32" t="str">
        <f>IF(A!P505="","",INDEX(B!$A$1:$BT$2000,MATCH(A!P505,B!$AX$1:$AX$2000,0),D!$B$5))</f>
        <v/>
      </c>
      <c r="Q505">
        <f>A!Q505</f>
        <v>0</v>
      </c>
      <c r="R505">
        <f>A!R505</f>
        <v>0</v>
      </c>
      <c r="S505">
        <f>A!S505</f>
        <v>0</v>
      </c>
      <c r="T505">
        <f>A!T505</f>
        <v>0</v>
      </c>
      <c r="U505">
        <f>A!U505</f>
        <v>0</v>
      </c>
      <c r="V505" s="32">
        <f>IF(A!V505="&lt;",1,A!V505)</f>
        <v>0</v>
      </c>
      <c r="W505">
        <f>A!W505</f>
        <v>0</v>
      </c>
      <c r="X505">
        <f>A!X505</f>
        <v>0</v>
      </c>
      <c r="Y505">
        <f>A!Y505</f>
        <v>0</v>
      </c>
      <c r="Z505" s="32">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32"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A!CO815</f>
        <v>0</v>
      </c>
      <c r="CR505">
        <f>A!CP505</f>
        <v>0</v>
      </c>
      <c r="CS505">
        <f>A!CQ505</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32" t="str">
        <f>IF(A!P506="","",INDEX(B!$A$1:$BT$2000,MATCH(A!P506,B!$AX$1:$AX$2000,0),D!$B$5))</f>
        <v/>
      </c>
      <c r="Q506">
        <f>A!Q506</f>
        <v>0</v>
      </c>
      <c r="R506">
        <f>A!R506</f>
        <v>0</v>
      </c>
      <c r="S506">
        <f>A!S506</f>
        <v>0</v>
      </c>
      <c r="T506">
        <f>A!T506</f>
        <v>0</v>
      </c>
      <c r="U506">
        <f>A!U506</f>
        <v>0</v>
      </c>
      <c r="V506" s="32">
        <f>IF(A!V506="&lt;",1,A!V506)</f>
        <v>0</v>
      </c>
      <c r="W506">
        <f>A!W506</f>
        <v>0</v>
      </c>
      <c r="X506">
        <f>A!X506</f>
        <v>0</v>
      </c>
      <c r="Y506">
        <f>A!Y506</f>
        <v>0</v>
      </c>
      <c r="Z506" s="32">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32"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A!CO816</f>
        <v>0</v>
      </c>
      <c r="CR506">
        <f>A!CP506</f>
        <v>0</v>
      </c>
      <c r="CS506">
        <f>A!CQ506</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32" t="str">
        <f>IF(A!P507="","",INDEX(B!$A$1:$BT$2000,MATCH(A!P507,B!$AX$1:$AX$2000,0),D!$B$5))</f>
        <v/>
      </c>
      <c r="Q507">
        <f>A!Q507</f>
        <v>0</v>
      </c>
      <c r="R507">
        <f>A!R507</f>
        <v>0</v>
      </c>
      <c r="S507">
        <f>A!S507</f>
        <v>0</v>
      </c>
      <c r="T507">
        <f>A!T507</f>
        <v>0</v>
      </c>
      <c r="U507">
        <f>A!U507</f>
        <v>0</v>
      </c>
      <c r="V507" s="32">
        <f>IF(A!V507="&lt;",1,A!V507)</f>
        <v>0</v>
      </c>
      <c r="W507">
        <f>A!W507</f>
        <v>0</v>
      </c>
      <c r="X507">
        <f>A!X507</f>
        <v>0</v>
      </c>
      <c r="Y507">
        <f>A!Y507</f>
        <v>0</v>
      </c>
      <c r="Z507" s="32">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32"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A!CO817</f>
        <v>0</v>
      </c>
      <c r="CR507">
        <f>A!CP507</f>
        <v>0</v>
      </c>
      <c r="CS507">
        <f>A!CQ507</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32" t="str">
        <f>IF(A!P508="","",INDEX(B!$A$1:$BT$2000,MATCH(A!P508,B!$AX$1:$AX$2000,0),D!$B$5))</f>
        <v/>
      </c>
      <c r="Q508">
        <f>A!Q508</f>
        <v>0</v>
      </c>
      <c r="R508">
        <f>A!R508</f>
        <v>0</v>
      </c>
      <c r="S508">
        <f>A!S508</f>
        <v>0</v>
      </c>
      <c r="T508">
        <f>A!T508</f>
        <v>0</v>
      </c>
      <c r="U508">
        <f>A!U508</f>
        <v>0</v>
      </c>
      <c r="V508" s="32">
        <f>IF(A!V508="&lt;",1,A!V508)</f>
        <v>0</v>
      </c>
      <c r="W508">
        <f>A!W508</f>
        <v>0</v>
      </c>
      <c r="X508">
        <f>A!X508</f>
        <v>0</v>
      </c>
      <c r="Y508">
        <f>A!Y508</f>
        <v>0</v>
      </c>
      <c r="Z508" s="32">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32"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A!CO818</f>
        <v>0</v>
      </c>
      <c r="CR508">
        <f>A!CP508</f>
        <v>0</v>
      </c>
      <c r="CS508">
        <f>A!CQ508</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32" t="str">
        <f>IF(A!P509="","",INDEX(B!$A$1:$BT$2000,MATCH(A!P509,B!$AX$1:$AX$2000,0),D!$B$5))</f>
        <v/>
      </c>
      <c r="Q509">
        <f>A!Q509</f>
        <v>0</v>
      </c>
      <c r="R509">
        <f>A!R509</f>
        <v>0</v>
      </c>
      <c r="S509">
        <f>A!S509</f>
        <v>0</v>
      </c>
      <c r="T509">
        <f>A!T509</f>
        <v>0</v>
      </c>
      <c r="U509">
        <f>A!U509</f>
        <v>0</v>
      </c>
      <c r="V509" s="32">
        <f>IF(A!V509="&lt;",1,A!V509)</f>
        <v>0</v>
      </c>
      <c r="W509">
        <f>A!W509</f>
        <v>0</v>
      </c>
      <c r="X509">
        <f>A!X509</f>
        <v>0</v>
      </c>
      <c r="Y509">
        <f>A!Y509</f>
        <v>0</v>
      </c>
      <c r="Z509" s="32">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32"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A!CO819</f>
        <v>0</v>
      </c>
      <c r="CR509">
        <f>A!CP509</f>
        <v>0</v>
      </c>
      <c r="CS509">
        <f>A!CQ509</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32" t="str">
        <f>IF(A!P510="","",INDEX(B!$A$1:$BT$2000,MATCH(A!P510,B!$AX$1:$AX$2000,0),D!$B$5))</f>
        <v/>
      </c>
      <c r="Q510">
        <f>A!Q510</f>
        <v>0</v>
      </c>
      <c r="R510">
        <f>A!R510</f>
        <v>0</v>
      </c>
      <c r="S510">
        <f>A!S510</f>
        <v>0</v>
      </c>
      <c r="T510">
        <f>A!T510</f>
        <v>0</v>
      </c>
      <c r="U510">
        <f>A!U510</f>
        <v>0</v>
      </c>
      <c r="V510" s="32">
        <f>IF(A!V510="&lt;",1,A!V510)</f>
        <v>0</v>
      </c>
      <c r="W510">
        <f>A!W510</f>
        <v>0</v>
      </c>
      <c r="X510">
        <f>A!X510</f>
        <v>0</v>
      </c>
      <c r="Y510">
        <f>A!Y510</f>
        <v>0</v>
      </c>
      <c r="Z510" s="32">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32"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A!CO820</f>
        <v>0</v>
      </c>
      <c r="CR510">
        <f>A!CP510</f>
        <v>0</v>
      </c>
      <c r="CS510">
        <f>A!CQ510</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32" t="str">
        <f>IF(A!P511="","",INDEX(B!$A$1:$BT$2000,MATCH(A!P511,B!$AX$1:$AX$2000,0),D!$B$5))</f>
        <v/>
      </c>
      <c r="Q511">
        <f>A!Q511</f>
        <v>0</v>
      </c>
      <c r="R511">
        <f>A!R511</f>
        <v>0</v>
      </c>
      <c r="S511">
        <f>A!S511</f>
        <v>0</v>
      </c>
      <c r="T511">
        <f>A!T511</f>
        <v>0</v>
      </c>
      <c r="U511">
        <f>A!U511</f>
        <v>0</v>
      </c>
      <c r="V511" s="32">
        <f>IF(A!V511="&lt;",1,A!V511)</f>
        <v>0</v>
      </c>
      <c r="W511">
        <f>A!W511</f>
        <v>0</v>
      </c>
      <c r="X511">
        <f>A!X511</f>
        <v>0</v>
      </c>
      <c r="Y511">
        <f>A!Y511</f>
        <v>0</v>
      </c>
      <c r="Z511" s="32">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32"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A!CO821</f>
        <v>0</v>
      </c>
      <c r="CR511">
        <f>A!CP511</f>
        <v>0</v>
      </c>
      <c r="CS511">
        <f>A!CQ511</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32" t="str">
        <f>IF(A!P512="","",INDEX(B!$A$1:$BT$2000,MATCH(A!P512,B!$AX$1:$AX$2000,0),D!$B$5))</f>
        <v/>
      </c>
      <c r="Q512">
        <f>A!Q512</f>
        <v>0</v>
      </c>
      <c r="R512">
        <f>A!R512</f>
        <v>0</v>
      </c>
      <c r="S512">
        <f>A!S512</f>
        <v>0</v>
      </c>
      <c r="T512">
        <f>A!T512</f>
        <v>0</v>
      </c>
      <c r="U512">
        <f>A!U512</f>
        <v>0</v>
      </c>
      <c r="V512" s="32">
        <f>IF(A!V512="&lt;",1,A!V512)</f>
        <v>0</v>
      </c>
      <c r="W512">
        <f>A!W512</f>
        <v>0</v>
      </c>
      <c r="X512">
        <f>A!X512</f>
        <v>0</v>
      </c>
      <c r="Y512">
        <f>A!Y512</f>
        <v>0</v>
      </c>
      <c r="Z512" s="32">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32"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A!CO822</f>
        <v>0</v>
      </c>
      <c r="CR512">
        <f>A!CP512</f>
        <v>0</v>
      </c>
      <c r="CS512">
        <f>A!CQ512</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32" t="str">
        <f>IF(A!P513="","",INDEX(B!$A$1:$BT$2000,MATCH(A!P513,B!$AX$1:$AX$2000,0),D!$B$5))</f>
        <v/>
      </c>
      <c r="Q513">
        <f>A!Q513</f>
        <v>0</v>
      </c>
      <c r="R513">
        <f>A!R513</f>
        <v>0</v>
      </c>
      <c r="S513">
        <f>A!S513</f>
        <v>0</v>
      </c>
      <c r="T513">
        <f>A!T513</f>
        <v>0</v>
      </c>
      <c r="U513">
        <f>A!U513</f>
        <v>0</v>
      </c>
      <c r="V513" s="32">
        <f>IF(A!V513="&lt;",1,A!V513)</f>
        <v>0</v>
      </c>
      <c r="W513">
        <f>A!W513</f>
        <v>0</v>
      </c>
      <c r="X513">
        <f>A!X513</f>
        <v>0</v>
      </c>
      <c r="Y513">
        <f>A!Y513</f>
        <v>0</v>
      </c>
      <c r="Z513" s="32">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32"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A!CO823</f>
        <v>0</v>
      </c>
      <c r="CR513">
        <f>A!CP513</f>
        <v>0</v>
      </c>
      <c r="CS513">
        <f>A!CQ513</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32" t="str">
        <f>IF(A!P514="","",INDEX(B!$A$1:$BT$2000,MATCH(A!P514,B!$AX$1:$AX$2000,0),D!$B$5))</f>
        <v/>
      </c>
      <c r="Q514">
        <f>A!Q514</f>
        <v>0</v>
      </c>
      <c r="R514">
        <f>A!R514</f>
        <v>0</v>
      </c>
      <c r="S514">
        <f>A!S514</f>
        <v>0</v>
      </c>
      <c r="T514">
        <f>A!T514</f>
        <v>0</v>
      </c>
      <c r="U514">
        <f>A!U514</f>
        <v>0</v>
      </c>
      <c r="V514" s="32">
        <f>IF(A!V514="&lt;",1,A!V514)</f>
        <v>0</v>
      </c>
      <c r="W514">
        <f>A!W514</f>
        <v>0</v>
      </c>
      <c r="X514">
        <f>A!X514</f>
        <v>0</v>
      </c>
      <c r="Y514">
        <f>A!Y514</f>
        <v>0</v>
      </c>
      <c r="Z514" s="32">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32"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A!CO824</f>
        <v>0</v>
      </c>
      <c r="CR514">
        <f>A!CP514</f>
        <v>0</v>
      </c>
      <c r="CS514">
        <f>A!CQ514</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32" t="str">
        <f>IF(A!P515="","",INDEX(B!$A$1:$BT$2000,MATCH(A!P515,B!$AX$1:$AX$2000,0),D!$B$5))</f>
        <v/>
      </c>
      <c r="Q515">
        <f>A!Q515</f>
        <v>0</v>
      </c>
      <c r="R515">
        <f>A!R515</f>
        <v>0</v>
      </c>
      <c r="S515">
        <f>A!S515</f>
        <v>0</v>
      </c>
      <c r="T515">
        <f>A!T515</f>
        <v>0</v>
      </c>
      <c r="U515">
        <f>A!U515</f>
        <v>0</v>
      </c>
      <c r="V515" s="32">
        <f>IF(A!V515="&lt;",1,A!V515)</f>
        <v>0</v>
      </c>
      <c r="W515">
        <f>A!W515</f>
        <v>0</v>
      </c>
      <c r="X515">
        <f>A!X515</f>
        <v>0</v>
      </c>
      <c r="Y515">
        <f>A!Y515</f>
        <v>0</v>
      </c>
      <c r="Z515" s="32">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32"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A!CO825</f>
        <v>0</v>
      </c>
      <c r="CR515">
        <f>A!CP515</f>
        <v>0</v>
      </c>
      <c r="CS515">
        <f>A!CQ515</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32" t="str">
        <f>IF(A!P516="","",INDEX(B!$A$1:$BT$2000,MATCH(A!P516,B!$AX$1:$AX$2000,0),D!$B$5))</f>
        <v/>
      </c>
      <c r="Q516">
        <f>A!Q516</f>
        <v>0</v>
      </c>
      <c r="R516">
        <f>A!R516</f>
        <v>0</v>
      </c>
      <c r="S516">
        <f>A!S516</f>
        <v>0</v>
      </c>
      <c r="T516">
        <f>A!T516</f>
        <v>0</v>
      </c>
      <c r="U516">
        <f>A!U516</f>
        <v>0</v>
      </c>
      <c r="V516" s="32">
        <f>IF(A!V516="&lt;",1,A!V516)</f>
        <v>0</v>
      </c>
      <c r="W516">
        <f>A!W516</f>
        <v>0</v>
      </c>
      <c r="X516">
        <f>A!X516</f>
        <v>0</v>
      </c>
      <c r="Y516">
        <f>A!Y516</f>
        <v>0</v>
      </c>
      <c r="Z516" s="32">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32"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A!CO826</f>
        <v>0</v>
      </c>
      <c r="CR516">
        <f>A!CP516</f>
        <v>0</v>
      </c>
      <c r="CS516">
        <f>A!CQ516</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32" t="str">
        <f>IF(A!P517="","",INDEX(B!$A$1:$BT$2000,MATCH(A!P517,B!$AX$1:$AX$2000,0),D!$B$5))</f>
        <v/>
      </c>
      <c r="Q517">
        <f>A!Q517</f>
        <v>0</v>
      </c>
      <c r="R517">
        <f>A!R517</f>
        <v>0</v>
      </c>
      <c r="S517">
        <f>A!S517</f>
        <v>0</v>
      </c>
      <c r="T517">
        <f>A!T517</f>
        <v>0</v>
      </c>
      <c r="U517">
        <f>A!U517</f>
        <v>0</v>
      </c>
      <c r="V517" s="32">
        <f>IF(A!V517="&lt;",1,A!V517)</f>
        <v>0</v>
      </c>
      <c r="W517">
        <f>A!W517</f>
        <v>0</v>
      </c>
      <c r="X517">
        <f>A!X517</f>
        <v>0</v>
      </c>
      <c r="Y517">
        <f>A!Y517</f>
        <v>0</v>
      </c>
      <c r="Z517" s="32">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32"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A!CO827</f>
        <v>0</v>
      </c>
      <c r="CR517">
        <f>A!CP517</f>
        <v>0</v>
      </c>
      <c r="CS517">
        <f>A!CQ517</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32" t="str">
        <f>IF(A!P518="","",INDEX(B!$A$1:$BT$2000,MATCH(A!P518,B!$AX$1:$AX$2000,0),D!$B$5))</f>
        <v/>
      </c>
      <c r="Q518">
        <f>A!Q518</f>
        <v>0</v>
      </c>
      <c r="R518">
        <f>A!R518</f>
        <v>0</v>
      </c>
      <c r="S518">
        <f>A!S518</f>
        <v>0</v>
      </c>
      <c r="T518">
        <f>A!T518</f>
        <v>0</v>
      </c>
      <c r="U518">
        <f>A!U518</f>
        <v>0</v>
      </c>
      <c r="V518" s="32">
        <f>IF(A!V518="&lt;",1,A!V518)</f>
        <v>0</v>
      </c>
      <c r="W518">
        <f>A!W518</f>
        <v>0</v>
      </c>
      <c r="X518">
        <f>A!X518</f>
        <v>0</v>
      </c>
      <c r="Y518">
        <f>A!Y518</f>
        <v>0</v>
      </c>
      <c r="Z518" s="32">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32"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A!CO828</f>
        <v>0</v>
      </c>
      <c r="CR518">
        <f>A!CP518</f>
        <v>0</v>
      </c>
      <c r="CS518">
        <f>A!CQ518</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32" t="str">
        <f>IF(A!P519="","",INDEX(B!$A$1:$BT$2000,MATCH(A!P519,B!$AX$1:$AX$2000,0),D!$B$5))</f>
        <v/>
      </c>
      <c r="Q519">
        <f>A!Q519</f>
        <v>0</v>
      </c>
      <c r="R519">
        <f>A!R519</f>
        <v>0</v>
      </c>
      <c r="S519">
        <f>A!S519</f>
        <v>0</v>
      </c>
      <c r="T519">
        <f>A!T519</f>
        <v>0</v>
      </c>
      <c r="U519">
        <f>A!U519</f>
        <v>0</v>
      </c>
      <c r="V519" s="32">
        <f>IF(A!V519="&lt;",1,A!V519)</f>
        <v>0</v>
      </c>
      <c r="W519">
        <f>A!W519</f>
        <v>0</v>
      </c>
      <c r="X519">
        <f>A!X519</f>
        <v>0</v>
      </c>
      <c r="Y519">
        <f>A!Y519</f>
        <v>0</v>
      </c>
      <c r="Z519" s="32">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32"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A!CO829</f>
        <v>0</v>
      </c>
      <c r="CR519">
        <f>A!CP519</f>
        <v>0</v>
      </c>
      <c r="CS519">
        <f>A!CQ519</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32" t="str">
        <f>IF(A!P520="","",INDEX(B!$A$1:$BT$2000,MATCH(A!P520,B!$AX$1:$AX$2000,0),D!$B$5))</f>
        <v/>
      </c>
      <c r="Q520">
        <f>A!Q520</f>
        <v>0</v>
      </c>
      <c r="R520">
        <f>A!R520</f>
        <v>0</v>
      </c>
      <c r="S520">
        <f>A!S520</f>
        <v>0</v>
      </c>
      <c r="T520">
        <f>A!T520</f>
        <v>0</v>
      </c>
      <c r="U520">
        <f>A!U520</f>
        <v>0</v>
      </c>
      <c r="V520" s="32">
        <f>IF(A!V520="&lt;",1,A!V520)</f>
        <v>0</v>
      </c>
      <c r="W520">
        <f>A!W520</f>
        <v>0</v>
      </c>
      <c r="X520">
        <f>A!X520</f>
        <v>0</v>
      </c>
      <c r="Y520">
        <f>A!Y520</f>
        <v>0</v>
      </c>
      <c r="Z520" s="32">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32"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A!CO830</f>
        <v>0</v>
      </c>
      <c r="CR520">
        <f>A!CP520</f>
        <v>0</v>
      </c>
      <c r="CS520">
        <f>A!CQ520</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32" t="str">
        <f>IF(A!P521="","",INDEX(B!$A$1:$BT$2000,MATCH(A!P521,B!$AX$1:$AX$2000,0),D!$B$5))</f>
        <v/>
      </c>
      <c r="Q521">
        <f>A!Q521</f>
        <v>0</v>
      </c>
      <c r="R521">
        <f>A!R521</f>
        <v>0</v>
      </c>
      <c r="S521">
        <f>A!S521</f>
        <v>0</v>
      </c>
      <c r="T521">
        <f>A!T521</f>
        <v>0</v>
      </c>
      <c r="U521">
        <f>A!U521</f>
        <v>0</v>
      </c>
      <c r="V521" s="32">
        <f>IF(A!V521="&lt;",1,A!V521)</f>
        <v>0</v>
      </c>
      <c r="W521">
        <f>A!W521</f>
        <v>0</v>
      </c>
      <c r="X521">
        <f>A!X521</f>
        <v>0</v>
      </c>
      <c r="Y521">
        <f>A!Y521</f>
        <v>0</v>
      </c>
      <c r="Z521" s="32">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32"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A!CO831</f>
        <v>0</v>
      </c>
      <c r="CR521">
        <f>A!CP521</f>
        <v>0</v>
      </c>
      <c r="CS521">
        <f>A!CQ521</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32" t="str">
        <f>IF(A!P522="","",INDEX(B!$A$1:$BT$2000,MATCH(A!P522,B!$AX$1:$AX$2000,0),D!$B$5))</f>
        <v/>
      </c>
      <c r="Q522">
        <f>A!Q522</f>
        <v>0</v>
      </c>
      <c r="R522">
        <f>A!R522</f>
        <v>0</v>
      </c>
      <c r="S522">
        <f>A!S522</f>
        <v>0</v>
      </c>
      <c r="T522">
        <f>A!T522</f>
        <v>0</v>
      </c>
      <c r="U522">
        <f>A!U522</f>
        <v>0</v>
      </c>
      <c r="V522" s="32">
        <f>IF(A!V522="&lt;",1,A!V522)</f>
        <v>0</v>
      </c>
      <c r="W522">
        <f>A!W522</f>
        <v>0</v>
      </c>
      <c r="X522">
        <f>A!X522</f>
        <v>0</v>
      </c>
      <c r="Y522">
        <f>A!Y522</f>
        <v>0</v>
      </c>
      <c r="Z522" s="32">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32"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A!CO832</f>
        <v>0</v>
      </c>
      <c r="CR522">
        <f>A!CP522</f>
        <v>0</v>
      </c>
      <c r="CS522">
        <f>A!CQ522</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32" t="str">
        <f>IF(A!P523="","",INDEX(B!$A$1:$BT$2000,MATCH(A!P523,B!$AX$1:$AX$2000,0),D!$B$5))</f>
        <v/>
      </c>
      <c r="Q523">
        <f>A!Q523</f>
        <v>0</v>
      </c>
      <c r="R523">
        <f>A!R523</f>
        <v>0</v>
      </c>
      <c r="S523">
        <f>A!S523</f>
        <v>0</v>
      </c>
      <c r="T523">
        <f>A!T523</f>
        <v>0</v>
      </c>
      <c r="U523">
        <f>A!U523</f>
        <v>0</v>
      </c>
      <c r="V523" s="32">
        <f>IF(A!V523="&lt;",1,A!V523)</f>
        <v>0</v>
      </c>
      <c r="W523">
        <f>A!W523</f>
        <v>0</v>
      </c>
      <c r="X523">
        <f>A!X523</f>
        <v>0</v>
      </c>
      <c r="Y523">
        <f>A!Y523</f>
        <v>0</v>
      </c>
      <c r="Z523" s="32">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32"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A!CO833</f>
        <v>0</v>
      </c>
      <c r="CR523">
        <f>A!CP523</f>
        <v>0</v>
      </c>
      <c r="CS523">
        <f>A!CQ523</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32" t="str">
        <f>IF(A!P524="","",INDEX(B!$A$1:$BT$2000,MATCH(A!P524,B!$AX$1:$AX$2000,0),D!$B$5))</f>
        <v/>
      </c>
      <c r="Q524">
        <f>A!Q524</f>
        <v>0</v>
      </c>
      <c r="R524">
        <f>A!R524</f>
        <v>0</v>
      </c>
      <c r="S524">
        <f>A!S524</f>
        <v>0</v>
      </c>
      <c r="T524">
        <f>A!T524</f>
        <v>0</v>
      </c>
      <c r="U524">
        <f>A!U524</f>
        <v>0</v>
      </c>
      <c r="V524" s="32">
        <f>IF(A!V524="&lt;",1,A!V524)</f>
        <v>0</v>
      </c>
      <c r="W524">
        <f>A!W524</f>
        <v>0</v>
      </c>
      <c r="X524">
        <f>A!X524</f>
        <v>0</v>
      </c>
      <c r="Y524">
        <f>A!Y524</f>
        <v>0</v>
      </c>
      <c r="Z524" s="32">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32"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A!CO834</f>
        <v>0</v>
      </c>
      <c r="CR524">
        <f>A!CP524</f>
        <v>0</v>
      </c>
      <c r="CS524">
        <f>A!CQ524</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32" t="str">
        <f>IF(A!P525="","",INDEX(B!$A$1:$BT$2000,MATCH(A!P525,B!$AX$1:$AX$2000,0),D!$B$5))</f>
        <v/>
      </c>
      <c r="Q525">
        <f>A!Q525</f>
        <v>0</v>
      </c>
      <c r="R525">
        <f>A!R525</f>
        <v>0</v>
      </c>
      <c r="S525">
        <f>A!S525</f>
        <v>0</v>
      </c>
      <c r="T525">
        <f>A!T525</f>
        <v>0</v>
      </c>
      <c r="U525">
        <f>A!U525</f>
        <v>0</v>
      </c>
      <c r="V525" s="32">
        <f>IF(A!V525="&lt;",1,A!V525)</f>
        <v>0</v>
      </c>
      <c r="W525">
        <f>A!W525</f>
        <v>0</v>
      </c>
      <c r="X525">
        <f>A!X525</f>
        <v>0</v>
      </c>
      <c r="Y525">
        <f>A!Y525</f>
        <v>0</v>
      </c>
      <c r="Z525" s="32">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32"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A!CO835</f>
        <v>0</v>
      </c>
      <c r="CR525">
        <f>A!CP525</f>
        <v>0</v>
      </c>
      <c r="CS525">
        <f>A!CQ525</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32" t="str">
        <f>IF(A!P526="","",INDEX(B!$A$1:$BT$2000,MATCH(A!P526,B!$AX$1:$AX$2000,0),D!$B$5))</f>
        <v/>
      </c>
      <c r="Q526">
        <f>A!Q526</f>
        <v>0</v>
      </c>
      <c r="R526">
        <f>A!R526</f>
        <v>0</v>
      </c>
      <c r="S526">
        <f>A!S526</f>
        <v>0</v>
      </c>
      <c r="T526">
        <f>A!T526</f>
        <v>0</v>
      </c>
      <c r="U526">
        <f>A!U526</f>
        <v>0</v>
      </c>
      <c r="V526" s="32">
        <f>IF(A!V526="&lt;",1,A!V526)</f>
        <v>0</v>
      </c>
      <c r="W526">
        <f>A!W526</f>
        <v>0</v>
      </c>
      <c r="X526">
        <f>A!X526</f>
        <v>0</v>
      </c>
      <c r="Y526">
        <f>A!Y526</f>
        <v>0</v>
      </c>
      <c r="Z526" s="32">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32"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A!CO836</f>
        <v>0</v>
      </c>
      <c r="CR526">
        <f>A!CP526</f>
        <v>0</v>
      </c>
      <c r="CS526">
        <f>A!CQ526</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32" t="str">
        <f>IF(A!P527="","",INDEX(B!$A$1:$BT$2000,MATCH(A!P527,B!$AX$1:$AX$2000,0),D!$B$5))</f>
        <v/>
      </c>
      <c r="Q527">
        <f>A!Q527</f>
        <v>0</v>
      </c>
      <c r="R527">
        <f>A!R527</f>
        <v>0</v>
      </c>
      <c r="S527">
        <f>A!S527</f>
        <v>0</v>
      </c>
      <c r="T527">
        <f>A!T527</f>
        <v>0</v>
      </c>
      <c r="U527">
        <f>A!U527</f>
        <v>0</v>
      </c>
      <c r="V527" s="32">
        <f>IF(A!V527="&lt;",1,A!V527)</f>
        <v>0</v>
      </c>
      <c r="W527">
        <f>A!W527</f>
        <v>0</v>
      </c>
      <c r="X527">
        <f>A!X527</f>
        <v>0</v>
      </c>
      <c r="Y527">
        <f>A!Y527</f>
        <v>0</v>
      </c>
      <c r="Z527" s="32">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32"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A!CO837</f>
        <v>0</v>
      </c>
      <c r="CR527">
        <f>A!CP527</f>
        <v>0</v>
      </c>
      <c r="CS527">
        <f>A!CQ527</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32" t="str">
        <f>IF(A!P528="","",INDEX(B!$A$1:$BT$2000,MATCH(A!P528,B!$AX$1:$AX$2000,0),D!$B$5))</f>
        <v/>
      </c>
      <c r="Q528">
        <f>A!Q528</f>
        <v>0</v>
      </c>
      <c r="R528">
        <f>A!R528</f>
        <v>0</v>
      </c>
      <c r="S528">
        <f>A!S528</f>
        <v>0</v>
      </c>
      <c r="T528">
        <f>A!T528</f>
        <v>0</v>
      </c>
      <c r="U528">
        <f>A!U528</f>
        <v>0</v>
      </c>
      <c r="V528" s="32">
        <f>IF(A!V528="&lt;",1,A!V528)</f>
        <v>0</v>
      </c>
      <c r="W528">
        <f>A!W528</f>
        <v>0</v>
      </c>
      <c r="X528">
        <f>A!X528</f>
        <v>0</v>
      </c>
      <c r="Y528">
        <f>A!Y528</f>
        <v>0</v>
      </c>
      <c r="Z528" s="32">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32"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A!CO838</f>
        <v>0</v>
      </c>
      <c r="CR528">
        <f>A!CP528</f>
        <v>0</v>
      </c>
      <c r="CS528">
        <f>A!CQ528</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32" t="str">
        <f>IF(A!P529="","",INDEX(B!$A$1:$BT$2000,MATCH(A!P529,B!$AX$1:$AX$2000,0),D!$B$5))</f>
        <v/>
      </c>
      <c r="Q529">
        <f>A!Q529</f>
        <v>0</v>
      </c>
      <c r="R529">
        <f>A!R529</f>
        <v>0</v>
      </c>
      <c r="S529">
        <f>A!S529</f>
        <v>0</v>
      </c>
      <c r="T529">
        <f>A!T529</f>
        <v>0</v>
      </c>
      <c r="U529">
        <f>A!U529</f>
        <v>0</v>
      </c>
      <c r="V529" s="32">
        <f>IF(A!V529="&lt;",1,A!V529)</f>
        <v>0</v>
      </c>
      <c r="W529">
        <f>A!W529</f>
        <v>0</v>
      </c>
      <c r="X529">
        <f>A!X529</f>
        <v>0</v>
      </c>
      <c r="Y529">
        <f>A!Y529</f>
        <v>0</v>
      </c>
      <c r="Z529" s="32">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32"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A!CO839</f>
        <v>0</v>
      </c>
      <c r="CR529">
        <f>A!CP529</f>
        <v>0</v>
      </c>
      <c r="CS529">
        <f>A!CQ529</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32" t="str">
        <f>IF(A!P530="","",INDEX(B!$A$1:$BT$2000,MATCH(A!P530,B!$AX$1:$AX$2000,0),D!$B$5))</f>
        <v/>
      </c>
      <c r="Q530">
        <f>A!Q530</f>
        <v>0</v>
      </c>
      <c r="R530">
        <f>A!R530</f>
        <v>0</v>
      </c>
      <c r="S530">
        <f>A!S530</f>
        <v>0</v>
      </c>
      <c r="T530">
        <f>A!T530</f>
        <v>0</v>
      </c>
      <c r="U530">
        <f>A!U530</f>
        <v>0</v>
      </c>
      <c r="V530" s="32">
        <f>IF(A!V530="&lt;",1,A!V530)</f>
        <v>0</v>
      </c>
      <c r="W530">
        <f>A!W530</f>
        <v>0</v>
      </c>
      <c r="X530">
        <f>A!X530</f>
        <v>0</v>
      </c>
      <c r="Y530">
        <f>A!Y530</f>
        <v>0</v>
      </c>
      <c r="Z530" s="32">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32"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A!CO840</f>
        <v>0</v>
      </c>
      <c r="CR530">
        <f>A!CP530</f>
        <v>0</v>
      </c>
      <c r="CS530">
        <f>A!CQ530</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32" t="str">
        <f>IF(A!P531="","",INDEX(B!$A$1:$BT$2000,MATCH(A!P531,B!$AX$1:$AX$2000,0),D!$B$5))</f>
        <v/>
      </c>
      <c r="Q531">
        <f>A!Q531</f>
        <v>0</v>
      </c>
      <c r="R531">
        <f>A!R531</f>
        <v>0</v>
      </c>
      <c r="S531">
        <f>A!S531</f>
        <v>0</v>
      </c>
      <c r="T531">
        <f>A!T531</f>
        <v>0</v>
      </c>
      <c r="U531">
        <f>A!U531</f>
        <v>0</v>
      </c>
      <c r="V531" s="32">
        <f>IF(A!V531="&lt;",1,A!V531)</f>
        <v>0</v>
      </c>
      <c r="W531">
        <f>A!W531</f>
        <v>0</v>
      </c>
      <c r="X531">
        <f>A!X531</f>
        <v>0</v>
      </c>
      <c r="Y531">
        <f>A!Y531</f>
        <v>0</v>
      </c>
      <c r="Z531" s="32">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32"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A!CO841</f>
        <v>0</v>
      </c>
      <c r="CR531">
        <f>A!CP531</f>
        <v>0</v>
      </c>
      <c r="CS531">
        <f>A!CQ531</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32" t="str">
        <f>IF(A!P532="","",INDEX(B!$A$1:$BT$2000,MATCH(A!P532,B!$AX$1:$AX$2000,0),D!$B$5))</f>
        <v/>
      </c>
      <c r="Q532">
        <f>A!Q532</f>
        <v>0</v>
      </c>
      <c r="R532">
        <f>A!R532</f>
        <v>0</v>
      </c>
      <c r="S532">
        <f>A!S532</f>
        <v>0</v>
      </c>
      <c r="T532">
        <f>A!T532</f>
        <v>0</v>
      </c>
      <c r="U532">
        <f>A!U532</f>
        <v>0</v>
      </c>
      <c r="V532" s="32">
        <f>IF(A!V532="&lt;",1,A!V532)</f>
        <v>0</v>
      </c>
      <c r="W532">
        <f>A!W532</f>
        <v>0</v>
      </c>
      <c r="X532">
        <f>A!X532</f>
        <v>0</v>
      </c>
      <c r="Y532">
        <f>A!Y532</f>
        <v>0</v>
      </c>
      <c r="Z532" s="32">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32"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A!CO842</f>
        <v>0</v>
      </c>
      <c r="CR532">
        <f>A!CP532</f>
        <v>0</v>
      </c>
      <c r="CS532">
        <f>A!CQ532</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32" t="str">
        <f>IF(A!P533="","",INDEX(B!$A$1:$BT$2000,MATCH(A!P533,B!$AX$1:$AX$2000,0),D!$B$5))</f>
        <v/>
      </c>
      <c r="Q533">
        <f>A!Q533</f>
        <v>0</v>
      </c>
      <c r="R533">
        <f>A!R533</f>
        <v>0</v>
      </c>
      <c r="S533">
        <f>A!S533</f>
        <v>0</v>
      </c>
      <c r="T533">
        <f>A!T533</f>
        <v>0</v>
      </c>
      <c r="U533">
        <f>A!U533</f>
        <v>0</v>
      </c>
      <c r="V533" s="32">
        <f>IF(A!V533="&lt;",1,A!V533)</f>
        <v>0</v>
      </c>
      <c r="W533">
        <f>A!W533</f>
        <v>0</v>
      </c>
      <c r="X533">
        <f>A!X533</f>
        <v>0</v>
      </c>
      <c r="Y533">
        <f>A!Y533</f>
        <v>0</v>
      </c>
      <c r="Z533" s="32">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32"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A!CO843</f>
        <v>0</v>
      </c>
      <c r="CR533">
        <f>A!CP533</f>
        <v>0</v>
      </c>
      <c r="CS533">
        <f>A!CQ533</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32" t="str">
        <f>IF(A!P534="","",INDEX(B!$A$1:$BT$2000,MATCH(A!P534,B!$AX$1:$AX$2000,0),D!$B$5))</f>
        <v/>
      </c>
      <c r="Q534">
        <f>A!Q534</f>
        <v>0</v>
      </c>
      <c r="R534">
        <f>A!R534</f>
        <v>0</v>
      </c>
      <c r="S534">
        <f>A!S534</f>
        <v>0</v>
      </c>
      <c r="T534">
        <f>A!T534</f>
        <v>0</v>
      </c>
      <c r="U534">
        <f>A!U534</f>
        <v>0</v>
      </c>
      <c r="V534" s="32">
        <f>IF(A!V534="&lt;",1,A!V534)</f>
        <v>0</v>
      </c>
      <c r="W534">
        <f>A!W534</f>
        <v>0</v>
      </c>
      <c r="X534">
        <f>A!X534</f>
        <v>0</v>
      </c>
      <c r="Y534">
        <f>A!Y534</f>
        <v>0</v>
      </c>
      <c r="Z534" s="32">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32"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A!CO844</f>
        <v>0</v>
      </c>
      <c r="CR534">
        <f>A!CP534</f>
        <v>0</v>
      </c>
      <c r="CS534">
        <f>A!CQ534</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32" t="str">
        <f>IF(A!P535="","",INDEX(B!$A$1:$BT$2000,MATCH(A!P535,B!$AX$1:$AX$2000,0),D!$B$5))</f>
        <v/>
      </c>
      <c r="Q535">
        <f>A!Q535</f>
        <v>0</v>
      </c>
      <c r="R535">
        <f>A!R535</f>
        <v>0</v>
      </c>
      <c r="S535">
        <f>A!S535</f>
        <v>0</v>
      </c>
      <c r="T535">
        <f>A!T535</f>
        <v>0</v>
      </c>
      <c r="U535">
        <f>A!U535</f>
        <v>0</v>
      </c>
      <c r="V535" s="32">
        <f>IF(A!V535="&lt;",1,A!V535)</f>
        <v>0</v>
      </c>
      <c r="W535">
        <f>A!W535</f>
        <v>0</v>
      </c>
      <c r="X535">
        <f>A!X535</f>
        <v>0</v>
      </c>
      <c r="Y535">
        <f>A!Y535</f>
        <v>0</v>
      </c>
      <c r="Z535" s="32">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32"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A!CO845</f>
        <v>0</v>
      </c>
      <c r="CR535">
        <f>A!CP535</f>
        <v>0</v>
      </c>
      <c r="CS535">
        <f>A!CQ535</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32" t="str">
        <f>IF(A!P536="","",INDEX(B!$A$1:$BT$2000,MATCH(A!P536,B!$AX$1:$AX$2000,0),D!$B$5))</f>
        <v/>
      </c>
      <c r="Q536">
        <f>A!Q536</f>
        <v>0</v>
      </c>
      <c r="R536">
        <f>A!R536</f>
        <v>0</v>
      </c>
      <c r="S536">
        <f>A!S536</f>
        <v>0</v>
      </c>
      <c r="T536">
        <f>A!T536</f>
        <v>0</v>
      </c>
      <c r="U536">
        <f>A!U536</f>
        <v>0</v>
      </c>
      <c r="V536" s="32">
        <f>IF(A!V536="&lt;",1,A!V536)</f>
        <v>0</v>
      </c>
      <c r="W536">
        <f>A!W536</f>
        <v>0</v>
      </c>
      <c r="X536">
        <f>A!X536</f>
        <v>0</v>
      </c>
      <c r="Y536">
        <f>A!Y536</f>
        <v>0</v>
      </c>
      <c r="Z536" s="32">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32"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A!CO846</f>
        <v>0</v>
      </c>
      <c r="CR536">
        <f>A!CP536</f>
        <v>0</v>
      </c>
      <c r="CS536">
        <f>A!CQ536</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32" t="str">
        <f>IF(A!P537="","",INDEX(B!$A$1:$BT$2000,MATCH(A!P537,B!$AX$1:$AX$2000,0),D!$B$5))</f>
        <v/>
      </c>
      <c r="Q537">
        <f>A!Q537</f>
        <v>0</v>
      </c>
      <c r="R537">
        <f>A!R537</f>
        <v>0</v>
      </c>
      <c r="S537">
        <f>A!S537</f>
        <v>0</v>
      </c>
      <c r="T537">
        <f>A!T537</f>
        <v>0</v>
      </c>
      <c r="U537">
        <f>A!U537</f>
        <v>0</v>
      </c>
      <c r="V537" s="32">
        <f>IF(A!V537="&lt;",1,A!V537)</f>
        <v>0</v>
      </c>
      <c r="W537">
        <f>A!W537</f>
        <v>0</v>
      </c>
      <c r="X537">
        <f>A!X537</f>
        <v>0</v>
      </c>
      <c r="Y537">
        <f>A!Y537</f>
        <v>0</v>
      </c>
      <c r="Z537" s="32">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32"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A!CO847</f>
        <v>0</v>
      </c>
      <c r="CR537">
        <f>A!CP537</f>
        <v>0</v>
      </c>
      <c r="CS537">
        <f>A!CQ537</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32" t="str">
        <f>IF(A!P538="","",INDEX(B!$A$1:$BT$2000,MATCH(A!P538,B!$AX$1:$AX$2000,0),D!$B$5))</f>
        <v/>
      </c>
      <c r="Q538">
        <f>A!Q538</f>
        <v>0</v>
      </c>
      <c r="R538">
        <f>A!R538</f>
        <v>0</v>
      </c>
      <c r="S538">
        <f>A!S538</f>
        <v>0</v>
      </c>
      <c r="T538">
        <f>A!T538</f>
        <v>0</v>
      </c>
      <c r="U538">
        <f>A!U538</f>
        <v>0</v>
      </c>
      <c r="V538" s="32">
        <f>IF(A!V538="&lt;",1,A!V538)</f>
        <v>0</v>
      </c>
      <c r="W538">
        <f>A!W538</f>
        <v>0</v>
      </c>
      <c r="X538">
        <f>A!X538</f>
        <v>0</v>
      </c>
      <c r="Y538">
        <f>A!Y538</f>
        <v>0</v>
      </c>
      <c r="Z538" s="32">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32"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A!CO848</f>
        <v>0</v>
      </c>
      <c r="CR538">
        <f>A!CP538</f>
        <v>0</v>
      </c>
      <c r="CS538">
        <f>A!CQ538</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32" t="str">
        <f>IF(A!P539="","",INDEX(B!$A$1:$BT$2000,MATCH(A!P539,B!$AX$1:$AX$2000,0),D!$B$5))</f>
        <v/>
      </c>
      <c r="Q539">
        <f>A!Q539</f>
        <v>0</v>
      </c>
      <c r="R539">
        <f>A!R539</f>
        <v>0</v>
      </c>
      <c r="S539">
        <f>A!S539</f>
        <v>0</v>
      </c>
      <c r="T539">
        <f>A!T539</f>
        <v>0</v>
      </c>
      <c r="U539">
        <f>A!U539</f>
        <v>0</v>
      </c>
      <c r="V539" s="32">
        <f>IF(A!V539="&lt;",1,A!V539)</f>
        <v>0</v>
      </c>
      <c r="W539">
        <f>A!W539</f>
        <v>0</v>
      </c>
      <c r="X539">
        <f>A!X539</f>
        <v>0</v>
      </c>
      <c r="Y539">
        <f>A!Y539</f>
        <v>0</v>
      </c>
      <c r="Z539" s="32">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32"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A!CO849</f>
        <v>0</v>
      </c>
      <c r="CR539">
        <f>A!CP539</f>
        <v>0</v>
      </c>
      <c r="CS539">
        <f>A!CQ539</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32" t="str">
        <f>IF(A!P540="","",INDEX(B!$A$1:$BT$2000,MATCH(A!P540,B!$AX$1:$AX$2000,0),D!$B$5))</f>
        <v/>
      </c>
      <c r="Q540">
        <f>A!Q540</f>
        <v>0</v>
      </c>
      <c r="R540">
        <f>A!R540</f>
        <v>0</v>
      </c>
      <c r="S540">
        <f>A!S540</f>
        <v>0</v>
      </c>
      <c r="T540">
        <f>A!T540</f>
        <v>0</v>
      </c>
      <c r="U540">
        <f>A!U540</f>
        <v>0</v>
      </c>
      <c r="V540" s="32">
        <f>IF(A!V540="&lt;",1,A!V540)</f>
        <v>0</v>
      </c>
      <c r="W540">
        <f>A!W540</f>
        <v>0</v>
      </c>
      <c r="X540">
        <f>A!X540</f>
        <v>0</v>
      </c>
      <c r="Y540">
        <f>A!Y540</f>
        <v>0</v>
      </c>
      <c r="Z540" s="32">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32"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A!CO850</f>
        <v>0</v>
      </c>
      <c r="CR540">
        <f>A!CP540</f>
        <v>0</v>
      </c>
      <c r="CS540">
        <f>A!CQ540</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32" t="str">
        <f>IF(A!P541="","",INDEX(B!$A$1:$BT$2000,MATCH(A!P541,B!$AX$1:$AX$2000,0),D!$B$5))</f>
        <v/>
      </c>
      <c r="Q541">
        <f>A!Q541</f>
        <v>0</v>
      </c>
      <c r="R541">
        <f>A!R541</f>
        <v>0</v>
      </c>
      <c r="S541">
        <f>A!S541</f>
        <v>0</v>
      </c>
      <c r="T541">
        <f>A!T541</f>
        <v>0</v>
      </c>
      <c r="U541">
        <f>A!U541</f>
        <v>0</v>
      </c>
      <c r="V541" s="32">
        <f>IF(A!V541="&lt;",1,A!V541)</f>
        <v>0</v>
      </c>
      <c r="W541">
        <f>A!W541</f>
        <v>0</v>
      </c>
      <c r="X541">
        <f>A!X541</f>
        <v>0</v>
      </c>
      <c r="Y541">
        <f>A!Y541</f>
        <v>0</v>
      </c>
      <c r="Z541" s="32">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32"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A!CO851</f>
        <v>0</v>
      </c>
      <c r="CR541">
        <f>A!CP541</f>
        <v>0</v>
      </c>
      <c r="CS541">
        <f>A!CQ541</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32" t="str">
        <f>IF(A!P542="","",INDEX(B!$A$1:$BT$2000,MATCH(A!P542,B!$AX$1:$AX$2000,0),D!$B$5))</f>
        <v/>
      </c>
      <c r="Q542">
        <f>A!Q542</f>
        <v>0</v>
      </c>
      <c r="R542">
        <f>A!R542</f>
        <v>0</v>
      </c>
      <c r="S542">
        <f>A!S542</f>
        <v>0</v>
      </c>
      <c r="T542">
        <f>A!T542</f>
        <v>0</v>
      </c>
      <c r="U542">
        <f>A!U542</f>
        <v>0</v>
      </c>
      <c r="V542" s="32">
        <f>IF(A!V542="&lt;",1,A!V542)</f>
        <v>0</v>
      </c>
      <c r="W542">
        <f>A!W542</f>
        <v>0</v>
      </c>
      <c r="X542">
        <f>A!X542</f>
        <v>0</v>
      </c>
      <c r="Y542">
        <f>A!Y542</f>
        <v>0</v>
      </c>
      <c r="Z542" s="32">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32"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A!CO852</f>
        <v>0</v>
      </c>
      <c r="CR542">
        <f>A!CP542</f>
        <v>0</v>
      </c>
      <c r="CS542">
        <f>A!CQ542</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32" t="str">
        <f>IF(A!P543="","",INDEX(B!$A$1:$BT$2000,MATCH(A!P543,B!$AX$1:$AX$2000,0),D!$B$5))</f>
        <v/>
      </c>
      <c r="Q543">
        <f>A!Q543</f>
        <v>0</v>
      </c>
      <c r="R543">
        <f>A!R543</f>
        <v>0</v>
      </c>
      <c r="S543">
        <f>A!S543</f>
        <v>0</v>
      </c>
      <c r="T543">
        <f>A!T543</f>
        <v>0</v>
      </c>
      <c r="U543">
        <f>A!U543</f>
        <v>0</v>
      </c>
      <c r="V543" s="32">
        <f>IF(A!V543="&lt;",1,A!V543)</f>
        <v>0</v>
      </c>
      <c r="W543">
        <f>A!W543</f>
        <v>0</v>
      </c>
      <c r="X543">
        <f>A!X543</f>
        <v>0</v>
      </c>
      <c r="Y543">
        <f>A!Y543</f>
        <v>0</v>
      </c>
      <c r="Z543" s="32">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32"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A!CO853</f>
        <v>0</v>
      </c>
      <c r="CR543">
        <f>A!CP543</f>
        <v>0</v>
      </c>
      <c r="CS543">
        <f>A!CQ543</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32" t="str">
        <f>IF(A!P544="","",INDEX(B!$A$1:$BT$2000,MATCH(A!P544,B!$AX$1:$AX$2000,0),D!$B$5))</f>
        <v/>
      </c>
      <c r="Q544">
        <f>A!Q544</f>
        <v>0</v>
      </c>
      <c r="R544">
        <f>A!R544</f>
        <v>0</v>
      </c>
      <c r="S544">
        <f>A!S544</f>
        <v>0</v>
      </c>
      <c r="T544">
        <f>A!T544</f>
        <v>0</v>
      </c>
      <c r="U544">
        <f>A!U544</f>
        <v>0</v>
      </c>
      <c r="V544" s="32">
        <f>IF(A!V544="&lt;",1,A!V544)</f>
        <v>0</v>
      </c>
      <c r="W544">
        <f>A!W544</f>
        <v>0</v>
      </c>
      <c r="X544">
        <f>A!X544</f>
        <v>0</v>
      </c>
      <c r="Y544">
        <f>A!Y544</f>
        <v>0</v>
      </c>
      <c r="Z544" s="32">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32"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A!CO854</f>
        <v>0</v>
      </c>
      <c r="CR544">
        <f>A!CP544</f>
        <v>0</v>
      </c>
      <c r="CS544">
        <f>A!CQ544</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32" t="str">
        <f>IF(A!P545="","",INDEX(B!$A$1:$BT$2000,MATCH(A!P545,B!$AX$1:$AX$2000,0),D!$B$5))</f>
        <v/>
      </c>
      <c r="Q545">
        <f>A!Q545</f>
        <v>0</v>
      </c>
      <c r="R545">
        <f>A!R545</f>
        <v>0</v>
      </c>
      <c r="S545">
        <f>A!S545</f>
        <v>0</v>
      </c>
      <c r="T545">
        <f>A!T545</f>
        <v>0</v>
      </c>
      <c r="U545">
        <f>A!U545</f>
        <v>0</v>
      </c>
      <c r="V545" s="32">
        <f>IF(A!V545="&lt;",1,A!V545)</f>
        <v>0</v>
      </c>
      <c r="W545">
        <f>A!W545</f>
        <v>0</v>
      </c>
      <c r="X545">
        <f>A!X545</f>
        <v>0</v>
      </c>
      <c r="Y545">
        <f>A!Y545</f>
        <v>0</v>
      </c>
      <c r="Z545" s="32">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32"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A!CO855</f>
        <v>0</v>
      </c>
      <c r="CR545">
        <f>A!CP545</f>
        <v>0</v>
      </c>
      <c r="CS545">
        <f>A!CQ545</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32" t="str">
        <f>IF(A!P546="","",INDEX(B!$A$1:$BT$2000,MATCH(A!P546,B!$AX$1:$AX$2000,0),D!$B$5))</f>
        <v/>
      </c>
      <c r="Q546">
        <f>A!Q546</f>
        <v>0</v>
      </c>
      <c r="R546">
        <f>A!R546</f>
        <v>0</v>
      </c>
      <c r="S546">
        <f>A!S546</f>
        <v>0</v>
      </c>
      <c r="T546">
        <f>A!T546</f>
        <v>0</v>
      </c>
      <c r="U546">
        <f>A!U546</f>
        <v>0</v>
      </c>
      <c r="V546" s="32">
        <f>IF(A!V546="&lt;",1,A!V546)</f>
        <v>0</v>
      </c>
      <c r="W546">
        <f>A!W546</f>
        <v>0</v>
      </c>
      <c r="X546">
        <f>A!X546</f>
        <v>0</v>
      </c>
      <c r="Y546">
        <f>A!Y546</f>
        <v>0</v>
      </c>
      <c r="Z546" s="32">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32"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A!CO856</f>
        <v>0</v>
      </c>
      <c r="CR546">
        <f>A!CP546</f>
        <v>0</v>
      </c>
      <c r="CS546">
        <f>A!CQ546</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32" t="str">
        <f>IF(A!P547="","",INDEX(B!$A$1:$BT$2000,MATCH(A!P547,B!$AX$1:$AX$2000,0),D!$B$5))</f>
        <v/>
      </c>
      <c r="Q547">
        <f>A!Q547</f>
        <v>0</v>
      </c>
      <c r="R547">
        <f>A!R547</f>
        <v>0</v>
      </c>
      <c r="S547">
        <f>A!S547</f>
        <v>0</v>
      </c>
      <c r="T547">
        <f>A!T547</f>
        <v>0</v>
      </c>
      <c r="U547">
        <f>A!U547</f>
        <v>0</v>
      </c>
      <c r="V547" s="32">
        <f>IF(A!V547="&lt;",1,A!V547)</f>
        <v>0</v>
      </c>
      <c r="W547">
        <f>A!W547</f>
        <v>0</v>
      </c>
      <c r="X547">
        <f>A!X547</f>
        <v>0</v>
      </c>
      <c r="Y547">
        <f>A!Y547</f>
        <v>0</v>
      </c>
      <c r="Z547" s="32">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32"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A!CO857</f>
        <v>0</v>
      </c>
      <c r="CR547">
        <f>A!CP547</f>
        <v>0</v>
      </c>
      <c r="CS547">
        <f>A!CQ547</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32" t="str">
        <f>IF(A!P548="","",INDEX(B!$A$1:$BT$2000,MATCH(A!P548,B!$AX$1:$AX$2000,0),D!$B$5))</f>
        <v/>
      </c>
      <c r="Q548">
        <f>A!Q548</f>
        <v>0</v>
      </c>
      <c r="R548">
        <f>A!R548</f>
        <v>0</v>
      </c>
      <c r="S548">
        <f>A!S548</f>
        <v>0</v>
      </c>
      <c r="T548">
        <f>A!T548</f>
        <v>0</v>
      </c>
      <c r="U548">
        <f>A!U548</f>
        <v>0</v>
      </c>
      <c r="V548" s="32">
        <f>IF(A!V548="&lt;",1,A!V548)</f>
        <v>0</v>
      </c>
      <c r="W548">
        <f>A!W548</f>
        <v>0</v>
      </c>
      <c r="X548">
        <f>A!X548</f>
        <v>0</v>
      </c>
      <c r="Y548">
        <f>A!Y548</f>
        <v>0</v>
      </c>
      <c r="Z548" s="32">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32"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A!CO858</f>
        <v>0</v>
      </c>
      <c r="CR548">
        <f>A!CP548</f>
        <v>0</v>
      </c>
      <c r="CS548">
        <f>A!CQ548</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32" t="str">
        <f>IF(A!P549="","",INDEX(B!$A$1:$BT$2000,MATCH(A!P549,B!$AX$1:$AX$2000,0),D!$B$5))</f>
        <v/>
      </c>
      <c r="Q549">
        <f>A!Q549</f>
        <v>0</v>
      </c>
      <c r="R549">
        <f>A!R549</f>
        <v>0</v>
      </c>
      <c r="S549">
        <f>A!S549</f>
        <v>0</v>
      </c>
      <c r="T549">
        <f>A!T549</f>
        <v>0</v>
      </c>
      <c r="U549">
        <f>A!U549</f>
        <v>0</v>
      </c>
      <c r="V549" s="32">
        <f>IF(A!V549="&lt;",1,A!V549)</f>
        <v>0</v>
      </c>
      <c r="W549">
        <f>A!W549</f>
        <v>0</v>
      </c>
      <c r="X549">
        <f>A!X549</f>
        <v>0</v>
      </c>
      <c r="Y549">
        <f>A!Y549</f>
        <v>0</v>
      </c>
      <c r="Z549" s="32">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32"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A!CO859</f>
        <v>0</v>
      </c>
      <c r="CR549">
        <f>A!CP549</f>
        <v>0</v>
      </c>
      <c r="CS549">
        <f>A!CQ549</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32" t="str">
        <f>IF(A!P550="","",INDEX(B!$A$1:$BT$2000,MATCH(A!P550,B!$AX$1:$AX$2000,0),D!$B$5))</f>
        <v/>
      </c>
      <c r="Q550">
        <f>A!Q550</f>
        <v>0</v>
      </c>
      <c r="R550">
        <f>A!R550</f>
        <v>0</v>
      </c>
      <c r="S550">
        <f>A!S550</f>
        <v>0</v>
      </c>
      <c r="T550">
        <f>A!T550</f>
        <v>0</v>
      </c>
      <c r="U550">
        <f>A!U550</f>
        <v>0</v>
      </c>
      <c r="V550" s="32">
        <f>IF(A!V550="&lt;",1,A!V550)</f>
        <v>0</v>
      </c>
      <c r="W550">
        <f>A!W550</f>
        <v>0</v>
      </c>
      <c r="X550">
        <f>A!X550</f>
        <v>0</v>
      </c>
      <c r="Y550">
        <f>A!Y550</f>
        <v>0</v>
      </c>
      <c r="Z550" s="32">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32"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A!CO860</f>
        <v>0</v>
      </c>
      <c r="CR550">
        <f>A!CP550</f>
        <v>0</v>
      </c>
      <c r="CS550">
        <f>A!CQ550</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32" t="str">
        <f>IF(A!P551="","",INDEX(B!$A$1:$BT$2000,MATCH(A!P551,B!$AX$1:$AX$2000,0),D!$B$5))</f>
        <v/>
      </c>
      <c r="Q551">
        <f>A!Q551</f>
        <v>0</v>
      </c>
      <c r="R551">
        <f>A!R551</f>
        <v>0</v>
      </c>
      <c r="S551">
        <f>A!S551</f>
        <v>0</v>
      </c>
      <c r="T551">
        <f>A!T551</f>
        <v>0</v>
      </c>
      <c r="U551">
        <f>A!U551</f>
        <v>0</v>
      </c>
      <c r="V551" s="32">
        <f>IF(A!V551="&lt;",1,A!V551)</f>
        <v>0</v>
      </c>
      <c r="W551">
        <f>A!W551</f>
        <v>0</v>
      </c>
      <c r="X551">
        <f>A!X551</f>
        <v>0</v>
      </c>
      <c r="Y551">
        <f>A!Y551</f>
        <v>0</v>
      </c>
      <c r="Z551" s="32">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32"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A!CO861</f>
        <v>0</v>
      </c>
      <c r="CR551">
        <f>A!CP551</f>
        <v>0</v>
      </c>
      <c r="CS551">
        <f>A!CQ551</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32" t="str">
        <f>IF(A!P552="","",INDEX(B!$A$1:$BT$2000,MATCH(A!P552,B!$AX$1:$AX$2000,0),D!$B$5))</f>
        <v/>
      </c>
      <c r="Q552">
        <f>A!Q552</f>
        <v>0</v>
      </c>
      <c r="R552">
        <f>A!R552</f>
        <v>0</v>
      </c>
      <c r="S552">
        <f>A!S552</f>
        <v>0</v>
      </c>
      <c r="T552">
        <f>A!T552</f>
        <v>0</v>
      </c>
      <c r="U552">
        <f>A!U552</f>
        <v>0</v>
      </c>
      <c r="V552" s="32">
        <f>IF(A!V552="&lt;",1,A!V552)</f>
        <v>0</v>
      </c>
      <c r="W552">
        <f>A!W552</f>
        <v>0</v>
      </c>
      <c r="X552">
        <f>A!X552</f>
        <v>0</v>
      </c>
      <c r="Y552">
        <f>A!Y552</f>
        <v>0</v>
      </c>
      <c r="Z552" s="32">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32"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A!CO862</f>
        <v>0</v>
      </c>
      <c r="CR552">
        <f>A!CP552</f>
        <v>0</v>
      </c>
      <c r="CS552">
        <f>A!CQ552</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32" t="str">
        <f>IF(A!P553="","",INDEX(B!$A$1:$BT$2000,MATCH(A!P553,B!$AX$1:$AX$2000,0),D!$B$5))</f>
        <v/>
      </c>
      <c r="Q553">
        <f>A!Q553</f>
        <v>0</v>
      </c>
      <c r="R553">
        <f>A!R553</f>
        <v>0</v>
      </c>
      <c r="S553">
        <f>A!S553</f>
        <v>0</v>
      </c>
      <c r="T553">
        <f>A!T553</f>
        <v>0</v>
      </c>
      <c r="U553">
        <f>A!U553</f>
        <v>0</v>
      </c>
      <c r="V553" s="32">
        <f>IF(A!V553="&lt;",1,A!V553)</f>
        <v>0</v>
      </c>
      <c r="W553">
        <f>A!W553</f>
        <v>0</v>
      </c>
      <c r="X553">
        <f>A!X553</f>
        <v>0</v>
      </c>
      <c r="Y553">
        <f>A!Y553</f>
        <v>0</v>
      </c>
      <c r="Z553" s="32">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32"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A!CO863</f>
        <v>0</v>
      </c>
      <c r="CR553">
        <f>A!CP553</f>
        <v>0</v>
      </c>
      <c r="CS553">
        <f>A!CQ553</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32" t="str">
        <f>IF(A!P554="","",INDEX(B!$A$1:$BT$2000,MATCH(A!P554,B!$AX$1:$AX$2000,0),D!$B$5))</f>
        <v/>
      </c>
      <c r="Q554">
        <f>A!Q554</f>
        <v>0</v>
      </c>
      <c r="R554">
        <f>A!R554</f>
        <v>0</v>
      </c>
      <c r="S554">
        <f>A!S554</f>
        <v>0</v>
      </c>
      <c r="T554">
        <f>A!T554</f>
        <v>0</v>
      </c>
      <c r="U554">
        <f>A!U554</f>
        <v>0</v>
      </c>
      <c r="V554" s="32">
        <f>IF(A!V554="&lt;",1,A!V554)</f>
        <v>0</v>
      </c>
      <c r="W554">
        <f>A!W554</f>
        <v>0</v>
      </c>
      <c r="X554">
        <f>A!X554</f>
        <v>0</v>
      </c>
      <c r="Y554">
        <f>A!Y554</f>
        <v>0</v>
      </c>
      <c r="Z554" s="32">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32"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A!CO864</f>
        <v>0</v>
      </c>
      <c r="CR554">
        <f>A!CP554</f>
        <v>0</v>
      </c>
      <c r="CS554">
        <f>A!CQ554</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32" t="str">
        <f>IF(A!P555="","",INDEX(B!$A$1:$BT$2000,MATCH(A!P555,B!$AX$1:$AX$2000,0),D!$B$5))</f>
        <v/>
      </c>
      <c r="Q555">
        <f>A!Q555</f>
        <v>0</v>
      </c>
      <c r="R555">
        <f>A!R555</f>
        <v>0</v>
      </c>
      <c r="S555">
        <f>A!S555</f>
        <v>0</v>
      </c>
      <c r="T555">
        <f>A!T555</f>
        <v>0</v>
      </c>
      <c r="U555">
        <f>A!U555</f>
        <v>0</v>
      </c>
      <c r="V555" s="32">
        <f>IF(A!V555="&lt;",1,A!V555)</f>
        <v>0</v>
      </c>
      <c r="W555">
        <f>A!W555</f>
        <v>0</v>
      </c>
      <c r="X555">
        <f>A!X555</f>
        <v>0</v>
      </c>
      <c r="Y555">
        <f>A!Y555</f>
        <v>0</v>
      </c>
      <c r="Z555" s="32">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32"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A!CO865</f>
        <v>0</v>
      </c>
      <c r="CR555">
        <f>A!CP555</f>
        <v>0</v>
      </c>
      <c r="CS555">
        <f>A!CQ555</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32" t="str">
        <f>IF(A!P556="","",INDEX(B!$A$1:$BT$2000,MATCH(A!P556,B!$AX$1:$AX$2000,0),D!$B$5))</f>
        <v/>
      </c>
      <c r="Q556">
        <f>A!Q556</f>
        <v>0</v>
      </c>
      <c r="R556">
        <f>A!R556</f>
        <v>0</v>
      </c>
      <c r="S556">
        <f>A!S556</f>
        <v>0</v>
      </c>
      <c r="T556">
        <f>A!T556</f>
        <v>0</v>
      </c>
      <c r="U556">
        <f>A!U556</f>
        <v>0</v>
      </c>
      <c r="V556" s="32">
        <f>IF(A!V556="&lt;",1,A!V556)</f>
        <v>0</v>
      </c>
      <c r="W556">
        <f>A!W556</f>
        <v>0</v>
      </c>
      <c r="X556">
        <f>A!X556</f>
        <v>0</v>
      </c>
      <c r="Y556">
        <f>A!Y556</f>
        <v>0</v>
      </c>
      <c r="Z556" s="32">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32"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A!CO866</f>
        <v>0</v>
      </c>
      <c r="CR556">
        <f>A!CP556</f>
        <v>0</v>
      </c>
      <c r="CS556">
        <f>A!CQ556</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32" t="str">
        <f>IF(A!P557="","",INDEX(B!$A$1:$BT$2000,MATCH(A!P557,B!$AX$1:$AX$2000,0),D!$B$5))</f>
        <v/>
      </c>
      <c r="Q557">
        <f>A!Q557</f>
        <v>0</v>
      </c>
      <c r="R557">
        <f>A!R557</f>
        <v>0</v>
      </c>
      <c r="S557">
        <f>A!S557</f>
        <v>0</v>
      </c>
      <c r="T557">
        <f>A!T557</f>
        <v>0</v>
      </c>
      <c r="U557">
        <f>A!U557</f>
        <v>0</v>
      </c>
      <c r="V557" s="32">
        <f>IF(A!V557="&lt;",1,A!V557)</f>
        <v>0</v>
      </c>
      <c r="W557">
        <f>A!W557</f>
        <v>0</v>
      </c>
      <c r="X557">
        <f>A!X557</f>
        <v>0</v>
      </c>
      <c r="Y557">
        <f>A!Y557</f>
        <v>0</v>
      </c>
      <c r="Z557" s="32">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32"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A!CO867</f>
        <v>0</v>
      </c>
      <c r="CR557">
        <f>A!CP557</f>
        <v>0</v>
      </c>
      <c r="CS557">
        <f>A!CQ557</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32" t="str">
        <f>IF(A!P558="","",INDEX(B!$A$1:$BT$2000,MATCH(A!P558,B!$AX$1:$AX$2000,0),D!$B$5))</f>
        <v/>
      </c>
      <c r="Q558">
        <f>A!Q558</f>
        <v>0</v>
      </c>
      <c r="R558">
        <f>A!R558</f>
        <v>0</v>
      </c>
      <c r="S558">
        <f>A!S558</f>
        <v>0</v>
      </c>
      <c r="T558">
        <f>A!T558</f>
        <v>0</v>
      </c>
      <c r="U558">
        <f>A!U558</f>
        <v>0</v>
      </c>
      <c r="V558" s="32">
        <f>IF(A!V558="&lt;",1,A!V558)</f>
        <v>0</v>
      </c>
      <c r="W558">
        <f>A!W558</f>
        <v>0</v>
      </c>
      <c r="X558">
        <f>A!X558</f>
        <v>0</v>
      </c>
      <c r="Y558">
        <f>A!Y558</f>
        <v>0</v>
      </c>
      <c r="Z558" s="32">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32"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A!CO868</f>
        <v>0</v>
      </c>
      <c r="CR558">
        <f>A!CP558</f>
        <v>0</v>
      </c>
      <c r="CS558">
        <f>A!CQ558</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32" t="str">
        <f>IF(A!P559="","",INDEX(B!$A$1:$BT$2000,MATCH(A!P559,B!$AX$1:$AX$2000,0),D!$B$5))</f>
        <v/>
      </c>
      <c r="Q559">
        <f>A!Q559</f>
        <v>0</v>
      </c>
      <c r="R559">
        <f>A!R559</f>
        <v>0</v>
      </c>
      <c r="S559">
        <f>A!S559</f>
        <v>0</v>
      </c>
      <c r="T559">
        <f>A!T559</f>
        <v>0</v>
      </c>
      <c r="U559">
        <f>A!U559</f>
        <v>0</v>
      </c>
      <c r="V559" s="32">
        <f>IF(A!V559="&lt;",1,A!V559)</f>
        <v>0</v>
      </c>
      <c r="W559">
        <f>A!W559</f>
        <v>0</v>
      </c>
      <c r="X559">
        <f>A!X559</f>
        <v>0</v>
      </c>
      <c r="Y559">
        <f>A!Y559</f>
        <v>0</v>
      </c>
      <c r="Z559" s="32">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32"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A!CO869</f>
        <v>0</v>
      </c>
      <c r="CR559">
        <f>A!CP559</f>
        <v>0</v>
      </c>
      <c r="CS559">
        <f>A!CQ559</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32" t="str">
        <f>IF(A!P560="","",INDEX(B!$A$1:$BT$2000,MATCH(A!P560,B!$AX$1:$AX$2000,0),D!$B$5))</f>
        <v/>
      </c>
      <c r="Q560">
        <f>A!Q560</f>
        <v>0</v>
      </c>
      <c r="R560">
        <f>A!R560</f>
        <v>0</v>
      </c>
      <c r="S560">
        <f>A!S560</f>
        <v>0</v>
      </c>
      <c r="T560">
        <f>A!T560</f>
        <v>0</v>
      </c>
      <c r="U560">
        <f>A!U560</f>
        <v>0</v>
      </c>
      <c r="V560" s="32">
        <f>IF(A!V560="&lt;",1,A!V560)</f>
        <v>0</v>
      </c>
      <c r="W560">
        <f>A!W560</f>
        <v>0</v>
      </c>
      <c r="X560">
        <f>A!X560</f>
        <v>0</v>
      </c>
      <c r="Y560">
        <f>A!Y560</f>
        <v>0</v>
      </c>
      <c r="Z560" s="32">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32"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A!CO870</f>
        <v>0</v>
      </c>
      <c r="CR560">
        <f>A!CP560</f>
        <v>0</v>
      </c>
      <c r="CS560">
        <f>A!CQ560</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32" t="str">
        <f>IF(A!P561="","",INDEX(B!$A$1:$BT$2000,MATCH(A!P561,B!$AX$1:$AX$2000,0),D!$B$5))</f>
        <v/>
      </c>
      <c r="Q561">
        <f>A!Q561</f>
        <v>0</v>
      </c>
      <c r="R561">
        <f>A!R561</f>
        <v>0</v>
      </c>
      <c r="S561">
        <f>A!S561</f>
        <v>0</v>
      </c>
      <c r="T561">
        <f>A!T561</f>
        <v>0</v>
      </c>
      <c r="U561">
        <f>A!U561</f>
        <v>0</v>
      </c>
      <c r="V561" s="32">
        <f>IF(A!V561="&lt;",1,A!V561)</f>
        <v>0</v>
      </c>
      <c r="W561">
        <f>A!W561</f>
        <v>0</v>
      </c>
      <c r="X561">
        <f>A!X561</f>
        <v>0</v>
      </c>
      <c r="Y561">
        <f>A!Y561</f>
        <v>0</v>
      </c>
      <c r="Z561" s="32">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32"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A!CO871</f>
        <v>0</v>
      </c>
      <c r="CR561">
        <f>A!CP561</f>
        <v>0</v>
      </c>
      <c r="CS561">
        <f>A!CQ561</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32" t="str">
        <f>IF(A!P562="","",INDEX(B!$A$1:$BT$2000,MATCH(A!P562,B!$AX$1:$AX$2000,0),D!$B$5))</f>
        <v/>
      </c>
      <c r="Q562">
        <f>A!Q562</f>
        <v>0</v>
      </c>
      <c r="R562">
        <f>A!R562</f>
        <v>0</v>
      </c>
      <c r="S562">
        <f>A!S562</f>
        <v>0</v>
      </c>
      <c r="T562">
        <f>A!T562</f>
        <v>0</v>
      </c>
      <c r="U562">
        <f>A!U562</f>
        <v>0</v>
      </c>
      <c r="V562" s="32">
        <f>IF(A!V562="&lt;",1,A!V562)</f>
        <v>0</v>
      </c>
      <c r="W562">
        <f>A!W562</f>
        <v>0</v>
      </c>
      <c r="X562">
        <f>A!X562</f>
        <v>0</v>
      </c>
      <c r="Y562">
        <f>A!Y562</f>
        <v>0</v>
      </c>
      <c r="Z562" s="32">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32"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A!CO872</f>
        <v>0</v>
      </c>
      <c r="CR562">
        <f>A!CP562</f>
        <v>0</v>
      </c>
      <c r="CS562">
        <f>A!CQ562</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32" t="str">
        <f>IF(A!P563="","",INDEX(B!$A$1:$BT$2000,MATCH(A!P563,B!$AX$1:$AX$2000,0),D!$B$5))</f>
        <v/>
      </c>
      <c r="Q563">
        <f>A!Q563</f>
        <v>0</v>
      </c>
      <c r="R563">
        <f>A!R563</f>
        <v>0</v>
      </c>
      <c r="S563">
        <f>A!S563</f>
        <v>0</v>
      </c>
      <c r="T563">
        <f>A!T563</f>
        <v>0</v>
      </c>
      <c r="U563">
        <f>A!U563</f>
        <v>0</v>
      </c>
      <c r="V563" s="32">
        <f>IF(A!V563="&lt;",1,A!V563)</f>
        <v>0</v>
      </c>
      <c r="W563">
        <f>A!W563</f>
        <v>0</v>
      </c>
      <c r="X563">
        <f>A!X563</f>
        <v>0</v>
      </c>
      <c r="Y563">
        <f>A!Y563</f>
        <v>0</v>
      </c>
      <c r="Z563" s="32">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32"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A!CO873</f>
        <v>0</v>
      </c>
      <c r="CR563">
        <f>A!CP563</f>
        <v>0</v>
      </c>
      <c r="CS563">
        <f>A!CQ563</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32" t="str">
        <f>IF(A!P564="","",INDEX(B!$A$1:$BT$2000,MATCH(A!P564,B!$AX$1:$AX$2000,0),D!$B$5))</f>
        <v/>
      </c>
      <c r="Q564">
        <f>A!Q564</f>
        <v>0</v>
      </c>
      <c r="R564">
        <f>A!R564</f>
        <v>0</v>
      </c>
      <c r="S564">
        <f>A!S564</f>
        <v>0</v>
      </c>
      <c r="T564">
        <f>A!T564</f>
        <v>0</v>
      </c>
      <c r="U564">
        <f>A!U564</f>
        <v>0</v>
      </c>
      <c r="V564" s="32">
        <f>IF(A!V564="&lt;",1,A!V564)</f>
        <v>0</v>
      </c>
      <c r="W564">
        <f>A!W564</f>
        <v>0</v>
      </c>
      <c r="X564">
        <f>A!X564</f>
        <v>0</v>
      </c>
      <c r="Y564">
        <f>A!Y564</f>
        <v>0</v>
      </c>
      <c r="Z564" s="32">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32"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A!CO874</f>
        <v>0</v>
      </c>
      <c r="CR564">
        <f>A!CP564</f>
        <v>0</v>
      </c>
      <c r="CS564">
        <f>A!CQ564</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32" t="str">
        <f>IF(A!P565="","",INDEX(B!$A$1:$BT$2000,MATCH(A!P565,B!$AX$1:$AX$2000,0),D!$B$5))</f>
        <v/>
      </c>
      <c r="Q565">
        <f>A!Q565</f>
        <v>0</v>
      </c>
      <c r="R565">
        <f>A!R565</f>
        <v>0</v>
      </c>
      <c r="S565">
        <f>A!S565</f>
        <v>0</v>
      </c>
      <c r="T565">
        <f>A!T565</f>
        <v>0</v>
      </c>
      <c r="U565">
        <f>A!U565</f>
        <v>0</v>
      </c>
      <c r="V565" s="32">
        <f>IF(A!V565="&lt;",1,A!V565)</f>
        <v>0</v>
      </c>
      <c r="W565">
        <f>A!W565</f>
        <v>0</v>
      </c>
      <c r="X565">
        <f>A!X565</f>
        <v>0</v>
      </c>
      <c r="Y565">
        <f>A!Y565</f>
        <v>0</v>
      </c>
      <c r="Z565" s="32">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32"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A!CO875</f>
        <v>0</v>
      </c>
      <c r="CR565">
        <f>A!CP565</f>
        <v>0</v>
      </c>
      <c r="CS565">
        <f>A!CQ565</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32" t="str">
        <f>IF(A!P566="","",INDEX(B!$A$1:$BT$2000,MATCH(A!P566,B!$AX$1:$AX$2000,0),D!$B$5))</f>
        <v/>
      </c>
      <c r="Q566">
        <f>A!Q566</f>
        <v>0</v>
      </c>
      <c r="R566">
        <f>A!R566</f>
        <v>0</v>
      </c>
      <c r="S566">
        <f>A!S566</f>
        <v>0</v>
      </c>
      <c r="T566">
        <f>A!T566</f>
        <v>0</v>
      </c>
      <c r="U566">
        <f>A!U566</f>
        <v>0</v>
      </c>
      <c r="V566" s="32">
        <f>IF(A!V566="&lt;",1,A!V566)</f>
        <v>0</v>
      </c>
      <c r="W566">
        <f>A!W566</f>
        <v>0</v>
      </c>
      <c r="X566">
        <f>A!X566</f>
        <v>0</v>
      </c>
      <c r="Y566">
        <f>A!Y566</f>
        <v>0</v>
      </c>
      <c r="Z566" s="32">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32"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A!CO876</f>
        <v>0</v>
      </c>
      <c r="CR566">
        <f>A!CP566</f>
        <v>0</v>
      </c>
      <c r="CS566">
        <f>A!CQ566</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32" t="str">
        <f>IF(A!P567="","",INDEX(B!$A$1:$BT$2000,MATCH(A!P567,B!$AX$1:$AX$2000,0),D!$B$5))</f>
        <v/>
      </c>
      <c r="Q567">
        <f>A!Q567</f>
        <v>0</v>
      </c>
      <c r="R567">
        <f>A!R567</f>
        <v>0</v>
      </c>
      <c r="S567">
        <f>A!S567</f>
        <v>0</v>
      </c>
      <c r="T567">
        <f>A!T567</f>
        <v>0</v>
      </c>
      <c r="U567">
        <f>A!U567</f>
        <v>0</v>
      </c>
      <c r="V567" s="32">
        <f>IF(A!V567="&lt;",1,A!V567)</f>
        <v>0</v>
      </c>
      <c r="W567">
        <f>A!W567</f>
        <v>0</v>
      </c>
      <c r="X567">
        <f>A!X567</f>
        <v>0</v>
      </c>
      <c r="Y567">
        <f>A!Y567</f>
        <v>0</v>
      </c>
      <c r="Z567" s="32">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32"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A!CO877</f>
        <v>0</v>
      </c>
      <c r="CR567">
        <f>A!CP567</f>
        <v>0</v>
      </c>
      <c r="CS567">
        <f>A!CQ567</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32" t="str">
        <f>IF(A!P568="","",INDEX(B!$A$1:$BT$2000,MATCH(A!P568,B!$AX$1:$AX$2000,0),D!$B$5))</f>
        <v/>
      </c>
      <c r="Q568">
        <f>A!Q568</f>
        <v>0</v>
      </c>
      <c r="R568">
        <f>A!R568</f>
        <v>0</v>
      </c>
      <c r="S568">
        <f>A!S568</f>
        <v>0</v>
      </c>
      <c r="T568">
        <f>A!T568</f>
        <v>0</v>
      </c>
      <c r="U568">
        <f>A!U568</f>
        <v>0</v>
      </c>
      <c r="V568" s="32">
        <f>IF(A!V568="&lt;",1,A!V568)</f>
        <v>0</v>
      </c>
      <c r="W568">
        <f>A!W568</f>
        <v>0</v>
      </c>
      <c r="X568">
        <f>A!X568</f>
        <v>0</v>
      </c>
      <c r="Y568">
        <f>A!Y568</f>
        <v>0</v>
      </c>
      <c r="Z568" s="32">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32"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A!CO878</f>
        <v>0</v>
      </c>
      <c r="CR568">
        <f>A!CP568</f>
        <v>0</v>
      </c>
      <c r="CS568">
        <f>A!CQ568</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32" t="str">
        <f>IF(A!P569="","",INDEX(B!$A$1:$BT$2000,MATCH(A!P569,B!$AX$1:$AX$2000,0),D!$B$5))</f>
        <v/>
      </c>
      <c r="Q569">
        <f>A!Q569</f>
        <v>0</v>
      </c>
      <c r="R569">
        <f>A!R569</f>
        <v>0</v>
      </c>
      <c r="S569">
        <f>A!S569</f>
        <v>0</v>
      </c>
      <c r="T569">
        <f>A!T569</f>
        <v>0</v>
      </c>
      <c r="U569">
        <f>A!U569</f>
        <v>0</v>
      </c>
      <c r="V569" s="32">
        <f>IF(A!V569="&lt;",1,A!V569)</f>
        <v>0</v>
      </c>
      <c r="W569">
        <f>A!W569</f>
        <v>0</v>
      </c>
      <c r="X569">
        <f>A!X569</f>
        <v>0</v>
      </c>
      <c r="Y569">
        <f>A!Y569</f>
        <v>0</v>
      </c>
      <c r="Z569" s="32">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32"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A!CO879</f>
        <v>0</v>
      </c>
      <c r="CR569">
        <f>A!CP569</f>
        <v>0</v>
      </c>
      <c r="CS569">
        <f>A!CQ569</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32" t="str">
        <f>IF(A!P570="","",INDEX(B!$A$1:$BT$2000,MATCH(A!P570,B!$AX$1:$AX$2000,0),D!$B$5))</f>
        <v/>
      </c>
      <c r="Q570">
        <f>A!Q570</f>
        <v>0</v>
      </c>
      <c r="R570">
        <f>A!R570</f>
        <v>0</v>
      </c>
      <c r="S570">
        <f>A!S570</f>
        <v>0</v>
      </c>
      <c r="T570">
        <f>A!T570</f>
        <v>0</v>
      </c>
      <c r="U570">
        <f>A!U570</f>
        <v>0</v>
      </c>
      <c r="V570" s="32">
        <f>IF(A!V570="&lt;",1,A!V570)</f>
        <v>0</v>
      </c>
      <c r="W570">
        <f>A!W570</f>
        <v>0</v>
      </c>
      <c r="X570">
        <f>A!X570</f>
        <v>0</v>
      </c>
      <c r="Y570">
        <f>A!Y570</f>
        <v>0</v>
      </c>
      <c r="Z570" s="32">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32"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A!CO880</f>
        <v>0</v>
      </c>
      <c r="CR570">
        <f>A!CP570</f>
        <v>0</v>
      </c>
      <c r="CS570">
        <f>A!CQ570</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32" t="str">
        <f>IF(A!P571="","",INDEX(B!$A$1:$BT$2000,MATCH(A!P571,B!$AX$1:$AX$2000,0),D!$B$5))</f>
        <v/>
      </c>
      <c r="Q571">
        <f>A!Q571</f>
        <v>0</v>
      </c>
      <c r="R571">
        <f>A!R571</f>
        <v>0</v>
      </c>
      <c r="S571">
        <f>A!S571</f>
        <v>0</v>
      </c>
      <c r="T571">
        <f>A!T571</f>
        <v>0</v>
      </c>
      <c r="U571">
        <f>A!U571</f>
        <v>0</v>
      </c>
      <c r="V571" s="32">
        <f>IF(A!V571="&lt;",1,A!V571)</f>
        <v>0</v>
      </c>
      <c r="W571">
        <f>A!W571</f>
        <v>0</v>
      </c>
      <c r="X571">
        <f>A!X571</f>
        <v>0</v>
      </c>
      <c r="Y571">
        <f>A!Y571</f>
        <v>0</v>
      </c>
      <c r="Z571" s="32">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32"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A!CO881</f>
        <v>0</v>
      </c>
      <c r="CR571">
        <f>A!CP571</f>
        <v>0</v>
      </c>
      <c r="CS571">
        <f>A!CQ571</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32" t="str">
        <f>IF(A!P572="","",INDEX(B!$A$1:$BT$2000,MATCH(A!P572,B!$AX$1:$AX$2000,0),D!$B$5))</f>
        <v/>
      </c>
      <c r="Q572">
        <f>A!Q572</f>
        <v>0</v>
      </c>
      <c r="R572">
        <f>A!R572</f>
        <v>0</v>
      </c>
      <c r="S572">
        <f>A!S572</f>
        <v>0</v>
      </c>
      <c r="T572">
        <f>A!T572</f>
        <v>0</v>
      </c>
      <c r="U572">
        <f>A!U572</f>
        <v>0</v>
      </c>
      <c r="V572" s="32">
        <f>IF(A!V572="&lt;",1,A!V572)</f>
        <v>0</v>
      </c>
      <c r="W572">
        <f>A!W572</f>
        <v>0</v>
      </c>
      <c r="X572">
        <f>A!X572</f>
        <v>0</v>
      </c>
      <c r="Y572">
        <f>A!Y572</f>
        <v>0</v>
      </c>
      <c r="Z572" s="32">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32"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A!CO882</f>
        <v>0</v>
      </c>
      <c r="CR572">
        <f>A!CP572</f>
        <v>0</v>
      </c>
      <c r="CS572">
        <f>A!CQ572</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32" t="str">
        <f>IF(A!P573="","",INDEX(B!$A$1:$BT$2000,MATCH(A!P573,B!$AX$1:$AX$2000,0),D!$B$5))</f>
        <v/>
      </c>
      <c r="Q573">
        <f>A!Q573</f>
        <v>0</v>
      </c>
      <c r="R573">
        <f>A!R573</f>
        <v>0</v>
      </c>
      <c r="S573">
        <f>A!S573</f>
        <v>0</v>
      </c>
      <c r="T573">
        <f>A!T573</f>
        <v>0</v>
      </c>
      <c r="U573">
        <f>A!U573</f>
        <v>0</v>
      </c>
      <c r="V573" s="32">
        <f>IF(A!V573="&lt;",1,A!V573)</f>
        <v>0</v>
      </c>
      <c r="W573">
        <f>A!W573</f>
        <v>0</v>
      </c>
      <c r="X573">
        <f>A!X573</f>
        <v>0</v>
      </c>
      <c r="Y573">
        <f>A!Y573</f>
        <v>0</v>
      </c>
      <c r="Z573" s="32">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32"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A!CO883</f>
        <v>0</v>
      </c>
      <c r="CR573">
        <f>A!CP573</f>
        <v>0</v>
      </c>
      <c r="CS573">
        <f>A!CQ573</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32" t="str">
        <f>IF(A!P574="","",INDEX(B!$A$1:$BT$2000,MATCH(A!P574,B!$AX$1:$AX$2000,0),D!$B$5))</f>
        <v/>
      </c>
      <c r="Q574">
        <f>A!Q574</f>
        <v>0</v>
      </c>
      <c r="R574">
        <f>A!R574</f>
        <v>0</v>
      </c>
      <c r="S574">
        <f>A!S574</f>
        <v>0</v>
      </c>
      <c r="T574">
        <f>A!T574</f>
        <v>0</v>
      </c>
      <c r="U574">
        <f>A!U574</f>
        <v>0</v>
      </c>
      <c r="V574" s="32">
        <f>IF(A!V574="&lt;",1,A!V574)</f>
        <v>0</v>
      </c>
      <c r="W574">
        <f>A!W574</f>
        <v>0</v>
      </c>
      <c r="X574">
        <f>A!X574</f>
        <v>0</v>
      </c>
      <c r="Y574">
        <f>A!Y574</f>
        <v>0</v>
      </c>
      <c r="Z574" s="32">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32"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A!CO884</f>
        <v>0</v>
      </c>
      <c r="CR574">
        <f>A!CP574</f>
        <v>0</v>
      </c>
      <c r="CS574">
        <f>A!CQ574</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32" t="str">
        <f>IF(A!P575="","",INDEX(B!$A$1:$BT$2000,MATCH(A!P575,B!$AX$1:$AX$2000,0),D!$B$5))</f>
        <v/>
      </c>
      <c r="Q575">
        <f>A!Q575</f>
        <v>0</v>
      </c>
      <c r="R575">
        <f>A!R575</f>
        <v>0</v>
      </c>
      <c r="S575">
        <f>A!S575</f>
        <v>0</v>
      </c>
      <c r="T575">
        <f>A!T575</f>
        <v>0</v>
      </c>
      <c r="U575">
        <f>A!U575</f>
        <v>0</v>
      </c>
      <c r="V575" s="32">
        <f>IF(A!V575="&lt;",1,A!V575)</f>
        <v>0</v>
      </c>
      <c r="W575">
        <f>A!W575</f>
        <v>0</v>
      </c>
      <c r="X575">
        <f>A!X575</f>
        <v>0</v>
      </c>
      <c r="Y575">
        <f>A!Y575</f>
        <v>0</v>
      </c>
      <c r="Z575" s="32">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32"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A!CO885</f>
        <v>0</v>
      </c>
      <c r="CR575">
        <f>A!CP575</f>
        <v>0</v>
      </c>
      <c r="CS575">
        <f>A!CQ575</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32" t="str">
        <f>IF(A!P576="","",INDEX(B!$A$1:$BT$2000,MATCH(A!P576,B!$AX$1:$AX$2000,0),D!$B$5))</f>
        <v/>
      </c>
      <c r="Q576">
        <f>A!Q576</f>
        <v>0</v>
      </c>
      <c r="R576">
        <f>A!R576</f>
        <v>0</v>
      </c>
      <c r="S576">
        <f>A!S576</f>
        <v>0</v>
      </c>
      <c r="T576">
        <f>A!T576</f>
        <v>0</v>
      </c>
      <c r="U576">
        <f>A!U576</f>
        <v>0</v>
      </c>
      <c r="V576" s="32">
        <f>IF(A!V576="&lt;",1,A!V576)</f>
        <v>0</v>
      </c>
      <c r="W576">
        <f>A!W576</f>
        <v>0</v>
      </c>
      <c r="X576">
        <f>A!X576</f>
        <v>0</v>
      </c>
      <c r="Y576">
        <f>A!Y576</f>
        <v>0</v>
      </c>
      <c r="Z576" s="32">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32"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A!CO886</f>
        <v>0</v>
      </c>
      <c r="CR576">
        <f>A!CP576</f>
        <v>0</v>
      </c>
      <c r="CS576">
        <f>A!CQ576</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32" t="str">
        <f>IF(A!P577="","",INDEX(B!$A$1:$BT$2000,MATCH(A!P577,B!$AX$1:$AX$2000,0),D!$B$5))</f>
        <v/>
      </c>
      <c r="Q577">
        <f>A!Q577</f>
        <v>0</v>
      </c>
      <c r="R577">
        <f>A!R577</f>
        <v>0</v>
      </c>
      <c r="S577">
        <f>A!S577</f>
        <v>0</v>
      </c>
      <c r="T577">
        <f>A!T577</f>
        <v>0</v>
      </c>
      <c r="U577">
        <f>A!U577</f>
        <v>0</v>
      </c>
      <c r="V577" s="32">
        <f>IF(A!V577="&lt;",1,A!V577)</f>
        <v>0</v>
      </c>
      <c r="W577">
        <f>A!W577</f>
        <v>0</v>
      </c>
      <c r="X577">
        <f>A!X577</f>
        <v>0</v>
      </c>
      <c r="Y577">
        <f>A!Y577</f>
        <v>0</v>
      </c>
      <c r="Z577" s="32">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32"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A!CO887</f>
        <v>0</v>
      </c>
      <c r="CR577">
        <f>A!CP577</f>
        <v>0</v>
      </c>
      <c r="CS577">
        <f>A!CQ577</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32" t="str">
        <f>IF(A!P578="","",INDEX(B!$A$1:$BT$2000,MATCH(A!P578,B!$AX$1:$AX$2000,0),D!$B$5))</f>
        <v/>
      </c>
      <c r="Q578">
        <f>A!Q578</f>
        <v>0</v>
      </c>
      <c r="R578">
        <f>A!R578</f>
        <v>0</v>
      </c>
      <c r="S578">
        <f>A!S578</f>
        <v>0</v>
      </c>
      <c r="T578">
        <f>A!T578</f>
        <v>0</v>
      </c>
      <c r="U578">
        <f>A!U578</f>
        <v>0</v>
      </c>
      <c r="V578" s="32">
        <f>IF(A!V578="&lt;",1,A!V578)</f>
        <v>0</v>
      </c>
      <c r="W578">
        <f>A!W578</f>
        <v>0</v>
      </c>
      <c r="X578">
        <f>A!X578</f>
        <v>0</v>
      </c>
      <c r="Y578">
        <f>A!Y578</f>
        <v>0</v>
      </c>
      <c r="Z578" s="32">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32"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A!CO888</f>
        <v>0</v>
      </c>
      <c r="CR578">
        <f>A!CP578</f>
        <v>0</v>
      </c>
      <c r="CS578">
        <f>A!CQ578</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32" t="str">
        <f>IF(A!P579="","",INDEX(B!$A$1:$BT$2000,MATCH(A!P579,B!$AX$1:$AX$2000,0),D!$B$5))</f>
        <v/>
      </c>
      <c r="Q579">
        <f>A!Q579</f>
        <v>0</v>
      </c>
      <c r="R579">
        <f>A!R579</f>
        <v>0</v>
      </c>
      <c r="S579">
        <f>A!S579</f>
        <v>0</v>
      </c>
      <c r="T579">
        <f>A!T579</f>
        <v>0</v>
      </c>
      <c r="U579">
        <f>A!U579</f>
        <v>0</v>
      </c>
      <c r="V579" s="32">
        <f>IF(A!V579="&lt;",1,A!V579)</f>
        <v>0</v>
      </c>
      <c r="W579">
        <f>A!W579</f>
        <v>0</v>
      </c>
      <c r="X579">
        <f>A!X579</f>
        <v>0</v>
      </c>
      <c r="Y579">
        <f>A!Y579</f>
        <v>0</v>
      </c>
      <c r="Z579" s="32">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32"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A!CO889</f>
        <v>0</v>
      </c>
      <c r="CR579">
        <f>A!CP579</f>
        <v>0</v>
      </c>
      <c r="CS579">
        <f>A!CQ579</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32" t="str">
        <f>IF(A!P580="","",INDEX(B!$A$1:$BT$2000,MATCH(A!P580,B!$AX$1:$AX$2000,0),D!$B$5))</f>
        <v/>
      </c>
      <c r="Q580">
        <f>A!Q580</f>
        <v>0</v>
      </c>
      <c r="R580">
        <f>A!R580</f>
        <v>0</v>
      </c>
      <c r="S580">
        <f>A!S580</f>
        <v>0</v>
      </c>
      <c r="T580">
        <f>A!T580</f>
        <v>0</v>
      </c>
      <c r="U580">
        <f>A!U580</f>
        <v>0</v>
      </c>
      <c r="V580" s="32">
        <f>IF(A!V580="&lt;",1,A!V580)</f>
        <v>0</v>
      </c>
      <c r="W580">
        <f>A!W580</f>
        <v>0</v>
      </c>
      <c r="X580">
        <f>A!X580</f>
        <v>0</v>
      </c>
      <c r="Y580">
        <f>A!Y580</f>
        <v>0</v>
      </c>
      <c r="Z580" s="32">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32"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A!CO890</f>
        <v>0</v>
      </c>
      <c r="CR580">
        <f>A!CP580</f>
        <v>0</v>
      </c>
      <c r="CS580">
        <f>A!CQ580</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32" t="str">
        <f>IF(A!P581="","",INDEX(B!$A$1:$BT$2000,MATCH(A!P581,B!$AX$1:$AX$2000,0),D!$B$5))</f>
        <v/>
      </c>
      <c r="Q581">
        <f>A!Q581</f>
        <v>0</v>
      </c>
      <c r="R581">
        <f>A!R581</f>
        <v>0</v>
      </c>
      <c r="S581">
        <f>A!S581</f>
        <v>0</v>
      </c>
      <c r="T581">
        <f>A!T581</f>
        <v>0</v>
      </c>
      <c r="U581">
        <f>A!U581</f>
        <v>0</v>
      </c>
      <c r="V581" s="32">
        <f>IF(A!V581="&lt;",1,A!V581)</f>
        <v>0</v>
      </c>
      <c r="W581">
        <f>A!W581</f>
        <v>0</v>
      </c>
      <c r="X581">
        <f>A!X581</f>
        <v>0</v>
      </c>
      <c r="Y581">
        <f>A!Y581</f>
        <v>0</v>
      </c>
      <c r="Z581" s="32">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32"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A!CO891</f>
        <v>0</v>
      </c>
      <c r="CR581">
        <f>A!CP581</f>
        <v>0</v>
      </c>
      <c r="CS581">
        <f>A!CQ581</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32" t="str">
        <f>IF(A!P582="","",INDEX(B!$A$1:$BT$2000,MATCH(A!P582,B!$AX$1:$AX$2000,0),D!$B$5))</f>
        <v/>
      </c>
      <c r="Q582">
        <f>A!Q582</f>
        <v>0</v>
      </c>
      <c r="R582">
        <f>A!R582</f>
        <v>0</v>
      </c>
      <c r="S582">
        <f>A!S582</f>
        <v>0</v>
      </c>
      <c r="T582">
        <f>A!T582</f>
        <v>0</v>
      </c>
      <c r="U582">
        <f>A!U582</f>
        <v>0</v>
      </c>
      <c r="V582" s="32">
        <f>IF(A!V582="&lt;",1,A!V582)</f>
        <v>0</v>
      </c>
      <c r="W582">
        <f>A!W582</f>
        <v>0</v>
      </c>
      <c r="X582">
        <f>A!X582</f>
        <v>0</v>
      </c>
      <c r="Y582">
        <f>A!Y582</f>
        <v>0</v>
      </c>
      <c r="Z582" s="32">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32"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A!CO892</f>
        <v>0</v>
      </c>
      <c r="CR582">
        <f>A!CP582</f>
        <v>0</v>
      </c>
      <c r="CS582">
        <f>A!CQ582</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32" t="str">
        <f>IF(A!P583="","",INDEX(B!$A$1:$BT$2000,MATCH(A!P583,B!$AX$1:$AX$2000,0),D!$B$5))</f>
        <v/>
      </c>
      <c r="Q583">
        <f>A!Q583</f>
        <v>0</v>
      </c>
      <c r="R583">
        <f>A!R583</f>
        <v>0</v>
      </c>
      <c r="S583">
        <f>A!S583</f>
        <v>0</v>
      </c>
      <c r="T583">
        <f>A!T583</f>
        <v>0</v>
      </c>
      <c r="U583">
        <f>A!U583</f>
        <v>0</v>
      </c>
      <c r="V583" s="32">
        <f>IF(A!V583="&lt;",1,A!V583)</f>
        <v>0</v>
      </c>
      <c r="W583">
        <f>A!W583</f>
        <v>0</v>
      </c>
      <c r="X583">
        <f>A!X583</f>
        <v>0</v>
      </c>
      <c r="Y583">
        <f>A!Y583</f>
        <v>0</v>
      </c>
      <c r="Z583" s="32">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32"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A!CO893</f>
        <v>0</v>
      </c>
      <c r="CR583">
        <f>A!CP583</f>
        <v>0</v>
      </c>
      <c r="CS583">
        <f>A!CQ583</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32" t="str">
        <f>IF(A!P584="","",INDEX(B!$A$1:$BT$2000,MATCH(A!P584,B!$AX$1:$AX$2000,0),D!$B$5))</f>
        <v/>
      </c>
      <c r="Q584">
        <f>A!Q584</f>
        <v>0</v>
      </c>
      <c r="R584">
        <f>A!R584</f>
        <v>0</v>
      </c>
      <c r="S584">
        <f>A!S584</f>
        <v>0</v>
      </c>
      <c r="T584">
        <f>A!T584</f>
        <v>0</v>
      </c>
      <c r="U584">
        <f>A!U584</f>
        <v>0</v>
      </c>
      <c r="V584" s="32">
        <f>IF(A!V584="&lt;",1,A!V584)</f>
        <v>0</v>
      </c>
      <c r="W584">
        <f>A!W584</f>
        <v>0</v>
      </c>
      <c r="X584">
        <f>A!X584</f>
        <v>0</v>
      </c>
      <c r="Y584">
        <f>A!Y584</f>
        <v>0</v>
      </c>
      <c r="Z584" s="32">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32"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A!CO894</f>
        <v>0</v>
      </c>
      <c r="CR584">
        <f>A!CP584</f>
        <v>0</v>
      </c>
      <c r="CS584">
        <f>A!CQ584</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32" t="str">
        <f>IF(A!P585="","",INDEX(B!$A$1:$BT$2000,MATCH(A!P585,B!$AX$1:$AX$2000,0),D!$B$5))</f>
        <v/>
      </c>
      <c r="Q585">
        <f>A!Q585</f>
        <v>0</v>
      </c>
      <c r="R585">
        <f>A!R585</f>
        <v>0</v>
      </c>
      <c r="S585">
        <f>A!S585</f>
        <v>0</v>
      </c>
      <c r="T585">
        <f>A!T585</f>
        <v>0</v>
      </c>
      <c r="U585">
        <f>A!U585</f>
        <v>0</v>
      </c>
      <c r="V585" s="32">
        <f>IF(A!V585="&lt;",1,A!V585)</f>
        <v>0</v>
      </c>
      <c r="W585">
        <f>A!W585</f>
        <v>0</v>
      </c>
      <c r="X585">
        <f>A!X585</f>
        <v>0</v>
      </c>
      <c r="Y585">
        <f>A!Y585</f>
        <v>0</v>
      </c>
      <c r="Z585" s="32">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32"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A!CO895</f>
        <v>0</v>
      </c>
      <c r="CR585">
        <f>A!CP585</f>
        <v>0</v>
      </c>
      <c r="CS585">
        <f>A!CQ585</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32" t="str">
        <f>IF(A!P586="","",INDEX(B!$A$1:$BT$2000,MATCH(A!P586,B!$AX$1:$AX$2000,0),D!$B$5))</f>
        <v/>
      </c>
      <c r="Q586">
        <f>A!Q586</f>
        <v>0</v>
      </c>
      <c r="R586">
        <f>A!R586</f>
        <v>0</v>
      </c>
      <c r="S586">
        <f>A!S586</f>
        <v>0</v>
      </c>
      <c r="T586">
        <f>A!T586</f>
        <v>0</v>
      </c>
      <c r="U586">
        <f>A!U586</f>
        <v>0</v>
      </c>
      <c r="V586" s="32">
        <f>IF(A!V586="&lt;",1,A!V586)</f>
        <v>0</v>
      </c>
      <c r="W586">
        <f>A!W586</f>
        <v>0</v>
      </c>
      <c r="X586">
        <f>A!X586</f>
        <v>0</v>
      </c>
      <c r="Y586">
        <f>A!Y586</f>
        <v>0</v>
      </c>
      <c r="Z586" s="32">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32"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A!CO896</f>
        <v>0</v>
      </c>
      <c r="CR586">
        <f>A!CP586</f>
        <v>0</v>
      </c>
      <c r="CS586">
        <f>A!CQ586</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32" t="str">
        <f>IF(A!P587="","",INDEX(B!$A$1:$BT$2000,MATCH(A!P587,B!$AX$1:$AX$2000,0),D!$B$5))</f>
        <v/>
      </c>
      <c r="Q587">
        <f>A!Q587</f>
        <v>0</v>
      </c>
      <c r="R587">
        <f>A!R587</f>
        <v>0</v>
      </c>
      <c r="S587">
        <f>A!S587</f>
        <v>0</v>
      </c>
      <c r="T587">
        <f>A!T587</f>
        <v>0</v>
      </c>
      <c r="U587">
        <f>A!U587</f>
        <v>0</v>
      </c>
      <c r="V587" s="32">
        <f>IF(A!V587="&lt;",1,A!V587)</f>
        <v>0</v>
      </c>
      <c r="W587">
        <f>A!W587</f>
        <v>0</v>
      </c>
      <c r="X587">
        <f>A!X587</f>
        <v>0</v>
      </c>
      <c r="Y587">
        <f>A!Y587</f>
        <v>0</v>
      </c>
      <c r="Z587" s="32">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32"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A!CO897</f>
        <v>0</v>
      </c>
      <c r="CR587">
        <f>A!CP587</f>
        <v>0</v>
      </c>
      <c r="CS587">
        <f>A!CQ587</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32" t="str">
        <f>IF(A!P588="","",INDEX(B!$A$1:$BT$2000,MATCH(A!P588,B!$AX$1:$AX$2000,0),D!$B$5))</f>
        <v/>
      </c>
      <c r="Q588">
        <f>A!Q588</f>
        <v>0</v>
      </c>
      <c r="R588">
        <f>A!R588</f>
        <v>0</v>
      </c>
      <c r="S588">
        <f>A!S588</f>
        <v>0</v>
      </c>
      <c r="T588">
        <f>A!T588</f>
        <v>0</v>
      </c>
      <c r="U588">
        <f>A!U588</f>
        <v>0</v>
      </c>
      <c r="V588" s="32">
        <f>IF(A!V588="&lt;",1,A!V588)</f>
        <v>0</v>
      </c>
      <c r="W588">
        <f>A!W588</f>
        <v>0</v>
      </c>
      <c r="X588">
        <f>A!X588</f>
        <v>0</v>
      </c>
      <c r="Y588">
        <f>A!Y588</f>
        <v>0</v>
      </c>
      <c r="Z588" s="32">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32"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A!CO898</f>
        <v>0</v>
      </c>
      <c r="CR588">
        <f>A!CP588</f>
        <v>0</v>
      </c>
      <c r="CS588">
        <f>A!CQ588</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32" t="str">
        <f>IF(A!P589="","",INDEX(B!$A$1:$BT$2000,MATCH(A!P589,B!$AX$1:$AX$2000,0),D!$B$5))</f>
        <v/>
      </c>
      <c r="Q589">
        <f>A!Q589</f>
        <v>0</v>
      </c>
      <c r="R589">
        <f>A!R589</f>
        <v>0</v>
      </c>
      <c r="S589">
        <f>A!S589</f>
        <v>0</v>
      </c>
      <c r="T589">
        <f>A!T589</f>
        <v>0</v>
      </c>
      <c r="U589">
        <f>A!U589</f>
        <v>0</v>
      </c>
      <c r="V589" s="32">
        <f>IF(A!V589="&lt;",1,A!V589)</f>
        <v>0</v>
      </c>
      <c r="W589">
        <f>A!W589</f>
        <v>0</v>
      </c>
      <c r="X589">
        <f>A!X589</f>
        <v>0</v>
      </c>
      <c r="Y589">
        <f>A!Y589</f>
        <v>0</v>
      </c>
      <c r="Z589" s="32">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32"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A!CO899</f>
        <v>0</v>
      </c>
      <c r="CR589">
        <f>A!CP589</f>
        <v>0</v>
      </c>
      <c r="CS589">
        <f>A!CQ589</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32" t="str">
        <f>IF(A!P590="","",INDEX(B!$A$1:$BT$2000,MATCH(A!P590,B!$AX$1:$AX$2000,0),D!$B$5))</f>
        <v/>
      </c>
      <c r="Q590">
        <f>A!Q590</f>
        <v>0</v>
      </c>
      <c r="R590">
        <f>A!R590</f>
        <v>0</v>
      </c>
      <c r="S590">
        <f>A!S590</f>
        <v>0</v>
      </c>
      <c r="T590">
        <f>A!T590</f>
        <v>0</v>
      </c>
      <c r="U590">
        <f>A!U590</f>
        <v>0</v>
      </c>
      <c r="V590" s="32">
        <f>IF(A!V590="&lt;",1,A!V590)</f>
        <v>0</v>
      </c>
      <c r="W590">
        <f>A!W590</f>
        <v>0</v>
      </c>
      <c r="X590">
        <f>A!X590</f>
        <v>0</v>
      </c>
      <c r="Y590">
        <f>A!Y590</f>
        <v>0</v>
      </c>
      <c r="Z590" s="32">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32"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A!CO900</f>
        <v>0</v>
      </c>
      <c r="CR590">
        <f>A!CP590</f>
        <v>0</v>
      </c>
      <c r="CS590">
        <f>A!CQ590</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32" t="str">
        <f>IF(A!P591="","",INDEX(B!$A$1:$BT$2000,MATCH(A!P591,B!$AX$1:$AX$2000,0),D!$B$5))</f>
        <v/>
      </c>
      <c r="Q591">
        <f>A!Q591</f>
        <v>0</v>
      </c>
      <c r="R591">
        <f>A!R591</f>
        <v>0</v>
      </c>
      <c r="S591">
        <f>A!S591</f>
        <v>0</v>
      </c>
      <c r="T591">
        <f>A!T591</f>
        <v>0</v>
      </c>
      <c r="U591">
        <f>A!U591</f>
        <v>0</v>
      </c>
      <c r="V591" s="32">
        <f>IF(A!V591="&lt;",1,A!V591)</f>
        <v>0</v>
      </c>
      <c r="W591">
        <f>A!W591</f>
        <v>0</v>
      </c>
      <c r="X591">
        <f>A!X591</f>
        <v>0</v>
      </c>
      <c r="Y591">
        <f>A!Y591</f>
        <v>0</v>
      </c>
      <c r="Z591" s="32">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32"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A!CO901</f>
        <v>0</v>
      </c>
      <c r="CR591">
        <f>A!CP591</f>
        <v>0</v>
      </c>
      <c r="CS591">
        <f>A!CQ591</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32" t="str">
        <f>IF(A!P592="","",INDEX(B!$A$1:$BT$2000,MATCH(A!P592,B!$AX$1:$AX$2000,0),D!$B$5))</f>
        <v/>
      </c>
      <c r="Q592">
        <f>A!Q592</f>
        <v>0</v>
      </c>
      <c r="R592">
        <f>A!R592</f>
        <v>0</v>
      </c>
      <c r="S592">
        <f>A!S592</f>
        <v>0</v>
      </c>
      <c r="T592">
        <f>A!T592</f>
        <v>0</v>
      </c>
      <c r="U592">
        <f>A!U592</f>
        <v>0</v>
      </c>
      <c r="V592" s="32">
        <f>IF(A!V592="&lt;",1,A!V592)</f>
        <v>0</v>
      </c>
      <c r="W592">
        <f>A!W592</f>
        <v>0</v>
      </c>
      <c r="X592">
        <f>A!X592</f>
        <v>0</v>
      </c>
      <c r="Y592">
        <f>A!Y592</f>
        <v>0</v>
      </c>
      <c r="Z592" s="32">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32"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A!CO902</f>
        <v>0</v>
      </c>
      <c r="CR592">
        <f>A!CP592</f>
        <v>0</v>
      </c>
      <c r="CS592">
        <f>A!CQ592</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32" t="str">
        <f>IF(A!P593="","",INDEX(B!$A$1:$BT$2000,MATCH(A!P593,B!$AX$1:$AX$2000,0),D!$B$5))</f>
        <v/>
      </c>
      <c r="Q593">
        <f>A!Q593</f>
        <v>0</v>
      </c>
      <c r="R593">
        <f>A!R593</f>
        <v>0</v>
      </c>
      <c r="S593">
        <f>A!S593</f>
        <v>0</v>
      </c>
      <c r="T593">
        <f>A!T593</f>
        <v>0</v>
      </c>
      <c r="U593">
        <f>A!U593</f>
        <v>0</v>
      </c>
      <c r="V593" s="32">
        <f>IF(A!V593="&lt;",1,A!V593)</f>
        <v>0</v>
      </c>
      <c r="W593">
        <f>A!W593</f>
        <v>0</v>
      </c>
      <c r="X593">
        <f>A!X593</f>
        <v>0</v>
      </c>
      <c r="Y593">
        <f>A!Y593</f>
        <v>0</v>
      </c>
      <c r="Z593" s="32">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32"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A!CO903</f>
        <v>0</v>
      </c>
      <c r="CR593">
        <f>A!CP593</f>
        <v>0</v>
      </c>
      <c r="CS593">
        <f>A!CQ593</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32" t="str">
        <f>IF(A!P594="","",INDEX(B!$A$1:$BT$2000,MATCH(A!P594,B!$AX$1:$AX$2000,0),D!$B$5))</f>
        <v/>
      </c>
      <c r="Q594">
        <f>A!Q594</f>
        <v>0</v>
      </c>
      <c r="R594">
        <f>A!R594</f>
        <v>0</v>
      </c>
      <c r="S594">
        <f>A!S594</f>
        <v>0</v>
      </c>
      <c r="T594">
        <f>A!T594</f>
        <v>0</v>
      </c>
      <c r="U594">
        <f>A!U594</f>
        <v>0</v>
      </c>
      <c r="V594" s="32">
        <f>IF(A!V594="&lt;",1,A!V594)</f>
        <v>0</v>
      </c>
      <c r="W594">
        <f>A!W594</f>
        <v>0</v>
      </c>
      <c r="X594">
        <f>A!X594</f>
        <v>0</v>
      </c>
      <c r="Y594">
        <f>A!Y594</f>
        <v>0</v>
      </c>
      <c r="Z594" s="32">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32"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A!CO904</f>
        <v>0</v>
      </c>
      <c r="CR594">
        <f>A!CP594</f>
        <v>0</v>
      </c>
      <c r="CS594">
        <f>A!CQ594</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32" t="str">
        <f>IF(A!P595="","",INDEX(B!$A$1:$BT$2000,MATCH(A!P595,B!$AX$1:$AX$2000,0),D!$B$5))</f>
        <v/>
      </c>
      <c r="Q595">
        <f>A!Q595</f>
        <v>0</v>
      </c>
      <c r="R595">
        <f>A!R595</f>
        <v>0</v>
      </c>
      <c r="S595">
        <f>A!S595</f>
        <v>0</v>
      </c>
      <c r="T595">
        <f>A!T595</f>
        <v>0</v>
      </c>
      <c r="U595">
        <f>A!U595</f>
        <v>0</v>
      </c>
      <c r="V595" s="32">
        <f>IF(A!V595="&lt;",1,A!V595)</f>
        <v>0</v>
      </c>
      <c r="W595">
        <f>A!W595</f>
        <v>0</v>
      </c>
      <c r="X595">
        <f>A!X595</f>
        <v>0</v>
      </c>
      <c r="Y595">
        <f>A!Y595</f>
        <v>0</v>
      </c>
      <c r="Z595" s="32">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32"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A!CO905</f>
        <v>0</v>
      </c>
      <c r="CR595">
        <f>A!CP595</f>
        <v>0</v>
      </c>
      <c r="CS595">
        <f>A!CQ595</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32" t="str">
        <f>IF(A!P596="","",INDEX(B!$A$1:$BT$2000,MATCH(A!P596,B!$AX$1:$AX$2000,0),D!$B$5))</f>
        <v/>
      </c>
      <c r="Q596">
        <f>A!Q596</f>
        <v>0</v>
      </c>
      <c r="R596">
        <f>A!R596</f>
        <v>0</v>
      </c>
      <c r="S596">
        <f>A!S596</f>
        <v>0</v>
      </c>
      <c r="T596">
        <f>A!T596</f>
        <v>0</v>
      </c>
      <c r="U596">
        <f>A!U596</f>
        <v>0</v>
      </c>
      <c r="V596" s="32">
        <f>IF(A!V596="&lt;",1,A!V596)</f>
        <v>0</v>
      </c>
      <c r="W596">
        <f>A!W596</f>
        <v>0</v>
      </c>
      <c r="X596">
        <f>A!X596</f>
        <v>0</v>
      </c>
      <c r="Y596">
        <f>A!Y596</f>
        <v>0</v>
      </c>
      <c r="Z596" s="32">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32"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A!CO906</f>
        <v>0</v>
      </c>
      <c r="CR596">
        <f>A!CP596</f>
        <v>0</v>
      </c>
      <c r="CS596">
        <f>A!CQ596</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32" t="str">
        <f>IF(A!P597="","",INDEX(B!$A$1:$BT$2000,MATCH(A!P597,B!$AX$1:$AX$2000,0),D!$B$5))</f>
        <v/>
      </c>
      <c r="Q597">
        <f>A!Q597</f>
        <v>0</v>
      </c>
      <c r="R597">
        <f>A!R597</f>
        <v>0</v>
      </c>
      <c r="S597">
        <f>A!S597</f>
        <v>0</v>
      </c>
      <c r="T597">
        <f>A!T597</f>
        <v>0</v>
      </c>
      <c r="U597">
        <f>A!U597</f>
        <v>0</v>
      </c>
      <c r="V597" s="32">
        <f>IF(A!V597="&lt;",1,A!V597)</f>
        <v>0</v>
      </c>
      <c r="W597">
        <f>A!W597</f>
        <v>0</v>
      </c>
      <c r="X597">
        <f>A!X597</f>
        <v>0</v>
      </c>
      <c r="Y597">
        <f>A!Y597</f>
        <v>0</v>
      </c>
      <c r="Z597" s="32">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32"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A!CO907</f>
        <v>0</v>
      </c>
      <c r="CR597">
        <f>A!CP597</f>
        <v>0</v>
      </c>
      <c r="CS597">
        <f>A!CQ597</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32" t="str">
        <f>IF(A!P598="","",INDEX(B!$A$1:$BT$2000,MATCH(A!P598,B!$AX$1:$AX$2000,0),D!$B$5))</f>
        <v/>
      </c>
      <c r="Q598">
        <f>A!Q598</f>
        <v>0</v>
      </c>
      <c r="R598">
        <f>A!R598</f>
        <v>0</v>
      </c>
      <c r="S598">
        <f>A!S598</f>
        <v>0</v>
      </c>
      <c r="T598">
        <f>A!T598</f>
        <v>0</v>
      </c>
      <c r="U598">
        <f>A!U598</f>
        <v>0</v>
      </c>
      <c r="V598" s="32">
        <f>IF(A!V598="&lt;",1,A!V598)</f>
        <v>0</v>
      </c>
      <c r="W598">
        <f>A!W598</f>
        <v>0</v>
      </c>
      <c r="X598">
        <f>A!X598</f>
        <v>0</v>
      </c>
      <c r="Y598">
        <f>A!Y598</f>
        <v>0</v>
      </c>
      <c r="Z598" s="32">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32"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A!CO908</f>
        <v>0</v>
      </c>
      <c r="CR598">
        <f>A!CP598</f>
        <v>0</v>
      </c>
      <c r="CS598">
        <f>A!CQ598</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32" t="str">
        <f>IF(A!P599="","",INDEX(B!$A$1:$BT$2000,MATCH(A!P599,B!$AX$1:$AX$2000,0),D!$B$5))</f>
        <v/>
      </c>
      <c r="Q599">
        <f>A!Q599</f>
        <v>0</v>
      </c>
      <c r="R599">
        <f>A!R599</f>
        <v>0</v>
      </c>
      <c r="S599">
        <f>A!S599</f>
        <v>0</v>
      </c>
      <c r="T599">
        <f>A!T599</f>
        <v>0</v>
      </c>
      <c r="U599">
        <f>A!U599</f>
        <v>0</v>
      </c>
      <c r="V599" s="32">
        <f>IF(A!V599="&lt;",1,A!V599)</f>
        <v>0</v>
      </c>
      <c r="W599">
        <f>A!W599</f>
        <v>0</v>
      </c>
      <c r="X599">
        <f>A!X599</f>
        <v>0</v>
      </c>
      <c r="Y599">
        <f>A!Y599</f>
        <v>0</v>
      </c>
      <c r="Z599" s="32">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32"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A!CO909</f>
        <v>0</v>
      </c>
      <c r="CR599">
        <f>A!CP599</f>
        <v>0</v>
      </c>
      <c r="CS599">
        <f>A!CQ599</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32" t="str">
        <f>IF(A!P600="","",INDEX(B!$A$1:$BT$2000,MATCH(A!P600,B!$AX$1:$AX$2000,0),D!$B$5))</f>
        <v/>
      </c>
      <c r="Q600">
        <f>A!Q600</f>
        <v>0</v>
      </c>
      <c r="R600">
        <f>A!R600</f>
        <v>0</v>
      </c>
      <c r="S600">
        <f>A!S600</f>
        <v>0</v>
      </c>
      <c r="T600">
        <f>A!T600</f>
        <v>0</v>
      </c>
      <c r="U600">
        <f>A!U600</f>
        <v>0</v>
      </c>
      <c r="V600" s="32">
        <f>IF(A!V600="&lt;",1,A!V600)</f>
        <v>0</v>
      </c>
      <c r="W600">
        <f>A!W600</f>
        <v>0</v>
      </c>
      <c r="X600">
        <f>A!X600</f>
        <v>0</v>
      </c>
      <c r="Y600">
        <f>A!Y600</f>
        <v>0</v>
      </c>
      <c r="Z600" s="32">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32"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A!CO910</f>
        <v>0</v>
      </c>
      <c r="CR600">
        <f>A!CP600</f>
        <v>0</v>
      </c>
      <c r="CS600">
        <f>A!CQ600</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32" t="str">
        <f>IF(A!P601="","",INDEX(B!$A$1:$BT$2000,MATCH(A!P601,B!$AX$1:$AX$2000,0),D!$B$5))</f>
        <v/>
      </c>
      <c r="Q601">
        <f>A!Q601</f>
        <v>0</v>
      </c>
      <c r="R601">
        <f>A!R601</f>
        <v>0</v>
      </c>
      <c r="S601">
        <f>A!S601</f>
        <v>0</v>
      </c>
      <c r="T601">
        <f>A!T601</f>
        <v>0</v>
      </c>
      <c r="U601">
        <f>A!U601</f>
        <v>0</v>
      </c>
      <c r="V601" s="32">
        <f>IF(A!V601="&lt;",1,A!V601)</f>
        <v>0</v>
      </c>
      <c r="W601">
        <f>A!W601</f>
        <v>0</v>
      </c>
      <c r="X601">
        <f>A!X601</f>
        <v>0</v>
      </c>
      <c r="Y601">
        <f>A!Y601</f>
        <v>0</v>
      </c>
      <c r="Z601" s="32">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32"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A!CO911</f>
        <v>0</v>
      </c>
      <c r="CR601">
        <f>A!CP601</f>
        <v>0</v>
      </c>
      <c r="CS601">
        <f>A!CQ601</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32" t="str">
        <f>IF(A!P602="","",INDEX(B!$A$1:$BT$2000,MATCH(A!P602,B!$AX$1:$AX$2000,0),D!$B$5))</f>
        <v/>
      </c>
      <c r="Q602">
        <f>A!Q602</f>
        <v>0</v>
      </c>
      <c r="R602">
        <f>A!R602</f>
        <v>0</v>
      </c>
      <c r="S602">
        <f>A!S602</f>
        <v>0</v>
      </c>
      <c r="T602">
        <f>A!T602</f>
        <v>0</v>
      </c>
      <c r="U602">
        <f>A!U602</f>
        <v>0</v>
      </c>
      <c r="V602" s="32">
        <f>IF(A!V602="&lt;",1,A!V602)</f>
        <v>0</v>
      </c>
      <c r="W602">
        <f>A!W602</f>
        <v>0</v>
      </c>
      <c r="X602">
        <f>A!X602</f>
        <v>0</v>
      </c>
      <c r="Y602">
        <f>A!Y602</f>
        <v>0</v>
      </c>
      <c r="Z602" s="32">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32"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A!CO912</f>
        <v>0</v>
      </c>
      <c r="CR602">
        <f>A!CP602</f>
        <v>0</v>
      </c>
      <c r="CS602">
        <f>A!CQ602</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32" t="str">
        <f>IF(A!P603="","",INDEX(B!$A$1:$BT$2000,MATCH(A!P603,B!$AX$1:$AX$2000,0),D!$B$5))</f>
        <v/>
      </c>
      <c r="Q603">
        <f>A!Q603</f>
        <v>0</v>
      </c>
      <c r="R603">
        <f>A!R603</f>
        <v>0</v>
      </c>
      <c r="S603">
        <f>A!S603</f>
        <v>0</v>
      </c>
      <c r="T603">
        <f>A!T603</f>
        <v>0</v>
      </c>
      <c r="U603">
        <f>A!U603</f>
        <v>0</v>
      </c>
      <c r="V603" s="32">
        <f>IF(A!V603="&lt;",1,A!V603)</f>
        <v>0</v>
      </c>
      <c r="W603">
        <f>A!W603</f>
        <v>0</v>
      </c>
      <c r="X603">
        <f>A!X603</f>
        <v>0</v>
      </c>
      <c r="Y603">
        <f>A!Y603</f>
        <v>0</v>
      </c>
      <c r="Z603" s="32">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32"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A!CO913</f>
        <v>0</v>
      </c>
      <c r="CR603">
        <f>A!CP603</f>
        <v>0</v>
      </c>
      <c r="CS603">
        <f>A!CQ603</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32" t="str">
        <f>IF(A!P604="","",INDEX(B!$A$1:$BT$2000,MATCH(A!P604,B!$AX$1:$AX$2000,0),D!$B$5))</f>
        <v/>
      </c>
      <c r="Q604">
        <f>A!Q604</f>
        <v>0</v>
      </c>
      <c r="R604">
        <f>A!R604</f>
        <v>0</v>
      </c>
      <c r="S604">
        <f>A!S604</f>
        <v>0</v>
      </c>
      <c r="T604">
        <f>A!T604</f>
        <v>0</v>
      </c>
      <c r="U604">
        <f>A!U604</f>
        <v>0</v>
      </c>
      <c r="V604" s="32">
        <f>IF(A!V604="&lt;",1,A!V604)</f>
        <v>0</v>
      </c>
      <c r="W604">
        <f>A!W604</f>
        <v>0</v>
      </c>
      <c r="X604">
        <f>A!X604</f>
        <v>0</v>
      </c>
      <c r="Y604">
        <f>A!Y604</f>
        <v>0</v>
      </c>
      <c r="Z604" s="32">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32"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A!CO914</f>
        <v>0</v>
      </c>
      <c r="CR604">
        <f>A!CP604</f>
        <v>0</v>
      </c>
      <c r="CS604">
        <f>A!CQ604</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32" t="str">
        <f>IF(A!P605="","",INDEX(B!$A$1:$BT$2000,MATCH(A!P605,B!$AX$1:$AX$2000,0),D!$B$5))</f>
        <v/>
      </c>
      <c r="Q605">
        <f>A!Q605</f>
        <v>0</v>
      </c>
      <c r="R605">
        <f>A!R605</f>
        <v>0</v>
      </c>
      <c r="S605">
        <f>A!S605</f>
        <v>0</v>
      </c>
      <c r="T605">
        <f>A!T605</f>
        <v>0</v>
      </c>
      <c r="U605">
        <f>A!U605</f>
        <v>0</v>
      </c>
      <c r="V605" s="32">
        <f>IF(A!V605="&lt;",1,A!V605)</f>
        <v>0</v>
      </c>
      <c r="W605">
        <f>A!W605</f>
        <v>0</v>
      </c>
      <c r="X605">
        <f>A!X605</f>
        <v>0</v>
      </c>
      <c r="Y605">
        <f>A!Y605</f>
        <v>0</v>
      </c>
      <c r="Z605" s="32">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32"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A!CO915</f>
        <v>0</v>
      </c>
      <c r="CR605">
        <f>A!CP605</f>
        <v>0</v>
      </c>
      <c r="CS605">
        <f>A!CQ605</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32" t="str">
        <f>IF(A!P606="","",INDEX(B!$A$1:$BT$2000,MATCH(A!P606,B!$AX$1:$AX$2000,0),D!$B$5))</f>
        <v/>
      </c>
      <c r="Q606">
        <f>A!Q606</f>
        <v>0</v>
      </c>
      <c r="R606">
        <f>A!R606</f>
        <v>0</v>
      </c>
      <c r="S606">
        <f>A!S606</f>
        <v>0</v>
      </c>
      <c r="T606">
        <f>A!T606</f>
        <v>0</v>
      </c>
      <c r="U606">
        <f>A!U606</f>
        <v>0</v>
      </c>
      <c r="V606" s="32">
        <f>IF(A!V606="&lt;",1,A!V606)</f>
        <v>0</v>
      </c>
      <c r="W606">
        <f>A!W606</f>
        <v>0</v>
      </c>
      <c r="X606">
        <f>A!X606</f>
        <v>0</v>
      </c>
      <c r="Y606">
        <f>A!Y606</f>
        <v>0</v>
      </c>
      <c r="Z606" s="32">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32"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A!CO916</f>
        <v>0</v>
      </c>
      <c r="CR606">
        <f>A!CP606</f>
        <v>0</v>
      </c>
      <c r="CS606">
        <f>A!CQ606</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32" t="str">
        <f>IF(A!P607="","",INDEX(B!$A$1:$BT$2000,MATCH(A!P607,B!$AX$1:$AX$2000,0),D!$B$5))</f>
        <v/>
      </c>
      <c r="Q607">
        <f>A!Q607</f>
        <v>0</v>
      </c>
      <c r="R607">
        <f>A!R607</f>
        <v>0</v>
      </c>
      <c r="S607">
        <f>A!S607</f>
        <v>0</v>
      </c>
      <c r="T607">
        <f>A!T607</f>
        <v>0</v>
      </c>
      <c r="U607">
        <f>A!U607</f>
        <v>0</v>
      </c>
      <c r="V607" s="32">
        <f>IF(A!V607="&lt;",1,A!V607)</f>
        <v>0</v>
      </c>
      <c r="W607">
        <f>A!W607</f>
        <v>0</v>
      </c>
      <c r="X607">
        <f>A!X607</f>
        <v>0</v>
      </c>
      <c r="Y607">
        <f>A!Y607</f>
        <v>0</v>
      </c>
      <c r="Z607" s="32">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32"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A!CO917</f>
        <v>0</v>
      </c>
      <c r="CR607">
        <f>A!CP607</f>
        <v>0</v>
      </c>
      <c r="CS607">
        <f>A!CQ607</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32" t="str">
        <f>IF(A!P608="","",INDEX(B!$A$1:$BT$2000,MATCH(A!P608,B!$AX$1:$AX$2000,0),D!$B$5))</f>
        <v/>
      </c>
      <c r="Q608">
        <f>A!Q608</f>
        <v>0</v>
      </c>
      <c r="R608">
        <f>A!R608</f>
        <v>0</v>
      </c>
      <c r="S608">
        <f>A!S608</f>
        <v>0</v>
      </c>
      <c r="T608">
        <f>A!T608</f>
        <v>0</v>
      </c>
      <c r="U608">
        <f>A!U608</f>
        <v>0</v>
      </c>
      <c r="V608" s="32">
        <f>IF(A!V608="&lt;",1,A!V608)</f>
        <v>0</v>
      </c>
      <c r="W608">
        <f>A!W608</f>
        <v>0</v>
      </c>
      <c r="X608">
        <f>A!X608</f>
        <v>0</v>
      </c>
      <c r="Y608">
        <f>A!Y608</f>
        <v>0</v>
      </c>
      <c r="Z608" s="32">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32"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A!CO918</f>
        <v>0</v>
      </c>
      <c r="CR608">
        <f>A!CP608</f>
        <v>0</v>
      </c>
      <c r="CS608">
        <f>A!CQ608</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32" t="str">
        <f>IF(A!P609="","",INDEX(B!$A$1:$BT$2000,MATCH(A!P609,B!$AX$1:$AX$2000,0),D!$B$5))</f>
        <v/>
      </c>
      <c r="Q609">
        <f>A!Q609</f>
        <v>0</v>
      </c>
      <c r="R609">
        <f>A!R609</f>
        <v>0</v>
      </c>
      <c r="S609">
        <f>A!S609</f>
        <v>0</v>
      </c>
      <c r="T609">
        <f>A!T609</f>
        <v>0</v>
      </c>
      <c r="U609">
        <f>A!U609</f>
        <v>0</v>
      </c>
      <c r="V609" s="32">
        <f>IF(A!V609="&lt;",1,A!V609)</f>
        <v>0</v>
      </c>
      <c r="W609">
        <f>A!W609</f>
        <v>0</v>
      </c>
      <c r="X609">
        <f>A!X609</f>
        <v>0</v>
      </c>
      <c r="Y609">
        <f>A!Y609</f>
        <v>0</v>
      </c>
      <c r="Z609" s="32">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32"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A!CO919</f>
        <v>0</v>
      </c>
      <c r="CR609">
        <f>A!CP609</f>
        <v>0</v>
      </c>
      <c r="CS609">
        <f>A!CQ609</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32" t="str">
        <f>IF(A!P610="","",INDEX(B!$A$1:$BT$2000,MATCH(A!P610,B!$AX$1:$AX$2000,0),D!$B$5))</f>
        <v/>
      </c>
      <c r="Q610">
        <f>A!Q610</f>
        <v>0</v>
      </c>
      <c r="R610">
        <f>A!R610</f>
        <v>0</v>
      </c>
      <c r="S610">
        <f>A!S610</f>
        <v>0</v>
      </c>
      <c r="T610">
        <f>A!T610</f>
        <v>0</v>
      </c>
      <c r="U610">
        <f>A!U610</f>
        <v>0</v>
      </c>
      <c r="V610" s="32">
        <f>IF(A!V610="&lt;",1,A!V610)</f>
        <v>0</v>
      </c>
      <c r="W610">
        <f>A!W610</f>
        <v>0</v>
      </c>
      <c r="X610">
        <f>A!X610</f>
        <v>0</v>
      </c>
      <c r="Y610">
        <f>A!Y610</f>
        <v>0</v>
      </c>
      <c r="Z610" s="32">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32"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A!CO920</f>
        <v>0</v>
      </c>
      <c r="CR610">
        <f>A!CP610</f>
        <v>0</v>
      </c>
      <c r="CS610">
        <f>A!CQ610</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32" t="str">
        <f>IF(A!P611="","",INDEX(B!$A$1:$BT$2000,MATCH(A!P611,B!$AX$1:$AX$2000,0),D!$B$5))</f>
        <v/>
      </c>
      <c r="Q611">
        <f>A!Q611</f>
        <v>0</v>
      </c>
      <c r="R611">
        <f>A!R611</f>
        <v>0</v>
      </c>
      <c r="S611">
        <f>A!S611</f>
        <v>0</v>
      </c>
      <c r="T611">
        <f>A!T611</f>
        <v>0</v>
      </c>
      <c r="U611">
        <f>A!U611</f>
        <v>0</v>
      </c>
      <c r="V611" s="32">
        <f>IF(A!V611="&lt;",1,A!V611)</f>
        <v>0</v>
      </c>
      <c r="W611">
        <f>A!W611</f>
        <v>0</v>
      </c>
      <c r="X611">
        <f>A!X611</f>
        <v>0</v>
      </c>
      <c r="Y611">
        <f>A!Y611</f>
        <v>0</v>
      </c>
      <c r="Z611" s="32">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32"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A!CO921</f>
        <v>0</v>
      </c>
      <c r="CR611">
        <f>A!CP611</f>
        <v>0</v>
      </c>
      <c r="CS611">
        <f>A!CQ611</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32" t="str">
        <f>IF(A!P612="","",INDEX(B!$A$1:$BT$2000,MATCH(A!P612,B!$AX$1:$AX$2000,0),D!$B$5))</f>
        <v/>
      </c>
      <c r="Q612">
        <f>A!Q612</f>
        <v>0</v>
      </c>
      <c r="R612">
        <f>A!R612</f>
        <v>0</v>
      </c>
      <c r="S612">
        <f>A!S612</f>
        <v>0</v>
      </c>
      <c r="T612">
        <f>A!T612</f>
        <v>0</v>
      </c>
      <c r="U612">
        <f>A!U612</f>
        <v>0</v>
      </c>
      <c r="V612" s="32">
        <f>IF(A!V612="&lt;",1,A!V612)</f>
        <v>0</v>
      </c>
      <c r="W612">
        <f>A!W612</f>
        <v>0</v>
      </c>
      <c r="X612">
        <f>A!X612</f>
        <v>0</v>
      </c>
      <c r="Y612">
        <f>A!Y612</f>
        <v>0</v>
      </c>
      <c r="Z612" s="32">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32"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A!CO922</f>
        <v>0</v>
      </c>
      <c r="CR612">
        <f>A!CP612</f>
        <v>0</v>
      </c>
      <c r="CS612">
        <f>A!CQ612</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32" t="str">
        <f>IF(A!P613="","",INDEX(B!$A$1:$BT$2000,MATCH(A!P613,B!$AX$1:$AX$2000,0),D!$B$5))</f>
        <v/>
      </c>
      <c r="Q613">
        <f>A!Q613</f>
        <v>0</v>
      </c>
      <c r="R613">
        <f>A!R613</f>
        <v>0</v>
      </c>
      <c r="S613">
        <f>A!S613</f>
        <v>0</v>
      </c>
      <c r="T613">
        <f>A!T613</f>
        <v>0</v>
      </c>
      <c r="U613">
        <f>A!U613</f>
        <v>0</v>
      </c>
      <c r="V613" s="32">
        <f>IF(A!V613="&lt;",1,A!V613)</f>
        <v>0</v>
      </c>
      <c r="W613">
        <f>A!W613</f>
        <v>0</v>
      </c>
      <c r="X613">
        <f>A!X613</f>
        <v>0</v>
      </c>
      <c r="Y613">
        <f>A!Y613</f>
        <v>0</v>
      </c>
      <c r="Z613" s="32">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32"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A!CO923</f>
        <v>0</v>
      </c>
      <c r="CR613">
        <f>A!CP613</f>
        <v>0</v>
      </c>
      <c r="CS613">
        <f>A!CQ613</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32" t="str">
        <f>IF(A!P614="","",INDEX(B!$A$1:$BT$2000,MATCH(A!P614,B!$AX$1:$AX$2000,0),D!$B$5))</f>
        <v/>
      </c>
      <c r="Q614">
        <f>A!Q614</f>
        <v>0</v>
      </c>
      <c r="R614">
        <f>A!R614</f>
        <v>0</v>
      </c>
      <c r="S614">
        <f>A!S614</f>
        <v>0</v>
      </c>
      <c r="T614">
        <f>A!T614</f>
        <v>0</v>
      </c>
      <c r="U614">
        <f>A!U614</f>
        <v>0</v>
      </c>
      <c r="V614" s="32">
        <f>IF(A!V614="&lt;",1,A!V614)</f>
        <v>0</v>
      </c>
      <c r="W614">
        <f>A!W614</f>
        <v>0</v>
      </c>
      <c r="X614">
        <f>A!X614</f>
        <v>0</v>
      </c>
      <c r="Y614">
        <f>A!Y614</f>
        <v>0</v>
      </c>
      <c r="Z614" s="32">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32"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A!CO924</f>
        <v>0</v>
      </c>
      <c r="CR614">
        <f>A!CP614</f>
        <v>0</v>
      </c>
      <c r="CS614">
        <f>A!CQ614</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32" t="str">
        <f>IF(A!P615="","",INDEX(B!$A$1:$BT$2000,MATCH(A!P615,B!$AX$1:$AX$2000,0),D!$B$5))</f>
        <v/>
      </c>
      <c r="Q615">
        <f>A!Q615</f>
        <v>0</v>
      </c>
      <c r="R615">
        <f>A!R615</f>
        <v>0</v>
      </c>
      <c r="S615">
        <f>A!S615</f>
        <v>0</v>
      </c>
      <c r="T615">
        <f>A!T615</f>
        <v>0</v>
      </c>
      <c r="U615">
        <f>A!U615</f>
        <v>0</v>
      </c>
      <c r="V615" s="32">
        <f>IF(A!V615="&lt;",1,A!V615)</f>
        <v>0</v>
      </c>
      <c r="W615">
        <f>A!W615</f>
        <v>0</v>
      </c>
      <c r="X615">
        <f>A!X615</f>
        <v>0</v>
      </c>
      <c r="Y615">
        <f>A!Y615</f>
        <v>0</v>
      </c>
      <c r="Z615" s="32">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32"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A!CO925</f>
        <v>0</v>
      </c>
      <c r="CR615">
        <f>A!CP615</f>
        <v>0</v>
      </c>
      <c r="CS615">
        <f>A!CQ615</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32" t="str">
        <f>IF(A!P616="","",INDEX(B!$A$1:$BT$2000,MATCH(A!P616,B!$AX$1:$AX$2000,0),D!$B$5))</f>
        <v/>
      </c>
      <c r="Q616">
        <f>A!Q616</f>
        <v>0</v>
      </c>
      <c r="R616">
        <f>A!R616</f>
        <v>0</v>
      </c>
      <c r="S616">
        <f>A!S616</f>
        <v>0</v>
      </c>
      <c r="T616">
        <f>A!T616</f>
        <v>0</v>
      </c>
      <c r="U616">
        <f>A!U616</f>
        <v>0</v>
      </c>
      <c r="V616" s="32">
        <f>IF(A!V616="&lt;",1,A!V616)</f>
        <v>0</v>
      </c>
      <c r="W616">
        <f>A!W616</f>
        <v>0</v>
      </c>
      <c r="X616">
        <f>A!X616</f>
        <v>0</v>
      </c>
      <c r="Y616">
        <f>A!Y616</f>
        <v>0</v>
      </c>
      <c r="Z616" s="32">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32"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A!CO926</f>
        <v>0</v>
      </c>
      <c r="CR616">
        <f>A!CP616</f>
        <v>0</v>
      </c>
      <c r="CS616">
        <f>A!CQ616</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32" t="str">
        <f>IF(A!P617="","",INDEX(B!$A$1:$BT$2000,MATCH(A!P617,B!$AX$1:$AX$2000,0),D!$B$5))</f>
        <v/>
      </c>
      <c r="Q617">
        <f>A!Q617</f>
        <v>0</v>
      </c>
      <c r="R617">
        <f>A!R617</f>
        <v>0</v>
      </c>
      <c r="S617">
        <f>A!S617</f>
        <v>0</v>
      </c>
      <c r="T617">
        <f>A!T617</f>
        <v>0</v>
      </c>
      <c r="U617">
        <f>A!U617</f>
        <v>0</v>
      </c>
      <c r="V617" s="32">
        <f>IF(A!V617="&lt;",1,A!V617)</f>
        <v>0</v>
      </c>
      <c r="W617">
        <f>A!W617</f>
        <v>0</v>
      </c>
      <c r="X617">
        <f>A!X617</f>
        <v>0</v>
      </c>
      <c r="Y617">
        <f>A!Y617</f>
        <v>0</v>
      </c>
      <c r="Z617" s="32">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32"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A!CO927</f>
        <v>0</v>
      </c>
      <c r="CR617">
        <f>A!CP617</f>
        <v>0</v>
      </c>
      <c r="CS617">
        <f>A!CQ617</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32" t="str">
        <f>IF(A!P618="","",INDEX(B!$A$1:$BT$2000,MATCH(A!P618,B!$AX$1:$AX$2000,0),D!$B$5))</f>
        <v/>
      </c>
      <c r="Q618">
        <f>A!Q618</f>
        <v>0</v>
      </c>
      <c r="R618">
        <f>A!R618</f>
        <v>0</v>
      </c>
      <c r="S618">
        <f>A!S618</f>
        <v>0</v>
      </c>
      <c r="T618">
        <f>A!T618</f>
        <v>0</v>
      </c>
      <c r="U618">
        <f>A!U618</f>
        <v>0</v>
      </c>
      <c r="V618" s="32">
        <f>IF(A!V618="&lt;",1,A!V618)</f>
        <v>0</v>
      </c>
      <c r="W618">
        <f>A!W618</f>
        <v>0</v>
      </c>
      <c r="X618">
        <f>A!X618</f>
        <v>0</v>
      </c>
      <c r="Y618">
        <f>A!Y618</f>
        <v>0</v>
      </c>
      <c r="Z618" s="32">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32"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A!CO928</f>
        <v>0</v>
      </c>
      <c r="CR618">
        <f>A!CP618</f>
        <v>0</v>
      </c>
      <c r="CS618">
        <f>A!CQ618</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32" t="str">
        <f>IF(A!P619="","",INDEX(B!$A$1:$BT$2000,MATCH(A!P619,B!$AX$1:$AX$2000,0),D!$B$5))</f>
        <v/>
      </c>
      <c r="Q619">
        <f>A!Q619</f>
        <v>0</v>
      </c>
      <c r="R619">
        <f>A!R619</f>
        <v>0</v>
      </c>
      <c r="S619">
        <f>A!S619</f>
        <v>0</v>
      </c>
      <c r="T619">
        <f>A!T619</f>
        <v>0</v>
      </c>
      <c r="U619">
        <f>A!U619</f>
        <v>0</v>
      </c>
      <c r="V619" s="32">
        <f>IF(A!V619="&lt;",1,A!V619)</f>
        <v>0</v>
      </c>
      <c r="W619">
        <f>A!W619</f>
        <v>0</v>
      </c>
      <c r="X619">
        <f>A!X619</f>
        <v>0</v>
      </c>
      <c r="Y619">
        <f>A!Y619</f>
        <v>0</v>
      </c>
      <c r="Z619" s="32">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32"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A!CO929</f>
        <v>0</v>
      </c>
      <c r="CR619">
        <f>A!CP619</f>
        <v>0</v>
      </c>
      <c r="CS619">
        <f>A!CQ619</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32" t="str">
        <f>IF(A!P620="","",INDEX(B!$A$1:$BT$2000,MATCH(A!P620,B!$AX$1:$AX$2000,0),D!$B$5))</f>
        <v/>
      </c>
      <c r="Q620">
        <f>A!Q620</f>
        <v>0</v>
      </c>
      <c r="R620">
        <f>A!R620</f>
        <v>0</v>
      </c>
      <c r="S620">
        <f>A!S620</f>
        <v>0</v>
      </c>
      <c r="T620">
        <f>A!T620</f>
        <v>0</v>
      </c>
      <c r="U620">
        <f>A!U620</f>
        <v>0</v>
      </c>
      <c r="V620" s="32">
        <f>IF(A!V620="&lt;",1,A!V620)</f>
        <v>0</v>
      </c>
      <c r="W620">
        <f>A!W620</f>
        <v>0</v>
      </c>
      <c r="X620">
        <f>A!X620</f>
        <v>0</v>
      </c>
      <c r="Y620">
        <f>A!Y620</f>
        <v>0</v>
      </c>
      <c r="Z620" s="32">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32"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A!CO930</f>
        <v>0</v>
      </c>
      <c r="CR620">
        <f>A!CP620</f>
        <v>0</v>
      </c>
      <c r="CS620">
        <f>A!CQ620</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32" t="str">
        <f>IF(A!P621="","",INDEX(B!$A$1:$BT$2000,MATCH(A!P621,B!$AX$1:$AX$2000,0),D!$B$5))</f>
        <v/>
      </c>
      <c r="Q621">
        <f>A!Q621</f>
        <v>0</v>
      </c>
      <c r="R621">
        <f>A!R621</f>
        <v>0</v>
      </c>
      <c r="S621">
        <f>A!S621</f>
        <v>0</v>
      </c>
      <c r="T621">
        <f>A!T621</f>
        <v>0</v>
      </c>
      <c r="U621">
        <f>A!U621</f>
        <v>0</v>
      </c>
      <c r="V621" s="32">
        <f>IF(A!V621="&lt;",1,A!V621)</f>
        <v>0</v>
      </c>
      <c r="W621">
        <f>A!W621</f>
        <v>0</v>
      </c>
      <c r="X621">
        <f>A!X621</f>
        <v>0</v>
      </c>
      <c r="Y621">
        <f>A!Y621</f>
        <v>0</v>
      </c>
      <c r="Z621" s="32">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32"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A!CO931</f>
        <v>0</v>
      </c>
      <c r="CR621">
        <f>A!CP621</f>
        <v>0</v>
      </c>
      <c r="CS621">
        <f>A!CQ621</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32" t="str">
        <f>IF(A!P622="","",INDEX(B!$A$1:$BT$2000,MATCH(A!P622,B!$AX$1:$AX$2000,0),D!$B$5))</f>
        <v/>
      </c>
      <c r="Q622">
        <f>A!Q622</f>
        <v>0</v>
      </c>
      <c r="R622">
        <f>A!R622</f>
        <v>0</v>
      </c>
      <c r="S622">
        <f>A!S622</f>
        <v>0</v>
      </c>
      <c r="T622">
        <f>A!T622</f>
        <v>0</v>
      </c>
      <c r="U622">
        <f>A!U622</f>
        <v>0</v>
      </c>
      <c r="V622" s="32">
        <f>IF(A!V622="&lt;",1,A!V622)</f>
        <v>0</v>
      </c>
      <c r="W622">
        <f>A!W622</f>
        <v>0</v>
      </c>
      <c r="X622">
        <f>A!X622</f>
        <v>0</v>
      </c>
      <c r="Y622">
        <f>A!Y622</f>
        <v>0</v>
      </c>
      <c r="Z622" s="32">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32"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A!CO932</f>
        <v>0</v>
      </c>
      <c r="CR622">
        <f>A!CP622</f>
        <v>0</v>
      </c>
      <c r="CS622">
        <f>A!CQ622</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32" t="str">
        <f>IF(A!P623="","",INDEX(B!$A$1:$BT$2000,MATCH(A!P623,B!$AX$1:$AX$2000,0),D!$B$5))</f>
        <v/>
      </c>
      <c r="Q623">
        <f>A!Q623</f>
        <v>0</v>
      </c>
      <c r="R623">
        <f>A!R623</f>
        <v>0</v>
      </c>
      <c r="S623">
        <f>A!S623</f>
        <v>0</v>
      </c>
      <c r="T623">
        <f>A!T623</f>
        <v>0</v>
      </c>
      <c r="U623">
        <f>A!U623</f>
        <v>0</v>
      </c>
      <c r="V623" s="32">
        <f>IF(A!V623="&lt;",1,A!V623)</f>
        <v>0</v>
      </c>
      <c r="W623">
        <f>A!W623</f>
        <v>0</v>
      </c>
      <c r="X623">
        <f>A!X623</f>
        <v>0</v>
      </c>
      <c r="Y623">
        <f>A!Y623</f>
        <v>0</v>
      </c>
      <c r="Z623" s="32">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32"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A!CO933</f>
        <v>0</v>
      </c>
      <c r="CR623">
        <f>A!CP623</f>
        <v>0</v>
      </c>
      <c r="CS623">
        <f>A!CQ623</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32" t="str">
        <f>IF(A!P624="","",INDEX(B!$A$1:$BT$2000,MATCH(A!P624,B!$AX$1:$AX$2000,0),D!$B$5))</f>
        <v/>
      </c>
      <c r="Q624">
        <f>A!Q624</f>
        <v>0</v>
      </c>
      <c r="R624">
        <f>A!R624</f>
        <v>0</v>
      </c>
      <c r="S624">
        <f>A!S624</f>
        <v>0</v>
      </c>
      <c r="T624">
        <f>A!T624</f>
        <v>0</v>
      </c>
      <c r="U624">
        <f>A!U624</f>
        <v>0</v>
      </c>
      <c r="V624" s="32">
        <f>IF(A!V624="&lt;",1,A!V624)</f>
        <v>0</v>
      </c>
      <c r="W624">
        <f>A!W624</f>
        <v>0</v>
      </c>
      <c r="X624">
        <f>A!X624</f>
        <v>0</v>
      </c>
      <c r="Y624">
        <f>A!Y624</f>
        <v>0</v>
      </c>
      <c r="Z624" s="32">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32"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A!CO934</f>
        <v>0</v>
      </c>
      <c r="CR624">
        <f>A!CP624</f>
        <v>0</v>
      </c>
      <c r="CS624">
        <f>A!CQ624</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32" t="str">
        <f>IF(A!P625="","",INDEX(B!$A$1:$BT$2000,MATCH(A!P625,B!$AX$1:$AX$2000,0),D!$B$5))</f>
        <v/>
      </c>
      <c r="Q625">
        <f>A!Q625</f>
        <v>0</v>
      </c>
      <c r="R625">
        <f>A!R625</f>
        <v>0</v>
      </c>
      <c r="S625">
        <f>A!S625</f>
        <v>0</v>
      </c>
      <c r="T625">
        <f>A!T625</f>
        <v>0</v>
      </c>
      <c r="U625">
        <f>A!U625</f>
        <v>0</v>
      </c>
      <c r="V625" s="32">
        <f>IF(A!V625="&lt;",1,A!V625)</f>
        <v>0</v>
      </c>
      <c r="W625">
        <f>A!W625</f>
        <v>0</v>
      </c>
      <c r="X625">
        <f>A!X625</f>
        <v>0</v>
      </c>
      <c r="Y625">
        <f>A!Y625</f>
        <v>0</v>
      </c>
      <c r="Z625" s="32">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32"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A!CO935</f>
        <v>0</v>
      </c>
      <c r="CR625">
        <f>A!CP625</f>
        <v>0</v>
      </c>
      <c r="CS625">
        <f>A!CQ625</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32" t="str">
        <f>IF(A!P626="","",INDEX(B!$A$1:$BT$2000,MATCH(A!P626,B!$AX$1:$AX$2000,0),D!$B$5))</f>
        <v/>
      </c>
      <c r="Q626">
        <f>A!Q626</f>
        <v>0</v>
      </c>
      <c r="R626">
        <f>A!R626</f>
        <v>0</v>
      </c>
      <c r="S626">
        <f>A!S626</f>
        <v>0</v>
      </c>
      <c r="T626">
        <f>A!T626</f>
        <v>0</v>
      </c>
      <c r="U626">
        <f>A!U626</f>
        <v>0</v>
      </c>
      <c r="V626" s="32">
        <f>IF(A!V626="&lt;",1,A!V626)</f>
        <v>0</v>
      </c>
      <c r="W626">
        <f>A!W626</f>
        <v>0</v>
      </c>
      <c r="X626">
        <f>A!X626</f>
        <v>0</v>
      </c>
      <c r="Y626">
        <f>A!Y626</f>
        <v>0</v>
      </c>
      <c r="Z626" s="32">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32"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A!CO936</f>
        <v>0</v>
      </c>
      <c r="CR626">
        <f>A!CP626</f>
        <v>0</v>
      </c>
      <c r="CS626">
        <f>A!CQ626</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32" t="str">
        <f>IF(A!P627="","",INDEX(B!$A$1:$BT$2000,MATCH(A!P627,B!$AX$1:$AX$2000,0),D!$B$5))</f>
        <v/>
      </c>
      <c r="Q627">
        <f>A!Q627</f>
        <v>0</v>
      </c>
      <c r="R627">
        <f>A!R627</f>
        <v>0</v>
      </c>
      <c r="S627">
        <f>A!S627</f>
        <v>0</v>
      </c>
      <c r="T627">
        <f>A!T627</f>
        <v>0</v>
      </c>
      <c r="U627">
        <f>A!U627</f>
        <v>0</v>
      </c>
      <c r="V627" s="32">
        <f>IF(A!V627="&lt;",1,A!V627)</f>
        <v>0</v>
      </c>
      <c r="W627">
        <f>A!W627</f>
        <v>0</v>
      </c>
      <c r="X627">
        <f>A!X627</f>
        <v>0</v>
      </c>
      <c r="Y627">
        <f>A!Y627</f>
        <v>0</v>
      </c>
      <c r="Z627" s="32">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32"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A!CO937</f>
        <v>0</v>
      </c>
      <c r="CR627">
        <f>A!CP627</f>
        <v>0</v>
      </c>
      <c r="CS627">
        <f>A!CQ627</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32" t="str">
        <f>IF(A!P628="","",INDEX(B!$A$1:$BT$2000,MATCH(A!P628,B!$AX$1:$AX$2000,0),D!$B$5))</f>
        <v/>
      </c>
      <c r="Q628">
        <f>A!Q628</f>
        <v>0</v>
      </c>
      <c r="R628">
        <f>A!R628</f>
        <v>0</v>
      </c>
      <c r="S628">
        <f>A!S628</f>
        <v>0</v>
      </c>
      <c r="T628">
        <f>A!T628</f>
        <v>0</v>
      </c>
      <c r="U628">
        <f>A!U628</f>
        <v>0</v>
      </c>
      <c r="V628" s="32">
        <f>IF(A!V628="&lt;",1,A!V628)</f>
        <v>0</v>
      </c>
      <c r="W628">
        <f>A!W628</f>
        <v>0</v>
      </c>
      <c r="X628">
        <f>A!X628</f>
        <v>0</v>
      </c>
      <c r="Y628">
        <f>A!Y628</f>
        <v>0</v>
      </c>
      <c r="Z628" s="32">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32"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A!CO938</f>
        <v>0</v>
      </c>
      <c r="CR628">
        <f>A!CP628</f>
        <v>0</v>
      </c>
      <c r="CS628">
        <f>A!CQ628</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32" t="str">
        <f>IF(A!P629="","",INDEX(B!$A$1:$BT$2000,MATCH(A!P629,B!$AX$1:$AX$2000,0),D!$B$5))</f>
        <v/>
      </c>
      <c r="Q629">
        <f>A!Q629</f>
        <v>0</v>
      </c>
      <c r="R629">
        <f>A!R629</f>
        <v>0</v>
      </c>
      <c r="S629">
        <f>A!S629</f>
        <v>0</v>
      </c>
      <c r="T629">
        <f>A!T629</f>
        <v>0</v>
      </c>
      <c r="U629">
        <f>A!U629</f>
        <v>0</v>
      </c>
      <c r="V629" s="32">
        <f>IF(A!V629="&lt;",1,A!V629)</f>
        <v>0</v>
      </c>
      <c r="W629">
        <f>A!W629</f>
        <v>0</v>
      </c>
      <c r="X629">
        <f>A!X629</f>
        <v>0</v>
      </c>
      <c r="Y629">
        <f>A!Y629</f>
        <v>0</v>
      </c>
      <c r="Z629" s="32">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32"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A!CO939</f>
        <v>0</v>
      </c>
      <c r="CR629">
        <f>A!CP629</f>
        <v>0</v>
      </c>
      <c r="CS629">
        <f>A!CQ629</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32" t="str">
        <f>IF(A!P630="","",INDEX(B!$A$1:$BT$2000,MATCH(A!P630,B!$AX$1:$AX$2000,0),D!$B$5))</f>
        <v/>
      </c>
      <c r="Q630">
        <f>A!Q630</f>
        <v>0</v>
      </c>
      <c r="R630">
        <f>A!R630</f>
        <v>0</v>
      </c>
      <c r="S630">
        <f>A!S630</f>
        <v>0</v>
      </c>
      <c r="T630">
        <f>A!T630</f>
        <v>0</v>
      </c>
      <c r="U630">
        <f>A!U630</f>
        <v>0</v>
      </c>
      <c r="V630" s="32">
        <f>IF(A!V630="&lt;",1,A!V630)</f>
        <v>0</v>
      </c>
      <c r="W630">
        <f>A!W630</f>
        <v>0</v>
      </c>
      <c r="X630">
        <f>A!X630</f>
        <v>0</v>
      </c>
      <c r="Y630">
        <f>A!Y630</f>
        <v>0</v>
      </c>
      <c r="Z630" s="32">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32"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A!CO940</f>
        <v>0</v>
      </c>
      <c r="CR630">
        <f>A!CP630</f>
        <v>0</v>
      </c>
      <c r="CS630">
        <f>A!CQ630</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32" t="str">
        <f>IF(A!P631="","",INDEX(B!$A$1:$BT$2000,MATCH(A!P631,B!$AX$1:$AX$2000,0),D!$B$5))</f>
        <v/>
      </c>
      <c r="Q631">
        <f>A!Q631</f>
        <v>0</v>
      </c>
      <c r="R631">
        <f>A!R631</f>
        <v>0</v>
      </c>
      <c r="S631">
        <f>A!S631</f>
        <v>0</v>
      </c>
      <c r="T631">
        <f>A!T631</f>
        <v>0</v>
      </c>
      <c r="U631">
        <f>A!U631</f>
        <v>0</v>
      </c>
      <c r="V631" s="32">
        <f>IF(A!V631="&lt;",1,A!V631)</f>
        <v>0</v>
      </c>
      <c r="W631">
        <f>A!W631</f>
        <v>0</v>
      </c>
      <c r="X631">
        <f>A!X631</f>
        <v>0</v>
      </c>
      <c r="Y631">
        <f>A!Y631</f>
        <v>0</v>
      </c>
      <c r="Z631" s="32">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32"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A!CO941</f>
        <v>0</v>
      </c>
      <c r="CR631">
        <f>A!CP631</f>
        <v>0</v>
      </c>
      <c r="CS631">
        <f>A!CQ631</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32" t="str">
        <f>IF(A!P632="","",INDEX(B!$A$1:$BT$2000,MATCH(A!P632,B!$AX$1:$AX$2000,0),D!$B$5))</f>
        <v/>
      </c>
      <c r="Q632">
        <f>A!Q632</f>
        <v>0</v>
      </c>
      <c r="R632">
        <f>A!R632</f>
        <v>0</v>
      </c>
      <c r="S632">
        <f>A!S632</f>
        <v>0</v>
      </c>
      <c r="T632">
        <f>A!T632</f>
        <v>0</v>
      </c>
      <c r="U632">
        <f>A!U632</f>
        <v>0</v>
      </c>
      <c r="V632" s="32">
        <f>IF(A!V632="&lt;",1,A!V632)</f>
        <v>0</v>
      </c>
      <c r="W632">
        <f>A!W632</f>
        <v>0</v>
      </c>
      <c r="X632">
        <f>A!X632</f>
        <v>0</v>
      </c>
      <c r="Y632">
        <f>A!Y632</f>
        <v>0</v>
      </c>
      <c r="Z632" s="32">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32"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A!CO942</f>
        <v>0</v>
      </c>
      <c r="CR632">
        <f>A!CP632</f>
        <v>0</v>
      </c>
      <c r="CS632">
        <f>A!CQ632</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32" t="str">
        <f>IF(A!P633="","",INDEX(B!$A$1:$BT$2000,MATCH(A!P633,B!$AX$1:$AX$2000,0),D!$B$5))</f>
        <v/>
      </c>
      <c r="Q633">
        <f>A!Q633</f>
        <v>0</v>
      </c>
      <c r="R633">
        <f>A!R633</f>
        <v>0</v>
      </c>
      <c r="S633">
        <f>A!S633</f>
        <v>0</v>
      </c>
      <c r="T633">
        <f>A!T633</f>
        <v>0</v>
      </c>
      <c r="U633">
        <f>A!U633</f>
        <v>0</v>
      </c>
      <c r="V633" s="32">
        <f>IF(A!V633="&lt;",1,A!V633)</f>
        <v>0</v>
      </c>
      <c r="W633">
        <f>A!W633</f>
        <v>0</v>
      </c>
      <c r="X633">
        <f>A!X633</f>
        <v>0</v>
      </c>
      <c r="Y633">
        <f>A!Y633</f>
        <v>0</v>
      </c>
      <c r="Z633" s="32">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32"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A!CO943</f>
        <v>0</v>
      </c>
      <c r="CR633">
        <f>A!CP633</f>
        <v>0</v>
      </c>
      <c r="CS633">
        <f>A!CQ633</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32" t="str">
        <f>IF(A!P634="","",INDEX(B!$A$1:$BT$2000,MATCH(A!P634,B!$AX$1:$AX$2000,0),D!$B$5))</f>
        <v/>
      </c>
      <c r="Q634">
        <f>A!Q634</f>
        <v>0</v>
      </c>
      <c r="R634">
        <f>A!R634</f>
        <v>0</v>
      </c>
      <c r="S634">
        <f>A!S634</f>
        <v>0</v>
      </c>
      <c r="T634">
        <f>A!T634</f>
        <v>0</v>
      </c>
      <c r="U634">
        <f>A!U634</f>
        <v>0</v>
      </c>
      <c r="V634" s="32">
        <f>IF(A!V634="&lt;",1,A!V634)</f>
        <v>0</v>
      </c>
      <c r="W634">
        <f>A!W634</f>
        <v>0</v>
      </c>
      <c r="X634">
        <f>A!X634</f>
        <v>0</v>
      </c>
      <c r="Y634">
        <f>A!Y634</f>
        <v>0</v>
      </c>
      <c r="Z634" s="32">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32"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A!CO944</f>
        <v>0</v>
      </c>
      <c r="CR634">
        <f>A!CP634</f>
        <v>0</v>
      </c>
      <c r="CS634">
        <f>A!CQ634</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32" t="str">
        <f>IF(A!P635="","",INDEX(B!$A$1:$BT$2000,MATCH(A!P635,B!$AX$1:$AX$2000,0),D!$B$5))</f>
        <v/>
      </c>
      <c r="Q635">
        <f>A!Q635</f>
        <v>0</v>
      </c>
      <c r="R635">
        <f>A!R635</f>
        <v>0</v>
      </c>
      <c r="S635">
        <f>A!S635</f>
        <v>0</v>
      </c>
      <c r="T635">
        <f>A!T635</f>
        <v>0</v>
      </c>
      <c r="U635">
        <f>A!U635</f>
        <v>0</v>
      </c>
      <c r="V635" s="32">
        <f>IF(A!V635="&lt;",1,A!V635)</f>
        <v>0</v>
      </c>
      <c r="W635">
        <f>A!W635</f>
        <v>0</v>
      </c>
      <c r="X635">
        <f>A!X635</f>
        <v>0</v>
      </c>
      <c r="Y635">
        <f>A!Y635</f>
        <v>0</v>
      </c>
      <c r="Z635" s="32">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32"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A!CO945</f>
        <v>0</v>
      </c>
      <c r="CR635">
        <f>A!CP635</f>
        <v>0</v>
      </c>
      <c r="CS635">
        <f>A!CQ635</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32" t="str">
        <f>IF(A!P636="","",INDEX(B!$A$1:$BT$2000,MATCH(A!P636,B!$AX$1:$AX$2000,0),D!$B$5))</f>
        <v/>
      </c>
      <c r="Q636">
        <f>A!Q636</f>
        <v>0</v>
      </c>
      <c r="R636">
        <f>A!R636</f>
        <v>0</v>
      </c>
      <c r="S636">
        <f>A!S636</f>
        <v>0</v>
      </c>
      <c r="T636">
        <f>A!T636</f>
        <v>0</v>
      </c>
      <c r="U636">
        <f>A!U636</f>
        <v>0</v>
      </c>
      <c r="V636" s="32">
        <f>IF(A!V636="&lt;",1,A!V636)</f>
        <v>0</v>
      </c>
      <c r="W636">
        <f>A!W636</f>
        <v>0</v>
      </c>
      <c r="X636">
        <f>A!X636</f>
        <v>0</v>
      </c>
      <c r="Y636">
        <f>A!Y636</f>
        <v>0</v>
      </c>
      <c r="Z636" s="32">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32"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A!CO946</f>
        <v>0</v>
      </c>
      <c r="CR636">
        <f>A!CP636</f>
        <v>0</v>
      </c>
      <c r="CS636">
        <f>A!CQ636</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32" t="str">
        <f>IF(A!P637="","",INDEX(B!$A$1:$BT$2000,MATCH(A!P637,B!$AX$1:$AX$2000,0),D!$B$5))</f>
        <v/>
      </c>
      <c r="Q637">
        <f>A!Q637</f>
        <v>0</v>
      </c>
      <c r="R637">
        <f>A!R637</f>
        <v>0</v>
      </c>
      <c r="S637">
        <f>A!S637</f>
        <v>0</v>
      </c>
      <c r="T637">
        <f>A!T637</f>
        <v>0</v>
      </c>
      <c r="U637">
        <f>A!U637</f>
        <v>0</v>
      </c>
      <c r="V637" s="32">
        <f>IF(A!V637="&lt;",1,A!V637)</f>
        <v>0</v>
      </c>
      <c r="W637">
        <f>A!W637</f>
        <v>0</v>
      </c>
      <c r="X637">
        <f>A!X637</f>
        <v>0</v>
      </c>
      <c r="Y637">
        <f>A!Y637</f>
        <v>0</v>
      </c>
      <c r="Z637" s="32">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32"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A!CO947</f>
        <v>0</v>
      </c>
      <c r="CR637">
        <f>A!CP637</f>
        <v>0</v>
      </c>
      <c r="CS637">
        <f>A!CQ637</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32" t="str">
        <f>IF(A!P638="","",INDEX(B!$A$1:$BT$2000,MATCH(A!P638,B!$AX$1:$AX$2000,0),D!$B$5))</f>
        <v/>
      </c>
      <c r="Q638">
        <f>A!Q638</f>
        <v>0</v>
      </c>
      <c r="R638">
        <f>A!R638</f>
        <v>0</v>
      </c>
      <c r="S638">
        <f>A!S638</f>
        <v>0</v>
      </c>
      <c r="T638">
        <f>A!T638</f>
        <v>0</v>
      </c>
      <c r="U638">
        <f>A!U638</f>
        <v>0</v>
      </c>
      <c r="V638" s="32">
        <f>IF(A!V638="&lt;",1,A!V638)</f>
        <v>0</v>
      </c>
      <c r="W638">
        <f>A!W638</f>
        <v>0</v>
      </c>
      <c r="X638">
        <f>A!X638</f>
        <v>0</v>
      </c>
      <c r="Y638">
        <f>A!Y638</f>
        <v>0</v>
      </c>
      <c r="Z638" s="32">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32"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A!CO948</f>
        <v>0</v>
      </c>
      <c r="CR638">
        <f>A!CP638</f>
        <v>0</v>
      </c>
      <c r="CS638">
        <f>A!CQ638</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32" t="str">
        <f>IF(A!P639="","",INDEX(B!$A$1:$BT$2000,MATCH(A!P639,B!$AX$1:$AX$2000,0),D!$B$5))</f>
        <v/>
      </c>
      <c r="Q639">
        <f>A!Q639</f>
        <v>0</v>
      </c>
      <c r="R639">
        <f>A!R639</f>
        <v>0</v>
      </c>
      <c r="S639">
        <f>A!S639</f>
        <v>0</v>
      </c>
      <c r="T639">
        <f>A!T639</f>
        <v>0</v>
      </c>
      <c r="U639">
        <f>A!U639</f>
        <v>0</v>
      </c>
      <c r="V639" s="32">
        <f>IF(A!V639="&lt;",1,A!V639)</f>
        <v>0</v>
      </c>
      <c r="W639">
        <f>A!W639</f>
        <v>0</v>
      </c>
      <c r="X639">
        <f>A!X639</f>
        <v>0</v>
      </c>
      <c r="Y639">
        <f>A!Y639</f>
        <v>0</v>
      </c>
      <c r="Z639" s="32">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32"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A!CO949</f>
        <v>0</v>
      </c>
      <c r="CR639">
        <f>A!CP639</f>
        <v>0</v>
      </c>
      <c r="CS639">
        <f>A!CQ639</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32" t="str">
        <f>IF(A!P640="","",INDEX(B!$A$1:$BT$2000,MATCH(A!P640,B!$AX$1:$AX$2000,0),D!$B$5))</f>
        <v/>
      </c>
      <c r="Q640">
        <f>A!Q640</f>
        <v>0</v>
      </c>
      <c r="R640">
        <f>A!R640</f>
        <v>0</v>
      </c>
      <c r="S640">
        <f>A!S640</f>
        <v>0</v>
      </c>
      <c r="T640">
        <f>A!T640</f>
        <v>0</v>
      </c>
      <c r="U640">
        <f>A!U640</f>
        <v>0</v>
      </c>
      <c r="V640" s="32">
        <f>IF(A!V640="&lt;",1,A!V640)</f>
        <v>0</v>
      </c>
      <c r="W640">
        <f>A!W640</f>
        <v>0</v>
      </c>
      <c r="X640">
        <f>A!X640</f>
        <v>0</v>
      </c>
      <c r="Y640">
        <f>A!Y640</f>
        <v>0</v>
      </c>
      <c r="Z640" s="32">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32"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A!CO950</f>
        <v>0</v>
      </c>
      <c r="CR640">
        <f>A!CP640</f>
        <v>0</v>
      </c>
      <c r="CS640">
        <f>A!CQ640</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32" t="str">
        <f>IF(A!P641="","",INDEX(B!$A$1:$BT$2000,MATCH(A!P641,B!$AX$1:$AX$2000,0),D!$B$5))</f>
        <v/>
      </c>
      <c r="Q641">
        <f>A!Q641</f>
        <v>0</v>
      </c>
      <c r="R641">
        <f>A!R641</f>
        <v>0</v>
      </c>
      <c r="S641">
        <f>A!S641</f>
        <v>0</v>
      </c>
      <c r="T641">
        <f>A!T641</f>
        <v>0</v>
      </c>
      <c r="U641">
        <f>A!U641</f>
        <v>0</v>
      </c>
      <c r="V641" s="32">
        <f>IF(A!V641="&lt;",1,A!V641)</f>
        <v>0</v>
      </c>
      <c r="W641">
        <f>A!W641</f>
        <v>0</v>
      </c>
      <c r="X641">
        <f>A!X641</f>
        <v>0</v>
      </c>
      <c r="Y641">
        <f>A!Y641</f>
        <v>0</v>
      </c>
      <c r="Z641" s="32">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32"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A!CO951</f>
        <v>0</v>
      </c>
      <c r="CR641">
        <f>A!CP641</f>
        <v>0</v>
      </c>
      <c r="CS641">
        <f>A!CQ641</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32" t="str">
        <f>IF(A!P642="","",INDEX(B!$A$1:$BT$2000,MATCH(A!P642,B!$AX$1:$AX$2000,0),D!$B$5))</f>
        <v/>
      </c>
      <c r="Q642">
        <f>A!Q642</f>
        <v>0</v>
      </c>
      <c r="R642">
        <f>A!R642</f>
        <v>0</v>
      </c>
      <c r="S642">
        <f>A!S642</f>
        <v>0</v>
      </c>
      <c r="T642">
        <f>A!T642</f>
        <v>0</v>
      </c>
      <c r="U642">
        <f>A!U642</f>
        <v>0</v>
      </c>
      <c r="V642" s="32">
        <f>IF(A!V642="&lt;",1,A!V642)</f>
        <v>0</v>
      </c>
      <c r="W642">
        <f>A!W642</f>
        <v>0</v>
      </c>
      <c r="X642">
        <f>A!X642</f>
        <v>0</v>
      </c>
      <c r="Y642">
        <f>A!Y642</f>
        <v>0</v>
      </c>
      <c r="Z642" s="32">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32"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A!CO952</f>
        <v>0</v>
      </c>
      <c r="CR642">
        <f>A!CP642</f>
        <v>0</v>
      </c>
      <c r="CS642">
        <f>A!CQ642</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32" t="str">
        <f>IF(A!P643="","",INDEX(B!$A$1:$BT$2000,MATCH(A!P643,B!$AX$1:$AX$2000,0),D!$B$5))</f>
        <v/>
      </c>
      <c r="Q643">
        <f>A!Q643</f>
        <v>0</v>
      </c>
      <c r="R643">
        <f>A!R643</f>
        <v>0</v>
      </c>
      <c r="S643">
        <f>A!S643</f>
        <v>0</v>
      </c>
      <c r="T643">
        <f>A!T643</f>
        <v>0</v>
      </c>
      <c r="U643">
        <f>A!U643</f>
        <v>0</v>
      </c>
      <c r="V643" s="32">
        <f>IF(A!V643="&lt;",1,A!V643)</f>
        <v>0</v>
      </c>
      <c r="W643">
        <f>A!W643</f>
        <v>0</v>
      </c>
      <c r="X643">
        <f>A!X643</f>
        <v>0</v>
      </c>
      <c r="Y643">
        <f>A!Y643</f>
        <v>0</v>
      </c>
      <c r="Z643" s="32">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32"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A!CO953</f>
        <v>0</v>
      </c>
      <c r="CR643">
        <f>A!CP643</f>
        <v>0</v>
      </c>
      <c r="CS643">
        <f>A!CQ643</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32" t="str">
        <f>IF(A!P644="","",INDEX(B!$A$1:$BT$2000,MATCH(A!P644,B!$AX$1:$AX$2000,0),D!$B$5))</f>
        <v/>
      </c>
      <c r="Q644">
        <f>A!Q644</f>
        <v>0</v>
      </c>
      <c r="R644">
        <f>A!R644</f>
        <v>0</v>
      </c>
      <c r="S644">
        <f>A!S644</f>
        <v>0</v>
      </c>
      <c r="T644">
        <f>A!T644</f>
        <v>0</v>
      </c>
      <c r="U644">
        <f>A!U644</f>
        <v>0</v>
      </c>
      <c r="V644" s="32">
        <f>IF(A!V644="&lt;",1,A!V644)</f>
        <v>0</v>
      </c>
      <c r="W644">
        <f>A!W644</f>
        <v>0</v>
      </c>
      <c r="X644">
        <f>A!X644</f>
        <v>0</v>
      </c>
      <c r="Y644">
        <f>A!Y644</f>
        <v>0</v>
      </c>
      <c r="Z644" s="32">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32"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A!CO954</f>
        <v>0</v>
      </c>
      <c r="CR644">
        <f>A!CP644</f>
        <v>0</v>
      </c>
      <c r="CS644">
        <f>A!CQ644</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32" t="str">
        <f>IF(A!P645="","",INDEX(B!$A$1:$BT$2000,MATCH(A!P645,B!$AX$1:$AX$2000,0),D!$B$5))</f>
        <v/>
      </c>
      <c r="Q645">
        <f>A!Q645</f>
        <v>0</v>
      </c>
      <c r="R645">
        <f>A!R645</f>
        <v>0</v>
      </c>
      <c r="S645">
        <f>A!S645</f>
        <v>0</v>
      </c>
      <c r="T645">
        <f>A!T645</f>
        <v>0</v>
      </c>
      <c r="U645">
        <f>A!U645</f>
        <v>0</v>
      </c>
      <c r="V645" s="32">
        <f>IF(A!V645="&lt;",1,A!V645)</f>
        <v>0</v>
      </c>
      <c r="W645">
        <f>A!W645</f>
        <v>0</v>
      </c>
      <c r="X645">
        <f>A!X645</f>
        <v>0</v>
      </c>
      <c r="Y645">
        <f>A!Y645</f>
        <v>0</v>
      </c>
      <c r="Z645" s="32">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32"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A!CO955</f>
        <v>0</v>
      </c>
      <c r="CR645">
        <f>A!CP645</f>
        <v>0</v>
      </c>
      <c r="CS645">
        <f>A!CQ645</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32" t="str">
        <f>IF(A!P646="","",INDEX(B!$A$1:$BT$2000,MATCH(A!P646,B!$AX$1:$AX$2000,0),D!$B$5))</f>
        <v/>
      </c>
      <c r="Q646">
        <f>A!Q646</f>
        <v>0</v>
      </c>
      <c r="R646">
        <f>A!R646</f>
        <v>0</v>
      </c>
      <c r="S646">
        <f>A!S646</f>
        <v>0</v>
      </c>
      <c r="T646">
        <f>A!T646</f>
        <v>0</v>
      </c>
      <c r="U646">
        <f>A!U646</f>
        <v>0</v>
      </c>
      <c r="V646" s="32">
        <f>IF(A!V646="&lt;",1,A!V646)</f>
        <v>0</v>
      </c>
      <c r="W646">
        <f>A!W646</f>
        <v>0</v>
      </c>
      <c r="X646">
        <f>A!X646</f>
        <v>0</v>
      </c>
      <c r="Y646">
        <f>A!Y646</f>
        <v>0</v>
      </c>
      <c r="Z646" s="32">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32"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A!CO956</f>
        <v>0</v>
      </c>
      <c r="CR646">
        <f>A!CP646</f>
        <v>0</v>
      </c>
      <c r="CS646">
        <f>A!CQ646</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32" t="str">
        <f>IF(A!P647="","",INDEX(B!$A$1:$BT$2000,MATCH(A!P647,B!$AX$1:$AX$2000,0),D!$B$5))</f>
        <v/>
      </c>
      <c r="Q647">
        <f>A!Q647</f>
        <v>0</v>
      </c>
      <c r="R647">
        <f>A!R647</f>
        <v>0</v>
      </c>
      <c r="S647">
        <f>A!S647</f>
        <v>0</v>
      </c>
      <c r="T647">
        <f>A!T647</f>
        <v>0</v>
      </c>
      <c r="U647">
        <f>A!U647</f>
        <v>0</v>
      </c>
      <c r="V647" s="32">
        <f>IF(A!V647="&lt;",1,A!V647)</f>
        <v>0</v>
      </c>
      <c r="W647">
        <f>A!W647</f>
        <v>0</v>
      </c>
      <c r="X647">
        <f>A!X647</f>
        <v>0</v>
      </c>
      <c r="Y647">
        <f>A!Y647</f>
        <v>0</v>
      </c>
      <c r="Z647" s="32">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32"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A!CO957</f>
        <v>0</v>
      </c>
      <c r="CR647">
        <f>A!CP647</f>
        <v>0</v>
      </c>
      <c r="CS647">
        <f>A!CQ647</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32" t="str">
        <f>IF(A!P648="","",INDEX(B!$A$1:$BT$2000,MATCH(A!P648,B!$AX$1:$AX$2000,0),D!$B$5))</f>
        <v/>
      </c>
      <c r="Q648">
        <f>A!Q648</f>
        <v>0</v>
      </c>
      <c r="R648">
        <f>A!R648</f>
        <v>0</v>
      </c>
      <c r="S648">
        <f>A!S648</f>
        <v>0</v>
      </c>
      <c r="T648">
        <f>A!T648</f>
        <v>0</v>
      </c>
      <c r="U648">
        <f>A!U648</f>
        <v>0</v>
      </c>
      <c r="V648" s="32">
        <f>IF(A!V648="&lt;",1,A!V648)</f>
        <v>0</v>
      </c>
      <c r="W648">
        <f>A!W648</f>
        <v>0</v>
      </c>
      <c r="X648">
        <f>A!X648</f>
        <v>0</v>
      </c>
      <c r="Y648">
        <f>A!Y648</f>
        <v>0</v>
      </c>
      <c r="Z648" s="32">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32"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A!CO958</f>
        <v>0</v>
      </c>
      <c r="CR648">
        <f>A!CP648</f>
        <v>0</v>
      </c>
      <c r="CS648">
        <f>A!CQ648</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32" t="str">
        <f>IF(A!P649="","",INDEX(B!$A$1:$BT$2000,MATCH(A!P649,B!$AX$1:$AX$2000,0),D!$B$5))</f>
        <v/>
      </c>
      <c r="Q649">
        <f>A!Q649</f>
        <v>0</v>
      </c>
      <c r="R649">
        <f>A!R649</f>
        <v>0</v>
      </c>
      <c r="S649">
        <f>A!S649</f>
        <v>0</v>
      </c>
      <c r="T649">
        <f>A!T649</f>
        <v>0</v>
      </c>
      <c r="U649">
        <f>A!U649</f>
        <v>0</v>
      </c>
      <c r="V649" s="32">
        <f>IF(A!V649="&lt;",1,A!V649)</f>
        <v>0</v>
      </c>
      <c r="W649">
        <f>A!W649</f>
        <v>0</v>
      </c>
      <c r="X649">
        <f>A!X649</f>
        <v>0</v>
      </c>
      <c r="Y649">
        <f>A!Y649</f>
        <v>0</v>
      </c>
      <c r="Z649" s="32">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32"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A!CO959</f>
        <v>0</v>
      </c>
      <c r="CR649">
        <f>A!CP649</f>
        <v>0</v>
      </c>
      <c r="CS649">
        <f>A!CQ649</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32" t="str">
        <f>IF(A!P650="","",INDEX(B!$A$1:$BT$2000,MATCH(A!P650,B!$AX$1:$AX$2000,0),D!$B$5))</f>
        <v/>
      </c>
      <c r="Q650">
        <f>A!Q650</f>
        <v>0</v>
      </c>
      <c r="R650">
        <f>A!R650</f>
        <v>0</v>
      </c>
      <c r="S650">
        <f>A!S650</f>
        <v>0</v>
      </c>
      <c r="T650">
        <f>A!T650</f>
        <v>0</v>
      </c>
      <c r="U650">
        <f>A!U650</f>
        <v>0</v>
      </c>
      <c r="V650" s="32">
        <f>IF(A!V650="&lt;",1,A!V650)</f>
        <v>0</v>
      </c>
      <c r="W650">
        <f>A!W650</f>
        <v>0</v>
      </c>
      <c r="X650">
        <f>A!X650</f>
        <v>0</v>
      </c>
      <c r="Y650">
        <f>A!Y650</f>
        <v>0</v>
      </c>
      <c r="Z650" s="32">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32"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A!CO960</f>
        <v>0</v>
      </c>
      <c r="CR650">
        <f>A!CP650</f>
        <v>0</v>
      </c>
      <c r="CS650">
        <f>A!CQ650</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32" t="str">
        <f>IF(A!P651="","",INDEX(B!$A$1:$BT$2000,MATCH(A!P651,B!$AX$1:$AX$2000,0),D!$B$5))</f>
        <v/>
      </c>
      <c r="Q651">
        <f>A!Q651</f>
        <v>0</v>
      </c>
      <c r="R651">
        <f>A!R651</f>
        <v>0</v>
      </c>
      <c r="S651">
        <f>A!S651</f>
        <v>0</v>
      </c>
      <c r="T651">
        <f>A!T651</f>
        <v>0</v>
      </c>
      <c r="U651">
        <f>A!U651</f>
        <v>0</v>
      </c>
      <c r="V651" s="32">
        <f>IF(A!V651="&lt;",1,A!V651)</f>
        <v>0</v>
      </c>
      <c r="W651">
        <f>A!W651</f>
        <v>0</v>
      </c>
      <c r="X651">
        <f>A!X651</f>
        <v>0</v>
      </c>
      <c r="Y651">
        <f>A!Y651</f>
        <v>0</v>
      </c>
      <c r="Z651" s="32">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32"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A!CO961</f>
        <v>0</v>
      </c>
      <c r="CR651">
        <f>A!CP651</f>
        <v>0</v>
      </c>
      <c r="CS651">
        <f>A!CQ651</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32" t="str">
        <f>IF(A!P652="","",INDEX(B!$A$1:$BT$2000,MATCH(A!P652,B!$AX$1:$AX$2000,0),D!$B$5))</f>
        <v/>
      </c>
      <c r="Q652">
        <f>A!Q652</f>
        <v>0</v>
      </c>
      <c r="R652">
        <f>A!R652</f>
        <v>0</v>
      </c>
      <c r="S652">
        <f>A!S652</f>
        <v>0</v>
      </c>
      <c r="T652">
        <f>A!T652</f>
        <v>0</v>
      </c>
      <c r="U652">
        <f>A!U652</f>
        <v>0</v>
      </c>
      <c r="V652" s="32">
        <f>IF(A!V652="&lt;",1,A!V652)</f>
        <v>0</v>
      </c>
      <c r="W652">
        <f>A!W652</f>
        <v>0</v>
      </c>
      <c r="X652">
        <f>A!X652</f>
        <v>0</v>
      </c>
      <c r="Y652">
        <f>A!Y652</f>
        <v>0</v>
      </c>
      <c r="Z652" s="32">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32"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A!CO962</f>
        <v>0</v>
      </c>
      <c r="CR652">
        <f>A!CP652</f>
        <v>0</v>
      </c>
      <c r="CS652">
        <f>A!CQ652</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32" t="str">
        <f>IF(A!P653="","",INDEX(B!$A$1:$BT$2000,MATCH(A!P653,B!$AX$1:$AX$2000,0),D!$B$5))</f>
        <v/>
      </c>
      <c r="Q653">
        <f>A!Q653</f>
        <v>0</v>
      </c>
      <c r="R653">
        <f>A!R653</f>
        <v>0</v>
      </c>
      <c r="S653">
        <f>A!S653</f>
        <v>0</v>
      </c>
      <c r="T653">
        <f>A!T653</f>
        <v>0</v>
      </c>
      <c r="U653">
        <f>A!U653</f>
        <v>0</v>
      </c>
      <c r="V653" s="32">
        <f>IF(A!V653="&lt;",1,A!V653)</f>
        <v>0</v>
      </c>
      <c r="W653">
        <f>A!W653</f>
        <v>0</v>
      </c>
      <c r="X653">
        <f>A!X653</f>
        <v>0</v>
      </c>
      <c r="Y653">
        <f>A!Y653</f>
        <v>0</v>
      </c>
      <c r="Z653" s="32">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32"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A!CO963</f>
        <v>0</v>
      </c>
      <c r="CR653">
        <f>A!CP653</f>
        <v>0</v>
      </c>
      <c r="CS653">
        <f>A!CQ653</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32" t="str">
        <f>IF(A!P654="","",INDEX(B!$A$1:$BT$2000,MATCH(A!P654,B!$AX$1:$AX$2000,0),D!$B$5))</f>
        <v/>
      </c>
      <c r="Q654">
        <f>A!Q654</f>
        <v>0</v>
      </c>
      <c r="R654">
        <f>A!R654</f>
        <v>0</v>
      </c>
      <c r="S654">
        <f>A!S654</f>
        <v>0</v>
      </c>
      <c r="T654">
        <f>A!T654</f>
        <v>0</v>
      </c>
      <c r="U654">
        <f>A!U654</f>
        <v>0</v>
      </c>
      <c r="V654" s="32">
        <f>IF(A!V654="&lt;",1,A!V654)</f>
        <v>0</v>
      </c>
      <c r="W654">
        <f>A!W654</f>
        <v>0</v>
      </c>
      <c r="X654">
        <f>A!X654</f>
        <v>0</v>
      </c>
      <c r="Y654">
        <f>A!Y654</f>
        <v>0</v>
      </c>
      <c r="Z654" s="32">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32"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A!CO964</f>
        <v>0</v>
      </c>
      <c r="CR654">
        <f>A!CP654</f>
        <v>0</v>
      </c>
      <c r="CS654">
        <f>A!CQ654</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32" t="str">
        <f>IF(A!P655="","",INDEX(B!$A$1:$BT$2000,MATCH(A!P655,B!$AX$1:$AX$2000,0),D!$B$5))</f>
        <v/>
      </c>
      <c r="Q655">
        <f>A!Q655</f>
        <v>0</v>
      </c>
      <c r="R655">
        <f>A!R655</f>
        <v>0</v>
      </c>
      <c r="S655">
        <f>A!S655</f>
        <v>0</v>
      </c>
      <c r="T655">
        <f>A!T655</f>
        <v>0</v>
      </c>
      <c r="U655">
        <f>A!U655</f>
        <v>0</v>
      </c>
      <c r="V655" s="32">
        <f>IF(A!V655="&lt;",1,A!V655)</f>
        <v>0</v>
      </c>
      <c r="W655">
        <f>A!W655</f>
        <v>0</v>
      </c>
      <c r="X655">
        <f>A!X655</f>
        <v>0</v>
      </c>
      <c r="Y655">
        <f>A!Y655</f>
        <v>0</v>
      </c>
      <c r="Z655" s="32">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32"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A!CO965</f>
        <v>0</v>
      </c>
      <c r="CR655">
        <f>A!CP655</f>
        <v>0</v>
      </c>
      <c r="CS655">
        <f>A!CQ655</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32" t="str">
        <f>IF(A!P656="","",INDEX(B!$A$1:$BT$2000,MATCH(A!P656,B!$AX$1:$AX$2000,0),D!$B$5))</f>
        <v/>
      </c>
      <c r="Q656">
        <f>A!Q656</f>
        <v>0</v>
      </c>
      <c r="R656">
        <f>A!R656</f>
        <v>0</v>
      </c>
      <c r="S656">
        <f>A!S656</f>
        <v>0</v>
      </c>
      <c r="T656">
        <f>A!T656</f>
        <v>0</v>
      </c>
      <c r="U656">
        <f>A!U656</f>
        <v>0</v>
      </c>
      <c r="V656" s="32">
        <f>IF(A!V656="&lt;",1,A!V656)</f>
        <v>0</v>
      </c>
      <c r="W656">
        <f>A!W656</f>
        <v>0</v>
      </c>
      <c r="X656">
        <f>A!X656</f>
        <v>0</v>
      </c>
      <c r="Y656">
        <f>A!Y656</f>
        <v>0</v>
      </c>
      <c r="Z656" s="32">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32"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A!CO966</f>
        <v>0</v>
      </c>
      <c r="CR656">
        <f>A!CP656</f>
        <v>0</v>
      </c>
      <c r="CS656">
        <f>A!CQ656</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32" t="str">
        <f>IF(A!P657="","",INDEX(B!$A$1:$BT$2000,MATCH(A!P657,B!$AX$1:$AX$2000,0),D!$B$5))</f>
        <v/>
      </c>
      <c r="Q657">
        <f>A!Q657</f>
        <v>0</v>
      </c>
      <c r="R657">
        <f>A!R657</f>
        <v>0</v>
      </c>
      <c r="S657">
        <f>A!S657</f>
        <v>0</v>
      </c>
      <c r="T657">
        <f>A!T657</f>
        <v>0</v>
      </c>
      <c r="U657">
        <f>A!U657</f>
        <v>0</v>
      </c>
      <c r="V657" s="32">
        <f>IF(A!V657="&lt;",1,A!V657)</f>
        <v>0</v>
      </c>
      <c r="W657">
        <f>A!W657</f>
        <v>0</v>
      </c>
      <c r="X657">
        <f>A!X657</f>
        <v>0</v>
      </c>
      <c r="Y657">
        <f>A!Y657</f>
        <v>0</v>
      </c>
      <c r="Z657" s="32">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32"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A!CO967</f>
        <v>0</v>
      </c>
      <c r="CR657">
        <f>A!CP657</f>
        <v>0</v>
      </c>
      <c r="CS657">
        <f>A!CQ657</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32" t="str">
        <f>IF(A!P658="","",INDEX(B!$A$1:$BT$2000,MATCH(A!P658,B!$AX$1:$AX$2000,0),D!$B$5))</f>
        <v/>
      </c>
      <c r="Q658">
        <f>A!Q658</f>
        <v>0</v>
      </c>
      <c r="R658">
        <f>A!R658</f>
        <v>0</v>
      </c>
      <c r="S658">
        <f>A!S658</f>
        <v>0</v>
      </c>
      <c r="T658">
        <f>A!T658</f>
        <v>0</v>
      </c>
      <c r="U658">
        <f>A!U658</f>
        <v>0</v>
      </c>
      <c r="V658" s="32">
        <f>IF(A!V658="&lt;",1,A!V658)</f>
        <v>0</v>
      </c>
      <c r="W658">
        <f>A!W658</f>
        <v>0</v>
      </c>
      <c r="X658">
        <f>A!X658</f>
        <v>0</v>
      </c>
      <c r="Y658">
        <f>A!Y658</f>
        <v>0</v>
      </c>
      <c r="Z658" s="32">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32"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A!CO968</f>
        <v>0</v>
      </c>
      <c r="CR658">
        <f>A!CP658</f>
        <v>0</v>
      </c>
      <c r="CS658">
        <f>A!CQ658</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32" t="str">
        <f>IF(A!P659="","",INDEX(B!$A$1:$BT$2000,MATCH(A!P659,B!$AX$1:$AX$2000,0),D!$B$5))</f>
        <v/>
      </c>
      <c r="Q659">
        <f>A!Q659</f>
        <v>0</v>
      </c>
      <c r="R659">
        <f>A!R659</f>
        <v>0</v>
      </c>
      <c r="S659">
        <f>A!S659</f>
        <v>0</v>
      </c>
      <c r="T659">
        <f>A!T659</f>
        <v>0</v>
      </c>
      <c r="U659">
        <f>A!U659</f>
        <v>0</v>
      </c>
      <c r="V659" s="32">
        <f>IF(A!V659="&lt;",1,A!V659)</f>
        <v>0</v>
      </c>
      <c r="W659">
        <f>A!W659</f>
        <v>0</v>
      </c>
      <c r="X659">
        <f>A!X659</f>
        <v>0</v>
      </c>
      <c r="Y659">
        <f>A!Y659</f>
        <v>0</v>
      </c>
      <c r="Z659" s="32">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32"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A!CO969</f>
        <v>0</v>
      </c>
      <c r="CR659">
        <f>A!CP659</f>
        <v>0</v>
      </c>
      <c r="CS659">
        <f>A!CQ659</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32" t="str">
        <f>IF(A!P660="","",INDEX(B!$A$1:$BT$2000,MATCH(A!P660,B!$AX$1:$AX$2000,0),D!$B$5))</f>
        <v/>
      </c>
      <c r="Q660">
        <f>A!Q660</f>
        <v>0</v>
      </c>
      <c r="R660">
        <f>A!R660</f>
        <v>0</v>
      </c>
      <c r="S660">
        <f>A!S660</f>
        <v>0</v>
      </c>
      <c r="T660">
        <f>A!T660</f>
        <v>0</v>
      </c>
      <c r="U660">
        <f>A!U660</f>
        <v>0</v>
      </c>
      <c r="V660" s="32">
        <f>IF(A!V660="&lt;",1,A!V660)</f>
        <v>0</v>
      </c>
      <c r="W660">
        <f>A!W660</f>
        <v>0</v>
      </c>
      <c r="X660">
        <f>A!X660</f>
        <v>0</v>
      </c>
      <c r="Y660">
        <f>A!Y660</f>
        <v>0</v>
      </c>
      <c r="Z660" s="32">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32"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A!CO970</f>
        <v>0</v>
      </c>
      <c r="CR660">
        <f>A!CP660</f>
        <v>0</v>
      </c>
      <c r="CS660">
        <f>A!CQ660</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32" t="str">
        <f>IF(A!P661="","",INDEX(B!$A$1:$BT$2000,MATCH(A!P661,B!$AX$1:$AX$2000,0),D!$B$5))</f>
        <v/>
      </c>
      <c r="Q661">
        <f>A!Q661</f>
        <v>0</v>
      </c>
      <c r="R661">
        <f>A!R661</f>
        <v>0</v>
      </c>
      <c r="S661">
        <f>A!S661</f>
        <v>0</v>
      </c>
      <c r="T661">
        <f>A!T661</f>
        <v>0</v>
      </c>
      <c r="U661">
        <f>A!U661</f>
        <v>0</v>
      </c>
      <c r="V661" s="32">
        <f>IF(A!V661="&lt;",1,A!V661)</f>
        <v>0</v>
      </c>
      <c r="W661">
        <f>A!W661</f>
        <v>0</v>
      </c>
      <c r="X661">
        <f>A!X661</f>
        <v>0</v>
      </c>
      <c r="Y661">
        <f>A!Y661</f>
        <v>0</v>
      </c>
      <c r="Z661" s="32">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32"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A!CO971</f>
        <v>0</v>
      </c>
      <c r="CR661">
        <f>A!CP661</f>
        <v>0</v>
      </c>
      <c r="CS661">
        <f>A!CQ661</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32" t="str">
        <f>IF(A!P662="","",INDEX(B!$A$1:$BT$2000,MATCH(A!P662,B!$AX$1:$AX$2000,0),D!$B$5))</f>
        <v/>
      </c>
      <c r="Q662">
        <f>A!Q662</f>
        <v>0</v>
      </c>
      <c r="R662">
        <f>A!R662</f>
        <v>0</v>
      </c>
      <c r="S662">
        <f>A!S662</f>
        <v>0</v>
      </c>
      <c r="T662">
        <f>A!T662</f>
        <v>0</v>
      </c>
      <c r="U662">
        <f>A!U662</f>
        <v>0</v>
      </c>
      <c r="V662" s="32">
        <f>IF(A!V662="&lt;",1,A!V662)</f>
        <v>0</v>
      </c>
      <c r="W662">
        <f>A!W662</f>
        <v>0</v>
      </c>
      <c r="X662">
        <f>A!X662</f>
        <v>0</v>
      </c>
      <c r="Y662">
        <f>A!Y662</f>
        <v>0</v>
      </c>
      <c r="Z662" s="32">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32"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A!CO972</f>
        <v>0</v>
      </c>
      <c r="CR662">
        <f>A!CP662</f>
        <v>0</v>
      </c>
      <c r="CS662">
        <f>A!CQ662</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32" t="str">
        <f>IF(A!P663="","",INDEX(B!$A$1:$BT$2000,MATCH(A!P663,B!$AX$1:$AX$2000,0),D!$B$5))</f>
        <v/>
      </c>
      <c r="Q663">
        <f>A!Q663</f>
        <v>0</v>
      </c>
      <c r="R663">
        <f>A!R663</f>
        <v>0</v>
      </c>
      <c r="S663">
        <f>A!S663</f>
        <v>0</v>
      </c>
      <c r="T663">
        <f>A!T663</f>
        <v>0</v>
      </c>
      <c r="U663">
        <f>A!U663</f>
        <v>0</v>
      </c>
      <c r="V663" s="32">
        <f>IF(A!V663="&lt;",1,A!V663)</f>
        <v>0</v>
      </c>
      <c r="W663">
        <f>A!W663</f>
        <v>0</v>
      </c>
      <c r="X663">
        <f>A!X663</f>
        <v>0</v>
      </c>
      <c r="Y663">
        <f>A!Y663</f>
        <v>0</v>
      </c>
      <c r="Z663" s="32">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32"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A!CO973</f>
        <v>0</v>
      </c>
      <c r="CR663">
        <f>A!CP663</f>
        <v>0</v>
      </c>
      <c r="CS663">
        <f>A!CQ663</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32" t="str">
        <f>IF(A!P664="","",INDEX(B!$A$1:$BT$2000,MATCH(A!P664,B!$AX$1:$AX$2000,0),D!$B$5))</f>
        <v/>
      </c>
      <c r="Q664">
        <f>A!Q664</f>
        <v>0</v>
      </c>
      <c r="R664">
        <f>A!R664</f>
        <v>0</v>
      </c>
      <c r="S664">
        <f>A!S664</f>
        <v>0</v>
      </c>
      <c r="T664">
        <f>A!T664</f>
        <v>0</v>
      </c>
      <c r="U664">
        <f>A!U664</f>
        <v>0</v>
      </c>
      <c r="V664" s="32">
        <f>IF(A!V664="&lt;",1,A!V664)</f>
        <v>0</v>
      </c>
      <c r="W664">
        <f>A!W664</f>
        <v>0</v>
      </c>
      <c r="X664">
        <f>A!X664</f>
        <v>0</v>
      </c>
      <c r="Y664">
        <f>A!Y664</f>
        <v>0</v>
      </c>
      <c r="Z664" s="32">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32"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A!CO974</f>
        <v>0</v>
      </c>
      <c r="CR664">
        <f>A!CP664</f>
        <v>0</v>
      </c>
      <c r="CS664">
        <f>A!CQ664</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32" t="str">
        <f>IF(A!P665="","",INDEX(B!$A$1:$BT$2000,MATCH(A!P665,B!$AX$1:$AX$2000,0),D!$B$5))</f>
        <v/>
      </c>
      <c r="Q665">
        <f>A!Q665</f>
        <v>0</v>
      </c>
      <c r="R665">
        <f>A!R665</f>
        <v>0</v>
      </c>
      <c r="S665">
        <f>A!S665</f>
        <v>0</v>
      </c>
      <c r="T665">
        <f>A!T665</f>
        <v>0</v>
      </c>
      <c r="U665">
        <f>A!U665</f>
        <v>0</v>
      </c>
      <c r="V665" s="32">
        <f>IF(A!V665="&lt;",1,A!V665)</f>
        <v>0</v>
      </c>
      <c r="W665">
        <f>A!W665</f>
        <v>0</v>
      </c>
      <c r="X665">
        <f>A!X665</f>
        <v>0</v>
      </c>
      <c r="Y665">
        <f>A!Y665</f>
        <v>0</v>
      </c>
      <c r="Z665" s="32">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32"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A!CO975</f>
        <v>0</v>
      </c>
      <c r="CR665">
        <f>A!CP665</f>
        <v>0</v>
      </c>
      <c r="CS665">
        <f>A!CQ665</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32" t="str">
        <f>IF(A!P666="","",INDEX(B!$A$1:$BT$2000,MATCH(A!P666,B!$AX$1:$AX$2000,0),D!$B$5))</f>
        <v/>
      </c>
      <c r="Q666">
        <f>A!Q666</f>
        <v>0</v>
      </c>
      <c r="R666">
        <f>A!R666</f>
        <v>0</v>
      </c>
      <c r="S666">
        <f>A!S666</f>
        <v>0</v>
      </c>
      <c r="T666">
        <f>A!T666</f>
        <v>0</v>
      </c>
      <c r="U666">
        <f>A!U666</f>
        <v>0</v>
      </c>
      <c r="V666" s="32">
        <f>IF(A!V666="&lt;",1,A!V666)</f>
        <v>0</v>
      </c>
      <c r="W666">
        <f>A!W666</f>
        <v>0</v>
      </c>
      <c r="X666">
        <f>A!X666</f>
        <v>0</v>
      </c>
      <c r="Y666">
        <f>A!Y666</f>
        <v>0</v>
      </c>
      <c r="Z666" s="32">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32"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A!CO976</f>
        <v>0</v>
      </c>
      <c r="CR666">
        <f>A!CP666</f>
        <v>0</v>
      </c>
      <c r="CS666">
        <f>A!CQ666</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32" t="str">
        <f>IF(A!P667="","",INDEX(B!$A$1:$BT$2000,MATCH(A!P667,B!$AX$1:$AX$2000,0),D!$B$5))</f>
        <v/>
      </c>
      <c r="Q667">
        <f>A!Q667</f>
        <v>0</v>
      </c>
      <c r="R667">
        <f>A!R667</f>
        <v>0</v>
      </c>
      <c r="S667">
        <f>A!S667</f>
        <v>0</v>
      </c>
      <c r="T667">
        <f>A!T667</f>
        <v>0</v>
      </c>
      <c r="U667">
        <f>A!U667</f>
        <v>0</v>
      </c>
      <c r="V667" s="32">
        <f>IF(A!V667="&lt;",1,A!V667)</f>
        <v>0</v>
      </c>
      <c r="W667">
        <f>A!W667</f>
        <v>0</v>
      </c>
      <c r="X667">
        <f>A!X667</f>
        <v>0</v>
      </c>
      <c r="Y667">
        <f>A!Y667</f>
        <v>0</v>
      </c>
      <c r="Z667" s="32">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32"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A!CO977</f>
        <v>0</v>
      </c>
      <c r="CR667">
        <f>A!CP667</f>
        <v>0</v>
      </c>
      <c r="CS667">
        <f>A!CQ667</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32" t="str">
        <f>IF(A!P668="","",INDEX(B!$A$1:$BT$2000,MATCH(A!P668,B!$AX$1:$AX$2000,0),D!$B$5))</f>
        <v/>
      </c>
      <c r="Q668">
        <f>A!Q668</f>
        <v>0</v>
      </c>
      <c r="R668">
        <f>A!R668</f>
        <v>0</v>
      </c>
      <c r="S668">
        <f>A!S668</f>
        <v>0</v>
      </c>
      <c r="T668">
        <f>A!T668</f>
        <v>0</v>
      </c>
      <c r="U668">
        <f>A!U668</f>
        <v>0</v>
      </c>
      <c r="V668" s="32">
        <f>IF(A!V668="&lt;",1,A!V668)</f>
        <v>0</v>
      </c>
      <c r="W668">
        <f>A!W668</f>
        <v>0</v>
      </c>
      <c r="X668">
        <f>A!X668</f>
        <v>0</v>
      </c>
      <c r="Y668">
        <f>A!Y668</f>
        <v>0</v>
      </c>
      <c r="Z668" s="32">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32"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A!CO978</f>
        <v>0</v>
      </c>
      <c r="CR668">
        <f>A!CP668</f>
        <v>0</v>
      </c>
      <c r="CS668">
        <f>A!CQ668</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32" t="str">
        <f>IF(A!P669="","",INDEX(B!$A$1:$BT$2000,MATCH(A!P669,B!$AX$1:$AX$2000,0),D!$B$5))</f>
        <v/>
      </c>
      <c r="Q669">
        <f>A!Q669</f>
        <v>0</v>
      </c>
      <c r="R669">
        <f>A!R669</f>
        <v>0</v>
      </c>
      <c r="S669">
        <f>A!S669</f>
        <v>0</v>
      </c>
      <c r="T669">
        <f>A!T669</f>
        <v>0</v>
      </c>
      <c r="U669">
        <f>A!U669</f>
        <v>0</v>
      </c>
      <c r="V669" s="32">
        <f>IF(A!V669="&lt;",1,A!V669)</f>
        <v>0</v>
      </c>
      <c r="W669">
        <f>A!W669</f>
        <v>0</v>
      </c>
      <c r="X669">
        <f>A!X669</f>
        <v>0</v>
      </c>
      <c r="Y669">
        <f>A!Y669</f>
        <v>0</v>
      </c>
      <c r="Z669" s="32">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32"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A!CO979</f>
        <v>0</v>
      </c>
      <c r="CR669">
        <f>A!CP669</f>
        <v>0</v>
      </c>
      <c r="CS669">
        <f>A!CQ669</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32" t="str">
        <f>IF(A!P670="","",INDEX(B!$A$1:$BT$2000,MATCH(A!P670,B!$AX$1:$AX$2000,0),D!$B$5))</f>
        <v/>
      </c>
      <c r="Q670">
        <f>A!Q670</f>
        <v>0</v>
      </c>
      <c r="R670">
        <f>A!R670</f>
        <v>0</v>
      </c>
      <c r="S670">
        <f>A!S670</f>
        <v>0</v>
      </c>
      <c r="T670">
        <f>A!T670</f>
        <v>0</v>
      </c>
      <c r="U670">
        <f>A!U670</f>
        <v>0</v>
      </c>
      <c r="V670" s="32">
        <f>IF(A!V670="&lt;",1,A!V670)</f>
        <v>0</v>
      </c>
      <c r="W670">
        <f>A!W670</f>
        <v>0</v>
      </c>
      <c r="X670">
        <f>A!X670</f>
        <v>0</v>
      </c>
      <c r="Y670">
        <f>A!Y670</f>
        <v>0</v>
      </c>
      <c r="Z670" s="32">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32"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A!CO980</f>
        <v>0</v>
      </c>
      <c r="CR670">
        <f>A!CP670</f>
        <v>0</v>
      </c>
      <c r="CS670">
        <f>A!CQ670</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32" t="str">
        <f>IF(A!P671="","",INDEX(B!$A$1:$BT$2000,MATCH(A!P671,B!$AX$1:$AX$2000,0),D!$B$5))</f>
        <v/>
      </c>
      <c r="Q671">
        <f>A!Q671</f>
        <v>0</v>
      </c>
      <c r="R671">
        <f>A!R671</f>
        <v>0</v>
      </c>
      <c r="S671">
        <f>A!S671</f>
        <v>0</v>
      </c>
      <c r="T671">
        <f>A!T671</f>
        <v>0</v>
      </c>
      <c r="U671">
        <f>A!U671</f>
        <v>0</v>
      </c>
      <c r="V671" s="32">
        <f>IF(A!V671="&lt;",1,A!V671)</f>
        <v>0</v>
      </c>
      <c r="W671">
        <f>A!W671</f>
        <v>0</v>
      </c>
      <c r="X671">
        <f>A!X671</f>
        <v>0</v>
      </c>
      <c r="Y671">
        <f>A!Y671</f>
        <v>0</v>
      </c>
      <c r="Z671" s="32">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32"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A!CO981</f>
        <v>0</v>
      </c>
      <c r="CR671">
        <f>A!CP671</f>
        <v>0</v>
      </c>
      <c r="CS671">
        <f>A!CQ671</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32" t="str">
        <f>IF(A!P672="","",INDEX(B!$A$1:$BT$2000,MATCH(A!P672,B!$AX$1:$AX$2000,0),D!$B$5))</f>
        <v/>
      </c>
      <c r="Q672">
        <f>A!Q672</f>
        <v>0</v>
      </c>
      <c r="R672">
        <f>A!R672</f>
        <v>0</v>
      </c>
      <c r="S672">
        <f>A!S672</f>
        <v>0</v>
      </c>
      <c r="T672">
        <f>A!T672</f>
        <v>0</v>
      </c>
      <c r="U672">
        <f>A!U672</f>
        <v>0</v>
      </c>
      <c r="V672" s="32">
        <f>IF(A!V672="&lt;",1,A!V672)</f>
        <v>0</v>
      </c>
      <c r="W672">
        <f>A!W672</f>
        <v>0</v>
      </c>
      <c r="X672">
        <f>A!X672</f>
        <v>0</v>
      </c>
      <c r="Y672">
        <f>A!Y672</f>
        <v>0</v>
      </c>
      <c r="Z672" s="32">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32"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A!CO982</f>
        <v>0</v>
      </c>
      <c r="CR672">
        <f>A!CP672</f>
        <v>0</v>
      </c>
      <c r="CS672">
        <f>A!CQ672</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32" t="str">
        <f>IF(A!P673="","",INDEX(B!$A$1:$BT$2000,MATCH(A!P673,B!$AX$1:$AX$2000,0),D!$B$5))</f>
        <v/>
      </c>
      <c r="Q673">
        <f>A!Q673</f>
        <v>0</v>
      </c>
      <c r="R673">
        <f>A!R673</f>
        <v>0</v>
      </c>
      <c r="S673">
        <f>A!S673</f>
        <v>0</v>
      </c>
      <c r="T673">
        <f>A!T673</f>
        <v>0</v>
      </c>
      <c r="U673">
        <f>A!U673</f>
        <v>0</v>
      </c>
      <c r="V673" s="32">
        <f>IF(A!V673="&lt;",1,A!V673)</f>
        <v>0</v>
      </c>
      <c r="W673">
        <f>A!W673</f>
        <v>0</v>
      </c>
      <c r="X673">
        <f>A!X673</f>
        <v>0</v>
      </c>
      <c r="Y673">
        <f>A!Y673</f>
        <v>0</v>
      </c>
      <c r="Z673" s="32">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32"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A!CO983</f>
        <v>0</v>
      </c>
      <c r="CR673">
        <f>A!CP673</f>
        <v>0</v>
      </c>
      <c r="CS673">
        <f>A!CQ673</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32" t="str">
        <f>IF(A!P674="","",INDEX(B!$A$1:$BT$2000,MATCH(A!P674,B!$AX$1:$AX$2000,0),D!$B$5))</f>
        <v/>
      </c>
      <c r="Q674">
        <f>A!Q674</f>
        <v>0</v>
      </c>
      <c r="R674">
        <f>A!R674</f>
        <v>0</v>
      </c>
      <c r="S674">
        <f>A!S674</f>
        <v>0</v>
      </c>
      <c r="T674">
        <f>A!T674</f>
        <v>0</v>
      </c>
      <c r="U674">
        <f>A!U674</f>
        <v>0</v>
      </c>
      <c r="V674" s="32">
        <f>IF(A!V674="&lt;",1,A!V674)</f>
        <v>0</v>
      </c>
      <c r="W674">
        <f>A!W674</f>
        <v>0</v>
      </c>
      <c r="X674">
        <f>A!X674</f>
        <v>0</v>
      </c>
      <c r="Y674">
        <f>A!Y674</f>
        <v>0</v>
      </c>
      <c r="Z674" s="32">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32"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A!CO984</f>
        <v>0</v>
      </c>
      <c r="CR674">
        <f>A!CP674</f>
        <v>0</v>
      </c>
      <c r="CS674">
        <f>A!CQ674</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32" t="str">
        <f>IF(A!P675="","",INDEX(B!$A$1:$BT$2000,MATCH(A!P675,B!$AX$1:$AX$2000,0),D!$B$5))</f>
        <v/>
      </c>
      <c r="Q675">
        <f>A!Q675</f>
        <v>0</v>
      </c>
      <c r="R675">
        <f>A!R675</f>
        <v>0</v>
      </c>
      <c r="S675">
        <f>A!S675</f>
        <v>0</v>
      </c>
      <c r="T675">
        <f>A!T675</f>
        <v>0</v>
      </c>
      <c r="U675">
        <f>A!U675</f>
        <v>0</v>
      </c>
      <c r="V675" s="32">
        <f>IF(A!V675="&lt;",1,A!V675)</f>
        <v>0</v>
      </c>
      <c r="W675">
        <f>A!W675</f>
        <v>0</v>
      </c>
      <c r="X675">
        <f>A!X675</f>
        <v>0</v>
      </c>
      <c r="Y675">
        <f>A!Y675</f>
        <v>0</v>
      </c>
      <c r="Z675" s="32">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32"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A!CO985</f>
        <v>0</v>
      </c>
      <c r="CR675">
        <f>A!CP675</f>
        <v>0</v>
      </c>
      <c r="CS675">
        <f>A!CQ675</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32" t="str">
        <f>IF(A!P676="","",INDEX(B!$A$1:$BT$2000,MATCH(A!P676,B!$AX$1:$AX$2000,0),D!$B$5))</f>
        <v/>
      </c>
      <c r="Q676">
        <f>A!Q676</f>
        <v>0</v>
      </c>
      <c r="R676">
        <f>A!R676</f>
        <v>0</v>
      </c>
      <c r="S676">
        <f>A!S676</f>
        <v>0</v>
      </c>
      <c r="T676">
        <f>A!T676</f>
        <v>0</v>
      </c>
      <c r="U676">
        <f>A!U676</f>
        <v>0</v>
      </c>
      <c r="V676" s="32">
        <f>IF(A!V676="&lt;",1,A!V676)</f>
        <v>0</v>
      </c>
      <c r="W676">
        <f>A!W676</f>
        <v>0</v>
      </c>
      <c r="X676">
        <f>A!X676</f>
        <v>0</v>
      </c>
      <c r="Y676">
        <f>A!Y676</f>
        <v>0</v>
      </c>
      <c r="Z676" s="32">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32"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A!CO986</f>
        <v>0</v>
      </c>
      <c r="CR676">
        <f>A!CP676</f>
        <v>0</v>
      </c>
      <c r="CS676">
        <f>A!CQ676</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32" t="str">
        <f>IF(A!P677="","",INDEX(B!$A$1:$BT$2000,MATCH(A!P677,B!$AX$1:$AX$2000,0),D!$B$5))</f>
        <v/>
      </c>
      <c r="Q677">
        <f>A!Q677</f>
        <v>0</v>
      </c>
      <c r="R677">
        <f>A!R677</f>
        <v>0</v>
      </c>
      <c r="S677">
        <f>A!S677</f>
        <v>0</v>
      </c>
      <c r="T677">
        <f>A!T677</f>
        <v>0</v>
      </c>
      <c r="U677">
        <f>A!U677</f>
        <v>0</v>
      </c>
      <c r="V677" s="32">
        <f>IF(A!V677="&lt;",1,A!V677)</f>
        <v>0</v>
      </c>
      <c r="W677">
        <f>A!W677</f>
        <v>0</v>
      </c>
      <c r="X677">
        <f>A!X677</f>
        <v>0</v>
      </c>
      <c r="Y677">
        <f>A!Y677</f>
        <v>0</v>
      </c>
      <c r="Z677" s="32">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32"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A!CO987</f>
        <v>0</v>
      </c>
      <c r="CR677">
        <f>A!CP677</f>
        <v>0</v>
      </c>
      <c r="CS677">
        <f>A!CQ677</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32" t="str">
        <f>IF(A!P678="","",INDEX(B!$A$1:$BT$2000,MATCH(A!P678,B!$AX$1:$AX$2000,0),D!$B$5))</f>
        <v/>
      </c>
      <c r="Q678">
        <f>A!Q678</f>
        <v>0</v>
      </c>
      <c r="R678">
        <f>A!R678</f>
        <v>0</v>
      </c>
      <c r="S678">
        <f>A!S678</f>
        <v>0</v>
      </c>
      <c r="T678">
        <f>A!T678</f>
        <v>0</v>
      </c>
      <c r="U678">
        <f>A!U678</f>
        <v>0</v>
      </c>
      <c r="V678" s="32">
        <f>IF(A!V678="&lt;",1,A!V678)</f>
        <v>0</v>
      </c>
      <c r="W678">
        <f>A!W678</f>
        <v>0</v>
      </c>
      <c r="X678">
        <f>A!X678</f>
        <v>0</v>
      </c>
      <c r="Y678">
        <f>A!Y678</f>
        <v>0</v>
      </c>
      <c r="Z678" s="32">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32"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A!CO988</f>
        <v>0</v>
      </c>
      <c r="CR678">
        <f>A!CP678</f>
        <v>0</v>
      </c>
      <c r="CS678">
        <f>A!CQ678</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32" t="str">
        <f>IF(A!P679="","",INDEX(B!$A$1:$BT$2000,MATCH(A!P679,B!$AX$1:$AX$2000,0),D!$B$5))</f>
        <v/>
      </c>
      <c r="Q679">
        <f>A!Q679</f>
        <v>0</v>
      </c>
      <c r="R679">
        <f>A!R679</f>
        <v>0</v>
      </c>
      <c r="S679">
        <f>A!S679</f>
        <v>0</v>
      </c>
      <c r="T679">
        <f>A!T679</f>
        <v>0</v>
      </c>
      <c r="U679">
        <f>A!U679</f>
        <v>0</v>
      </c>
      <c r="V679" s="32">
        <f>IF(A!V679="&lt;",1,A!V679)</f>
        <v>0</v>
      </c>
      <c r="W679">
        <f>A!W679</f>
        <v>0</v>
      </c>
      <c r="X679">
        <f>A!X679</f>
        <v>0</v>
      </c>
      <c r="Y679">
        <f>A!Y679</f>
        <v>0</v>
      </c>
      <c r="Z679" s="32">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32"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A!CO989</f>
        <v>0</v>
      </c>
      <c r="CR679">
        <f>A!CP679</f>
        <v>0</v>
      </c>
      <c r="CS679">
        <f>A!CQ679</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32" t="str">
        <f>IF(A!P680="","",INDEX(B!$A$1:$BT$2000,MATCH(A!P680,B!$AX$1:$AX$2000,0),D!$B$5))</f>
        <v/>
      </c>
      <c r="Q680">
        <f>A!Q680</f>
        <v>0</v>
      </c>
      <c r="R680">
        <f>A!R680</f>
        <v>0</v>
      </c>
      <c r="S680">
        <f>A!S680</f>
        <v>0</v>
      </c>
      <c r="T680">
        <f>A!T680</f>
        <v>0</v>
      </c>
      <c r="U680">
        <f>A!U680</f>
        <v>0</v>
      </c>
      <c r="V680" s="32">
        <f>IF(A!V680="&lt;",1,A!V680)</f>
        <v>0</v>
      </c>
      <c r="W680">
        <f>A!W680</f>
        <v>0</v>
      </c>
      <c r="X680">
        <f>A!X680</f>
        <v>0</v>
      </c>
      <c r="Y680">
        <f>A!Y680</f>
        <v>0</v>
      </c>
      <c r="Z680" s="32">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32"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A!CO990</f>
        <v>0</v>
      </c>
      <c r="CR680">
        <f>A!CP680</f>
        <v>0</v>
      </c>
      <c r="CS680">
        <f>A!CQ680</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32" t="str">
        <f>IF(A!P681="","",INDEX(B!$A$1:$BT$2000,MATCH(A!P681,B!$AX$1:$AX$2000,0),D!$B$5))</f>
        <v/>
      </c>
      <c r="Q681">
        <f>A!Q681</f>
        <v>0</v>
      </c>
      <c r="R681">
        <f>A!R681</f>
        <v>0</v>
      </c>
      <c r="S681">
        <f>A!S681</f>
        <v>0</v>
      </c>
      <c r="T681">
        <f>A!T681</f>
        <v>0</v>
      </c>
      <c r="U681">
        <f>A!U681</f>
        <v>0</v>
      </c>
      <c r="V681" s="32">
        <f>IF(A!V681="&lt;",1,A!V681)</f>
        <v>0</v>
      </c>
      <c r="W681">
        <f>A!W681</f>
        <v>0</v>
      </c>
      <c r="X681">
        <f>A!X681</f>
        <v>0</v>
      </c>
      <c r="Y681">
        <f>A!Y681</f>
        <v>0</v>
      </c>
      <c r="Z681" s="32">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32"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A!CO991</f>
        <v>0</v>
      </c>
      <c r="CR681">
        <f>A!CP681</f>
        <v>0</v>
      </c>
      <c r="CS681">
        <f>A!CQ681</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32" t="str">
        <f>IF(A!P682="","",INDEX(B!$A$1:$BT$2000,MATCH(A!P682,B!$AX$1:$AX$2000,0),D!$B$5))</f>
        <v/>
      </c>
      <c r="Q682">
        <f>A!Q682</f>
        <v>0</v>
      </c>
      <c r="R682">
        <f>A!R682</f>
        <v>0</v>
      </c>
      <c r="S682">
        <f>A!S682</f>
        <v>0</v>
      </c>
      <c r="T682">
        <f>A!T682</f>
        <v>0</v>
      </c>
      <c r="U682">
        <f>A!U682</f>
        <v>0</v>
      </c>
      <c r="V682" s="32">
        <f>IF(A!V682="&lt;",1,A!V682)</f>
        <v>0</v>
      </c>
      <c r="W682">
        <f>A!W682</f>
        <v>0</v>
      </c>
      <c r="X682">
        <f>A!X682</f>
        <v>0</v>
      </c>
      <c r="Y682">
        <f>A!Y682</f>
        <v>0</v>
      </c>
      <c r="Z682" s="32">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32"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A!CO992</f>
        <v>0</v>
      </c>
      <c r="CR682">
        <f>A!CP682</f>
        <v>0</v>
      </c>
      <c r="CS682">
        <f>A!CQ682</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32" t="str">
        <f>IF(A!P683="","",INDEX(B!$A$1:$BT$2000,MATCH(A!P683,B!$AX$1:$AX$2000,0),D!$B$5))</f>
        <v/>
      </c>
      <c r="Q683">
        <f>A!Q683</f>
        <v>0</v>
      </c>
      <c r="R683">
        <f>A!R683</f>
        <v>0</v>
      </c>
      <c r="S683">
        <f>A!S683</f>
        <v>0</v>
      </c>
      <c r="T683">
        <f>A!T683</f>
        <v>0</v>
      </c>
      <c r="U683">
        <f>A!U683</f>
        <v>0</v>
      </c>
      <c r="V683" s="32">
        <f>IF(A!V683="&lt;",1,A!V683)</f>
        <v>0</v>
      </c>
      <c r="W683">
        <f>A!W683</f>
        <v>0</v>
      </c>
      <c r="X683">
        <f>A!X683</f>
        <v>0</v>
      </c>
      <c r="Y683">
        <f>A!Y683</f>
        <v>0</v>
      </c>
      <c r="Z683" s="32">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32"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A!CO993</f>
        <v>0</v>
      </c>
      <c r="CR683">
        <f>A!CP683</f>
        <v>0</v>
      </c>
      <c r="CS683">
        <f>A!CQ683</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32" t="str">
        <f>IF(A!P684="","",INDEX(B!$A$1:$BT$2000,MATCH(A!P684,B!$AX$1:$AX$2000,0),D!$B$5))</f>
        <v/>
      </c>
      <c r="Q684">
        <f>A!Q684</f>
        <v>0</v>
      </c>
      <c r="R684">
        <f>A!R684</f>
        <v>0</v>
      </c>
      <c r="S684">
        <f>A!S684</f>
        <v>0</v>
      </c>
      <c r="T684">
        <f>A!T684</f>
        <v>0</v>
      </c>
      <c r="U684">
        <f>A!U684</f>
        <v>0</v>
      </c>
      <c r="V684" s="32">
        <f>IF(A!V684="&lt;",1,A!V684)</f>
        <v>0</v>
      </c>
      <c r="W684">
        <f>A!W684</f>
        <v>0</v>
      </c>
      <c r="X684">
        <f>A!X684</f>
        <v>0</v>
      </c>
      <c r="Y684">
        <f>A!Y684</f>
        <v>0</v>
      </c>
      <c r="Z684" s="32">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32"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A!CO994</f>
        <v>0</v>
      </c>
      <c r="CR684">
        <f>A!CP684</f>
        <v>0</v>
      </c>
      <c r="CS684">
        <f>A!CQ684</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32" t="str">
        <f>IF(A!P685="","",INDEX(B!$A$1:$BT$2000,MATCH(A!P685,B!$AX$1:$AX$2000,0),D!$B$5))</f>
        <v/>
      </c>
      <c r="Q685">
        <f>A!Q685</f>
        <v>0</v>
      </c>
      <c r="R685">
        <f>A!R685</f>
        <v>0</v>
      </c>
      <c r="S685">
        <f>A!S685</f>
        <v>0</v>
      </c>
      <c r="T685">
        <f>A!T685</f>
        <v>0</v>
      </c>
      <c r="U685">
        <f>A!U685</f>
        <v>0</v>
      </c>
      <c r="V685" s="32">
        <f>IF(A!V685="&lt;",1,A!V685)</f>
        <v>0</v>
      </c>
      <c r="W685">
        <f>A!W685</f>
        <v>0</v>
      </c>
      <c r="X685">
        <f>A!X685</f>
        <v>0</v>
      </c>
      <c r="Y685">
        <f>A!Y685</f>
        <v>0</v>
      </c>
      <c r="Z685" s="32">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32"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A!CO995</f>
        <v>0</v>
      </c>
      <c r="CR685">
        <f>A!CP685</f>
        <v>0</v>
      </c>
      <c r="CS685">
        <f>A!CQ685</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32" t="str">
        <f>IF(A!P686="","",INDEX(B!$A$1:$BT$2000,MATCH(A!P686,B!$AX$1:$AX$2000,0),D!$B$5))</f>
        <v/>
      </c>
      <c r="Q686">
        <f>A!Q686</f>
        <v>0</v>
      </c>
      <c r="R686">
        <f>A!R686</f>
        <v>0</v>
      </c>
      <c r="S686">
        <f>A!S686</f>
        <v>0</v>
      </c>
      <c r="T686">
        <f>A!T686</f>
        <v>0</v>
      </c>
      <c r="U686">
        <f>A!U686</f>
        <v>0</v>
      </c>
      <c r="V686" s="32">
        <f>IF(A!V686="&lt;",1,A!V686)</f>
        <v>0</v>
      </c>
      <c r="W686">
        <f>A!W686</f>
        <v>0</v>
      </c>
      <c r="X686">
        <f>A!X686</f>
        <v>0</v>
      </c>
      <c r="Y686">
        <f>A!Y686</f>
        <v>0</v>
      </c>
      <c r="Z686" s="32">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32"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A!CO996</f>
        <v>0</v>
      </c>
      <c r="CR686">
        <f>A!CP686</f>
        <v>0</v>
      </c>
      <c r="CS686">
        <f>A!CQ686</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32" t="str">
        <f>IF(A!P687="","",INDEX(B!$A$1:$BT$2000,MATCH(A!P687,B!$AX$1:$AX$2000,0),D!$B$5))</f>
        <v/>
      </c>
      <c r="Q687">
        <f>A!Q687</f>
        <v>0</v>
      </c>
      <c r="R687">
        <f>A!R687</f>
        <v>0</v>
      </c>
      <c r="S687">
        <f>A!S687</f>
        <v>0</v>
      </c>
      <c r="T687">
        <f>A!T687</f>
        <v>0</v>
      </c>
      <c r="U687">
        <f>A!U687</f>
        <v>0</v>
      </c>
      <c r="V687" s="32">
        <f>IF(A!V687="&lt;",1,A!V687)</f>
        <v>0</v>
      </c>
      <c r="W687">
        <f>A!W687</f>
        <v>0</v>
      </c>
      <c r="X687">
        <f>A!X687</f>
        <v>0</v>
      </c>
      <c r="Y687">
        <f>A!Y687</f>
        <v>0</v>
      </c>
      <c r="Z687" s="32">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32"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A!CO997</f>
        <v>0</v>
      </c>
      <c r="CR687">
        <f>A!CP687</f>
        <v>0</v>
      </c>
      <c r="CS687">
        <f>A!CQ687</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32" t="str">
        <f>IF(A!P688="","",INDEX(B!$A$1:$BT$2000,MATCH(A!P688,B!$AX$1:$AX$2000,0),D!$B$5))</f>
        <v/>
      </c>
      <c r="Q688">
        <f>A!Q688</f>
        <v>0</v>
      </c>
      <c r="R688">
        <f>A!R688</f>
        <v>0</v>
      </c>
      <c r="S688">
        <f>A!S688</f>
        <v>0</v>
      </c>
      <c r="T688">
        <f>A!T688</f>
        <v>0</v>
      </c>
      <c r="U688">
        <f>A!U688</f>
        <v>0</v>
      </c>
      <c r="V688" s="32">
        <f>IF(A!V688="&lt;",1,A!V688)</f>
        <v>0</v>
      </c>
      <c r="W688">
        <f>A!W688</f>
        <v>0</v>
      </c>
      <c r="X688">
        <f>A!X688</f>
        <v>0</v>
      </c>
      <c r="Y688">
        <f>A!Y688</f>
        <v>0</v>
      </c>
      <c r="Z688" s="32">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32"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A!CO998</f>
        <v>0</v>
      </c>
      <c r="CR688">
        <f>A!CP688</f>
        <v>0</v>
      </c>
      <c r="CS688">
        <f>A!CQ688</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32" t="str">
        <f>IF(A!P689="","",INDEX(B!$A$1:$BT$2000,MATCH(A!P689,B!$AX$1:$AX$2000,0),D!$B$5))</f>
        <v/>
      </c>
      <c r="Q689">
        <f>A!Q689</f>
        <v>0</v>
      </c>
      <c r="R689">
        <f>A!R689</f>
        <v>0</v>
      </c>
      <c r="S689">
        <f>A!S689</f>
        <v>0</v>
      </c>
      <c r="T689">
        <f>A!T689</f>
        <v>0</v>
      </c>
      <c r="U689">
        <f>A!U689</f>
        <v>0</v>
      </c>
      <c r="V689" s="32">
        <f>IF(A!V689="&lt;",1,A!V689)</f>
        <v>0</v>
      </c>
      <c r="W689">
        <f>A!W689</f>
        <v>0</v>
      </c>
      <c r="X689">
        <f>A!X689</f>
        <v>0</v>
      </c>
      <c r="Y689">
        <f>A!Y689</f>
        <v>0</v>
      </c>
      <c r="Z689" s="32">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32"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A!CO999</f>
        <v>0</v>
      </c>
      <c r="CR689">
        <f>A!CP689</f>
        <v>0</v>
      </c>
      <c r="CS689">
        <f>A!CQ689</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32" t="str">
        <f>IF(A!P690="","",INDEX(B!$A$1:$BT$2000,MATCH(A!P690,B!$AX$1:$AX$2000,0),D!$B$5))</f>
        <v/>
      </c>
      <c r="Q690">
        <f>A!Q690</f>
        <v>0</v>
      </c>
      <c r="R690">
        <f>A!R690</f>
        <v>0</v>
      </c>
      <c r="S690">
        <f>A!S690</f>
        <v>0</v>
      </c>
      <c r="T690">
        <f>A!T690</f>
        <v>0</v>
      </c>
      <c r="U690">
        <f>A!U690</f>
        <v>0</v>
      </c>
      <c r="V690" s="32">
        <f>IF(A!V690="&lt;",1,A!V690)</f>
        <v>0</v>
      </c>
      <c r="W690">
        <f>A!W690</f>
        <v>0</v>
      </c>
      <c r="X690">
        <f>A!X690</f>
        <v>0</v>
      </c>
      <c r="Y690">
        <f>A!Y690</f>
        <v>0</v>
      </c>
      <c r="Z690" s="32">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32"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A!CO1000</f>
        <v>0</v>
      </c>
      <c r="CR690">
        <f>A!CP690</f>
        <v>0</v>
      </c>
      <c r="CS690">
        <f>A!CQ690</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32" t="str">
        <f>IF(A!P691="","",INDEX(B!$A$1:$BT$2000,MATCH(A!P691,B!$AX$1:$AX$2000,0),D!$B$5))</f>
        <v/>
      </c>
      <c r="Q691">
        <f>A!Q691</f>
        <v>0</v>
      </c>
      <c r="R691">
        <f>A!R691</f>
        <v>0</v>
      </c>
      <c r="S691">
        <f>A!S691</f>
        <v>0</v>
      </c>
      <c r="T691">
        <f>A!T691</f>
        <v>0</v>
      </c>
      <c r="U691">
        <f>A!U691</f>
        <v>0</v>
      </c>
      <c r="V691" s="32">
        <f>IF(A!V691="&lt;",1,A!V691)</f>
        <v>0</v>
      </c>
      <c r="W691">
        <f>A!W691</f>
        <v>0</v>
      </c>
      <c r="X691">
        <f>A!X691</f>
        <v>0</v>
      </c>
      <c r="Y691">
        <f>A!Y691</f>
        <v>0</v>
      </c>
      <c r="Z691" s="32">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32"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A!CO1001</f>
        <v>0</v>
      </c>
      <c r="CR691">
        <f>A!CP691</f>
        <v>0</v>
      </c>
      <c r="CS691">
        <f>A!CQ691</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32" t="str">
        <f>IF(A!P692="","",INDEX(B!$A$1:$BT$2000,MATCH(A!P692,B!$AX$1:$AX$2000,0),D!$B$5))</f>
        <v/>
      </c>
      <c r="Q692">
        <f>A!Q692</f>
        <v>0</v>
      </c>
      <c r="R692">
        <f>A!R692</f>
        <v>0</v>
      </c>
      <c r="S692">
        <f>A!S692</f>
        <v>0</v>
      </c>
      <c r="T692">
        <f>A!T692</f>
        <v>0</v>
      </c>
      <c r="U692">
        <f>A!U692</f>
        <v>0</v>
      </c>
      <c r="V692" s="32">
        <f>IF(A!V692="&lt;",1,A!V692)</f>
        <v>0</v>
      </c>
      <c r="W692">
        <f>A!W692</f>
        <v>0</v>
      </c>
      <c r="X692">
        <f>A!X692</f>
        <v>0</v>
      </c>
      <c r="Y692">
        <f>A!Y692</f>
        <v>0</v>
      </c>
      <c r="Z692" s="32">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32"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A!CO1002</f>
        <v>0</v>
      </c>
      <c r="CR692">
        <f>A!CP692</f>
        <v>0</v>
      </c>
      <c r="CS692">
        <f>A!CQ692</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32" t="str">
        <f>IF(A!P693="","",INDEX(B!$A$1:$BT$2000,MATCH(A!P693,B!$AX$1:$AX$2000,0),D!$B$5))</f>
        <v/>
      </c>
      <c r="Q693">
        <f>A!Q693</f>
        <v>0</v>
      </c>
      <c r="R693">
        <f>A!R693</f>
        <v>0</v>
      </c>
      <c r="S693">
        <f>A!S693</f>
        <v>0</v>
      </c>
      <c r="T693">
        <f>A!T693</f>
        <v>0</v>
      </c>
      <c r="U693">
        <f>A!U693</f>
        <v>0</v>
      </c>
      <c r="V693" s="32">
        <f>IF(A!V693="&lt;",1,A!V693)</f>
        <v>0</v>
      </c>
      <c r="W693">
        <f>A!W693</f>
        <v>0</v>
      </c>
      <c r="X693">
        <f>A!X693</f>
        <v>0</v>
      </c>
      <c r="Y693">
        <f>A!Y693</f>
        <v>0</v>
      </c>
      <c r="Z693" s="32">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32"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A!CO1003</f>
        <v>0</v>
      </c>
      <c r="CR693">
        <f>A!CP693</f>
        <v>0</v>
      </c>
      <c r="CS693">
        <f>A!CQ693</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32" t="str">
        <f>IF(A!P694="","",INDEX(B!$A$1:$BT$2000,MATCH(A!P694,B!$AX$1:$AX$2000,0),D!$B$5))</f>
        <v/>
      </c>
      <c r="Q694">
        <f>A!Q694</f>
        <v>0</v>
      </c>
      <c r="R694">
        <f>A!R694</f>
        <v>0</v>
      </c>
      <c r="S694">
        <f>A!S694</f>
        <v>0</v>
      </c>
      <c r="T694">
        <f>A!T694</f>
        <v>0</v>
      </c>
      <c r="U694">
        <f>A!U694</f>
        <v>0</v>
      </c>
      <c r="V694" s="32">
        <f>IF(A!V694="&lt;",1,A!V694)</f>
        <v>0</v>
      </c>
      <c r="W694">
        <f>A!W694</f>
        <v>0</v>
      </c>
      <c r="X694">
        <f>A!X694</f>
        <v>0</v>
      </c>
      <c r="Y694">
        <f>A!Y694</f>
        <v>0</v>
      </c>
      <c r="Z694" s="32">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32"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A!CO1004</f>
        <v>0</v>
      </c>
      <c r="CR694">
        <f>A!CP694</f>
        <v>0</v>
      </c>
      <c r="CS694">
        <f>A!CQ694</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32" t="str">
        <f>IF(A!P695="","",INDEX(B!$A$1:$BT$2000,MATCH(A!P695,B!$AX$1:$AX$2000,0),D!$B$5))</f>
        <v/>
      </c>
      <c r="Q695">
        <f>A!Q695</f>
        <v>0</v>
      </c>
      <c r="R695">
        <f>A!R695</f>
        <v>0</v>
      </c>
      <c r="S695">
        <f>A!S695</f>
        <v>0</v>
      </c>
      <c r="T695">
        <f>A!T695</f>
        <v>0</v>
      </c>
      <c r="U695">
        <f>A!U695</f>
        <v>0</v>
      </c>
      <c r="V695" s="32">
        <f>IF(A!V695="&lt;",1,A!V695)</f>
        <v>0</v>
      </c>
      <c r="W695">
        <f>A!W695</f>
        <v>0</v>
      </c>
      <c r="X695">
        <f>A!X695</f>
        <v>0</v>
      </c>
      <c r="Y695">
        <f>A!Y695</f>
        <v>0</v>
      </c>
      <c r="Z695" s="32">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32"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A!CO1005</f>
        <v>0</v>
      </c>
      <c r="CR695">
        <f>A!CP695</f>
        <v>0</v>
      </c>
      <c r="CS695">
        <f>A!CQ695</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32" t="str">
        <f>IF(A!P696="","",INDEX(B!$A$1:$BT$2000,MATCH(A!P696,B!$AX$1:$AX$2000,0),D!$B$5))</f>
        <v/>
      </c>
      <c r="Q696">
        <f>A!Q696</f>
        <v>0</v>
      </c>
      <c r="R696">
        <f>A!R696</f>
        <v>0</v>
      </c>
      <c r="S696">
        <f>A!S696</f>
        <v>0</v>
      </c>
      <c r="T696">
        <f>A!T696</f>
        <v>0</v>
      </c>
      <c r="U696">
        <f>A!U696</f>
        <v>0</v>
      </c>
      <c r="V696" s="32">
        <f>IF(A!V696="&lt;",1,A!V696)</f>
        <v>0</v>
      </c>
      <c r="W696">
        <f>A!W696</f>
        <v>0</v>
      </c>
      <c r="X696">
        <f>A!X696</f>
        <v>0</v>
      </c>
      <c r="Y696">
        <f>A!Y696</f>
        <v>0</v>
      </c>
      <c r="Z696" s="32">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32"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A!CO1006</f>
        <v>0</v>
      </c>
      <c r="CR696">
        <f>A!CP696</f>
        <v>0</v>
      </c>
      <c r="CS696">
        <f>A!CQ696</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32" t="str">
        <f>IF(A!P697="","",INDEX(B!$A$1:$BT$2000,MATCH(A!P697,B!$AX$1:$AX$2000,0),D!$B$5))</f>
        <v/>
      </c>
      <c r="Q697">
        <f>A!Q697</f>
        <v>0</v>
      </c>
      <c r="R697">
        <f>A!R697</f>
        <v>0</v>
      </c>
      <c r="S697">
        <f>A!S697</f>
        <v>0</v>
      </c>
      <c r="T697">
        <f>A!T697</f>
        <v>0</v>
      </c>
      <c r="U697">
        <f>A!U697</f>
        <v>0</v>
      </c>
      <c r="V697" s="32">
        <f>IF(A!V697="&lt;",1,A!V697)</f>
        <v>0</v>
      </c>
      <c r="W697">
        <f>A!W697</f>
        <v>0</v>
      </c>
      <c r="X697">
        <f>A!X697</f>
        <v>0</v>
      </c>
      <c r="Y697">
        <f>A!Y697</f>
        <v>0</v>
      </c>
      <c r="Z697" s="32">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32"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A!CO1007</f>
        <v>0</v>
      </c>
      <c r="CR697">
        <f>A!CP697</f>
        <v>0</v>
      </c>
      <c r="CS697">
        <f>A!CQ697</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32" t="str">
        <f>IF(A!P698="","",INDEX(B!$A$1:$BT$2000,MATCH(A!P698,B!$AX$1:$AX$2000,0),D!$B$5))</f>
        <v/>
      </c>
      <c r="Q698">
        <f>A!Q698</f>
        <v>0</v>
      </c>
      <c r="R698">
        <f>A!R698</f>
        <v>0</v>
      </c>
      <c r="S698">
        <f>A!S698</f>
        <v>0</v>
      </c>
      <c r="T698">
        <f>A!T698</f>
        <v>0</v>
      </c>
      <c r="U698">
        <f>A!U698</f>
        <v>0</v>
      </c>
      <c r="V698" s="32">
        <f>IF(A!V698="&lt;",1,A!V698)</f>
        <v>0</v>
      </c>
      <c r="W698">
        <f>A!W698</f>
        <v>0</v>
      </c>
      <c r="X698">
        <f>A!X698</f>
        <v>0</v>
      </c>
      <c r="Y698">
        <f>A!Y698</f>
        <v>0</v>
      </c>
      <c r="Z698" s="32">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32"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A!CO1008</f>
        <v>0</v>
      </c>
      <c r="CR698">
        <f>A!CP698</f>
        <v>0</v>
      </c>
      <c r="CS698">
        <f>A!CQ698</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32" t="str">
        <f>IF(A!P699="","",INDEX(B!$A$1:$BT$2000,MATCH(A!P699,B!$AX$1:$AX$2000,0),D!$B$5))</f>
        <v/>
      </c>
      <c r="Q699">
        <f>A!Q699</f>
        <v>0</v>
      </c>
      <c r="R699">
        <f>A!R699</f>
        <v>0</v>
      </c>
      <c r="S699">
        <f>A!S699</f>
        <v>0</v>
      </c>
      <c r="T699">
        <f>A!T699</f>
        <v>0</v>
      </c>
      <c r="U699">
        <f>A!U699</f>
        <v>0</v>
      </c>
      <c r="V699" s="32">
        <f>IF(A!V699="&lt;",1,A!V699)</f>
        <v>0</v>
      </c>
      <c r="W699">
        <f>A!W699</f>
        <v>0</v>
      </c>
      <c r="X699">
        <f>A!X699</f>
        <v>0</v>
      </c>
      <c r="Y699">
        <f>A!Y699</f>
        <v>0</v>
      </c>
      <c r="Z699" s="32">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32"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A!CO1009</f>
        <v>0</v>
      </c>
      <c r="CR699">
        <f>A!CP699</f>
        <v>0</v>
      </c>
      <c r="CS699">
        <f>A!CQ699</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32" t="str">
        <f>IF(A!P700="","",INDEX(B!$A$1:$BT$2000,MATCH(A!P700,B!$AX$1:$AX$2000,0),D!$B$5))</f>
        <v/>
      </c>
      <c r="Q700">
        <f>A!Q700</f>
        <v>0</v>
      </c>
      <c r="R700">
        <f>A!R700</f>
        <v>0</v>
      </c>
      <c r="S700">
        <f>A!S700</f>
        <v>0</v>
      </c>
      <c r="T700">
        <f>A!T700</f>
        <v>0</v>
      </c>
      <c r="U700">
        <f>A!U700</f>
        <v>0</v>
      </c>
      <c r="V700" s="32">
        <f>IF(A!V700="&lt;",1,A!V700)</f>
        <v>0</v>
      </c>
      <c r="W700">
        <f>A!W700</f>
        <v>0</v>
      </c>
      <c r="X700">
        <f>A!X700</f>
        <v>0</v>
      </c>
      <c r="Y700">
        <f>A!Y700</f>
        <v>0</v>
      </c>
      <c r="Z700" s="32">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32"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A!CO1010</f>
        <v>0</v>
      </c>
      <c r="CR700">
        <f>A!CP700</f>
        <v>0</v>
      </c>
      <c r="CS700">
        <f>A!CQ700</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32" t="str">
        <f>IF(A!P701="","",INDEX(B!$A$1:$BT$2000,MATCH(A!P701,B!$AX$1:$AX$2000,0),D!$B$5))</f>
        <v/>
      </c>
      <c r="Q701">
        <f>A!Q701</f>
        <v>0</v>
      </c>
      <c r="R701">
        <f>A!R701</f>
        <v>0</v>
      </c>
      <c r="S701">
        <f>A!S701</f>
        <v>0</v>
      </c>
      <c r="T701">
        <f>A!T701</f>
        <v>0</v>
      </c>
      <c r="U701">
        <f>A!U701</f>
        <v>0</v>
      </c>
      <c r="V701" s="32">
        <f>IF(A!V701="&lt;",1,A!V701)</f>
        <v>0</v>
      </c>
      <c r="W701">
        <f>A!W701</f>
        <v>0</v>
      </c>
      <c r="X701">
        <f>A!X701</f>
        <v>0</v>
      </c>
      <c r="Y701">
        <f>A!Y701</f>
        <v>0</v>
      </c>
      <c r="Z701" s="32">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32"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A!CO1011</f>
        <v>0</v>
      </c>
      <c r="CR701">
        <f>A!CP701</f>
        <v>0</v>
      </c>
      <c r="CS701">
        <f>A!CQ701</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32" t="str">
        <f>IF(A!P702="","",INDEX(B!$A$1:$BT$2000,MATCH(A!P702,B!$AX$1:$AX$2000,0),D!$B$5))</f>
        <v/>
      </c>
      <c r="Q702">
        <f>A!Q702</f>
        <v>0</v>
      </c>
      <c r="R702">
        <f>A!R702</f>
        <v>0</v>
      </c>
      <c r="S702">
        <f>A!S702</f>
        <v>0</v>
      </c>
      <c r="T702">
        <f>A!T702</f>
        <v>0</v>
      </c>
      <c r="U702">
        <f>A!U702</f>
        <v>0</v>
      </c>
      <c r="V702" s="32">
        <f>IF(A!V702="&lt;",1,A!V702)</f>
        <v>0</v>
      </c>
      <c r="W702">
        <f>A!W702</f>
        <v>0</v>
      </c>
      <c r="X702">
        <f>A!X702</f>
        <v>0</v>
      </c>
      <c r="Y702">
        <f>A!Y702</f>
        <v>0</v>
      </c>
      <c r="Z702" s="32">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32"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A!CO1012</f>
        <v>0</v>
      </c>
      <c r="CR702">
        <f>A!CP702</f>
        <v>0</v>
      </c>
      <c r="CS702">
        <f>A!CQ702</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32" t="str">
        <f>IF(A!P703="","",INDEX(B!$A$1:$BT$2000,MATCH(A!P703,B!$AX$1:$AX$2000,0),D!$B$5))</f>
        <v/>
      </c>
      <c r="Q703">
        <f>A!Q703</f>
        <v>0</v>
      </c>
      <c r="R703">
        <f>A!R703</f>
        <v>0</v>
      </c>
      <c r="S703">
        <f>A!S703</f>
        <v>0</v>
      </c>
      <c r="T703">
        <f>A!T703</f>
        <v>0</v>
      </c>
      <c r="U703">
        <f>A!U703</f>
        <v>0</v>
      </c>
      <c r="V703" s="32">
        <f>IF(A!V703="&lt;",1,A!V703)</f>
        <v>0</v>
      </c>
      <c r="W703">
        <f>A!W703</f>
        <v>0</v>
      </c>
      <c r="X703">
        <f>A!X703</f>
        <v>0</v>
      </c>
      <c r="Y703">
        <f>A!Y703</f>
        <v>0</v>
      </c>
      <c r="Z703" s="32">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32"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A!CO1013</f>
        <v>0</v>
      </c>
      <c r="CR703">
        <f>A!CP703</f>
        <v>0</v>
      </c>
      <c r="CS703">
        <f>A!CQ703</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32" t="str">
        <f>IF(A!P704="","",INDEX(B!$A$1:$BT$2000,MATCH(A!P704,B!$AX$1:$AX$2000,0),D!$B$5))</f>
        <v/>
      </c>
      <c r="Q704">
        <f>A!Q704</f>
        <v>0</v>
      </c>
      <c r="R704">
        <f>A!R704</f>
        <v>0</v>
      </c>
      <c r="S704">
        <f>A!S704</f>
        <v>0</v>
      </c>
      <c r="T704">
        <f>A!T704</f>
        <v>0</v>
      </c>
      <c r="U704">
        <f>A!U704</f>
        <v>0</v>
      </c>
      <c r="V704" s="32">
        <f>IF(A!V704="&lt;",1,A!V704)</f>
        <v>0</v>
      </c>
      <c r="W704">
        <f>A!W704</f>
        <v>0</v>
      </c>
      <c r="X704">
        <f>A!X704</f>
        <v>0</v>
      </c>
      <c r="Y704">
        <f>A!Y704</f>
        <v>0</v>
      </c>
      <c r="Z704" s="32">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32"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A!CO1014</f>
        <v>0</v>
      </c>
      <c r="CR704">
        <f>A!CP704</f>
        <v>0</v>
      </c>
      <c r="CS704">
        <f>A!CQ704</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32" t="str">
        <f>IF(A!P705="","",INDEX(B!$A$1:$BT$2000,MATCH(A!P705,B!$AX$1:$AX$2000,0),D!$B$5))</f>
        <v/>
      </c>
      <c r="Q705">
        <f>A!Q705</f>
        <v>0</v>
      </c>
      <c r="R705">
        <f>A!R705</f>
        <v>0</v>
      </c>
      <c r="S705">
        <f>A!S705</f>
        <v>0</v>
      </c>
      <c r="T705">
        <f>A!T705</f>
        <v>0</v>
      </c>
      <c r="U705">
        <f>A!U705</f>
        <v>0</v>
      </c>
      <c r="V705" s="32">
        <f>IF(A!V705="&lt;",1,A!V705)</f>
        <v>0</v>
      </c>
      <c r="W705">
        <f>A!W705</f>
        <v>0</v>
      </c>
      <c r="X705">
        <f>A!X705</f>
        <v>0</v>
      </c>
      <c r="Y705">
        <f>A!Y705</f>
        <v>0</v>
      </c>
      <c r="Z705" s="32">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32"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A!CO1015</f>
        <v>0</v>
      </c>
      <c r="CR705">
        <f>A!CP705</f>
        <v>0</v>
      </c>
      <c r="CS705">
        <f>A!CQ705</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32" t="str">
        <f>IF(A!P706="","",INDEX(B!$A$1:$BT$2000,MATCH(A!P706,B!$AX$1:$AX$2000,0),D!$B$5))</f>
        <v/>
      </c>
      <c r="Q706">
        <f>A!Q706</f>
        <v>0</v>
      </c>
      <c r="R706">
        <f>A!R706</f>
        <v>0</v>
      </c>
      <c r="S706">
        <f>A!S706</f>
        <v>0</v>
      </c>
      <c r="T706">
        <f>A!T706</f>
        <v>0</v>
      </c>
      <c r="U706">
        <f>A!U706</f>
        <v>0</v>
      </c>
      <c r="V706" s="32">
        <f>IF(A!V706="&lt;",1,A!V706)</f>
        <v>0</v>
      </c>
      <c r="W706">
        <f>A!W706</f>
        <v>0</v>
      </c>
      <c r="X706">
        <f>A!X706</f>
        <v>0</v>
      </c>
      <c r="Y706">
        <f>A!Y706</f>
        <v>0</v>
      </c>
      <c r="Z706" s="32">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32"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A!CO1016</f>
        <v>0</v>
      </c>
      <c r="CR706">
        <f>A!CP706</f>
        <v>0</v>
      </c>
      <c r="CS706">
        <f>A!CQ706</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32" t="str">
        <f>IF(A!P707="","",INDEX(B!$A$1:$BT$2000,MATCH(A!P707,B!$AX$1:$AX$2000,0),D!$B$5))</f>
        <v/>
      </c>
      <c r="Q707">
        <f>A!Q707</f>
        <v>0</v>
      </c>
      <c r="R707">
        <f>A!R707</f>
        <v>0</v>
      </c>
      <c r="S707">
        <f>A!S707</f>
        <v>0</v>
      </c>
      <c r="T707">
        <f>A!T707</f>
        <v>0</v>
      </c>
      <c r="U707">
        <f>A!U707</f>
        <v>0</v>
      </c>
      <c r="V707" s="32">
        <f>IF(A!V707="&lt;",1,A!V707)</f>
        <v>0</v>
      </c>
      <c r="W707">
        <f>A!W707</f>
        <v>0</v>
      </c>
      <c r="X707">
        <f>A!X707</f>
        <v>0</v>
      </c>
      <c r="Y707">
        <f>A!Y707</f>
        <v>0</v>
      </c>
      <c r="Z707" s="32">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32"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A!CO1017</f>
        <v>0</v>
      </c>
      <c r="CR707">
        <f>A!CP707</f>
        <v>0</v>
      </c>
      <c r="CS707">
        <f>A!CQ707</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32" t="str">
        <f>IF(A!P708="","",INDEX(B!$A$1:$BT$2000,MATCH(A!P708,B!$AX$1:$AX$2000,0),D!$B$5))</f>
        <v/>
      </c>
      <c r="Q708">
        <f>A!Q708</f>
        <v>0</v>
      </c>
      <c r="R708">
        <f>A!R708</f>
        <v>0</v>
      </c>
      <c r="S708">
        <f>A!S708</f>
        <v>0</v>
      </c>
      <c r="T708">
        <f>A!T708</f>
        <v>0</v>
      </c>
      <c r="U708">
        <f>A!U708</f>
        <v>0</v>
      </c>
      <c r="V708" s="32">
        <f>IF(A!V708="&lt;",1,A!V708)</f>
        <v>0</v>
      </c>
      <c r="W708">
        <f>A!W708</f>
        <v>0</v>
      </c>
      <c r="X708">
        <f>A!X708</f>
        <v>0</v>
      </c>
      <c r="Y708">
        <f>A!Y708</f>
        <v>0</v>
      </c>
      <c r="Z708" s="32">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32"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A!CO1018</f>
        <v>0</v>
      </c>
      <c r="CR708">
        <f>A!CP708</f>
        <v>0</v>
      </c>
      <c r="CS708">
        <f>A!CQ708</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32" t="str">
        <f>IF(A!P709="","",INDEX(B!$A$1:$BT$2000,MATCH(A!P709,B!$AX$1:$AX$2000,0),D!$B$5))</f>
        <v/>
      </c>
      <c r="Q709">
        <f>A!Q709</f>
        <v>0</v>
      </c>
      <c r="R709">
        <f>A!R709</f>
        <v>0</v>
      </c>
      <c r="S709">
        <f>A!S709</f>
        <v>0</v>
      </c>
      <c r="T709">
        <f>A!T709</f>
        <v>0</v>
      </c>
      <c r="U709">
        <f>A!U709</f>
        <v>0</v>
      </c>
      <c r="V709" s="32">
        <f>IF(A!V709="&lt;",1,A!V709)</f>
        <v>0</v>
      </c>
      <c r="W709">
        <f>A!W709</f>
        <v>0</v>
      </c>
      <c r="X709">
        <f>A!X709</f>
        <v>0</v>
      </c>
      <c r="Y709">
        <f>A!Y709</f>
        <v>0</v>
      </c>
      <c r="Z709" s="32">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32"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A!CO1019</f>
        <v>0</v>
      </c>
      <c r="CR709">
        <f>A!CP709</f>
        <v>0</v>
      </c>
      <c r="CS709">
        <f>A!CQ709</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32" t="str">
        <f>IF(A!P710="","",INDEX(B!$A$1:$BT$2000,MATCH(A!P710,B!$AX$1:$AX$2000,0),D!$B$5))</f>
        <v/>
      </c>
      <c r="Q710">
        <f>A!Q710</f>
        <v>0</v>
      </c>
      <c r="R710">
        <f>A!R710</f>
        <v>0</v>
      </c>
      <c r="S710">
        <f>A!S710</f>
        <v>0</v>
      </c>
      <c r="T710">
        <f>A!T710</f>
        <v>0</v>
      </c>
      <c r="U710">
        <f>A!U710</f>
        <v>0</v>
      </c>
      <c r="V710" s="32">
        <f>IF(A!V710="&lt;",1,A!V710)</f>
        <v>0</v>
      </c>
      <c r="W710">
        <f>A!W710</f>
        <v>0</v>
      </c>
      <c r="X710">
        <f>A!X710</f>
        <v>0</v>
      </c>
      <c r="Y710">
        <f>A!Y710</f>
        <v>0</v>
      </c>
      <c r="Z710" s="32">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32"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A!CO1020</f>
        <v>0</v>
      </c>
      <c r="CR710">
        <f>A!CP710</f>
        <v>0</v>
      </c>
      <c r="CS710">
        <f>A!CQ710</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32" t="str">
        <f>IF(A!P711="","",INDEX(B!$A$1:$BT$2000,MATCH(A!P711,B!$AX$1:$AX$2000,0),D!$B$5))</f>
        <v/>
      </c>
      <c r="Q711">
        <f>A!Q711</f>
        <v>0</v>
      </c>
      <c r="R711">
        <f>A!R711</f>
        <v>0</v>
      </c>
      <c r="S711">
        <f>A!S711</f>
        <v>0</v>
      </c>
      <c r="T711">
        <f>A!T711</f>
        <v>0</v>
      </c>
      <c r="U711">
        <f>A!U711</f>
        <v>0</v>
      </c>
      <c r="V711" s="32">
        <f>IF(A!V711="&lt;",1,A!V711)</f>
        <v>0</v>
      </c>
      <c r="W711">
        <f>A!W711</f>
        <v>0</v>
      </c>
      <c r="X711">
        <f>A!X711</f>
        <v>0</v>
      </c>
      <c r="Y711">
        <f>A!Y711</f>
        <v>0</v>
      </c>
      <c r="Z711" s="32">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32"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A!CO1021</f>
        <v>0</v>
      </c>
      <c r="CR711">
        <f>A!CP711</f>
        <v>0</v>
      </c>
      <c r="CS711">
        <f>A!CQ711</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32" t="str">
        <f>IF(A!P712="","",INDEX(B!$A$1:$BT$2000,MATCH(A!P712,B!$AX$1:$AX$2000,0),D!$B$5))</f>
        <v/>
      </c>
      <c r="Q712">
        <f>A!Q712</f>
        <v>0</v>
      </c>
      <c r="R712">
        <f>A!R712</f>
        <v>0</v>
      </c>
      <c r="S712">
        <f>A!S712</f>
        <v>0</v>
      </c>
      <c r="T712">
        <f>A!T712</f>
        <v>0</v>
      </c>
      <c r="U712">
        <f>A!U712</f>
        <v>0</v>
      </c>
      <c r="V712" s="32">
        <f>IF(A!V712="&lt;",1,A!V712)</f>
        <v>0</v>
      </c>
      <c r="W712">
        <f>A!W712</f>
        <v>0</v>
      </c>
      <c r="X712">
        <f>A!X712</f>
        <v>0</v>
      </c>
      <c r="Y712">
        <f>A!Y712</f>
        <v>0</v>
      </c>
      <c r="Z712" s="32">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32"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A!CO1022</f>
        <v>0</v>
      </c>
      <c r="CR712">
        <f>A!CP712</f>
        <v>0</v>
      </c>
      <c r="CS712">
        <f>A!CQ712</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32" t="str">
        <f>IF(A!P713="","",INDEX(B!$A$1:$BT$2000,MATCH(A!P713,B!$AX$1:$AX$2000,0),D!$B$5))</f>
        <v/>
      </c>
      <c r="Q713">
        <f>A!Q713</f>
        <v>0</v>
      </c>
      <c r="R713">
        <f>A!R713</f>
        <v>0</v>
      </c>
      <c r="S713">
        <f>A!S713</f>
        <v>0</v>
      </c>
      <c r="T713">
        <f>A!T713</f>
        <v>0</v>
      </c>
      <c r="U713">
        <f>A!U713</f>
        <v>0</v>
      </c>
      <c r="V713" s="32">
        <f>IF(A!V713="&lt;",1,A!V713)</f>
        <v>0</v>
      </c>
      <c r="W713">
        <f>A!W713</f>
        <v>0</v>
      </c>
      <c r="X713">
        <f>A!X713</f>
        <v>0</v>
      </c>
      <c r="Y713">
        <f>A!Y713</f>
        <v>0</v>
      </c>
      <c r="Z713" s="32">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32"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A!CO1023</f>
        <v>0</v>
      </c>
      <c r="CR713">
        <f>A!CP713</f>
        <v>0</v>
      </c>
      <c r="CS713">
        <f>A!CQ713</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32" t="str">
        <f>IF(A!P714="","",INDEX(B!$A$1:$BT$2000,MATCH(A!P714,B!$AX$1:$AX$2000,0),D!$B$5))</f>
        <v/>
      </c>
      <c r="Q714">
        <f>A!Q714</f>
        <v>0</v>
      </c>
      <c r="R714">
        <f>A!R714</f>
        <v>0</v>
      </c>
      <c r="S714">
        <f>A!S714</f>
        <v>0</v>
      </c>
      <c r="T714">
        <f>A!T714</f>
        <v>0</v>
      </c>
      <c r="U714">
        <f>A!U714</f>
        <v>0</v>
      </c>
      <c r="V714" s="32">
        <f>IF(A!V714="&lt;",1,A!V714)</f>
        <v>0</v>
      </c>
      <c r="W714">
        <f>A!W714</f>
        <v>0</v>
      </c>
      <c r="X714">
        <f>A!X714</f>
        <v>0</v>
      </c>
      <c r="Y714">
        <f>A!Y714</f>
        <v>0</v>
      </c>
      <c r="Z714" s="32">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32"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A!CO1024</f>
        <v>0</v>
      </c>
      <c r="CR714">
        <f>A!CP714</f>
        <v>0</v>
      </c>
      <c r="CS714">
        <f>A!CQ714</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32" t="str">
        <f>IF(A!P715="","",INDEX(B!$A$1:$BT$2000,MATCH(A!P715,B!$AX$1:$AX$2000,0),D!$B$5))</f>
        <v/>
      </c>
      <c r="Q715">
        <f>A!Q715</f>
        <v>0</v>
      </c>
      <c r="R715">
        <f>A!R715</f>
        <v>0</v>
      </c>
      <c r="S715">
        <f>A!S715</f>
        <v>0</v>
      </c>
      <c r="T715">
        <f>A!T715</f>
        <v>0</v>
      </c>
      <c r="U715">
        <f>A!U715</f>
        <v>0</v>
      </c>
      <c r="V715" s="32">
        <f>IF(A!V715="&lt;",1,A!V715)</f>
        <v>0</v>
      </c>
      <c r="W715">
        <f>A!W715</f>
        <v>0</v>
      </c>
      <c r="X715">
        <f>A!X715</f>
        <v>0</v>
      </c>
      <c r="Y715">
        <f>A!Y715</f>
        <v>0</v>
      </c>
      <c r="Z715" s="32">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32"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A!CO1025</f>
        <v>0</v>
      </c>
      <c r="CR715">
        <f>A!CP715</f>
        <v>0</v>
      </c>
      <c r="CS715">
        <f>A!CQ715</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32" t="str">
        <f>IF(A!P716="","",INDEX(B!$A$1:$BT$2000,MATCH(A!P716,B!$AX$1:$AX$2000,0),D!$B$5))</f>
        <v/>
      </c>
      <c r="Q716">
        <f>A!Q716</f>
        <v>0</v>
      </c>
      <c r="R716">
        <f>A!R716</f>
        <v>0</v>
      </c>
      <c r="S716">
        <f>A!S716</f>
        <v>0</v>
      </c>
      <c r="T716">
        <f>A!T716</f>
        <v>0</v>
      </c>
      <c r="U716">
        <f>A!U716</f>
        <v>0</v>
      </c>
      <c r="V716" s="32">
        <f>IF(A!V716="&lt;",1,A!V716)</f>
        <v>0</v>
      </c>
      <c r="W716">
        <f>A!W716</f>
        <v>0</v>
      </c>
      <c r="X716">
        <f>A!X716</f>
        <v>0</v>
      </c>
      <c r="Y716">
        <f>A!Y716</f>
        <v>0</v>
      </c>
      <c r="Z716" s="32">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32"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A!CO1026</f>
        <v>0</v>
      </c>
      <c r="CR716">
        <f>A!CP716</f>
        <v>0</v>
      </c>
      <c r="CS716">
        <f>A!CQ716</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32" t="str">
        <f>IF(A!P717="","",INDEX(B!$A$1:$BT$2000,MATCH(A!P717,B!$AX$1:$AX$2000,0),D!$B$5))</f>
        <v/>
      </c>
      <c r="Q717">
        <f>A!Q717</f>
        <v>0</v>
      </c>
      <c r="R717">
        <f>A!R717</f>
        <v>0</v>
      </c>
      <c r="S717">
        <f>A!S717</f>
        <v>0</v>
      </c>
      <c r="T717">
        <f>A!T717</f>
        <v>0</v>
      </c>
      <c r="U717">
        <f>A!U717</f>
        <v>0</v>
      </c>
      <c r="V717" s="32">
        <f>IF(A!V717="&lt;",1,A!V717)</f>
        <v>0</v>
      </c>
      <c r="W717">
        <f>A!W717</f>
        <v>0</v>
      </c>
      <c r="X717">
        <f>A!X717</f>
        <v>0</v>
      </c>
      <c r="Y717">
        <f>A!Y717</f>
        <v>0</v>
      </c>
      <c r="Z717" s="32">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32"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A!CO1027</f>
        <v>0</v>
      </c>
      <c r="CR717">
        <f>A!CP717</f>
        <v>0</v>
      </c>
      <c r="CS717">
        <f>A!CQ717</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32" t="str">
        <f>IF(A!P718="","",INDEX(B!$A$1:$BT$2000,MATCH(A!P718,B!$AX$1:$AX$2000,0),D!$B$5))</f>
        <v/>
      </c>
      <c r="Q718">
        <f>A!Q718</f>
        <v>0</v>
      </c>
      <c r="R718">
        <f>A!R718</f>
        <v>0</v>
      </c>
      <c r="S718">
        <f>A!S718</f>
        <v>0</v>
      </c>
      <c r="T718">
        <f>A!T718</f>
        <v>0</v>
      </c>
      <c r="U718">
        <f>A!U718</f>
        <v>0</v>
      </c>
      <c r="V718" s="32">
        <f>IF(A!V718="&lt;",1,A!V718)</f>
        <v>0</v>
      </c>
      <c r="W718">
        <f>A!W718</f>
        <v>0</v>
      </c>
      <c r="X718">
        <f>A!X718</f>
        <v>0</v>
      </c>
      <c r="Y718">
        <f>A!Y718</f>
        <v>0</v>
      </c>
      <c r="Z718" s="32">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32"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A!CO1028</f>
        <v>0</v>
      </c>
      <c r="CR718">
        <f>A!CP718</f>
        <v>0</v>
      </c>
      <c r="CS718">
        <f>A!CQ718</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32" t="str">
        <f>IF(A!P719="","",INDEX(B!$A$1:$BT$2000,MATCH(A!P719,B!$AX$1:$AX$2000,0),D!$B$5))</f>
        <v/>
      </c>
      <c r="Q719">
        <f>A!Q719</f>
        <v>0</v>
      </c>
      <c r="R719">
        <f>A!R719</f>
        <v>0</v>
      </c>
      <c r="S719">
        <f>A!S719</f>
        <v>0</v>
      </c>
      <c r="T719">
        <f>A!T719</f>
        <v>0</v>
      </c>
      <c r="U719">
        <f>A!U719</f>
        <v>0</v>
      </c>
      <c r="V719" s="32">
        <f>IF(A!V719="&lt;",1,A!V719)</f>
        <v>0</v>
      </c>
      <c r="W719">
        <f>A!W719</f>
        <v>0</v>
      </c>
      <c r="X719">
        <f>A!X719</f>
        <v>0</v>
      </c>
      <c r="Y719">
        <f>A!Y719</f>
        <v>0</v>
      </c>
      <c r="Z719" s="32">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32"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A!CO1029</f>
        <v>0</v>
      </c>
      <c r="CR719">
        <f>A!CP719</f>
        <v>0</v>
      </c>
      <c r="CS719">
        <f>A!CQ719</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32" t="str">
        <f>IF(A!P720="","",INDEX(B!$A$1:$BT$2000,MATCH(A!P720,B!$AX$1:$AX$2000,0),D!$B$5))</f>
        <v/>
      </c>
      <c r="Q720">
        <f>A!Q720</f>
        <v>0</v>
      </c>
      <c r="R720">
        <f>A!R720</f>
        <v>0</v>
      </c>
      <c r="S720">
        <f>A!S720</f>
        <v>0</v>
      </c>
      <c r="T720">
        <f>A!T720</f>
        <v>0</v>
      </c>
      <c r="U720">
        <f>A!U720</f>
        <v>0</v>
      </c>
      <c r="V720" s="32">
        <f>IF(A!V720="&lt;",1,A!V720)</f>
        <v>0</v>
      </c>
      <c r="W720">
        <f>A!W720</f>
        <v>0</v>
      </c>
      <c r="X720">
        <f>A!X720</f>
        <v>0</v>
      </c>
      <c r="Y720">
        <f>A!Y720</f>
        <v>0</v>
      </c>
      <c r="Z720" s="32">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32"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A!CO1030</f>
        <v>0</v>
      </c>
      <c r="CR720">
        <f>A!CP720</f>
        <v>0</v>
      </c>
      <c r="CS720">
        <f>A!CQ720</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32" t="str">
        <f>IF(A!P721="","",INDEX(B!$A$1:$BT$2000,MATCH(A!P721,B!$AX$1:$AX$2000,0),D!$B$5))</f>
        <v/>
      </c>
      <c r="Q721">
        <f>A!Q721</f>
        <v>0</v>
      </c>
      <c r="R721">
        <f>A!R721</f>
        <v>0</v>
      </c>
      <c r="S721">
        <f>A!S721</f>
        <v>0</v>
      </c>
      <c r="T721">
        <f>A!T721</f>
        <v>0</v>
      </c>
      <c r="U721">
        <f>A!U721</f>
        <v>0</v>
      </c>
      <c r="V721" s="32">
        <f>IF(A!V721="&lt;",1,A!V721)</f>
        <v>0</v>
      </c>
      <c r="W721">
        <f>A!W721</f>
        <v>0</v>
      </c>
      <c r="X721">
        <f>A!X721</f>
        <v>0</v>
      </c>
      <c r="Y721">
        <f>A!Y721</f>
        <v>0</v>
      </c>
      <c r="Z721" s="32">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32"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A!CO1031</f>
        <v>0</v>
      </c>
      <c r="CR721">
        <f>A!CP721</f>
        <v>0</v>
      </c>
      <c r="CS721">
        <f>A!CQ721</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32" t="str">
        <f>IF(A!P722="","",INDEX(B!$A$1:$BT$2000,MATCH(A!P722,B!$AX$1:$AX$2000,0),D!$B$5))</f>
        <v/>
      </c>
      <c r="Q722">
        <f>A!Q722</f>
        <v>0</v>
      </c>
      <c r="R722">
        <f>A!R722</f>
        <v>0</v>
      </c>
      <c r="S722">
        <f>A!S722</f>
        <v>0</v>
      </c>
      <c r="T722">
        <f>A!T722</f>
        <v>0</v>
      </c>
      <c r="U722">
        <f>A!U722</f>
        <v>0</v>
      </c>
      <c r="V722" s="32">
        <f>IF(A!V722="&lt;",1,A!V722)</f>
        <v>0</v>
      </c>
      <c r="W722">
        <f>A!W722</f>
        <v>0</v>
      </c>
      <c r="X722">
        <f>A!X722</f>
        <v>0</v>
      </c>
      <c r="Y722">
        <f>A!Y722</f>
        <v>0</v>
      </c>
      <c r="Z722" s="32">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32"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A!CO1032</f>
        <v>0</v>
      </c>
      <c r="CR722">
        <f>A!CP722</f>
        <v>0</v>
      </c>
      <c r="CS722">
        <f>A!CQ722</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32" t="str">
        <f>IF(A!P723="","",INDEX(B!$A$1:$BT$2000,MATCH(A!P723,B!$AX$1:$AX$2000,0),D!$B$5))</f>
        <v/>
      </c>
      <c r="Q723">
        <f>A!Q723</f>
        <v>0</v>
      </c>
      <c r="R723">
        <f>A!R723</f>
        <v>0</v>
      </c>
      <c r="S723">
        <f>A!S723</f>
        <v>0</v>
      </c>
      <c r="T723">
        <f>A!T723</f>
        <v>0</v>
      </c>
      <c r="U723">
        <f>A!U723</f>
        <v>0</v>
      </c>
      <c r="V723" s="32">
        <f>IF(A!V723="&lt;",1,A!V723)</f>
        <v>0</v>
      </c>
      <c r="W723">
        <f>A!W723</f>
        <v>0</v>
      </c>
      <c r="X723">
        <f>A!X723</f>
        <v>0</v>
      </c>
      <c r="Y723">
        <f>A!Y723</f>
        <v>0</v>
      </c>
      <c r="Z723" s="32">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32"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A!CO1033</f>
        <v>0</v>
      </c>
      <c r="CR723">
        <f>A!CP723</f>
        <v>0</v>
      </c>
      <c r="CS723">
        <f>A!CQ723</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32" t="str">
        <f>IF(A!P724="","",INDEX(B!$A$1:$BT$2000,MATCH(A!P724,B!$AX$1:$AX$2000,0),D!$B$5))</f>
        <v/>
      </c>
      <c r="Q724">
        <f>A!Q724</f>
        <v>0</v>
      </c>
      <c r="R724">
        <f>A!R724</f>
        <v>0</v>
      </c>
      <c r="S724">
        <f>A!S724</f>
        <v>0</v>
      </c>
      <c r="T724">
        <f>A!T724</f>
        <v>0</v>
      </c>
      <c r="U724">
        <f>A!U724</f>
        <v>0</v>
      </c>
      <c r="V724" s="32">
        <f>IF(A!V724="&lt;",1,A!V724)</f>
        <v>0</v>
      </c>
      <c r="W724">
        <f>A!W724</f>
        <v>0</v>
      </c>
      <c r="X724">
        <f>A!X724</f>
        <v>0</v>
      </c>
      <c r="Y724">
        <f>A!Y724</f>
        <v>0</v>
      </c>
      <c r="Z724" s="32">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32"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A!CO1034</f>
        <v>0</v>
      </c>
      <c r="CR724">
        <f>A!CP724</f>
        <v>0</v>
      </c>
      <c r="CS724">
        <f>A!CQ724</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32" t="str">
        <f>IF(A!P725="","",INDEX(B!$A$1:$BT$2000,MATCH(A!P725,B!$AX$1:$AX$2000,0),D!$B$5))</f>
        <v/>
      </c>
      <c r="Q725">
        <f>A!Q725</f>
        <v>0</v>
      </c>
      <c r="R725">
        <f>A!R725</f>
        <v>0</v>
      </c>
      <c r="S725">
        <f>A!S725</f>
        <v>0</v>
      </c>
      <c r="T725">
        <f>A!T725</f>
        <v>0</v>
      </c>
      <c r="U725">
        <f>A!U725</f>
        <v>0</v>
      </c>
      <c r="V725" s="32">
        <f>IF(A!V725="&lt;",1,A!V725)</f>
        <v>0</v>
      </c>
      <c r="W725">
        <f>A!W725</f>
        <v>0</v>
      </c>
      <c r="X725">
        <f>A!X725</f>
        <v>0</v>
      </c>
      <c r="Y725">
        <f>A!Y725</f>
        <v>0</v>
      </c>
      <c r="Z725" s="32">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32"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A!CO1035</f>
        <v>0</v>
      </c>
      <c r="CR725">
        <f>A!CP725</f>
        <v>0</v>
      </c>
      <c r="CS725">
        <f>A!CQ725</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32" t="str">
        <f>IF(A!P726="","",INDEX(B!$A$1:$BT$2000,MATCH(A!P726,B!$AX$1:$AX$2000,0),D!$B$5))</f>
        <v/>
      </c>
      <c r="Q726">
        <f>A!Q726</f>
        <v>0</v>
      </c>
      <c r="R726">
        <f>A!R726</f>
        <v>0</v>
      </c>
      <c r="S726">
        <f>A!S726</f>
        <v>0</v>
      </c>
      <c r="T726">
        <f>A!T726</f>
        <v>0</v>
      </c>
      <c r="U726">
        <f>A!U726</f>
        <v>0</v>
      </c>
      <c r="V726" s="32">
        <f>IF(A!V726="&lt;",1,A!V726)</f>
        <v>0</v>
      </c>
      <c r="W726">
        <f>A!W726</f>
        <v>0</v>
      </c>
      <c r="X726">
        <f>A!X726</f>
        <v>0</v>
      </c>
      <c r="Y726">
        <f>A!Y726</f>
        <v>0</v>
      </c>
      <c r="Z726" s="32">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32"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A!CO1036</f>
        <v>0</v>
      </c>
      <c r="CR726">
        <f>A!CP726</f>
        <v>0</v>
      </c>
      <c r="CS726">
        <f>A!CQ726</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32" t="str">
        <f>IF(A!P727="","",INDEX(B!$A$1:$BT$2000,MATCH(A!P727,B!$AX$1:$AX$2000,0),D!$B$5))</f>
        <v/>
      </c>
      <c r="Q727">
        <f>A!Q727</f>
        <v>0</v>
      </c>
      <c r="R727">
        <f>A!R727</f>
        <v>0</v>
      </c>
      <c r="S727">
        <f>A!S727</f>
        <v>0</v>
      </c>
      <c r="T727">
        <f>A!T727</f>
        <v>0</v>
      </c>
      <c r="U727">
        <f>A!U727</f>
        <v>0</v>
      </c>
      <c r="V727" s="32">
        <f>IF(A!V727="&lt;",1,A!V727)</f>
        <v>0</v>
      </c>
      <c r="W727">
        <f>A!W727</f>
        <v>0</v>
      </c>
      <c r="X727">
        <f>A!X727</f>
        <v>0</v>
      </c>
      <c r="Y727">
        <f>A!Y727</f>
        <v>0</v>
      </c>
      <c r="Z727" s="32">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32"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A!CO1037</f>
        <v>0</v>
      </c>
      <c r="CR727">
        <f>A!CP727</f>
        <v>0</v>
      </c>
      <c r="CS727">
        <f>A!CQ727</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32" t="str">
        <f>IF(A!P728="","",INDEX(B!$A$1:$BT$2000,MATCH(A!P728,B!$AX$1:$AX$2000,0),D!$B$5))</f>
        <v/>
      </c>
      <c r="Q728">
        <f>A!Q728</f>
        <v>0</v>
      </c>
      <c r="R728">
        <f>A!R728</f>
        <v>0</v>
      </c>
      <c r="S728">
        <f>A!S728</f>
        <v>0</v>
      </c>
      <c r="T728">
        <f>A!T728</f>
        <v>0</v>
      </c>
      <c r="U728">
        <f>A!U728</f>
        <v>0</v>
      </c>
      <c r="V728" s="32">
        <f>IF(A!V728="&lt;",1,A!V728)</f>
        <v>0</v>
      </c>
      <c r="W728">
        <f>A!W728</f>
        <v>0</v>
      </c>
      <c r="X728">
        <f>A!X728</f>
        <v>0</v>
      </c>
      <c r="Y728">
        <f>A!Y728</f>
        <v>0</v>
      </c>
      <c r="Z728" s="32">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32"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A!CO1038</f>
        <v>0</v>
      </c>
      <c r="CR728">
        <f>A!CP728</f>
        <v>0</v>
      </c>
      <c r="CS728">
        <f>A!CQ728</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32" t="str">
        <f>IF(A!P729="","",INDEX(B!$A$1:$BT$2000,MATCH(A!P729,B!$AX$1:$AX$2000,0),D!$B$5))</f>
        <v/>
      </c>
      <c r="Q729">
        <f>A!Q729</f>
        <v>0</v>
      </c>
      <c r="R729">
        <f>A!R729</f>
        <v>0</v>
      </c>
      <c r="S729">
        <f>A!S729</f>
        <v>0</v>
      </c>
      <c r="T729">
        <f>A!T729</f>
        <v>0</v>
      </c>
      <c r="U729">
        <f>A!U729</f>
        <v>0</v>
      </c>
      <c r="V729" s="32">
        <f>IF(A!V729="&lt;",1,A!V729)</f>
        <v>0</v>
      </c>
      <c r="W729">
        <f>A!W729</f>
        <v>0</v>
      </c>
      <c r="X729">
        <f>A!X729</f>
        <v>0</v>
      </c>
      <c r="Y729">
        <f>A!Y729</f>
        <v>0</v>
      </c>
      <c r="Z729" s="32">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32"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A!CO1039</f>
        <v>0</v>
      </c>
      <c r="CR729">
        <f>A!CP729</f>
        <v>0</v>
      </c>
      <c r="CS729">
        <f>A!CQ729</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32" t="str">
        <f>IF(A!P730="","",INDEX(B!$A$1:$BT$2000,MATCH(A!P730,B!$AX$1:$AX$2000,0),D!$B$5))</f>
        <v/>
      </c>
      <c r="Q730">
        <f>A!Q730</f>
        <v>0</v>
      </c>
      <c r="R730">
        <f>A!R730</f>
        <v>0</v>
      </c>
      <c r="S730">
        <f>A!S730</f>
        <v>0</v>
      </c>
      <c r="T730">
        <f>A!T730</f>
        <v>0</v>
      </c>
      <c r="U730">
        <f>A!U730</f>
        <v>0</v>
      </c>
      <c r="V730" s="32">
        <f>IF(A!V730="&lt;",1,A!V730)</f>
        <v>0</v>
      </c>
      <c r="W730">
        <f>A!W730</f>
        <v>0</v>
      </c>
      <c r="X730">
        <f>A!X730</f>
        <v>0</v>
      </c>
      <c r="Y730">
        <f>A!Y730</f>
        <v>0</v>
      </c>
      <c r="Z730" s="32">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32"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A!CO1040</f>
        <v>0</v>
      </c>
      <c r="CR730">
        <f>A!CP730</f>
        <v>0</v>
      </c>
      <c r="CS730">
        <f>A!CQ730</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32" t="str">
        <f>IF(A!P731="","",INDEX(B!$A$1:$BT$2000,MATCH(A!P731,B!$AX$1:$AX$2000,0),D!$B$5))</f>
        <v/>
      </c>
      <c r="Q731">
        <f>A!Q731</f>
        <v>0</v>
      </c>
      <c r="R731">
        <f>A!R731</f>
        <v>0</v>
      </c>
      <c r="S731">
        <f>A!S731</f>
        <v>0</v>
      </c>
      <c r="T731">
        <f>A!T731</f>
        <v>0</v>
      </c>
      <c r="U731">
        <f>A!U731</f>
        <v>0</v>
      </c>
      <c r="V731" s="32">
        <f>IF(A!V731="&lt;",1,A!V731)</f>
        <v>0</v>
      </c>
      <c r="W731">
        <f>A!W731</f>
        <v>0</v>
      </c>
      <c r="X731">
        <f>A!X731</f>
        <v>0</v>
      </c>
      <c r="Y731">
        <f>A!Y731</f>
        <v>0</v>
      </c>
      <c r="Z731" s="32">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32"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A!CO1041</f>
        <v>0</v>
      </c>
      <c r="CR731">
        <f>A!CP731</f>
        <v>0</v>
      </c>
      <c r="CS731">
        <f>A!CQ731</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32" t="str">
        <f>IF(A!P732="","",INDEX(B!$A$1:$BT$2000,MATCH(A!P732,B!$AX$1:$AX$2000,0),D!$B$5))</f>
        <v/>
      </c>
      <c r="Q732">
        <f>A!Q732</f>
        <v>0</v>
      </c>
      <c r="R732">
        <f>A!R732</f>
        <v>0</v>
      </c>
      <c r="S732">
        <f>A!S732</f>
        <v>0</v>
      </c>
      <c r="T732">
        <f>A!T732</f>
        <v>0</v>
      </c>
      <c r="U732">
        <f>A!U732</f>
        <v>0</v>
      </c>
      <c r="V732" s="32">
        <f>IF(A!V732="&lt;",1,A!V732)</f>
        <v>0</v>
      </c>
      <c r="W732">
        <f>A!W732</f>
        <v>0</v>
      </c>
      <c r="X732">
        <f>A!X732</f>
        <v>0</v>
      </c>
      <c r="Y732">
        <f>A!Y732</f>
        <v>0</v>
      </c>
      <c r="Z732" s="32">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32"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A!CO1042</f>
        <v>0</v>
      </c>
      <c r="CR732">
        <f>A!CP732</f>
        <v>0</v>
      </c>
      <c r="CS732">
        <f>A!CQ732</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32" t="str">
        <f>IF(A!P733="","",INDEX(B!$A$1:$BT$2000,MATCH(A!P733,B!$AX$1:$AX$2000,0),D!$B$5))</f>
        <v/>
      </c>
      <c r="Q733">
        <f>A!Q733</f>
        <v>0</v>
      </c>
      <c r="R733">
        <f>A!R733</f>
        <v>0</v>
      </c>
      <c r="S733">
        <f>A!S733</f>
        <v>0</v>
      </c>
      <c r="T733">
        <f>A!T733</f>
        <v>0</v>
      </c>
      <c r="U733">
        <f>A!U733</f>
        <v>0</v>
      </c>
      <c r="V733" s="32">
        <f>IF(A!V733="&lt;",1,A!V733)</f>
        <v>0</v>
      </c>
      <c r="W733">
        <f>A!W733</f>
        <v>0</v>
      </c>
      <c r="X733">
        <f>A!X733</f>
        <v>0</v>
      </c>
      <c r="Y733">
        <f>A!Y733</f>
        <v>0</v>
      </c>
      <c r="Z733" s="32">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32"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A!CO1043</f>
        <v>0</v>
      </c>
      <c r="CR733">
        <f>A!CP733</f>
        <v>0</v>
      </c>
      <c r="CS733">
        <f>A!CQ733</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32" t="str">
        <f>IF(A!P734="","",INDEX(B!$A$1:$BT$2000,MATCH(A!P734,B!$AX$1:$AX$2000,0),D!$B$5))</f>
        <v/>
      </c>
      <c r="Q734">
        <f>A!Q734</f>
        <v>0</v>
      </c>
      <c r="R734">
        <f>A!R734</f>
        <v>0</v>
      </c>
      <c r="S734">
        <f>A!S734</f>
        <v>0</v>
      </c>
      <c r="T734">
        <f>A!T734</f>
        <v>0</v>
      </c>
      <c r="U734">
        <f>A!U734</f>
        <v>0</v>
      </c>
      <c r="V734" s="32">
        <f>IF(A!V734="&lt;",1,A!V734)</f>
        <v>0</v>
      </c>
      <c r="W734">
        <f>A!W734</f>
        <v>0</v>
      </c>
      <c r="X734">
        <f>A!X734</f>
        <v>0</v>
      </c>
      <c r="Y734">
        <f>A!Y734</f>
        <v>0</v>
      </c>
      <c r="Z734" s="32">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32"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A!CO1044</f>
        <v>0</v>
      </c>
      <c r="CR734">
        <f>A!CP734</f>
        <v>0</v>
      </c>
      <c r="CS734">
        <f>A!CQ734</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32" t="str">
        <f>IF(A!P735="","",INDEX(B!$A$1:$BT$2000,MATCH(A!P735,B!$AX$1:$AX$2000,0),D!$B$5))</f>
        <v/>
      </c>
      <c r="Q735">
        <f>A!Q735</f>
        <v>0</v>
      </c>
      <c r="R735">
        <f>A!R735</f>
        <v>0</v>
      </c>
      <c r="S735">
        <f>A!S735</f>
        <v>0</v>
      </c>
      <c r="T735">
        <f>A!T735</f>
        <v>0</v>
      </c>
      <c r="U735">
        <f>A!U735</f>
        <v>0</v>
      </c>
      <c r="V735" s="32">
        <f>IF(A!V735="&lt;",1,A!V735)</f>
        <v>0</v>
      </c>
      <c r="W735">
        <f>A!W735</f>
        <v>0</v>
      </c>
      <c r="X735">
        <f>A!X735</f>
        <v>0</v>
      </c>
      <c r="Y735">
        <f>A!Y735</f>
        <v>0</v>
      </c>
      <c r="Z735" s="32">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32"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A!CO1045</f>
        <v>0</v>
      </c>
      <c r="CR735">
        <f>A!CP735</f>
        <v>0</v>
      </c>
      <c r="CS735">
        <f>A!CQ735</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32" t="str">
        <f>IF(A!P736="","",INDEX(B!$A$1:$BT$2000,MATCH(A!P736,B!$AX$1:$AX$2000,0),D!$B$5))</f>
        <v/>
      </c>
      <c r="Q736">
        <f>A!Q736</f>
        <v>0</v>
      </c>
      <c r="R736">
        <f>A!R736</f>
        <v>0</v>
      </c>
      <c r="S736">
        <f>A!S736</f>
        <v>0</v>
      </c>
      <c r="T736">
        <f>A!T736</f>
        <v>0</v>
      </c>
      <c r="U736">
        <f>A!U736</f>
        <v>0</v>
      </c>
      <c r="V736" s="32">
        <f>IF(A!V736="&lt;",1,A!V736)</f>
        <v>0</v>
      </c>
      <c r="W736">
        <f>A!W736</f>
        <v>0</v>
      </c>
      <c r="X736">
        <f>A!X736</f>
        <v>0</v>
      </c>
      <c r="Y736">
        <f>A!Y736</f>
        <v>0</v>
      </c>
      <c r="Z736" s="32">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32"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A!CO1046</f>
        <v>0</v>
      </c>
      <c r="CR736">
        <f>A!CP736</f>
        <v>0</v>
      </c>
      <c r="CS736">
        <f>A!CQ736</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32" t="str">
        <f>IF(A!P737="","",INDEX(B!$A$1:$BT$2000,MATCH(A!P737,B!$AX$1:$AX$2000,0),D!$B$5))</f>
        <v/>
      </c>
      <c r="Q737">
        <f>A!Q737</f>
        <v>0</v>
      </c>
      <c r="R737">
        <f>A!R737</f>
        <v>0</v>
      </c>
      <c r="S737">
        <f>A!S737</f>
        <v>0</v>
      </c>
      <c r="T737">
        <f>A!T737</f>
        <v>0</v>
      </c>
      <c r="U737">
        <f>A!U737</f>
        <v>0</v>
      </c>
      <c r="V737" s="32">
        <f>IF(A!V737="&lt;",1,A!V737)</f>
        <v>0</v>
      </c>
      <c r="W737">
        <f>A!W737</f>
        <v>0</v>
      </c>
      <c r="X737">
        <f>A!X737</f>
        <v>0</v>
      </c>
      <c r="Y737">
        <f>A!Y737</f>
        <v>0</v>
      </c>
      <c r="Z737" s="32">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32"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A!CO1047</f>
        <v>0</v>
      </c>
      <c r="CR737">
        <f>A!CP737</f>
        <v>0</v>
      </c>
      <c r="CS737">
        <f>A!CQ737</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32" t="str">
        <f>IF(A!P738="","",INDEX(B!$A$1:$BT$2000,MATCH(A!P738,B!$AX$1:$AX$2000,0),D!$B$5))</f>
        <v/>
      </c>
      <c r="Q738">
        <f>A!Q738</f>
        <v>0</v>
      </c>
      <c r="R738">
        <f>A!R738</f>
        <v>0</v>
      </c>
      <c r="S738">
        <f>A!S738</f>
        <v>0</v>
      </c>
      <c r="T738">
        <f>A!T738</f>
        <v>0</v>
      </c>
      <c r="U738">
        <f>A!U738</f>
        <v>0</v>
      </c>
      <c r="V738" s="32">
        <f>IF(A!V738="&lt;",1,A!V738)</f>
        <v>0</v>
      </c>
      <c r="W738">
        <f>A!W738</f>
        <v>0</v>
      </c>
      <c r="X738">
        <f>A!X738</f>
        <v>0</v>
      </c>
      <c r="Y738">
        <f>A!Y738</f>
        <v>0</v>
      </c>
      <c r="Z738" s="32">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32"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A!CO1048</f>
        <v>0</v>
      </c>
      <c r="CR738">
        <f>A!CP738</f>
        <v>0</v>
      </c>
      <c r="CS738">
        <f>A!CQ738</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32" t="str">
        <f>IF(A!P739="","",INDEX(B!$A$1:$BT$2000,MATCH(A!P739,B!$AX$1:$AX$2000,0),D!$B$5))</f>
        <v/>
      </c>
      <c r="Q739">
        <f>A!Q739</f>
        <v>0</v>
      </c>
      <c r="R739">
        <f>A!R739</f>
        <v>0</v>
      </c>
      <c r="S739">
        <f>A!S739</f>
        <v>0</v>
      </c>
      <c r="T739">
        <f>A!T739</f>
        <v>0</v>
      </c>
      <c r="U739">
        <f>A!U739</f>
        <v>0</v>
      </c>
      <c r="V739" s="32">
        <f>IF(A!V739="&lt;",1,A!V739)</f>
        <v>0</v>
      </c>
      <c r="W739">
        <f>A!W739</f>
        <v>0</v>
      </c>
      <c r="X739">
        <f>A!X739</f>
        <v>0</v>
      </c>
      <c r="Y739">
        <f>A!Y739</f>
        <v>0</v>
      </c>
      <c r="Z739" s="32">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32"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A!CO1049</f>
        <v>0</v>
      </c>
      <c r="CR739">
        <f>A!CP739</f>
        <v>0</v>
      </c>
      <c r="CS739">
        <f>A!CQ739</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32" t="str">
        <f>IF(A!P740="","",INDEX(B!$A$1:$BT$2000,MATCH(A!P740,B!$AX$1:$AX$2000,0),D!$B$5))</f>
        <v/>
      </c>
      <c r="Q740">
        <f>A!Q740</f>
        <v>0</v>
      </c>
      <c r="R740">
        <f>A!R740</f>
        <v>0</v>
      </c>
      <c r="S740">
        <f>A!S740</f>
        <v>0</v>
      </c>
      <c r="T740">
        <f>A!T740</f>
        <v>0</v>
      </c>
      <c r="U740">
        <f>A!U740</f>
        <v>0</v>
      </c>
      <c r="V740" s="32">
        <f>IF(A!V740="&lt;",1,A!V740)</f>
        <v>0</v>
      </c>
      <c r="W740">
        <f>A!W740</f>
        <v>0</v>
      </c>
      <c r="X740">
        <f>A!X740</f>
        <v>0</v>
      </c>
      <c r="Y740">
        <f>A!Y740</f>
        <v>0</v>
      </c>
      <c r="Z740" s="32">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32"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A!CO1050</f>
        <v>0</v>
      </c>
      <c r="CR740">
        <f>A!CP740</f>
        <v>0</v>
      </c>
      <c r="CS740">
        <f>A!CQ740</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32" t="str">
        <f>IF(A!P741="","",INDEX(B!$A$1:$BT$2000,MATCH(A!P741,B!$AX$1:$AX$2000,0),D!$B$5))</f>
        <v/>
      </c>
      <c r="Q741">
        <f>A!Q741</f>
        <v>0</v>
      </c>
      <c r="R741">
        <f>A!R741</f>
        <v>0</v>
      </c>
      <c r="S741">
        <f>A!S741</f>
        <v>0</v>
      </c>
      <c r="T741">
        <f>A!T741</f>
        <v>0</v>
      </c>
      <c r="U741">
        <f>A!U741</f>
        <v>0</v>
      </c>
      <c r="V741" s="32">
        <f>IF(A!V741="&lt;",1,A!V741)</f>
        <v>0</v>
      </c>
      <c r="W741">
        <f>A!W741</f>
        <v>0</v>
      </c>
      <c r="X741">
        <f>A!X741</f>
        <v>0</v>
      </c>
      <c r="Y741">
        <f>A!Y741</f>
        <v>0</v>
      </c>
      <c r="Z741" s="32">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32"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A!CO1051</f>
        <v>0</v>
      </c>
      <c r="CR741">
        <f>A!CP741</f>
        <v>0</v>
      </c>
      <c r="CS741">
        <f>A!CQ741</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32" t="str">
        <f>IF(A!P742="","",INDEX(B!$A$1:$BT$2000,MATCH(A!P742,B!$AX$1:$AX$2000,0),D!$B$5))</f>
        <v/>
      </c>
      <c r="Q742">
        <f>A!Q742</f>
        <v>0</v>
      </c>
      <c r="R742">
        <f>A!R742</f>
        <v>0</v>
      </c>
      <c r="S742">
        <f>A!S742</f>
        <v>0</v>
      </c>
      <c r="T742">
        <f>A!T742</f>
        <v>0</v>
      </c>
      <c r="U742">
        <f>A!U742</f>
        <v>0</v>
      </c>
      <c r="V742" s="32">
        <f>IF(A!V742="&lt;",1,A!V742)</f>
        <v>0</v>
      </c>
      <c r="W742">
        <f>A!W742</f>
        <v>0</v>
      </c>
      <c r="X742">
        <f>A!X742</f>
        <v>0</v>
      </c>
      <c r="Y742">
        <f>A!Y742</f>
        <v>0</v>
      </c>
      <c r="Z742" s="32">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32"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A!CO1052</f>
        <v>0</v>
      </c>
      <c r="CR742">
        <f>A!CP742</f>
        <v>0</v>
      </c>
      <c r="CS742">
        <f>A!CQ742</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32" t="str">
        <f>IF(A!P743="","",INDEX(B!$A$1:$BT$2000,MATCH(A!P743,B!$AX$1:$AX$2000,0),D!$B$5))</f>
        <v/>
      </c>
      <c r="Q743">
        <f>A!Q743</f>
        <v>0</v>
      </c>
      <c r="R743">
        <f>A!R743</f>
        <v>0</v>
      </c>
      <c r="S743">
        <f>A!S743</f>
        <v>0</v>
      </c>
      <c r="T743">
        <f>A!T743</f>
        <v>0</v>
      </c>
      <c r="U743">
        <f>A!U743</f>
        <v>0</v>
      </c>
      <c r="V743" s="32">
        <f>IF(A!V743="&lt;",1,A!V743)</f>
        <v>0</v>
      </c>
      <c r="W743">
        <f>A!W743</f>
        <v>0</v>
      </c>
      <c r="X743">
        <f>A!X743</f>
        <v>0</v>
      </c>
      <c r="Y743">
        <f>A!Y743</f>
        <v>0</v>
      </c>
      <c r="Z743" s="32">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32"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A!CO1053</f>
        <v>0</v>
      </c>
      <c r="CR743">
        <f>A!CP743</f>
        <v>0</v>
      </c>
      <c r="CS743">
        <f>A!CQ743</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32" t="str">
        <f>IF(A!P744="","",INDEX(B!$A$1:$BT$2000,MATCH(A!P744,B!$AX$1:$AX$2000,0),D!$B$5))</f>
        <v/>
      </c>
      <c r="Q744">
        <f>A!Q744</f>
        <v>0</v>
      </c>
      <c r="R744">
        <f>A!R744</f>
        <v>0</v>
      </c>
      <c r="S744">
        <f>A!S744</f>
        <v>0</v>
      </c>
      <c r="T744">
        <f>A!T744</f>
        <v>0</v>
      </c>
      <c r="U744">
        <f>A!U744</f>
        <v>0</v>
      </c>
      <c r="V744" s="32">
        <f>IF(A!V744="&lt;",1,A!V744)</f>
        <v>0</v>
      </c>
      <c r="W744">
        <f>A!W744</f>
        <v>0</v>
      </c>
      <c r="X744">
        <f>A!X744</f>
        <v>0</v>
      </c>
      <c r="Y744">
        <f>A!Y744</f>
        <v>0</v>
      </c>
      <c r="Z744" s="32">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32"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A!CO1054</f>
        <v>0</v>
      </c>
      <c r="CR744">
        <f>A!CP744</f>
        <v>0</v>
      </c>
      <c r="CS744">
        <f>A!CQ744</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32" t="str">
        <f>IF(A!P745="","",INDEX(B!$A$1:$BT$2000,MATCH(A!P745,B!$AX$1:$AX$2000,0),D!$B$5))</f>
        <v/>
      </c>
      <c r="Q745">
        <f>A!Q745</f>
        <v>0</v>
      </c>
      <c r="R745">
        <f>A!R745</f>
        <v>0</v>
      </c>
      <c r="S745">
        <f>A!S745</f>
        <v>0</v>
      </c>
      <c r="T745">
        <f>A!T745</f>
        <v>0</v>
      </c>
      <c r="U745">
        <f>A!U745</f>
        <v>0</v>
      </c>
      <c r="V745" s="32">
        <f>IF(A!V745="&lt;",1,A!V745)</f>
        <v>0</v>
      </c>
      <c r="W745">
        <f>A!W745</f>
        <v>0</v>
      </c>
      <c r="X745">
        <f>A!X745</f>
        <v>0</v>
      </c>
      <c r="Y745">
        <f>A!Y745</f>
        <v>0</v>
      </c>
      <c r="Z745" s="32">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32"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A!CO1055</f>
        <v>0</v>
      </c>
      <c r="CR745">
        <f>A!CP745</f>
        <v>0</v>
      </c>
      <c r="CS745">
        <f>A!CQ745</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32" t="str">
        <f>IF(A!P746="","",INDEX(B!$A$1:$BT$2000,MATCH(A!P746,B!$AX$1:$AX$2000,0),D!$B$5))</f>
        <v/>
      </c>
      <c r="Q746">
        <f>A!Q746</f>
        <v>0</v>
      </c>
      <c r="R746">
        <f>A!R746</f>
        <v>0</v>
      </c>
      <c r="S746">
        <f>A!S746</f>
        <v>0</v>
      </c>
      <c r="T746">
        <f>A!T746</f>
        <v>0</v>
      </c>
      <c r="U746">
        <f>A!U746</f>
        <v>0</v>
      </c>
      <c r="V746" s="32">
        <f>IF(A!V746="&lt;",1,A!V746)</f>
        <v>0</v>
      </c>
      <c r="W746">
        <f>A!W746</f>
        <v>0</v>
      </c>
      <c r="X746">
        <f>A!X746</f>
        <v>0</v>
      </c>
      <c r="Y746">
        <f>A!Y746</f>
        <v>0</v>
      </c>
      <c r="Z746" s="32">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32"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A!CO1056</f>
        <v>0</v>
      </c>
      <c r="CR746">
        <f>A!CP746</f>
        <v>0</v>
      </c>
      <c r="CS746">
        <f>A!CQ746</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32" t="str">
        <f>IF(A!P747="","",INDEX(B!$A$1:$BT$2000,MATCH(A!P747,B!$AX$1:$AX$2000,0),D!$B$5))</f>
        <v/>
      </c>
      <c r="Q747">
        <f>A!Q747</f>
        <v>0</v>
      </c>
      <c r="R747">
        <f>A!R747</f>
        <v>0</v>
      </c>
      <c r="S747">
        <f>A!S747</f>
        <v>0</v>
      </c>
      <c r="T747">
        <f>A!T747</f>
        <v>0</v>
      </c>
      <c r="U747">
        <f>A!U747</f>
        <v>0</v>
      </c>
      <c r="V747" s="32">
        <f>IF(A!V747="&lt;",1,A!V747)</f>
        <v>0</v>
      </c>
      <c r="W747">
        <f>A!W747</f>
        <v>0</v>
      </c>
      <c r="X747">
        <f>A!X747</f>
        <v>0</v>
      </c>
      <c r="Y747">
        <f>A!Y747</f>
        <v>0</v>
      </c>
      <c r="Z747" s="32">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32"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A!CO1057</f>
        <v>0</v>
      </c>
      <c r="CR747">
        <f>A!CP747</f>
        <v>0</v>
      </c>
      <c r="CS747">
        <f>A!CQ747</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32" t="str">
        <f>IF(A!P748="","",INDEX(B!$A$1:$BT$2000,MATCH(A!P748,B!$AX$1:$AX$2000,0),D!$B$5))</f>
        <v/>
      </c>
      <c r="Q748">
        <f>A!Q748</f>
        <v>0</v>
      </c>
      <c r="R748">
        <f>A!R748</f>
        <v>0</v>
      </c>
      <c r="S748">
        <f>A!S748</f>
        <v>0</v>
      </c>
      <c r="T748">
        <f>A!T748</f>
        <v>0</v>
      </c>
      <c r="U748">
        <f>A!U748</f>
        <v>0</v>
      </c>
      <c r="V748" s="32">
        <f>IF(A!V748="&lt;",1,A!V748)</f>
        <v>0</v>
      </c>
      <c r="W748">
        <f>A!W748</f>
        <v>0</v>
      </c>
      <c r="X748">
        <f>A!X748</f>
        <v>0</v>
      </c>
      <c r="Y748">
        <f>A!Y748</f>
        <v>0</v>
      </c>
      <c r="Z748" s="32">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32"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A!CO1058</f>
        <v>0</v>
      </c>
      <c r="CR748">
        <f>A!CP748</f>
        <v>0</v>
      </c>
      <c r="CS748">
        <f>A!CQ748</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32" t="str">
        <f>IF(A!P749="","",INDEX(B!$A$1:$BT$2000,MATCH(A!P749,B!$AX$1:$AX$2000,0),D!$B$5))</f>
        <v/>
      </c>
      <c r="Q749">
        <f>A!Q749</f>
        <v>0</v>
      </c>
      <c r="R749">
        <f>A!R749</f>
        <v>0</v>
      </c>
      <c r="S749">
        <f>A!S749</f>
        <v>0</v>
      </c>
      <c r="T749">
        <f>A!T749</f>
        <v>0</v>
      </c>
      <c r="U749">
        <f>A!U749</f>
        <v>0</v>
      </c>
      <c r="V749" s="32">
        <f>IF(A!V749="&lt;",1,A!V749)</f>
        <v>0</v>
      </c>
      <c r="W749">
        <f>A!W749</f>
        <v>0</v>
      </c>
      <c r="X749">
        <f>A!X749</f>
        <v>0</v>
      </c>
      <c r="Y749">
        <f>A!Y749</f>
        <v>0</v>
      </c>
      <c r="Z749" s="32">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32"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A!CO1059</f>
        <v>0</v>
      </c>
      <c r="CR749">
        <f>A!CP749</f>
        <v>0</v>
      </c>
      <c r="CS749">
        <f>A!CQ749</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32" t="str">
        <f>IF(A!P750="","",INDEX(B!$A$1:$BT$2000,MATCH(A!P750,B!$AX$1:$AX$2000,0),D!$B$5))</f>
        <v/>
      </c>
      <c r="Q750">
        <f>A!Q750</f>
        <v>0</v>
      </c>
      <c r="R750">
        <f>A!R750</f>
        <v>0</v>
      </c>
      <c r="S750">
        <f>A!S750</f>
        <v>0</v>
      </c>
      <c r="T750">
        <f>A!T750</f>
        <v>0</v>
      </c>
      <c r="U750">
        <f>A!U750</f>
        <v>0</v>
      </c>
      <c r="V750" s="32">
        <f>IF(A!V750="&lt;",1,A!V750)</f>
        <v>0</v>
      </c>
      <c r="W750">
        <f>A!W750</f>
        <v>0</v>
      </c>
      <c r="X750">
        <f>A!X750</f>
        <v>0</v>
      </c>
      <c r="Y750">
        <f>A!Y750</f>
        <v>0</v>
      </c>
      <c r="Z750" s="32">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32"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A!CO1060</f>
        <v>0</v>
      </c>
      <c r="CR750">
        <f>A!CP750</f>
        <v>0</v>
      </c>
      <c r="CS750">
        <f>A!CQ750</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32" t="str">
        <f>IF(A!P751="","",INDEX(B!$A$1:$BT$2000,MATCH(A!P751,B!$AX$1:$AX$2000,0),D!$B$5))</f>
        <v/>
      </c>
      <c r="Q751">
        <f>A!Q751</f>
        <v>0</v>
      </c>
      <c r="R751">
        <f>A!R751</f>
        <v>0</v>
      </c>
      <c r="S751">
        <f>A!S751</f>
        <v>0</v>
      </c>
      <c r="T751">
        <f>A!T751</f>
        <v>0</v>
      </c>
      <c r="U751">
        <f>A!U751</f>
        <v>0</v>
      </c>
      <c r="V751" s="32">
        <f>IF(A!V751="&lt;",1,A!V751)</f>
        <v>0</v>
      </c>
      <c r="W751">
        <f>A!W751</f>
        <v>0</v>
      </c>
      <c r="X751">
        <f>A!X751</f>
        <v>0</v>
      </c>
      <c r="Y751">
        <f>A!Y751</f>
        <v>0</v>
      </c>
      <c r="Z751" s="32">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32"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A!CO1061</f>
        <v>0</v>
      </c>
      <c r="CR751">
        <f>A!CP751</f>
        <v>0</v>
      </c>
      <c r="CS751">
        <f>A!CQ751</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32" t="str">
        <f>IF(A!P752="","",INDEX(B!$A$1:$BT$2000,MATCH(A!P752,B!$AX$1:$AX$2000,0),D!$B$5))</f>
        <v/>
      </c>
      <c r="Q752">
        <f>A!Q752</f>
        <v>0</v>
      </c>
      <c r="R752">
        <f>A!R752</f>
        <v>0</v>
      </c>
      <c r="S752">
        <f>A!S752</f>
        <v>0</v>
      </c>
      <c r="T752">
        <f>A!T752</f>
        <v>0</v>
      </c>
      <c r="U752">
        <f>A!U752</f>
        <v>0</v>
      </c>
      <c r="V752" s="32">
        <f>IF(A!V752="&lt;",1,A!V752)</f>
        <v>0</v>
      </c>
      <c r="W752">
        <f>A!W752</f>
        <v>0</v>
      </c>
      <c r="X752">
        <f>A!X752</f>
        <v>0</v>
      </c>
      <c r="Y752">
        <f>A!Y752</f>
        <v>0</v>
      </c>
      <c r="Z752" s="32">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32"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A!CO1062</f>
        <v>0</v>
      </c>
      <c r="CR752">
        <f>A!CP752</f>
        <v>0</v>
      </c>
      <c r="CS752">
        <f>A!CQ752</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32" t="str">
        <f>IF(A!P753="","",INDEX(B!$A$1:$BT$2000,MATCH(A!P753,B!$AX$1:$AX$2000,0),D!$B$5))</f>
        <v/>
      </c>
      <c r="Q753">
        <f>A!Q753</f>
        <v>0</v>
      </c>
      <c r="R753">
        <f>A!R753</f>
        <v>0</v>
      </c>
      <c r="S753">
        <f>A!S753</f>
        <v>0</v>
      </c>
      <c r="T753">
        <f>A!T753</f>
        <v>0</v>
      </c>
      <c r="U753">
        <f>A!U753</f>
        <v>0</v>
      </c>
      <c r="V753" s="32">
        <f>IF(A!V753="&lt;",1,A!V753)</f>
        <v>0</v>
      </c>
      <c r="W753">
        <f>A!W753</f>
        <v>0</v>
      </c>
      <c r="X753">
        <f>A!X753</f>
        <v>0</v>
      </c>
      <c r="Y753">
        <f>A!Y753</f>
        <v>0</v>
      </c>
      <c r="Z753" s="32">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32"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A!CO1063</f>
        <v>0</v>
      </c>
      <c r="CR753">
        <f>A!CP753</f>
        <v>0</v>
      </c>
      <c r="CS753">
        <f>A!CQ753</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32" t="str">
        <f>IF(A!P754="","",INDEX(B!$A$1:$BT$2000,MATCH(A!P754,B!$AX$1:$AX$2000,0),D!$B$5))</f>
        <v/>
      </c>
      <c r="Q754">
        <f>A!Q754</f>
        <v>0</v>
      </c>
      <c r="R754">
        <f>A!R754</f>
        <v>0</v>
      </c>
      <c r="S754">
        <f>A!S754</f>
        <v>0</v>
      </c>
      <c r="T754">
        <f>A!T754</f>
        <v>0</v>
      </c>
      <c r="U754">
        <f>A!U754</f>
        <v>0</v>
      </c>
      <c r="V754" s="32">
        <f>IF(A!V754="&lt;",1,A!V754)</f>
        <v>0</v>
      </c>
      <c r="W754">
        <f>A!W754</f>
        <v>0</v>
      </c>
      <c r="X754">
        <f>A!X754</f>
        <v>0</v>
      </c>
      <c r="Y754">
        <f>A!Y754</f>
        <v>0</v>
      </c>
      <c r="Z754" s="32">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32"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A!CO1064</f>
        <v>0</v>
      </c>
      <c r="CR754">
        <f>A!CP754</f>
        <v>0</v>
      </c>
      <c r="CS754">
        <f>A!CQ754</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32" t="str">
        <f>IF(A!P755="","",INDEX(B!$A$1:$BT$2000,MATCH(A!P755,B!$AX$1:$AX$2000,0),D!$B$5))</f>
        <v/>
      </c>
      <c r="Q755">
        <f>A!Q755</f>
        <v>0</v>
      </c>
      <c r="R755">
        <f>A!R755</f>
        <v>0</v>
      </c>
      <c r="S755">
        <f>A!S755</f>
        <v>0</v>
      </c>
      <c r="T755">
        <f>A!T755</f>
        <v>0</v>
      </c>
      <c r="U755">
        <f>A!U755</f>
        <v>0</v>
      </c>
      <c r="V755" s="32">
        <f>IF(A!V755="&lt;",1,A!V755)</f>
        <v>0</v>
      </c>
      <c r="W755">
        <f>A!W755</f>
        <v>0</v>
      </c>
      <c r="X755">
        <f>A!X755</f>
        <v>0</v>
      </c>
      <c r="Y755">
        <f>A!Y755</f>
        <v>0</v>
      </c>
      <c r="Z755" s="32">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32"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A!CO1065</f>
        <v>0</v>
      </c>
      <c r="CR755">
        <f>A!CP755</f>
        <v>0</v>
      </c>
      <c r="CS755">
        <f>A!CQ755</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32" t="str">
        <f>IF(A!P756="","",INDEX(B!$A$1:$BT$2000,MATCH(A!P756,B!$AX$1:$AX$2000,0),D!$B$5))</f>
        <v/>
      </c>
      <c r="Q756">
        <f>A!Q756</f>
        <v>0</v>
      </c>
      <c r="R756">
        <f>A!R756</f>
        <v>0</v>
      </c>
      <c r="S756">
        <f>A!S756</f>
        <v>0</v>
      </c>
      <c r="T756">
        <f>A!T756</f>
        <v>0</v>
      </c>
      <c r="U756">
        <f>A!U756</f>
        <v>0</v>
      </c>
      <c r="V756" s="32">
        <f>IF(A!V756="&lt;",1,A!V756)</f>
        <v>0</v>
      </c>
      <c r="W756">
        <f>A!W756</f>
        <v>0</v>
      </c>
      <c r="X756">
        <f>A!X756</f>
        <v>0</v>
      </c>
      <c r="Y756">
        <f>A!Y756</f>
        <v>0</v>
      </c>
      <c r="Z756" s="32">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32"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A!CO1066</f>
        <v>0</v>
      </c>
      <c r="CR756">
        <f>A!CP756</f>
        <v>0</v>
      </c>
      <c r="CS756">
        <f>A!CQ756</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32" t="str">
        <f>IF(A!P757="","",INDEX(B!$A$1:$BT$2000,MATCH(A!P757,B!$AX$1:$AX$2000,0),D!$B$5))</f>
        <v/>
      </c>
      <c r="Q757">
        <f>A!Q757</f>
        <v>0</v>
      </c>
      <c r="R757">
        <f>A!R757</f>
        <v>0</v>
      </c>
      <c r="S757">
        <f>A!S757</f>
        <v>0</v>
      </c>
      <c r="T757">
        <f>A!T757</f>
        <v>0</v>
      </c>
      <c r="U757">
        <f>A!U757</f>
        <v>0</v>
      </c>
      <c r="V757" s="32">
        <f>IF(A!V757="&lt;",1,A!V757)</f>
        <v>0</v>
      </c>
      <c r="W757">
        <f>A!W757</f>
        <v>0</v>
      </c>
      <c r="X757">
        <f>A!X757</f>
        <v>0</v>
      </c>
      <c r="Y757">
        <f>A!Y757</f>
        <v>0</v>
      </c>
      <c r="Z757" s="32">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32"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A!CO1067</f>
        <v>0</v>
      </c>
      <c r="CR757">
        <f>A!CP757</f>
        <v>0</v>
      </c>
      <c r="CS757">
        <f>A!CQ757</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32" t="str">
        <f>IF(A!P758="","",INDEX(B!$A$1:$BT$2000,MATCH(A!P758,B!$AX$1:$AX$2000,0),D!$B$5))</f>
        <v/>
      </c>
      <c r="Q758">
        <f>A!Q758</f>
        <v>0</v>
      </c>
      <c r="R758">
        <f>A!R758</f>
        <v>0</v>
      </c>
      <c r="S758">
        <f>A!S758</f>
        <v>0</v>
      </c>
      <c r="T758">
        <f>A!T758</f>
        <v>0</v>
      </c>
      <c r="U758">
        <f>A!U758</f>
        <v>0</v>
      </c>
      <c r="V758" s="32">
        <f>IF(A!V758="&lt;",1,A!V758)</f>
        <v>0</v>
      </c>
      <c r="W758">
        <f>A!W758</f>
        <v>0</v>
      </c>
      <c r="X758">
        <f>A!X758</f>
        <v>0</v>
      </c>
      <c r="Y758">
        <f>A!Y758</f>
        <v>0</v>
      </c>
      <c r="Z758" s="32">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32"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A!CO1068</f>
        <v>0</v>
      </c>
      <c r="CR758">
        <f>A!CP758</f>
        <v>0</v>
      </c>
      <c r="CS758">
        <f>A!CQ758</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32" t="str">
        <f>IF(A!P759="","",INDEX(B!$A$1:$BT$2000,MATCH(A!P759,B!$AX$1:$AX$2000,0),D!$B$5))</f>
        <v/>
      </c>
      <c r="Q759">
        <f>A!Q759</f>
        <v>0</v>
      </c>
      <c r="R759">
        <f>A!R759</f>
        <v>0</v>
      </c>
      <c r="S759">
        <f>A!S759</f>
        <v>0</v>
      </c>
      <c r="T759">
        <f>A!T759</f>
        <v>0</v>
      </c>
      <c r="U759">
        <f>A!U759</f>
        <v>0</v>
      </c>
      <c r="V759" s="32">
        <f>IF(A!V759="&lt;",1,A!V759)</f>
        <v>0</v>
      </c>
      <c r="W759">
        <f>A!W759</f>
        <v>0</v>
      </c>
      <c r="X759">
        <f>A!X759</f>
        <v>0</v>
      </c>
      <c r="Y759">
        <f>A!Y759</f>
        <v>0</v>
      </c>
      <c r="Z759" s="32">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32"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A!CO1069</f>
        <v>0</v>
      </c>
      <c r="CR759">
        <f>A!CP759</f>
        <v>0</v>
      </c>
      <c r="CS759">
        <f>A!CQ759</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32" t="str">
        <f>IF(A!P760="","",INDEX(B!$A$1:$BT$2000,MATCH(A!P760,B!$AX$1:$AX$2000,0),D!$B$5))</f>
        <v/>
      </c>
      <c r="Q760">
        <f>A!Q760</f>
        <v>0</v>
      </c>
      <c r="R760">
        <f>A!R760</f>
        <v>0</v>
      </c>
      <c r="S760">
        <f>A!S760</f>
        <v>0</v>
      </c>
      <c r="T760">
        <f>A!T760</f>
        <v>0</v>
      </c>
      <c r="U760">
        <f>A!U760</f>
        <v>0</v>
      </c>
      <c r="V760" s="32">
        <f>IF(A!V760="&lt;",1,A!V760)</f>
        <v>0</v>
      </c>
      <c r="W760">
        <f>A!W760</f>
        <v>0</v>
      </c>
      <c r="X760">
        <f>A!X760</f>
        <v>0</v>
      </c>
      <c r="Y760">
        <f>A!Y760</f>
        <v>0</v>
      </c>
      <c r="Z760" s="32">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32"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A!CO1070</f>
        <v>0</v>
      </c>
      <c r="CR760">
        <f>A!CP760</f>
        <v>0</v>
      </c>
      <c r="CS760">
        <f>A!CQ760</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32" t="str">
        <f>IF(A!P761="","",INDEX(B!$A$1:$BT$2000,MATCH(A!P761,B!$AX$1:$AX$2000,0),D!$B$5))</f>
        <v/>
      </c>
      <c r="Q761">
        <f>A!Q761</f>
        <v>0</v>
      </c>
      <c r="R761">
        <f>A!R761</f>
        <v>0</v>
      </c>
      <c r="S761">
        <f>A!S761</f>
        <v>0</v>
      </c>
      <c r="T761">
        <f>A!T761</f>
        <v>0</v>
      </c>
      <c r="U761">
        <f>A!U761</f>
        <v>0</v>
      </c>
      <c r="V761" s="32">
        <f>IF(A!V761="&lt;",1,A!V761)</f>
        <v>0</v>
      </c>
      <c r="W761">
        <f>A!W761</f>
        <v>0</v>
      </c>
      <c r="X761">
        <f>A!X761</f>
        <v>0</v>
      </c>
      <c r="Y761">
        <f>A!Y761</f>
        <v>0</v>
      </c>
      <c r="Z761" s="32">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32"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A!CO1071</f>
        <v>0</v>
      </c>
      <c r="CR761">
        <f>A!CP761</f>
        <v>0</v>
      </c>
      <c r="CS761">
        <f>A!CQ761</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32" t="str">
        <f>IF(A!P762="","",INDEX(B!$A$1:$BT$2000,MATCH(A!P762,B!$AX$1:$AX$2000,0),D!$B$5))</f>
        <v/>
      </c>
      <c r="Q762">
        <f>A!Q762</f>
        <v>0</v>
      </c>
      <c r="R762">
        <f>A!R762</f>
        <v>0</v>
      </c>
      <c r="S762">
        <f>A!S762</f>
        <v>0</v>
      </c>
      <c r="T762">
        <f>A!T762</f>
        <v>0</v>
      </c>
      <c r="U762">
        <f>A!U762</f>
        <v>0</v>
      </c>
      <c r="V762" s="32">
        <f>IF(A!V762="&lt;",1,A!V762)</f>
        <v>0</v>
      </c>
      <c r="W762">
        <f>A!W762</f>
        <v>0</v>
      </c>
      <c r="X762">
        <f>A!X762</f>
        <v>0</v>
      </c>
      <c r="Y762">
        <f>A!Y762</f>
        <v>0</v>
      </c>
      <c r="Z762" s="32">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32"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A!CO1072</f>
        <v>0</v>
      </c>
      <c r="CR762">
        <f>A!CP762</f>
        <v>0</v>
      </c>
      <c r="CS762">
        <f>A!CQ762</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32" t="str">
        <f>IF(A!P763="","",INDEX(B!$A$1:$BT$2000,MATCH(A!P763,B!$AX$1:$AX$2000,0),D!$B$5))</f>
        <v/>
      </c>
      <c r="Q763">
        <f>A!Q763</f>
        <v>0</v>
      </c>
      <c r="R763">
        <f>A!R763</f>
        <v>0</v>
      </c>
      <c r="S763">
        <f>A!S763</f>
        <v>0</v>
      </c>
      <c r="T763">
        <f>A!T763</f>
        <v>0</v>
      </c>
      <c r="U763">
        <f>A!U763</f>
        <v>0</v>
      </c>
      <c r="V763" s="32">
        <f>IF(A!V763="&lt;",1,A!V763)</f>
        <v>0</v>
      </c>
      <c r="W763">
        <f>A!W763</f>
        <v>0</v>
      </c>
      <c r="X763">
        <f>A!X763</f>
        <v>0</v>
      </c>
      <c r="Y763">
        <f>A!Y763</f>
        <v>0</v>
      </c>
      <c r="Z763" s="32">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32"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A!CO1073</f>
        <v>0</v>
      </c>
      <c r="CR763">
        <f>A!CP763</f>
        <v>0</v>
      </c>
      <c r="CS763">
        <f>A!CQ763</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32" t="str">
        <f>IF(A!P764="","",INDEX(B!$A$1:$BT$2000,MATCH(A!P764,B!$AX$1:$AX$2000,0),D!$B$5))</f>
        <v/>
      </c>
      <c r="Q764">
        <f>A!Q764</f>
        <v>0</v>
      </c>
      <c r="R764">
        <f>A!R764</f>
        <v>0</v>
      </c>
      <c r="S764">
        <f>A!S764</f>
        <v>0</v>
      </c>
      <c r="T764">
        <f>A!T764</f>
        <v>0</v>
      </c>
      <c r="U764">
        <f>A!U764</f>
        <v>0</v>
      </c>
      <c r="V764" s="32">
        <f>IF(A!V764="&lt;",1,A!V764)</f>
        <v>0</v>
      </c>
      <c r="W764">
        <f>A!W764</f>
        <v>0</v>
      </c>
      <c r="X764">
        <f>A!X764</f>
        <v>0</v>
      </c>
      <c r="Y764">
        <f>A!Y764</f>
        <v>0</v>
      </c>
      <c r="Z764" s="32">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32"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A!CO1074</f>
        <v>0</v>
      </c>
      <c r="CR764">
        <f>A!CP764</f>
        <v>0</v>
      </c>
      <c r="CS764">
        <f>A!CQ764</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32" t="str">
        <f>IF(A!P765="","",INDEX(B!$A$1:$BT$2000,MATCH(A!P765,B!$AX$1:$AX$2000,0),D!$B$5))</f>
        <v/>
      </c>
      <c r="Q765">
        <f>A!Q765</f>
        <v>0</v>
      </c>
      <c r="R765">
        <f>A!R765</f>
        <v>0</v>
      </c>
      <c r="S765">
        <f>A!S765</f>
        <v>0</v>
      </c>
      <c r="T765">
        <f>A!T765</f>
        <v>0</v>
      </c>
      <c r="U765">
        <f>A!U765</f>
        <v>0</v>
      </c>
      <c r="V765" s="32">
        <f>IF(A!V765="&lt;",1,A!V765)</f>
        <v>0</v>
      </c>
      <c r="W765">
        <f>A!W765</f>
        <v>0</v>
      </c>
      <c r="X765">
        <f>A!X765</f>
        <v>0</v>
      </c>
      <c r="Y765">
        <f>A!Y765</f>
        <v>0</v>
      </c>
      <c r="Z765" s="32">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32"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A!CO1075</f>
        <v>0</v>
      </c>
      <c r="CR765">
        <f>A!CP765</f>
        <v>0</v>
      </c>
      <c r="CS765">
        <f>A!CQ765</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32" t="str">
        <f>IF(A!P766="","",INDEX(B!$A$1:$BT$2000,MATCH(A!P766,B!$AX$1:$AX$2000,0),D!$B$5))</f>
        <v/>
      </c>
      <c r="Q766">
        <f>A!Q766</f>
        <v>0</v>
      </c>
      <c r="R766">
        <f>A!R766</f>
        <v>0</v>
      </c>
      <c r="S766">
        <f>A!S766</f>
        <v>0</v>
      </c>
      <c r="T766">
        <f>A!T766</f>
        <v>0</v>
      </c>
      <c r="U766">
        <f>A!U766</f>
        <v>0</v>
      </c>
      <c r="V766" s="32">
        <f>IF(A!V766="&lt;",1,A!V766)</f>
        <v>0</v>
      </c>
      <c r="W766">
        <f>A!W766</f>
        <v>0</v>
      </c>
      <c r="X766">
        <f>A!X766</f>
        <v>0</v>
      </c>
      <c r="Y766">
        <f>A!Y766</f>
        <v>0</v>
      </c>
      <c r="Z766" s="32">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32"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A!CO1076</f>
        <v>0</v>
      </c>
      <c r="CR766">
        <f>A!CP766</f>
        <v>0</v>
      </c>
      <c r="CS766">
        <f>A!CQ766</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32" t="str">
        <f>IF(A!P767="","",INDEX(B!$A$1:$BT$2000,MATCH(A!P767,B!$AX$1:$AX$2000,0),D!$B$5))</f>
        <v/>
      </c>
      <c r="Q767">
        <f>A!Q767</f>
        <v>0</v>
      </c>
      <c r="R767">
        <f>A!R767</f>
        <v>0</v>
      </c>
      <c r="S767">
        <f>A!S767</f>
        <v>0</v>
      </c>
      <c r="T767">
        <f>A!T767</f>
        <v>0</v>
      </c>
      <c r="U767">
        <f>A!U767</f>
        <v>0</v>
      </c>
      <c r="V767" s="32">
        <f>IF(A!V767="&lt;",1,A!V767)</f>
        <v>0</v>
      </c>
      <c r="W767">
        <f>A!W767</f>
        <v>0</v>
      </c>
      <c r="X767">
        <f>A!X767</f>
        <v>0</v>
      </c>
      <c r="Y767">
        <f>A!Y767</f>
        <v>0</v>
      </c>
      <c r="Z767" s="32">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32"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A!CO1077</f>
        <v>0</v>
      </c>
      <c r="CR767">
        <f>A!CP767</f>
        <v>0</v>
      </c>
      <c r="CS767">
        <f>A!CQ767</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32" t="str">
        <f>IF(A!P768="","",INDEX(B!$A$1:$BT$2000,MATCH(A!P768,B!$AX$1:$AX$2000,0),D!$B$5))</f>
        <v/>
      </c>
      <c r="Q768">
        <f>A!Q768</f>
        <v>0</v>
      </c>
      <c r="R768">
        <f>A!R768</f>
        <v>0</v>
      </c>
      <c r="S768">
        <f>A!S768</f>
        <v>0</v>
      </c>
      <c r="T768">
        <f>A!T768</f>
        <v>0</v>
      </c>
      <c r="U768">
        <f>A!U768</f>
        <v>0</v>
      </c>
      <c r="V768" s="32">
        <f>IF(A!V768="&lt;",1,A!V768)</f>
        <v>0</v>
      </c>
      <c r="W768">
        <f>A!W768</f>
        <v>0</v>
      </c>
      <c r="X768">
        <f>A!X768</f>
        <v>0</v>
      </c>
      <c r="Y768">
        <f>A!Y768</f>
        <v>0</v>
      </c>
      <c r="Z768" s="32">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32"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A!CO1078</f>
        <v>0</v>
      </c>
      <c r="CR768">
        <f>A!CP768</f>
        <v>0</v>
      </c>
      <c r="CS768">
        <f>A!CQ768</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32" t="str">
        <f>IF(A!P769="","",INDEX(B!$A$1:$BT$2000,MATCH(A!P769,B!$AX$1:$AX$2000,0),D!$B$5))</f>
        <v/>
      </c>
      <c r="Q769">
        <f>A!Q769</f>
        <v>0</v>
      </c>
      <c r="R769">
        <f>A!R769</f>
        <v>0</v>
      </c>
      <c r="S769">
        <f>A!S769</f>
        <v>0</v>
      </c>
      <c r="T769">
        <f>A!T769</f>
        <v>0</v>
      </c>
      <c r="U769">
        <f>A!U769</f>
        <v>0</v>
      </c>
      <c r="V769" s="32">
        <f>IF(A!V769="&lt;",1,A!V769)</f>
        <v>0</v>
      </c>
      <c r="W769">
        <f>A!W769</f>
        <v>0</v>
      </c>
      <c r="X769">
        <f>A!X769</f>
        <v>0</v>
      </c>
      <c r="Y769">
        <f>A!Y769</f>
        <v>0</v>
      </c>
      <c r="Z769" s="32">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32"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A!CO1079</f>
        <v>0</v>
      </c>
      <c r="CR769">
        <f>A!CP769</f>
        <v>0</v>
      </c>
      <c r="CS769">
        <f>A!CQ769</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32" t="str">
        <f>IF(A!P770="","",INDEX(B!$A$1:$BT$2000,MATCH(A!P770,B!$AX$1:$AX$2000,0),D!$B$5))</f>
        <v/>
      </c>
      <c r="Q770">
        <f>A!Q770</f>
        <v>0</v>
      </c>
      <c r="R770">
        <f>A!R770</f>
        <v>0</v>
      </c>
      <c r="S770">
        <f>A!S770</f>
        <v>0</v>
      </c>
      <c r="T770">
        <f>A!T770</f>
        <v>0</v>
      </c>
      <c r="U770">
        <f>A!U770</f>
        <v>0</v>
      </c>
      <c r="V770" s="32">
        <f>IF(A!V770="&lt;",1,A!V770)</f>
        <v>0</v>
      </c>
      <c r="W770">
        <f>A!W770</f>
        <v>0</v>
      </c>
      <c r="X770">
        <f>A!X770</f>
        <v>0</v>
      </c>
      <c r="Y770">
        <f>A!Y770</f>
        <v>0</v>
      </c>
      <c r="Z770" s="32">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32"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A!CO1080</f>
        <v>0</v>
      </c>
      <c r="CR770">
        <f>A!CP770</f>
        <v>0</v>
      </c>
      <c r="CS770">
        <f>A!CQ770</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32" t="str">
        <f>IF(A!P771="","",INDEX(B!$A$1:$BT$2000,MATCH(A!P771,B!$AX$1:$AX$2000,0),D!$B$5))</f>
        <v/>
      </c>
      <c r="Q771">
        <f>A!Q771</f>
        <v>0</v>
      </c>
      <c r="R771">
        <f>A!R771</f>
        <v>0</v>
      </c>
      <c r="S771">
        <f>A!S771</f>
        <v>0</v>
      </c>
      <c r="T771">
        <f>A!T771</f>
        <v>0</v>
      </c>
      <c r="U771">
        <f>A!U771</f>
        <v>0</v>
      </c>
      <c r="V771" s="32">
        <f>IF(A!V771="&lt;",1,A!V771)</f>
        <v>0</v>
      </c>
      <c r="W771">
        <f>A!W771</f>
        <v>0</v>
      </c>
      <c r="X771">
        <f>A!X771</f>
        <v>0</v>
      </c>
      <c r="Y771">
        <f>A!Y771</f>
        <v>0</v>
      </c>
      <c r="Z771" s="32">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32"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A!CO1081</f>
        <v>0</v>
      </c>
      <c r="CR771">
        <f>A!CP771</f>
        <v>0</v>
      </c>
      <c r="CS771">
        <f>A!CQ771</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32" t="str">
        <f>IF(A!P772="","",INDEX(B!$A$1:$BT$2000,MATCH(A!P772,B!$AX$1:$AX$2000,0),D!$B$5))</f>
        <v/>
      </c>
      <c r="Q772">
        <f>A!Q772</f>
        <v>0</v>
      </c>
      <c r="R772">
        <f>A!R772</f>
        <v>0</v>
      </c>
      <c r="S772">
        <f>A!S772</f>
        <v>0</v>
      </c>
      <c r="T772">
        <f>A!T772</f>
        <v>0</v>
      </c>
      <c r="U772">
        <f>A!U772</f>
        <v>0</v>
      </c>
      <c r="V772" s="32">
        <f>IF(A!V772="&lt;",1,A!V772)</f>
        <v>0</v>
      </c>
      <c r="W772">
        <f>A!W772</f>
        <v>0</v>
      </c>
      <c r="X772">
        <f>A!X772</f>
        <v>0</v>
      </c>
      <c r="Y772">
        <f>A!Y772</f>
        <v>0</v>
      </c>
      <c r="Z772" s="32">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32"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A!CO1082</f>
        <v>0</v>
      </c>
      <c r="CR772">
        <f>A!CP772</f>
        <v>0</v>
      </c>
      <c r="CS772">
        <f>A!CQ772</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32" t="str">
        <f>IF(A!P773="","",INDEX(B!$A$1:$BT$2000,MATCH(A!P773,B!$AX$1:$AX$2000,0),D!$B$5))</f>
        <v/>
      </c>
      <c r="Q773">
        <f>A!Q773</f>
        <v>0</v>
      </c>
      <c r="R773">
        <f>A!R773</f>
        <v>0</v>
      </c>
      <c r="S773">
        <f>A!S773</f>
        <v>0</v>
      </c>
      <c r="T773">
        <f>A!T773</f>
        <v>0</v>
      </c>
      <c r="U773">
        <f>A!U773</f>
        <v>0</v>
      </c>
      <c r="V773" s="32">
        <f>IF(A!V773="&lt;",1,A!V773)</f>
        <v>0</v>
      </c>
      <c r="W773">
        <f>A!W773</f>
        <v>0</v>
      </c>
      <c r="X773">
        <f>A!X773</f>
        <v>0</v>
      </c>
      <c r="Y773">
        <f>A!Y773</f>
        <v>0</v>
      </c>
      <c r="Z773" s="32">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32"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A!CO1083</f>
        <v>0</v>
      </c>
      <c r="CR773">
        <f>A!CP773</f>
        <v>0</v>
      </c>
      <c r="CS773">
        <f>A!CQ773</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32" t="str">
        <f>IF(A!P774="","",INDEX(B!$A$1:$BT$2000,MATCH(A!P774,B!$AX$1:$AX$2000,0),D!$B$5))</f>
        <v/>
      </c>
      <c r="Q774">
        <f>A!Q774</f>
        <v>0</v>
      </c>
      <c r="R774">
        <f>A!R774</f>
        <v>0</v>
      </c>
      <c r="S774">
        <f>A!S774</f>
        <v>0</v>
      </c>
      <c r="T774">
        <f>A!T774</f>
        <v>0</v>
      </c>
      <c r="U774">
        <f>A!U774</f>
        <v>0</v>
      </c>
      <c r="V774" s="32">
        <f>IF(A!V774="&lt;",1,A!V774)</f>
        <v>0</v>
      </c>
      <c r="W774">
        <f>A!W774</f>
        <v>0</v>
      </c>
      <c r="X774">
        <f>A!X774</f>
        <v>0</v>
      </c>
      <c r="Y774">
        <f>A!Y774</f>
        <v>0</v>
      </c>
      <c r="Z774" s="32">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32"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A!CO1084</f>
        <v>0</v>
      </c>
      <c r="CR774">
        <f>A!CP774</f>
        <v>0</v>
      </c>
      <c r="CS774">
        <f>A!CQ774</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32" t="str">
        <f>IF(A!P775="","",INDEX(B!$A$1:$BT$2000,MATCH(A!P775,B!$AX$1:$AX$2000,0),D!$B$5))</f>
        <v/>
      </c>
      <c r="Q775">
        <f>A!Q775</f>
        <v>0</v>
      </c>
      <c r="R775">
        <f>A!R775</f>
        <v>0</v>
      </c>
      <c r="S775">
        <f>A!S775</f>
        <v>0</v>
      </c>
      <c r="T775">
        <f>A!T775</f>
        <v>0</v>
      </c>
      <c r="U775">
        <f>A!U775</f>
        <v>0</v>
      </c>
      <c r="V775" s="32">
        <f>IF(A!V775="&lt;",1,A!V775)</f>
        <v>0</v>
      </c>
      <c r="W775">
        <f>A!W775</f>
        <v>0</v>
      </c>
      <c r="X775">
        <f>A!X775</f>
        <v>0</v>
      </c>
      <c r="Y775">
        <f>A!Y775</f>
        <v>0</v>
      </c>
      <c r="Z775" s="32">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32"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A!CO1085</f>
        <v>0</v>
      </c>
      <c r="CR775">
        <f>A!CP775</f>
        <v>0</v>
      </c>
      <c r="CS775">
        <f>A!CQ775</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32" t="str">
        <f>IF(A!P776="","",INDEX(B!$A$1:$BT$2000,MATCH(A!P776,B!$AX$1:$AX$2000,0),D!$B$5))</f>
        <v/>
      </c>
      <c r="Q776">
        <f>A!Q776</f>
        <v>0</v>
      </c>
      <c r="R776">
        <f>A!R776</f>
        <v>0</v>
      </c>
      <c r="S776">
        <f>A!S776</f>
        <v>0</v>
      </c>
      <c r="T776">
        <f>A!T776</f>
        <v>0</v>
      </c>
      <c r="U776">
        <f>A!U776</f>
        <v>0</v>
      </c>
      <c r="V776" s="32">
        <f>IF(A!V776="&lt;",1,A!V776)</f>
        <v>0</v>
      </c>
      <c r="W776">
        <f>A!W776</f>
        <v>0</v>
      </c>
      <c r="X776">
        <f>A!X776</f>
        <v>0</v>
      </c>
      <c r="Y776">
        <f>A!Y776</f>
        <v>0</v>
      </c>
      <c r="Z776" s="32">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32"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A!CO1086</f>
        <v>0</v>
      </c>
      <c r="CR776">
        <f>A!CP776</f>
        <v>0</v>
      </c>
      <c r="CS776">
        <f>A!CQ776</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32" t="str">
        <f>IF(A!P777="","",INDEX(B!$A$1:$BT$2000,MATCH(A!P777,B!$AX$1:$AX$2000,0),D!$B$5))</f>
        <v/>
      </c>
      <c r="Q777">
        <f>A!Q777</f>
        <v>0</v>
      </c>
      <c r="R777">
        <f>A!R777</f>
        <v>0</v>
      </c>
      <c r="S777">
        <f>A!S777</f>
        <v>0</v>
      </c>
      <c r="T777">
        <f>A!T777</f>
        <v>0</v>
      </c>
      <c r="U777">
        <f>A!U777</f>
        <v>0</v>
      </c>
      <c r="V777" s="32">
        <f>IF(A!V777="&lt;",1,A!V777)</f>
        <v>0</v>
      </c>
      <c r="W777">
        <f>A!W777</f>
        <v>0</v>
      </c>
      <c r="X777">
        <f>A!X777</f>
        <v>0</v>
      </c>
      <c r="Y777">
        <f>A!Y777</f>
        <v>0</v>
      </c>
      <c r="Z777" s="32">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32"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A!CO1087</f>
        <v>0</v>
      </c>
      <c r="CR777">
        <f>A!CP777</f>
        <v>0</v>
      </c>
      <c r="CS777">
        <f>A!CQ777</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32" t="str">
        <f>IF(A!P778="","",INDEX(B!$A$1:$BT$2000,MATCH(A!P778,B!$AX$1:$AX$2000,0),D!$B$5))</f>
        <v/>
      </c>
      <c r="Q778">
        <f>A!Q778</f>
        <v>0</v>
      </c>
      <c r="R778">
        <f>A!R778</f>
        <v>0</v>
      </c>
      <c r="S778">
        <f>A!S778</f>
        <v>0</v>
      </c>
      <c r="T778">
        <f>A!T778</f>
        <v>0</v>
      </c>
      <c r="U778">
        <f>A!U778</f>
        <v>0</v>
      </c>
      <c r="V778" s="32">
        <f>IF(A!V778="&lt;",1,A!V778)</f>
        <v>0</v>
      </c>
      <c r="W778">
        <f>A!W778</f>
        <v>0</v>
      </c>
      <c r="X778">
        <f>A!X778</f>
        <v>0</v>
      </c>
      <c r="Y778">
        <f>A!Y778</f>
        <v>0</v>
      </c>
      <c r="Z778" s="32">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32"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A!CO1088</f>
        <v>0</v>
      </c>
      <c r="CR778">
        <f>A!CP778</f>
        <v>0</v>
      </c>
      <c r="CS778">
        <f>A!CQ778</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32" t="str">
        <f>IF(A!P779="","",INDEX(B!$A$1:$BT$2000,MATCH(A!P779,B!$AX$1:$AX$2000,0),D!$B$5))</f>
        <v/>
      </c>
      <c r="Q779">
        <f>A!Q779</f>
        <v>0</v>
      </c>
      <c r="R779">
        <f>A!R779</f>
        <v>0</v>
      </c>
      <c r="S779">
        <f>A!S779</f>
        <v>0</v>
      </c>
      <c r="T779">
        <f>A!T779</f>
        <v>0</v>
      </c>
      <c r="U779">
        <f>A!U779</f>
        <v>0</v>
      </c>
      <c r="V779" s="32">
        <f>IF(A!V779="&lt;",1,A!V779)</f>
        <v>0</v>
      </c>
      <c r="W779">
        <f>A!W779</f>
        <v>0</v>
      </c>
      <c r="X779">
        <f>A!X779</f>
        <v>0</v>
      </c>
      <c r="Y779">
        <f>A!Y779</f>
        <v>0</v>
      </c>
      <c r="Z779" s="32">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32"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A!CO1089</f>
        <v>0</v>
      </c>
      <c r="CR779">
        <f>A!CP779</f>
        <v>0</v>
      </c>
      <c r="CS779">
        <f>A!CQ779</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32" t="str">
        <f>IF(A!P780="","",INDEX(B!$A$1:$BT$2000,MATCH(A!P780,B!$AX$1:$AX$2000,0),D!$B$5))</f>
        <v/>
      </c>
      <c r="Q780">
        <f>A!Q780</f>
        <v>0</v>
      </c>
      <c r="R780">
        <f>A!R780</f>
        <v>0</v>
      </c>
      <c r="S780">
        <f>A!S780</f>
        <v>0</v>
      </c>
      <c r="T780">
        <f>A!T780</f>
        <v>0</v>
      </c>
      <c r="U780">
        <f>A!U780</f>
        <v>0</v>
      </c>
      <c r="V780" s="32">
        <f>IF(A!V780="&lt;",1,A!V780)</f>
        <v>0</v>
      </c>
      <c r="W780">
        <f>A!W780</f>
        <v>0</v>
      </c>
      <c r="X780">
        <f>A!X780</f>
        <v>0</v>
      </c>
      <c r="Y780">
        <f>A!Y780</f>
        <v>0</v>
      </c>
      <c r="Z780" s="32">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32"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A!CO1090</f>
        <v>0</v>
      </c>
      <c r="CR780">
        <f>A!CP780</f>
        <v>0</v>
      </c>
      <c r="CS780">
        <f>A!CQ780</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32" t="str">
        <f>IF(A!P781="","",INDEX(B!$A$1:$BT$2000,MATCH(A!P781,B!$AX$1:$AX$2000,0),D!$B$5))</f>
        <v/>
      </c>
      <c r="Q781">
        <f>A!Q781</f>
        <v>0</v>
      </c>
      <c r="R781">
        <f>A!R781</f>
        <v>0</v>
      </c>
      <c r="S781">
        <f>A!S781</f>
        <v>0</v>
      </c>
      <c r="T781">
        <f>A!T781</f>
        <v>0</v>
      </c>
      <c r="U781">
        <f>A!U781</f>
        <v>0</v>
      </c>
      <c r="V781" s="32">
        <f>IF(A!V781="&lt;",1,A!V781)</f>
        <v>0</v>
      </c>
      <c r="W781">
        <f>A!W781</f>
        <v>0</v>
      </c>
      <c r="X781">
        <f>A!X781</f>
        <v>0</v>
      </c>
      <c r="Y781">
        <f>A!Y781</f>
        <v>0</v>
      </c>
      <c r="Z781" s="32">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32"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A!CO1091</f>
        <v>0</v>
      </c>
      <c r="CR781">
        <f>A!CP781</f>
        <v>0</v>
      </c>
      <c r="CS781">
        <f>A!CQ781</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32" t="str">
        <f>IF(A!P782="","",INDEX(B!$A$1:$BT$2000,MATCH(A!P782,B!$AX$1:$AX$2000,0),D!$B$5))</f>
        <v/>
      </c>
      <c r="Q782">
        <f>A!Q782</f>
        <v>0</v>
      </c>
      <c r="R782">
        <f>A!R782</f>
        <v>0</v>
      </c>
      <c r="S782">
        <f>A!S782</f>
        <v>0</v>
      </c>
      <c r="T782">
        <f>A!T782</f>
        <v>0</v>
      </c>
      <c r="U782">
        <f>A!U782</f>
        <v>0</v>
      </c>
      <c r="V782" s="32">
        <f>IF(A!V782="&lt;",1,A!V782)</f>
        <v>0</v>
      </c>
      <c r="W782">
        <f>A!W782</f>
        <v>0</v>
      </c>
      <c r="X782">
        <f>A!X782</f>
        <v>0</v>
      </c>
      <c r="Y782">
        <f>A!Y782</f>
        <v>0</v>
      </c>
      <c r="Z782" s="32">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32"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A!CO1092</f>
        <v>0</v>
      </c>
      <c r="CR782">
        <f>A!CP782</f>
        <v>0</v>
      </c>
      <c r="CS782">
        <f>A!CQ782</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32" t="str">
        <f>IF(A!P783="","",INDEX(B!$A$1:$BT$2000,MATCH(A!P783,B!$AX$1:$AX$2000,0),D!$B$5))</f>
        <v/>
      </c>
      <c r="Q783">
        <f>A!Q783</f>
        <v>0</v>
      </c>
      <c r="R783">
        <f>A!R783</f>
        <v>0</v>
      </c>
      <c r="S783">
        <f>A!S783</f>
        <v>0</v>
      </c>
      <c r="T783">
        <f>A!T783</f>
        <v>0</v>
      </c>
      <c r="U783">
        <f>A!U783</f>
        <v>0</v>
      </c>
      <c r="V783" s="32">
        <f>IF(A!V783="&lt;",1,A!V783)</f>
        <v>0</v>
      </c>
      <c r="W783">
        <f>A!W783</f>
        <v>0</v>
      </c>
      <c r="X783">
        <f>A!X783</f>
        <v>0</v>
      </c>
      <c r="Y783">
        <f>A!Y783</f>
        <v>0</v>
      </c>
      <c r="Z783" s="32">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32"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A!CO1093</f>
        <v>0</v>
      </c>
      <c r="CR783">
        <f>A!CP783</f>
        <v>0</v>
      </c>
      <c r="CS783">
        <f>A!CQ783</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32" t="str">
        <f>IF(A!P784="","",INDEX(B!$A$1:$BT$2000,MATCH(A!P784,B!$AX$1:$AX$2000,0),D!$B$5))</f>
        <v/>
      </c>
      <c r="Q784">
        <f>A!Q784</f>
        <v>0</v>
      </c>
      <c r="R784">
        <f>A!R784</f>
        <v>0</v>
      </c>
      <c r="S784">
        <f>A!S784</f>
        <v>0</v>
      </c>
      <c r="T784">
        <f>A!T784</f>
        <v>0</v>
      </c>
      <c r="U784">
        <f>A!U784</f>
        <v>0</v>
      </c>
      <c r="V784" s="32">
        <f>IF(A!V784="&lt;",1,A!V784)</f>
        <v>0</v>
      </c>
      <c r="W784">
        <f>A!W784</f>
        <v>0</v>
      </c>
      <c r="X784">
        <f>A!X784</f>
        <v>0</v>
      </c>
      <c r="Y784">
        <f>A!Y784</f>
        <v>0</v>
      </c>
      <c r="Z784" s="32">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32"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A!CO1094</f>
        <v>0</v>
      </c>
      <c r="CR784">
        <f>A!CP784</f>
        <v>0</v>
      </c>
      <c r="CS784">
        <f>A!CQ784</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32" t="str">
        <f>IF(A!P785="","",INDEX(B!$A$1:$BT$2000,MATCH(A!P785,B!$AX$1:$AX$2000,0),D!$B$5))</f>
        <v/>
      </c>
      <c r="Q785">
        <f>A!Q785</f>
        <v>0</v>
      </c>
      <c r="R785">
        <f>A!R785</f>
        <v>0</v>
      </c>
      <c r="S785">
        <f>A!S785</f>
        <v>0</v>
      </c>
      <c r="T785">
        <f>A!T785</f>
        <v>0</v>
      </c>
      <c r="U785">
        <f>A!U785</f>
        <v>0</v>
      </c>
      <c r="V785" s="32">
        <f>IF(A!V785="&lt;",1,A!V785)</f>
        <v>0</v>
      </c>
      <c r="W785">
        <f>A!W785</f>
        <v>0</v>
      </c>
      <c r="X785">
        <f>A!X785</f>
        <v>0</v>
      </c>
      <c r="Y785">
        <f>A!Y785</f>
        <v>0</v>
      </c>
      <c r="Z785" s="32">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32"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A!CO1095</f>
        <v>0</v>
      </c>
      <c r="CR785">
        <f>A!CP785</f>
        <v>0</v>
      </c>
      <c r="CS785">
        <f>A!CQ785</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32" t="str">
        <f>IF(A!P786="","",INDEX(B!$A$1:$BT$2000,MATCH(A!P786,B!$AX$1:$AX$2000,0),D!$B$5))</f>
        <v/>
      </c>
      <c r="Q786">
        <f>A!Q786</f>
        <v>0</v>
      </c>
      <c r="R786">
        <f>A!R786</f>
        <v>0</v>
      </c>
      <c r="S786">
        <f>A!S786</f>
        <v>0</v>
      </c>
      <c r="T786">
        <f>A!T786</f>
        <v>0</v>
      </c>
      <c r="U786">
        <f>A!U786</f>
        <v>0</v>
      </c>
      <c r="V786" s="32">
        <f>IF(A!V786="&lt;",1,A!V786)</f>
        <v>0</v>
      </c>
      <c r="W786">
        <f>A!W786</f>
        <v>0</v>
      </c>
      <c r="X786">
        <f>A!X786</f>
        <v>0</v>
      </c>
      <c r="Y786">
        <f>A!Y786</f>
        <v>0</v>
      </c>
      <c r="Z786" s="32">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32"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A!CO1096</f>
        <v>0</v>
      </c>
      <c r="CR786">
        <f>A!CP786</f>
        <v>0</v>
      </c>
      <c r="CS786">
        <f>A!CQ786</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32" t="str">
        <f>IF(A!P787="","",INDEX(B!$A$1:$BT$2000,MATCH(A!P787,B!$AX$1:$AX$2000,0),D!$B$5))</f>
        <v/>
      </c>
      <c r="Q787">
        <f>A!Q787</f>
        <v>0</v>
      </c>
      <c r="R787">
        <f>A!R787</f>
        <v>0</v>
      </c>
      <c r="S787">
        <f>A!S787</f>
        <v>0</v>
      </c>
      <c r="T787">
        <f>A!T787</f>
        <v>0</v>
      </c>
      <c r="U787">
        <f>A!U787</f>
        <v>0</v>
      </c>
      <c r="V787" s="32">
        <f>IF(A!V787="&lt;",1,A!V787)</f>
        <v>0</v>
      </c>
      <c r="W787">
        <f>A!W787</f>
        <v>0</v>
      </c>
      <c r="X787">
        <f>A!X787</f>
        <v>0</v>
      </c>
      <c r="Y787">
        <f>A!Y787</f>
        <v>0</v>
      </c>
      <c r="Z787" s="32">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32"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A!CO1097</f>
        <v>0</v>
      </c>
      <c r="CR787">
        <f>A!CP787</f>
        <v>0</v>
      </c>
      <c r="CS787">
        <f>A!CQ787</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32" t="str">
        <f>IF(A!P788="","",INDEX(B!$A$1:$BT$2000,MATCH(A!P788,B!$AX$1:$AX$2000,0),D!$B$5))</f>
        <v/>
      </c>
      <c r="Q788">
        <f>A!Q788</f>
        <v>0</v>
      </c>
      <c r="R788">
        <f>A!R788</f>
        <v>0</v>
      </c>
      <c r="S788">
        <f>A!S788</f>
        <v>0</v>
      </c>
      <c r="T788">
        <f>A!T788</f>
        <v>0</v>
      </c>
      <c r="U788">
        <f>A!U788</f>
        <v>0</v>
      </c>
      <c r="V788" s="32">
        <f>IF(A!V788="&lt;",1,A!V788)</f>
        <v>0</v>
      </c>
      <c r="W788">
        <f>A!W788</f>
        <v>0</v>
      </c>
      <c r="X788">
        <f>A!X788</f>
        <v>0</v>
      </c>
      <c r="Y788">
        <f>A!Y788</f>
        <v>0</v>
      </c>
      <c r="Z788" s="32">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32"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A!CO1098</f>
        <v>0</v>
      </c>
      <c r="CR788">
        <f>A!CP788</f>
        <v>0</v>
      </c>
      <c r="CS788">
        <f>A!CQ788</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32" t="str">
        <f>IF(A!P789="","",INDEX(B!$A$1:$BT$2000,MATCH(A!P789,B!$AX$1:$AX$2000,0),D!$B$5))</f>
        <v/>
      </c>
      <c r="Q789">
        <f>A!Q789</f>
        <v>0</v>
      </c>
      <c r="R789">
        <f>A!R789</f>
        <v>0</v>
      </c>
      <c r="S789">
        <f>A!S789</f>
        <v>0</v>
      </c>
      <c r="T789">
        <f>A!T789</f>
        <v>0</v>
      </c>
      <c r="U789">
        <f>A!U789</f>
        <v>0</v>
      </c>
      <c r="V789" s="32">
        <f>IF(A!V789="&lt;",1,A!V789)</f>
        <v>0</v>
      </c>
      <c r="W789">
        <f>A!W789</f>
        <v>0</v>
      </c>
      <c r="X789">
        <f>A!X789</f>
        <v>0</v>
      </c>
      <c r="Y789">
        <f>A!Y789</f>
        <v>0</v>
      </c>
      <c r="Z789" s="32">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32"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A!CO1099</f>
        <v>0</v>
      </c>
      <c r="CR789">
        <f>A!CP789</f>
        <v>0</v>
      </c>
      <c r="CS789">
        <f>A!CQ789</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32" t="str">
        <f>IF(A!P790="","",INDEX(B!$A$1:$BT$2000,MATCH(A!P790,B!$AX$1:$AX$2000,0),D!$B$5))</f>
        <v/>
      </c>
      <c r="Q790">
        <f>A!Q790</f>
        <v>0</v>
      </c>
      <c r="R790">
        <f>A!R790</f>
        <v>0</v>
      </c>
      <c r="S790">
        <f>A!S790</f>
        <v>0</v>
      </c>
      <c r="T790">
        <f>A!T790</f>
        <v>0</v>
      </c>
      <c r="U790">
        <f>A!U790</f>
        <v>0</v>
      </c>
      <c r="V790" s="32">
        <f>IF(A!V790="&lt;",1,A!V790)</f>
        <v>0</v>
      </c>
      <c r="W790">
        <f>A!W790</f>
        <v>0</v>
      </c>
      <c r="X790">
        <f>A!X790</f>
        <v>0</v>
      </c>
      <c r="Y790">
        <f>A!Y790</f>
        <v>0</v>
      </c>
      <c r="Z790" s="32">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32"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A!CO1100</f>
        <v>0</v>
      </c>
      <c r="CR790">
        <f>A!CP790</f>
        <v>0</v>
      </c>
      <c r="CS790">
        <f>A!CQ790</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32" t="str">
        <f>IF(A!P791="","",INDEX(B!$A$1:$BT$2000,MATCH(A!P791,B!$AX$1:$AX$2000,0),D!$B$5))</f>
        <v/>
      </c>
      <c r="Q791">
        <f>A!Q791</f>
        <v>0</v>
      </c>
      <c r="R791">
        <f>A!R791</f>
        <v>0</v>
      </c>
      <c r="S791">
        <f>A!S791</f>
        <v>0</v>
      </c>
      <c r="T791">
        <f>A!T791</f>
        <v>0</v>
      </c>
      <c r="U791">
        <f>A!U791</f>
        <v>0</v>
      </c>
      <c r="V791" s="32">
        <f>IF(A!V791="&lt;",1,A!V791)</f>
        <v>0</v>
      </c>
      <c r="W791">
        <f>A!W791</f>
        <v>0</v>
      </c>
      <c r="X791">
        <f>A!X791</f>
        <v>0</v>
      </c>
      <c r="Y791">
        <f>A!Y791</f>
        <v>0</v>
      </c>
      <c r="Z791" s="32">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32"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A!CO1101</f>
        <v>0</v>
      </c>
      <c r="CR791">
        <f>A!CP791</f>
        <v>0</v>
      </c>
      <c r="CS791">
        <f>A!CQ791</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32" t="str">
        <f>IF(A!P792="","",INDEX(B!$A$1:$BT$2000,MATCH(A!P792,B!$AX$1:$AX$2000,0),D!$B$5))</f>
        <v/>
      </c>
      <c r="Q792">
        <f>A!Q792</f>
        <v>0</v>
      </c>
      <c r="R792">
        <f>A!R792</f>
        <v>0</v>
      </c>
      <c r="S792">
        <f>A!S792</f>
        <v>0</v>
      </c>
      <c r="T792">
        <f>A!T792</f>
        <v>0</v>
      </c>
      <c r="U792">
        <f>A!U792</f>
        <v>0</v>
      </c>
      <c r="V792" s="32">
        <f>IF(A!V792="&lt;",1,A!V792)</f>
        <v>0</v>
      </c>
      <c r="W792">
        <f>A!W792</f>
        <v>0</v>
      </c>
      <c r="X792">
        <f>A!X792</f>
        <v>0</v>
      </c>
      <c r="Y792">
        <f>A!Y792</f>
        <v>0</v>
      </c>
      <c r="Z792" s="32">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32"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A!CO1102</f>
        <v>0</v>
      </c>
      <c r="CR792">
        <f>A!CP792</f>
        <v>0</v>
      </c>
      <c r="CS792">
        <f>A!CQ792</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32" t="str">
        <f>IF(A!P793="","",INDEX(B!$A$1:$BT$2000,MATCH(A!P793,B!$AX$1:$AX$2000,0),D!$B$5))</f>
        <v/>
      </c>
      <c r="Q793">
        <f>A!Q793</f>
        <v>0</v>
      </c>
      <c r="R793">
        <f>A!R793</f>
        <v>0</v>
      </c>
      <c r="S793">
        <f>A!S793</f>
        <v>0</v>
      </c>
      <c r="T793">
        <f>A!T793</f>
        <v>0</v>
      </c>
      <c r="U793">
        <f>A!U793</f>
        <v>0</v>
      </c>
      <c r="V793" s="32">
        <f>IF(A!V793="&lt;",1,A!V793)</f>
        <v>0</v>
      </c>
      <c r="W793">
        <f>A!W793</f>
        <v>0</v>
      </c>
      <c r="X793">
        <f>A!X793</f>
        <v>0</v>
      </c>
      <c r="Y793">
        <f>A!Y793</f>
        <v>0</v>
      </c>
      <c r="Z793" s="32">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32"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A!CO1103</f>
        <v>0</v>
      </c>
      <c r="CR793">
        <f>A!CP793</f>
        <v>0</v>
      </c>
      <c r="CS793">
        <f>A!CQ793</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32" t="str">
        <f>IF(A!P794="","",INDEX(B!$A$1:$BT$2000,MATCH(A!P794,B!$AX$1:$AX$2000,0),D!$B$5))</f>
        <v/>
      </c>
      <c r="Q794">
        <f>A!Q794</f>
        <v>0</v>
      </c>
      <c r="R794">
        <f>A!R794</f>
        <v>0</v>
      </c>
      <c r="S794">
        <f>A!S794</f>
        <v>0</v>
      </c>
      <c r="T794">
        <f>A!T794</f>
        <v>0</v>
      </c>
      <c r="U794">
        <f>A!U794</f>
        <v>0</v>
      </c>
      <c r="V794" s="32">
        <f>IF(A!V794="&lt;",1,A!V794)</f>
        <v>0</v>
      </c>
      <c r="W794">
        <f>A!W794</f>
        <v>0</v>
      </c>
      <c r="X794">
        <f>A!X794</f>
        <v>0</v>
      </c>
      <c r="Y794">
        <f>A!Y794</f>
        <v>0</v>
      </c>
      <c r="Z794" s="32">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32"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A!CO1104</f>
        <v>0</v>
      </c>
      <c r="CR794">
        <f>A!CP794</f>
        <v>0</v>
      </c>
      <c r="CS794">
        <f>A!CQ794</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32" t="str">
        <f>IF(A!P795="","",INDEX(B!$A$1:$BT$2000,MATCH(A!P795,B!$AX$1:$AX$2000,0),D!$B$5))</f>
        <v/>
      </c>
      <c r="Q795">
        <f>A!Q795</f>
        <v>0</v>
      </c>
      <c r="R795">
        <f>A!R795</f>
        <v>0</v>
      </c>
      <c r="S795">
        <f>A!S795</f>
        <v>0</v>
      </c>
      <c r="T795">
        <f>A!T795</f>
        <v>0</v>
      </c>
      <c r="U795">
        <f>A!U795</f>
        <v>0</v>
      </c>
      <c r="V795" s="32">
        <f>IF(A!V795="&lt;",1,A!V795)</f>
        <v>0</v>
      </c>
      <c r="W795">
        <f>A!W795</f>
        <v>0</v>
      </c>
      <c r="X795">
        <f>A!X795</f>
        <v>0</v>
      </c>
      <c r="Y795">
        <f>A!Y795</f>
        <v>0</v>
      </c>
      <c r="Z795" s="32">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32"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A!CO1105</f>
        <v>0</v>
      </c>
      <c r="CR795">
        <f>A!CP795</f>
        <v>0</v>
      </c>
      <c r="CS795">
        <f>A!CQ795</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32" t="str">
        <f>IF(A!P796="","",INDEX(B!$A$1:$BT$2000,MATCH(A!P796,B!$AX$1:$AX$2000,0),D!$B$5))</f>
        <v/>
      </c>
      <c r="Q796">
        <f>A!Q796</f>
        <v>0</v>
      </c>
      <c r="R796">
        <f>A!R796</f>
        <v>0</v>
      </c>
      <c r="S796">
        <f>A!S796</f>
        <v>0</v>
      </c>
      <c r="T796">
        <f>A!T796</f>
        <v>0</v>
      </c>
      <c r="U796">
        <f>A!U796</f>
        <v>0</v>
      </c>
      <c r="V796" s="32">
        <f>IF(A!V796="&lt;",1,A!V796)</f>
        <v>0</v>
      </c>
      <c r="W796">
        <f>A!W796</f>
        <v>0</v>
      </c>
      <c r="X796">
        <f>A!X796</f>
        <v>0</v>
      </c>
      <c r="Y796">
        <f>A!Y796</f>
        <v>0</v>
      </c>
      <c r="Z796" s="32">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32"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A!CO1106</f>
        <v>0</v>
      </c>
      <c r="CR796">
        <f>A!CP796</f>
        <v>0</v>
      </c>
      <c r="CS796">
        <f>A!CQ796</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32" t="str">
        <f>IF(A!P797="","",INDEX(B!$A$1:$BT$2000,MATCH(A!P797,B!$AX$1:$AX$2000,0),D!$B$5))</f>
        <v/>
      </c>
      <c r="Q797">
        <f>A!Q797</f>
        <v>0</v>
      </c>
      <c r="R797">
        <f>A!R797</f>
        <v>0</v>
      </c>
      <c r="S797">
        <f>A!S797</f>
        <v>0</v>
      </c>
      <c r="T797">
        <f>A!T797</f>
        <v>0</v>
      </c>
      <c r="U797">
        <f>A!U797</f>
        <v>0</v>
      </c>
      <c r="V797" s="32">
        <f>IF(A!V797="&lt;",1,A!V797)</f>
        <v>0</v>
      </c>
      <c r="W797">
        <f>A!W797</f>
        <v>0</v>
      </c>
      <c r="X797">
        <f>A!X797</f>
        <v>0</v>
      </c>
      <c r="Y797">
        <f>A!Y797</f>
        <v>0</v>
      </c>
      <c r="Z797" s="32">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32"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A!CO1107</f>
        <v>0</v>
      </c>
      <c r="CR797">
        <f>A!CP797</f>
        <v>0</v>
      </c>
      <c r="CS797">
        <f>A!CQ797</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32" t="str">
        <f>IF(A!P798="","",INDEX(B!$A$1:$BT$2000,MATCH(A!P798,B!$AX$1:$AX$2000,0),D!$B$5))</f>
        <v/>
      </c>
      <c r="Q798">
        <f>A!Q798</f>
        <v>0</v>
      </c>
      <c r="R798">
        <f>A!R798</f>
        <v>0</v>
      </c>
      <c r="S798">
        <f>A!S798</f>
        <v>0</v>
      </c>
      <c r="T798">
        <f>A!T798</f>
        <v>0</v>
      </c>
      <c r="U798">
        <f>A!U798</f>
        <v>0</v>
      </c>
      <c r="V798" s="32">
        <f>IF(A!V798="&lt;",1,A!V798)</f>
        <v>0</v>
      </c>
      <c r="W798">
        <f>A!W798</f>
        <v>0</v>
      </c>
      <c r="X798">
        <f>A!X798</f>
        <v>0</v>
      </c>
      <c r="Y798">
        <f>A!Y798</f>
        <v>0</v>
      </c>
      <c r="Z798" s="32">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32"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A!CO1108</f>
        <v>0</v>
      </c>
      <c r="CR798">
        <f>A!CP798</f>
        <v>0</v>
      </c>
      <c r="CS798">
        <f>A!CQ798</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32" t="str">
        <f>IF(A!P799="","",INDEX(B!$A$1:$BT$2000,MATCH(A!P799,B!$AX$1:$AX$2000,0),D!$B$5))</f>
        <v/>
      </c>
      <c r="Q799">
        <f>A!Q799</f>
        <v>0</v>
      </c>
      <c r="R799">
        <f>A!R799</f>
        <v>0</v>
      </c>
      <c r="S799">
        <f>A!S799</f>
        <v>0</v>
      </c>
      <c r="T799">
        <f>A!T799</f>
        <v>0</v>
      </c>
      <c r="U799">
        <f>A!U799</f>
        <v>0</v>
      </c>
      <c r="V799" s="32">
        <f>IF(A!V799="&lt;",1,A!V799)</f>
        <v>0</v>
      </c>
      <c r="W799">
        <f>A!W799</f>
        <v>0</v>
      </c>
      <c r="X799">
        <f>A!X799</f>
        <v>0</v>
      </c>
      <c r="Y799">
        <f>A!Y799</f>
        <v>0</v>
      </c>
      <c r="Z799" s="32">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32"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A!CO1109</f>
        <v>0</v>
      </c>
      <c r="CR799">
        <f>A!CP799</f>
        <v>0</v>
      </c>
      <c r="CS799">
        <f>A!CQ799</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32" t="str">
        <f>IF(A!P800="","",INDEX(B!$A$1:$BT$2000,MATCH(A!P800,B!$AX$1:$AX$2000,0),D!$B$5))</f>
        <v/>
      </c>
      <c r="Q800">
        <f>A!Q800</f>
        <v>0</v>
      </c>
      <c r="R800">
        <f>A!R800</f>
        <v>0</v>
      </c>
      <c r="S800">
        <f>A!S800</f>
        <v>0</v>
      </c>
      <c r="T800">
        <f>A!T800</f>
        <v>0</v>
      </c>
      <c r="U800">
        <f>A!U800</f>
        <v>0</v>
      </c>
      <c r="V800" s="32">
        <f>IF(A!V800="&lt;",1,A!V800)</f>
        <v>0</v>
      </c>
      <c r="W800">
        <f>A!W800</f>
        <v>0</v>
      </c>
      <c r="X800">
        <f>A!X800</f>
        <v>0</v>
      </c>
      <c r="Y800">
        <f>A!Y800</f>
        <v>0</v>
      </c>
      <c r="Z800" s="32">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32"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A!CO1110</f>
        <v>0</v>
      </c>
      <c r="CR800">
        <f>A!CP800</f>
        <v>0</v>
      </c>
      <c r="CS800">
        <f>A!CQ800</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32" t="str">
        <f>IF(A!P801="","",INDEX(B!$A$1:$BT$2000,MATCH(A!P801,B!$AX$1:$AX$2000,0),D!$B$5))</f>
        <v/>
      </c>
      <c r="Q801">
        <f>A!Q801</f>
        <v>0</v>
      </c>
      <c r="R801">
        <f>A!R801</f>
        <v>0</v>
      </c>
      <c r="S801">
        <f>A!S801</f>
        <v>0</v>
      </c>
      <c r="T801">
        <f>A!T801</f>
        <v>0</v>
      </c>
      <c r="U801">
        <f>A!U801</f>
        <v>0</v>
      </c>
      <c r="V801" s="32">
        <f>IF(A!V801="&lt;",1,A!V801)</f>
        <v>0</v>
      </c>
      <c r="W801">
        <f>A!W801</f>
        <v>0</v>
      </c>
      <c r="X801">
        <f>A!X801</f>
        <v>0</v>
      </c>
      <c r="Y801">
        <f>A!Y801</f>
        <v>0</v>
      </c>
      <c r="Z801" s="32">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32"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A!CO1111</f>
        <v>0</v>
      </c>
      <c r="CR801">
        <f>A!CP801</f>
        <v>0</v>
      </c>
      <c r="CS801">
        <f>A!CQ801</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32" t="str">
        <f>IF(A!P802="","",INDEX(B!$A$1:$BT$2000,MATCH(A!P802,B!$AX$1:$AX$2000,0),D!$B$5))</f>
        <v/>
      </c>
      <c r="Q802">
        <f>A!Q802</f>
        <v>0</v>
      </c>
      <c r="R802">
        <f>A!R802</f>
        <v>0</v>
      </c>
      <c r="S802">
        <f>A!S802</f>
        <v>0</v>
      </c>
      <c r="T802">
        <f>A!T802</f>
        <v>0</v>
      </c>
      <c r="U802">
        <f>A!U802</f>
        <v>0</v>
      </c>
      <c r="V802" s="32">
        <f>IF(A!V802="&lt;",1,A!V802)</f>
        <v>0</v>
      </c>
      <c r="W802">
        <f>A!W802</f>
        <v>0</v>
      </c>
      <c r="X802">
        <f>A!X802</f>
        <v>0</v>
      </c>
      <c r="Y802">
        <f>A!Y802</f>
        <v>0</v>
      </c>
      <c r="Z802" s="32">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32"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A!CO1112</f>
        <v>0</v>
      </c>
      <c r="CR802">
        <f>A!CP802</f>
        <v>0</v>
      </c>
      <c r="CS802">
        <f>A!CQ802</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32" t="str">
        <f>IF(A!P803="","",INDEX(B!$A$1:$BT$2000,MATCH(A!P803,B!$AX$1:$AX$2000,0),D!$B$5))</f>
        <v/>
      </c>
      <c r="Q803">
        <f>A!Q803</f>
        <v>0</v>
      </c>
      <c r="R803">
        <f>A!R803</f>
        <v>0</v>
      </c>
      <c r="S803">
        <f>A!S803</f>
        <v>0</v>
      </c>
      <c r="T803">
        <f>A!T803</f>
        <v>0</v>
      </c>
      <c r="U803">
        <f>A!U803</f>
        <v>0</v>
      </c>
      <c r="V803" s="32">
        <f>IF(A!V803="&lt;",1,A!V803)</f>
        <v>0</v>
      </c>
      <c r="W803">
        <f>A!W803</f>
        <v>0</v>
      </c>
      <c r="X803">
        <f>A!X803</f>
        <v>0</v>
      </c>
      <c r="Y803">
        <f>A!Y803</f>
        <v>0</v>
      </c>
      <c r="Z803" s="32">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32"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A!CO1113</f>
        <v>0</v>
      </c>
      <c r="CR803">
        <f>A!CP803</f>
        <v>0</v>
      </c>
      <c r="CS803">
        <f>A!CQ803</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32" t="str">
        <f>IF(A!P804="","",INDEX(B!$A$1:$BT$2000,MATCH(A!P804,B!$AX$1:$AX$2000,0),D!$B$5))</f>
        <v/>
      </c>
      <c r="Q804">
        <f>A!Q804</f>
        <v>0</v>
      </c>
      <c r="R804">
        <f>A!R804</f>
        <v>0</v>
      </c>
      <c r="S804">
        <f>A!S804</f>
        <v>0</v>
      </c>
      <c r="T804">
        <f>A!T804</f>
        <v>0</v>
      </c>
      <c r="U804">
        <f>A!U804</f>
        <v>0</v>
      </c>
      <c r="V804" s="32">
        <f>IF(A!V804="&lt;",1,A!V804)</f>
        <v>0</v>
      </c>
      <c r="W804">
        <f>A!W804</f>
        <v>0</v>
      </c>
      <c r="X804">
        <f>A!X804</f>
        <v>0</v>
      </c>
      <c r="Y804">
        <f>A!Y804</f>
        <v>0</v>
      </c>
      <c r="Z804" s="32">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32"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A!CO1114</f>
        <v>0</v>
      </c>
      <c r="CR804">
        <f>A!CP804</f>
        <v>0</v>
      </c>
      <c r="CS804">
        <f>A!CQ804</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32" t="str">
        <f>IF(A!P805="","",INDEX(B!$A$1:$BT$2000,MATCH(A!P805,B!$AX$1:$AX$2000,0),D!$B$5))</f>
        <v/>
      </c>
      <c r="Q805">
        <f>A!Q805</f>
        <v>0</v>
      </c>
      <c r="R805">
        <f>A!R805</f>
        <v>0</v>
      </c>
      <c r="S805">
        <f>A!S805</f>
        <v>0</v>
      </c>
      <c r="T805">
        <f>A!T805</f>
        <v>0</v>
      </c>
      <c r="U805">
        <f>A!U805</f>
        <v>0</v>
      </c>
      <c r="V805" s="32">
        <f>IF(A!V805="&lt;",1,A!V805)</f>
        <v>0</v>
      </c>
      <c r="W805">
        <f>A!W805</f>
        <v>0</v>
      </c>
      <c r="X805">
        <f>A!X805</f>
        <v>0</v>
      </c>
      <c r="Y805">
        <f>A!Y805</f>
        <v>0</v>
      </c>
      <c r="Z805" s="32">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32"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A!CO1115</f>
        <v>0</v>
      </c>
      <c r="CR805">
        <f>A!CP805</f>
        <v>0</v>
      </c>
      <c r="CS805">
        <f>A!CQ805</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32" t="str">
        <f>IF(A!P806="","",INDEX(B!$A$1:$BT$2000,MATCH(A!P806,B!$AX$1:$AX$2000,0),D!$B$5))</f>
        <v/>
      </c>
      <c r="Q806">
        <f>A!Q806</f>
        <v>0</v>
      </c>
      <c r="R806">
        <f>A!R806</f>
        <v>0</v>
      </c>
      <c r="S806">
        <f>A!S806</f>
        <v>0</v>
      </c>
      <c r="T806">
        <f>A!T806</f>
        <v>0</v>
      </c>
      <c r="U806">
        <f>A!U806</f>
        <v>0</v>
      </c>
      <c r="V806" s="32">
        <f>IF(A!V806="&lt;",1,A!V806)</f>
        <v>0</v>
      </c>
      <c r="W806">
        <f>A!W806</f>
        <v>0</v>
      </c>
      <c r="X806">
        <f>A!X806</f>
        <v>0</v>
      </c>
      <c r="Y806">
        <f>A!Y806</f>
        <v>0</v>
      </c>
      <c r="Z806" s="32">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32"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A!CO1116</f>
        <v>0</v>
      </c>
      <c r="CR806">
        <f>A!CP806</f>
        <v>0</v>
      </c>
      <c r="CS806">
        <f>A!CQ806</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32" t="str">
        <f>IF(A!P807="","",INDEX(B!$A$1:$BT$2000,MATCH(A!P807,B!$AX$1:$AX$2000,0),D!$B$5))</f>
        <v/>
      </c>
      <c r="Q807">
        <f>A!Q807</f>
        <v>0</v>
      </c>
      <c r="R807">
        <f>A!R807</f>
        <v>0</v>
      </c>
      <c r="S807">
        <f>A!S807</f>
        <v>0</v>
      </c>
      <c r="T807">
        <f>A!T807</f>
        <v>0</v>
      </c>
      <c r="U807">
        <f>A!U807</f>
        <v>0</v>
      </c>
      <c r="V807" s="32">
        <f>IF(A!V807="&lt;",1,A!V807)</f>
        <v>0</v>
      </c>
      <c r="W807">
        <f>A!W807</f>
        <v>0</v>
      </c>
      <c r="X807">
        <f>A!X807</f>
        <v>0</v>
      </c>
      <c r="Y807">
        <f>A!Y807</f>
        <v>0</v>
      </c>
      <c r="Z807" s="32">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32"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A!CO1117</f>
        <v>0</v>
      </c>
      <c r="CR807">
        <f>A!CP807</f>
        <v>0</v>
      </c>
      <c r="CS807">
        <f>A!CQ807</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32" t="str">
        <f>IF(A!P808="","",INDEX(B!$A$1:$BT$2000,MATCH(A!P808,B!$AX$1:$AX$2000,0),D!$B$5))</f>
        <v/>
      </c>
      <c r="Q808">
        <f>A!Q808</f>
        <v>0</v>
      </c>
      <c r="R808">
        <f>A!R808</f>
        <v>0</v>
      </c>
      <c r="S808">
        <f>A!S808</f>
        <v>0</v>
      </c>
      <c r="T808">
        <f>A!T808</f>
        <v>0</v>
      </c>
      <c r="U808">
        <f>A!U808</f>
        <v>0</v>
      </c>
      <c r="V808" s="32">
        <f>IF(A!V808="&lt;",1,A!V808)</f>
        <v>0</v>
      </c>
      <c r="W808">
        <f>A!W808</f>
        <v>0</v>
      </c>
      <c r="X808">
        <f>A!X808</f>
        <v>0</v>
      </c>
      <c r="Y808">
        <f>A!Y808</f>
        <v>0</v>
      </c>
      <c r="Z808" s="32">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32"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A!CO1118</f>
        <v>0</v>
      </c>
      <c r="CR808">
        <f>A!CP808</f>
        <v>0</v>
      </c>
      <c r="CS808">
        <f>A!CQ808</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32" t="str">
        <f>IF(A!P809="","",INDEX(B!$A$1:$BT$2000,MATCH(A!P809,B!$AX$1:$AX$2000,0),D!$B$5))</f>
        <v/>
      </c>
      <c r="Q809">
        <f>A!Q809</f>
        <v>0</v>
      </c>
      <c r="R809">
        <f>A!R809</f>
        <v>0</v>
      </c>
      <c r="S809">
        <f>A!S809</f>
        <v>0</v>
      </c>
      <c r="T809">
        <f>A!T809</f>
        <v>0</v>
      </c>
      <c r="U809">
        <f>A!U809</f>
        <v>0</v>
      </c>
      <c r="V809" s="32">
        <f>IF(A!V809="&lt;",1,A!V809)</f>
        <v>0</v>
      </c>
      <c r="W809">
        <f>A!W809</f>
        <v>0</v>
      </c>
      <c r="X809">
        <f>A!X809</f>
        <v>0</v>
      </c>
      <c r="Y809">
        <f>A!Y809</f>
        <v>0</v>
      </c>
      <c r="Z809" s="32">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32"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A!CO1119</f>
        <v>0</v>
      </c>
      <c r="CR809">
        <f>A!CP809</f>
        <v>0</v>
      </c>
      <c r="CS809">
        <f>A!CQ809</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32" t="str">
        <f>IF(A!P810="","",INDEX(B!$A$1:$BT$2000,MATCH(A!P810,B!$AX$1:$AX$2000,0),D!$B$5))</f>
        <v/>
      </c>
      <c r="Q810">
        <f>A!Q810</f>
        <v>0</v>
      </c>
      <c r="R810">
        <f>A!R810</f>
        <v>0</v>
      </c>
      <c r="S810">
        <f>A!S810</f>
        <v>0</v>
      </c>
      <c r="T810">
        <f>A!T810</f>
        <v>0</v>
      </c>
      <c r="U810">
        <f>A!U810</f>
        <v>0</v>
      </c>
      <c r="V810" s="32">
        <f>IF(A!V810="&lt;",1,A!V810)</f>
        <v>0</v>
      </c>
      <c r="W810">
        <f>A!W810</f>
        <v>0</v>
      </c>
      <c r="X810">
        <f>A!X810</f>
        <v>0</v>
      </c>
      <c r="Y810">
        <f>A!Y810</f>
        <v>0</v>
      </c>
      <c r="Z810" s="32">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32"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A!CO1120</f>
        <v>0</v>
      </c>
      <c r="CR810">
        <f>A!CP810</f>
        <v>0</v>
      </c>
      <c r="CS810">
        <f>A!CQ810</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32" t="str">
        <f>IF(A!P811="","",INDEX(B!$A$1:$BT$2000,MATCH(A!P811,B!$AX$1:$AX$2000,0),D!$B$5))</f>
        <v/>
      </c>
      <c r="Q811">
        <f>A!Q811</f>
        <v>0</v>
      </c>
      <c r="R811">
        <f>A!R811</f>
        <v>0</v>
      </c>
      <c r="S811">
        <f>A!S811</f>
        <v>0</v>
      </c>
      <c r="T811">
        <f>A!T811</f>
        <v>0</v>
      </c>
      <c r="U811">
        <f>A!U811</f>
        <v>0</v>
      </c>
      <c r="V811" s="32">
        <f>IF(A!V811="&lt;",1,A!V811)</f>
        <v>0</v>
      </c>
      <c r="W811">
        <f>A!W811</f>
        <v>0</v>
      </c>
      <c r="X811">
        <f>A!X811</f>
        <v>0</v>
      </c>
      <c r="Y811">
        <f>A!Y811</f>
        <v>0</v>
      </c>
      <c r="Z811" s="32">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32"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A!CO1121</f>
        <v>0</v>
      </c>
      <c r="CR811">
        <f>A!CP811</f>
        <v>0</v>
      </c>
      <c r="CS811">
        <f>A!CQ811</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32" t="str">
        <f>IF(A!P812="","",INDEX(B!$A$1:$BT$2000,MATCH(A!P812,B!$AX$1:$AX$2000,0),D!$B$5))</f>
        <v/>
      </c>
      <c r="Q812">
        <f>A!Q812</f>
        <v>0</v>
      </c>
      <c r="R812">
        <f>A!R812</f>
        <v>0</v>
      </c>
      <c r="S812">
        <f>A!S812</f>
        <v>0</v>
      </c>
      <c r="T812">
        <f>A!T812</f>
        <v>0</v>
      </c>
      <c r="U812">
        <f>A!U812</f>
        <v>0</v>
      </c>
      <c r="V812" s="32">
        <f>IF(A!V812="&lt;",1,A!V812)</f>
        <v>0</v>
      </c>
      <c r="W812">
        <f>A!W812</f>
        <v>0</v>
      </c>
      <c r="X812">
        <f>A!X812</f>
        <v>0</v>
      </c>
      <c r="Y812">
        <f>A!Y812</f>
        <v>0</v>
      </c>
      <c r="Z812" s="32">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32"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A!CO1122</f>
        <v>0</v>
      </c>
      <c r="CR812">
        <f>A!CP812</f>
        <v>0</v>
      </c>
      <c r="CS812">
        <f>A!CQ812</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32" t="str">
        <f>IF(A!P813="","",INDEX(B!$A$1:$BT$2000,MATCH(A!P813,B!$AX$1:$AX$2000,0),D!$B$5))</f>
        <v/>
      </c>
      <c r="Q813">
        <f>A!Q813</f>
        <v>0</v>
      </c>
      <c r="R813">
        <f>A!R813</f>
        <v>0</v>
      </c>
      <c r="S813">
        <f>A!S813</f>
        <v>0</v>
      </c>
      <c r="T813">
        <f>A!T813</f>
        <v>0</v>
      </c>
      <c r="U813">
        <f>A!U813</f>
        <v>0</v>
      </c>
      <c r="V813" s="32">
        <f>IF(A!V813="&lt;",1,A!V813)</f>
        <v>0</v>
      </c>
      <c r="W813">
        <f>A!W813</f>
        <v>0</v>
      </c>
      <c r="X813">
        <f>A!X813</f>
        <v>0</v>
      </c>
      <c r="Y813">
        <f>A!Y813</f>
        <v>0</v>
      </c>
      <c r="Z813" s="32">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32"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A!CO1123</f>
        <v>0</v>
      </c>
      <c r="CR813">
        <f>A!CP813</f>
        <v>0</v>
      </c>
      <c r="CS813">
        <f>A!CQ813</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32" t="str">
        <f>IF(A!P814="","",INDEX(B!$A$1:$BT$2000,MATCH(A!P814,B!$AX$1:$AX$2000,0),D!$B$5))</f>
        <v/>
      </c>
      <c r="Q814">
        <f>A!Q814</f>
        <v>0</v>
      </c>
      <c r="R814">
        <f>A!R814</f>
        <v>0</v>
      </c>
      <c r="S814">
        <f>A!S814</f>
        <v>0</v>
      </c>
      <c r="T814">
        <f>A!T814</f>
        <v>0</v>
      </c>
      <c r="U814">
        <f>A!U814</f>
        <v>0</v>
      </c>
      <c r="V814" s="32">
        <f>IF(A!V814="&lt;",1,A!V814)</f>
        <v>0</v>
      </c>
      <c r="W814">
        <f>A!W814</f>
        <v>0</v>
      </c>
      <c r="X814">
        <f>A!X814</f>
        <v>0</v>
      </c>
      <c r="Y814">
        <f>A!Y814</f>
        <v>0</v>
      </c>
      <c r="Z814" s="32">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32"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A!CO1124</f>
        <v>0</v>
      </c>
      <c r="CR814">
        <f>A!CP814</f>
        <v>0</v>
      </c>
      <c r="CS814">
        <f>A!CQ814</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32" t="str">
        <f>IF(A!P815="","",INDEX(B!$A$1:$BT$2000,MATCH(A!P815,B!$AX$1:$AX$2000,0),D!$B$5))</f>
        <v/>
      </c>
      <c r="Q815">
        <f>A!Q815</f>
        <v>0</v>
      </c>
      <c r="R815">
        <f>A!R815</f>
        <v>0</v>
      </c>
      <c r="S815">
        <f>A!S815</f>
        <v>0</v>
      </c>
      <c r="T815">
        <f>A!T815</f>
        <v>0</v>
      </c>
      <c r="U815">
        <f>A!U815</f>
        <v>0</v>
      </c>
      <c r="V815" s="32">
        <f>IF(A!V815="&lt;",1,A!V815)</f>
        <v>0</v>
      </c>
      <c r="W815">
        <f>A!W815</f>
        <v>0</v>
      </c>
      <c r="X815">
        <f>A!X815</f>
        <v>0</v>
      </c>
      <c r="Y815">
        <f>A!Y815</f>
        <v>0</v>
      </c>
      <c r="Z815" s="32">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32"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A!CO1125</f>
        <v>0</v>
      </c>
      <c r="CR815">
        <f>A!CP815</f>
        <v>0</v>
      </c>
      <c r="CS815">
        <f>A!CQ815</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32" t="str">
        <f>IF(A!P816="","",INDEX(B!$A$1:$BT$2000,MATCH(A!P816,B!$AX$1:$AX$2000,0),D!$B$5))</f>
        <v/>
      </c>
      <c r="Q816">
        <f>A!Q816</f>
        <v>0</v>
      </c>
      <c r="R816">
        <f>A!R816</f>
        <v>0</v>
      </c>
      <c r="S816">
        <f>A!S816</f>
        <v>0</v>
      </c>
      <c r="T816">
        <f>A!T816</f>
        <v>0</v>
      </c>
      <c r="U816">
        <f>A!U816</f>
        <v>0</v>
      </c>
      <c r="V816" s="32">
        <f>IF(A!V816="&lt;",1,A!V816)</f>
        <v>0</v>
      </c>
      <c r="W816">
        <f>A!W816</f>
        <v>0</v>
      </c>
      <c r="X816">
        <f>A!X816</f>
        <v>0</v>
      </c>
      <c r="Y816">
        <f>A!Y816</f>
        <v>0</v>
      </c>
      <c r="Z816" s="32">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32"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A!CO1126</f>
        <v>0</v>
      </c>
      <c r="CR816">
        <f>A!CP816</f>
        <v>0</v>
      </c>
      <c r="CS816">
        <f>A!CQ816</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32" t="str">
        <f>IF(A!P817="","",INDEX(B!$A$1:$BT$2000,MATCH(A!P817,B!$AX$1:$AX$2000,0),D!$B$5))</f>
        <v/>
      </c>
      <c r="Q817">
        <f>A!Q817</f>
        <v>0</v>
      </c>
      <c r="R817">
        <f>A!R817</f>
        <v>0</v>
      </c>
      <c r="S817">
        <f>A!S817</f>
        <v>0</v>
      </c>
      <c r="T817">
        <f>A!T817</f>
        <v>0</v>
      </c>
      <c r="U817">
        <f>A!U817</f>
        <v>0</v>
      </c>
      <c r="V817" s="32">
        <f>IF(A!V817="&lt;",1,A!V817)</f>
        <v>0</v>
      </c>
      <c r="W817">
        <f>A!W817</f>
        <v>0</v>
      </c>
      <c r="X817">
        <f>A!X817</f>
        <v>0</v>
      </c>
      <c r="Y817">
        <f>A!Y817</f>
        <v>0</v>
      </c>
      <c r="Z817" s="32">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32"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A!CO1127</f>
        <v>0</v>
      </c>
      <c r="CR817">
        <f>A!CP817</f>
        <v>0</v>
      </c>
      <c r="CS817">
        <f>A!CQ817</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32" t="str">
        <f>IF(A!P818="","",INDEX(B!$A$1:$BT$2000,MATCH(A!P818,B!$AX$1:$AX$2000,0),D!$B$5))</f>
        <v/>
      </c>
      <c r="Q818">
        <f>A!Q818</f>
        <v>0</v>
      </c>
      <c r="R818">
        <f>A!R818</f>
        <v>0</v>
      </c>
      <c r="S818">
        <f>A!S818</f>
        <v>0</v>
      </c>
      <c r="T818">
        <f>A!T818</f>
        <v>0</v>
      </c>
      <c r="U818">
        <f>A!U818</f>
        <v>0</v>
      </c>
      <c r="V818" s="32">
        <f>IF(A!V818="&lt;",1,A!V818)</f>
        <v>0</v>
      </c>
      <c r="W818">
        <f>A!W818</f>
        <v>0</v>
      </c>
      <c r="X818">
        <f>A!X818</f>
        <v>0</v>
      </c>
      <c r="Y818">
        <f>A!Y818</f>
        <v>0</v>
      </c>
      <c r="Z818" s="32">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32"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A!CO1128</f>
        <v>0</v>
      </c>
      <c r="CR818">
        <f>A!CP818</f>
        <v>0</v>
      </c>
      <c r="CS818">
        <f>A!CQ818</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32" t="str">
        <f>IF(A!P819="","",INDEX(B!$A$1:$BT$2000,MATCH(A!P819,B!$AX$1:$AX$2000,0),D!$B$5))</f>
        <v/>
      </c>
      <c r="Q819">
        <f>A!Q819</f>
        <v>0</v>
      </c>
      <c r="R819">
        <f>A!R819</f>
        <v>0</v>
      </c>
      <c r="S819">
        <f>A!S819</f>
        <v>0</v>
      </c>
      <c r="T819">
        <f>A!T819</f>
        <v>0</v>
      </c>
      <c r="U819">
        <f>A!U819</f>
        <v>0</v>
      </c>
      <c r="V819" s="32">
        <f>IF(A!V819="&lt;",1,A!V819)</f>
        <v>0</v>
      </c>
      <c r="W819">
        <f>A!W819</f>
        <v>0</v>
      </c>
      <c r="X819">
        <f>A!X819</f>
        <v>0</v>
      </c>
      <c r="Y819">
        <f>A!Y819</f>
        <v>0</v>
      </c>
      <c r="Z819" s="32">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32"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A!CO1129</f>
        <v>0</v>
      </c>
      <c r="CR819">
        <f>A!CP819</f>
        <v>0</v>
      </c>
      <c r="CS819">
        <f>A!CQ819</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32" t="str">
        <f>IF(A!P820="","",INDEX(B!$A$1:$BT$2000,MATCH(A!P820,B!$AX$1:$AX$2000,0),D!$B$5))</f>
        <v/>
      </c>
      <c r="Q820">
        <f>A!Q820</f>
        <v>0</v>
      </c>
      <c r="R820">
        <f>A!R820</f>
        <v>0</v>
      </c>
      <c r="S820">
        <f>A!S820</f>
        <v>0</v>
      </c>
      <c r="T820">
        <f>A!T820</f>
        <v>0</v>
      </c>
      <c r="U820">
        <f>A!U820</f>
        <v>0</v>
      </c>
      <c r="V820" s="32">
        <f>IF(A!V820="&lt;",1,A!V820)</f>
        <v>0</v>
      </c>
      <c r="W820">
        <f>A!W820</f>
        <v>0</v>
      </c>
      <c r="X820">
        <f>A!X820</f>
        <v>0</v>
      </c>
      <c r="Y820">
        <f>A!Y820</f>
        <v>0</v>
      </c>
      <c r="Z820" s="32">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32"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A!CO1130</f>
        <v>0</v>
      </c>
      <c r="CR820">
        <f>A!CP820</f>
        <v>0</v>
      </c>
      <c r="CS820">
        <f>A!CQ820</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32" t="str">
        <f>IF(A!P821="","",INDEX(B!$A$1:$BT$2000,MATCH(A!P821,B!$AX$1:$AX$2000,0),D!$B$5))</f>
        <v/>
      </c>
      <c r="Q821">
        <f>A!Q821</f>
        <v>0</v>
      </c>
      <c r="R821">
        <f>A!R821</f>
        <v>0</v>
      </c>
      <c r="S821">
        <f>A!S821</f>
        <v>0</v>
      </c>
      <c r="T821">
        <f>A!T821</f>
        <v>0</v>
      </c>
      <c r="U821">
        <f>A!U821</f>
        <v>0</v>
      </c>
      <c r="V821" s="32">
        <f>IF(A!V821="&lt;",1,A!V821)</f>
        <v>0</v>
      </c>
      <c r="W821">
        <f>A!W821</f>
        <v>0</v>
      </c>
      <c r="X821">
        <f>A!X821</f>
        <v>0</v>
      </c>
      <c r="Y821">
        <f>A!Y821</f>
        <v>0</v>
      </c>
      <c r="Z821" s="32">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32"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A!CO1131</f>
        <v>0</v>
      </c>
      <c r="CR821">
        <f>A!CP821</f>
        <v>0</v>
      </c>
      <c r="CS821">
        <f>A!CQ821</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32" t="str">
        <f>IF(A!P822="","",INDEX(B!$A$1:$BT$2000,MATCH(A!P822,B!$AX$1:$AX$2000,0),D!$B$5))</f>
        <v/>
      </c>
      <c r="Q822">
        <f>A!Q822</f>
        <v>0</v>
      </c>
      <c r="R822">
        <f>A!R822</f>
        <v>0</v>
      </c>
      <c r="S822">
        <f>A!S822</f>
        <v>0</v>
      </c>
      <c r="T822">
        <f>A!T822</f>
        <v>0</v>
      </c>
      <c r="U822">
        <f>A!U822</f>
        <v>0</v>
      </c>
      <c r="V822" s="32">
        <f>IF(A!V822="&lt;",1,A!V822)</f>
        <v>0</v>
      </c>
      <c r="W822">
        <f>A!W822</f>
        <v>0</v>
      </c>
      <c r="X822">
        <f>A!X822</f>
        <v>0</v>
      </c>
      <c r="Y822">
        <f>A!Y822</f>
        <v>0</v>
      </c>
      <c r="Z822" s="32">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32"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A!CO1132</f>
        <v>0</v>
      </c>
      <c r="CR822">
        <f>A!CP822</f>
        <v>0</v>
      </c>
      <c r="CS822">
        <f>A!CQ822</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32" t="str">
        <f>IF(A!P823="","",INDEX(B!$A$1:$BT$2000,MATCH(A!P823,B!$AX$1:$AX$2000,0),D!$B$5))</f>
        <v/>
      </c>
      <c r="Q823">
        <f>A!Q823</f>
        <v>0</v>
      </c>
      <c r="R823">
        <f>A!R823</f>
        <v>0</v>
      </c>
      <c r="S823">
        <f>A!S823</f>
        <v>0</v>
      </c>
      <c r="T823">
        <f>A!T823</f>
        <v>0</v>
      </c>
      <c r="U823">
        <f>A!U823</f>
        <v>0</v>
      </c>
      <c r="V823" s="32">
        <f>IF(A!V823="&lt;",1,A!V823)</f>
        <v>0</v>
      </c>
      <c r="W823">
        <f>A!W823</f>
        <v>0</v>
      </c>
      <c r="X823">
        <f>A!X823</f>
        <v>0</v>
      </c>
      <c r="Y823">
        <f>A!Y823</f>
        <v>0</v>
      </c>
      <c r="Z823" s="32">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32"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A!CO1133</f>
        <v>0</v>
      </c>
      <c r="CR823">
        <f>A!CP823</f>
        <v>0</v>
      </c>
      <c r="CS823">
        <f>A!CQ823</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32" t="str">
        <f>IF(A!P824="","",INDEX(B!$A$1:$BT$2000,MATCH(A!P824,B!$AX$1:$AX$2000,0),D!$B$5))</f>
        <v/>
      </c>
      <c r="Q824">
        <f>A!Q824</f>
        <v>0</v>
      </c>
      <c r="R824">
        <f>A!R824</f>
        <v>0</v>
      </c>
      <c r="S824">
        <f>A!S824</f>
        <v>0</v>
      </c>
      <c r="T824">
        <f>A!T824</f>
        <v>0</v>
      </c>
      <c r="U824">
        <f>A!U824</f>
        <v>0</v>
      </c>
      <c r="V824" s="32">
        <f>IF(A!V824="&lt;",1,A!V824)</f>
        <v>0</v>
      </c>
      <c r="W824">
        <f>A!W824</f>
        <v>0</v>
      </c>
      <c r="X824">
        <f>A!X824</f>
        <v>0</v>
      </c>
      <c r="Y824">
        <f>A!Y824</f>
        <v>0</v>
      </c>
      <c r="Z824" s="32">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32"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A!CO1134</f>
        <v>0</v>
      </c>
      <c r="CR824">
        <f>A!CP824</f>
        <v>0</v>
      </c>
      <c r="CS824">
        <f>A!CQ824</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32" t="str">
        <f>IF(A!P825="","",INDEX(B!$A$1:$BT$2000,MATCH(A!P825,B!$AX$1:$AX$2000,0),D!$B$5))</f>
        <v/>
      </c>
      <c r="Q825">
        <f>A!Q825</f>
        <v>0</v>
      </c>
      <c r="R825">
        <f>A!R825</f>
        <v>0</v>
      </c>
      <c r="S825">
        <f>A!S825</f>
        <v>0</v>
      </c>
      <c r="T825">
        <f>A!T825</f>
        <v>0</v>
      </c>
      <c r="U825">
        <f>A!U825</f>
        <v>0</v>
      </c>
      <c r="V825" s="32">
        <f>IF(A!V825="&lt;",1,A!V825)</f>
        <v>0</v>
      </c>
      <c r="W825">
        <f>A!W825</f>
        <v>0</v>
      </c>
      <c r="X825">
        <f>A!X825</f>
        <v>0</v>
      </c>
      <c r="Y825">
        <f>A!Y825</f>
        <v>0</v>
      </c>
      <c r="Z825" s="32">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32"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A!CO1135</f>
        <v>0</v>
      </c>
      <c r="CR825">
        <f>A!CP825</f>
        <v>0</v>
      </c>
      <c r="CS825">
        <f>A!CQ825</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32" t="str">
        <f>IF(A!P826="","",INDEX(B!$A$1:$BT$2000,MATCH(A!P826,B!$AX$1:$AX$2000,0),D!$B$5))</f>
        <v/>
      </c>
      <c r="Q826">
        <f>A!Q826</f>
        <v>0</v>
      </c>
      <c r="R826">
        <f>A!R826</f>
        <v>0</v>
      </c>
      <c r="S826">
        <f>A!S826</f>
        <v>0</v>
      </c>
      <c r="T826">
        <f>A!T826</f>
        <v>0</v>
      </c>
      <c r="U826">
        <f>A!U826</f>
        <v>0</v>
      </c>
      <c r="V826" s="32">
        <f>IF(A!V826="&lt;",1,A!V826)</f>
        <v>0</v>
      </c>
      <c r="W826">
        <f>A!W826</f>
        <v>0</v>
      </c>
      <c r="X826">
        <f>A!X826</f>
        <v>0</v>
      </c>
      <c r="Y826">
        <f>A!Y826</f>
        <v>0</v>
      </c>
      <c r="Z826" s="32">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32"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A!CO1136</f>
        <v>0</v>
      </c>
      <c r="CR826">
        <f>A!CP826</f>
        <v>0</v>
      </c>
      <c r="CS826">
        <f>A!CQ826</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32" t="str">
        <f>IF(A!P827="","",INDEX(B!$A$1:$BT$2000,MATCH(A!P827,B!$AX$1:$AX$2000,0),D!$B$5))</f>
        <v/>
      </c>
      <c r="Q827">
        <f>A!Q827</f>
        <v>0</v>
      </c>
      <c r="R827">
        <f>A!R827</f>
        <v>0</v>
      </c>
      <c r="S827">
        <f>A!S827</f>
        <v>0</v>
      </c>
      <c r="T827">
        <f>A!T827</f>
        <v>0</v>
      </c>
      <c r="U827">
        <f>A!U827</f>
        <v>0</v>
      </c>
      <c r="V827" s="32">
        <f>IF(A!V827="&lt;",1,A!V827)</f>
        <v>0</v>
      </c>
      <c r="W827">
        <f>A!W827</f>
        <v>0</v>
      </c>
      <c r="X827">
        <f>A!X827</f>
        <v>0</v>
      </c>
      <c r="Y827">
        <f>A!Y827</f>
        <v>0</v>
      </c>
      <c r="Z827" s="32">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32"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A!CO1137</f>
        <v>0</v>
      </c>
      <c r="CR827">
        <f>A!CP827</f>
        <v>0</v>
      </c>
      <c r="CS827">
        <f>A!CQ827</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32" t="str">
        <f>IF(A!P828="","",INDEX(B!$A$1:$BT$2000,MATCH(A!P828,B!$AX$1:$AX$2000,0),D!$B$5))</f>
        <v/>
      </c>
      <c r="Q828">
        <f>A!Q828</f>
        <v>0</v>
      </c>
      <c r="R828">
        <f>A!R828</f>
        <v>0</v>
      </c>
      <c r="S828">
        <f>A!S828</f>
        <v>0</v>
      </c>
      <c r="T828">
        <f>A!T828</f>
        <v>0</v>
      </c>
      <c r="U828">
        <f>A!U828</f>
        <v>0</v>
      </c>
      <c r="V828" s="32">
        <f>IF(A!V828="&lt;",1,A!V828)</f>
        <v>0</v>
      </c>
      <c r="W828">
        <f>A!W828</f>
        <v>0</v>
      </c>
      <c r="X828">
        <f>A!X828</f>
        <v>0</v>
      </c>
      <c r="Y828">
        <f>A!Y828</f>
        <v>0</v>
      </c>
      <c r="Z828" s="32">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32"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A!CO1138</f>
        <v>0</v>
      </c>
      <c r="CR828">
        <f>A!CP828</f>
        <v>0</v>
      </c>
      <c r="CS828">
        <f>A!CQ828</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32" t="str">
        <f>IF(A!P829="","",INDEX(B!$A$1:$BT$2000,MATCH(A!P829,B!$AX$1:$AX$2000,0),D!$B$5))</f>
        <v/>
      </c>
      <c r="Q829">
        <f>A!Q829</f>
        <v>0</v>
      </c>
      <c r="R829">
        <f>A!R829</f>
        <v>0</v>
      </c>
      <c r="S829">
        <f>A!S829</f>
        <v>0</v>
      </c>
      <c r="T829">
        <f>A!T829</f>
        <v>0</v>
      </c>
      <c r="U829">
        <f>A!U829</f>
        <v>0</v>
      </c>
      <c r="V829" s="32">
        <f>IF(A!V829="&lt;",1,A!V829)</f>
        <v>0</v>
      </c>
      <c r="W829">
        <f>A!W829</f>
        <v>0</v>
      </c>
      <c r="X829">
        <f>A!X829</f>
        <v>0</v>
      </c>
      <c r="Y829">
        <f>A!Y829</f>
        <v>0</v>
      </c>
      <c r="Z829" s="32">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32"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A!CO1139</f>
        <v>0</v>
      </c>
      <c r="CR829">
        <f>A!CP829</f>
        <v>0</v>
      </c>
      <c r="CS829">
        <f>A!CQ829</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32" t="str">
        <f>IF(A!P830="","",INDEX(B!$A$1:$BT$2000,MATCH(A!P830,B!$AX$1:$AX$2000,0),D!$B$5))</f>
        <v/>
      </c>
      <c r="Q830">
        <f>A!Q830</f>
        <v>0</v>
      </c>
      <c r="R830">
        <f>A!R830</f>
        <v>0</v>
      </c>
      <c r="S830">
        <f>A!S830</f>
        <v>0</v>
      </c>
      <c r="T830">
        <f>A!T830</f>
        <v>0</v>
      </c>
      <c r="U830">
        <f>A!U830</f>
        <v>0</v>
      </c>
      <c r="V830" s="32">
        <f>IF(A!V830="&lt;",1,A!V830)</f>
        <v>0</v>
      </c>
      <c r="W830">
        <f>A!W830</f>
        <v>0</v>
      </c>
      <c r="X830">
        <f>A!X830</f>
        <v>0</v>
      </c>
      <c r="Y830">
        <f>A!Y830</f>
        <v>0</v>
      </c>
      <c r="Z830" s="32">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32"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A!CO1140</f>
        <v>0</v>
      </c>
      <c r="CR830">
        <f>A!CP830</f>
        <v>0</v>
      </c>
      <c r="CS830">
        <f>A!CQ830</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32" t="str">
        <f>IF(A!P831="","",INDEX(B!$A$1:$BT$2000,MATCH(A!P831,B!$AX$1:$AX$2000,0),D!$B$5))</f>
        <v/>
      </c>
      <c r="Q831">
        <f>A!Q831</f>
        <v>0</v>
      </c>
      <c r="R831">
        <f>A!R831</f>
        <v>0</v>
      </c>
      <c r="S831">
        <f>A!S831</f>
        <v>0</v>
      </c>
      <c r="T831">
        <f>A!T831</f>
        <v>0</v>
      </c>
      <c r="U831">
        <f>A!U831</f>
        <v>0</v>
      </c>
      <c r="V831" s="32">
        <f>IF(A!V831="&lt;",1,A!V831)</f>
        <v>0</v>
      </c>
      <c r="W831">
        <f>A!W831</f>
        <v>0</v>
      </c>
      <c r="X831">
        <f>A!X831</f>
        <v>0</v>
      </c>
      <c r="Y831">
        <f>A!Y831</f>
        <v>0</v>
      </c>
      <c r="Z831" s="32">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32"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A!CO1141</f>
        <v>0</v>
      </c>
      <c r="CR831">
        <f>A!CP831</f>
        <v>0</v>
      </c>
      <c r="CS831">
        <f>A!CQ831</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32" t="str">
        <f>IF(A!P832="","",INDEX(B!$A$1:$BT$2000,MATCH(A!P832,B!$AX$1:$AX$2000,0),D!$B$5))</f>
        <v/>
      </c>
      <c r="Q832">
        <f>A!Q832</f>
        <v>0</v>
      </c>
      <c r="R832">
        <f>A!R832</f>
        <v>0</v>
      </c>
      <c r="S832">
        <f>A!S832</f>
        <v>0</v>
      </c>
      <c r="T832">
        <f>A!T832</f>
        <v>0</v>
      </c>
      <c r="U832">
        <f>A!U832</f>
        <v>0</v>
      </c>
      <c r="V832" s="32">
        <f>IF(A!V832="&lt;",1,A!V832)</f>
        <v>0</v>
      </c>
      <c r="W832">
        <f>A!W832</f>
        <v>0</v>
      </c>
      <c r="X832">
        <f>A!X832</f>
        <v>0</v>
      </c>
      <c r="Y832">
        <f>A!Y832</f>
        <v>0</v>
      </c>
      <c r="Z832" s="32">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32"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A!CO1142</f>
        <v>0</v>
      </c>
      <c r="CR832">
        <f>A!CP832</f>
        <v>0</v>
      </c>
      <c r="CS832">
        <f>A!CQ832</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32" t="str">
        <f>IF(A!P833="","",INDEX(B!$A$1:$BT$2000,MATCH(A!P833,B!$AX$1:$AX$2000,0),D!$B$5))</f>
        <v/>
      </c>
      <c r="Q833">
        <f>A!Q833</f>
        <v>0</v>
      </c>
      <c r="R833">
        <f>A!R833</f>
        <v>0</v>
      </c>
      <c r="S833">
        <f>A!S833</f>
        <v>0</v>
      </c>
      <c r="T833">
        <f>A!T833</f>
        <v>0</v>
      </c>
      <c r="U833">
        <f>A!U833</f>
        <v>0</v>
      </c>
      <c r="V833" s="32">
        <f>IF(A!V833="&lt;",1,A!V833)</f>
        <v>0</v>
      </c>
      <c r="W833">
        <f>A!W833</f>
        <v>0</v>
      </c>
      <c r="X833">
        <f>A!X833</f>
        <v>0</v>
      </c>
      <c r="Y833">
        <f>A!Y833</f>
        <v>0</v>
      </c>
      <c r="Z833" s="32">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32"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A!CO1143</f>
        <v>0</v>
      </c>
      <c r="CR833">
        <f>A!CP833</f>
        <v>0</v>
      </c>
      <c r="CS833">
        <f>A!CQ833</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32" t="str">
        <f>IF(A!P834="","",INDEX(B!$A$1:$BT$2000,MATCH(A!P834,B!$AX$1:$AX$2000,0),D!$B$5))</f>
        <v/>
      </c>
      <c r="Q834">
        <f>A!Q834</f>
        <v>0</v>
      </c>
      <c r="R834">
        <f>A!R834</f>
        <v>0</v>
      </c>
      <c r="S834">
        <f>A!S834</f>
        <v>0</v>
      </c>
      <c r="T834">
        <f>A!T834</f>
        <v>0</v>
      </c>
      <c r="U834">
        <f>A!U834</f>
        <v>0</v>
      </c>
      <c r="V834" s="32">
        <f>IF(A!V834="&lt;",1,A!V834)</f>
        <v>0</v>
      </c>
      <c r="W834">
        <f>A!W834</f>
        <v>0</v>
      </c>
      <c r="X834">
        <f>A!X834</f>
        <v>0</v>
      </c>
      <c r="Y834">
        <f>A!Y834</f>
        <v>0</v>
      </c>
      <c r="Z834" s="32">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32"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A!CO1144</f>
        <v>0</v>
      </c>
      <c r="CR834">
        <f>A!CP834</f>
        <v>0</v>
      </c>
      <c r="CS834">
        <f>A!CQ834</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32" t="str">
        <f>IF(A!P835="","",INDEX(B!$A$1:$BT$2000,MATCH(A!P835,B!$AX$1:$AX$2000,0),D!$B$5))</f>
        <v/>
      </c>
      <c r="Q835">
        <f>A!Q835</f>
        <v>0</v>
      </c>
      <c r="R835">
        <f>A!R835</f>
        <v>0</v>
      </c>
      <c r="S835">
        <f>A!S835</f>
        <v>0</v>
      </c>
      <c r="T835">
        <f>A!T835</f>
        <v>0</v>
      </c>
      <c r="U835">
        <f>A!U835</f>
        <v>0</v>
      </c>
      <c r="V835" s="32">
        <f>IF(A!V835="&lt;",1,A!V835)</f>
        <v>0</v>
      </c>
      <c r="W835">
        <f>A!W835</f>
        <v>0</v>
      </c>
      <c r="X835">
        <f>A!X835</f>
        <v>0</v>
      </c>
      <c r="Y835">
        <f>A!Y835</f>
        <v>0</v>
      </c>
      <c r="Z835" s="32">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32"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A!CO1145</f>
        <v>0</v>
      </c>
      <c r="CR835">
        <f>A!CP835</f>
        <v>0</v>
      </c>
      <c r="CS835">
        <f>A!CQ835</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32" t="str">
        <f>IF(A!P836="","",INDEX(B!$A$1:$BT$2000,MATCH(A!P836,B!$AX$1:$AX$2000,0),D!$B$5))</f>
        <v/>
      </c>
      <c r="Q836">
        <f>A!Q836</f>
        <v>0</v>
      </c>
      <c r="R836">
        <f>A!R836</f>
        <v>0</v>
      </c>
      <c r="S836">
        <f>A!S836</f>
        <v>0</v>
      </c>
      <c r="T836">
        <f>A!T836</f>
        <v>0</v>
      </c>
      <c r="U836">
        <f>A!U836</f>
        <v>0</v>
      </c>
      <c r="V836" s="32">
        <f>IF(A!V836="&lt;",1,A!V836)</f>
        <v>0</v>
      </c>
      <c r="W836">
        <f>A!W836</f>
        <v>0</v>
      </c>
      <c r="X836">
        <f>A!X836</f>
        <v>0</v>
      </c>
      <c r="Y836">
        <f>A!Y836</f>
        <v>0</v>
      </c>
      <c r="Z836" s="32">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32"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A!CO1146</f>
        <v>0</v>
      </c>
      <c r="CR836">
        <f>A!CP836</f>
        <v>0</v>
      </c>
      <c r="CS836">
        <f>A!CQ836</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32" t="str">
        <f>IF(A!P837="","",INDEX(B!$A$1:$BT$2000,MATCH(A!P837,B!$AX$1:$AX$2000,0),D!$B$5))</f>
        <v/>
      </c>
      <c r="Q837">
        <f>A!Q837</f>
        <v>0</v>
      </c>
      <c r="R837">
        <f>A!R837</f>
        <v>0</v>
      </c>
      <c r="S837">
        <f>A!S837</f>
        <v>0</v>
      </c>
      <c r="T837">
        <f>A!T837</f>
        <v>0</v>
      </c>
      <c r="U837">
        <f>A!U837</f>
        <v>0</v>
      </c>
      <c r="V837" s="32">
        <f>IF(A!V837="&lt;",1,A!V837)</f>
        <v>0</v>
      </c>
      <c r="W837">
        <f>A!W837</f>
        <v>0</v>
      </c>
      <c r="X837">
        <f>A!X837</f>
        <v>0</v>
      </c>
      <c r="Y837">
        <f>A!Y837</f>
        <v>0</v>
      </c>
      <c r="Z837" s="32">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32"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A!CO1147</f>
        <v>0</v>
      </c>
      <c r="CR837">
        <f>A!CP837</f>
        <v>0</v>
      </c>
      <c r="CS837">
        <f>A!CQ837</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32" t="str">
        <f>IF(A!P838="","",INDEX(B!$A$1:$BT$2000,MATCH(A!P838,B!$AX$1:$AX$2000,0),D!$B$5))</f>
        <v/>
      </c>
      <c r="Q838">
        <f>A!Q838</f>
        <v>0</v>
      </c>
      <c r="R838">
        <f>A!R838</f>
        <v>0</v>
      </c>
      <c r="S838">
        <f>A!S838</f>
        <v>0</v>
      </c>
      <c r="T838">
        <f>A!T838</f>
        <v>0</v>
      </c>
      <c r="U838">
        <f>A!U838</f>
        <v>0</v>
      </c>
      <c r="V838" s="32">
        <f>IF(A!V838="&lt;",1,A!V838)</f>
        <v>0</v>
      </c>
      <c r="W838">
        <f>A!W838</f>
        <v>0</v>
      </c>
      <c r="X838">
        <f>A!X838</f>
        <v>0</v>
      </c>
      <c r="Y838">
        <f>A!Y838</f>
        <v>0</v>
      </c>
      <c r="Z838" s="32">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32"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A!CO1148</f>
        <v>0</v>
      </c>
      <c r="CR838">
        <f>A!CP838</f>
        <v>0</v>
      </c>
      <c r="CS838">
        <f>A!CQ838</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32" t="str">
        <f>IF(A!P839="","",INDEX(B!$A$1:$BT$2000,MATCH(A!P839,B!$AX$1:$AX$2000,0),D!$B$5))</f>
        <v/>
      </c>
      <c r="Q839">
        <f>A!Q839</f>
        <v>0</v>
      </c>
      <c r="R839">
        <f>A!R839</f>
        <v>0</v>
      </c>
      <c r="S839">
        <f>A!S839</f>
        <v>0</v>
      </c>
      <c r="T839">
        <f>A!T839</f>
        <v>0</v>
      </c>
      <c r="U839">
        <f>A!U839</f>
        <v>0</v>
      </c>
      <c r="V839" s="32">
        <f>IF(A!V839="&lt;",1,A!V839)</f>
        <v>0</v>
      </c>
      <c r="W839">
        <f>A!W839</f>
        <v>0</v>
      </c>
      <c r="X839">
        <f>A!X839</f>
        <v>0</v>
      </c>
      <c r="Y839">
        <f>A!Y839</f>
        <v>0</v>
      </c>
      <c r="Z839" s="32">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32"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A!CO1149</f>
        <v>0</v>
      </c>
      <c r="CR839">
        <f>A!CP839</f>
        <v>0</v>
      </c>
      <c r="CS839">
        <f>A!CQ839</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32" t="str">
        <f>IF(A!P840="","",INDEX(B!$A$1:$BT$2000,MATCH(A!P840,B!$AX$1:$AX$2000,0),D!$B$5))</f>
        <v/>
      </c>
      <c r="Q840">
        <f>A!Q840</f>
        <v>0</v>
      </c>
      <c r="R840">
        <f>A!R840</f>
        <v>0</v>
      </c>
      <c r="S840">
        <f>A!S840</f>
        <v>0</v>
      </c>
      <c r="T840">
        <f>A!T840</f>
        <v>0</v>
      </c>
      <c r="U840">
        <f>A!U840</f>
        <v>0</v>
      </c>
      <c r="V840" s="32">
        <f>IF(A!V840="&lt;",1,A!V840)</f>
        <v>0</v>
      </c>
      <c r="W840">
        <f>A!W840</f>
        <v>0</v>
      </c>
      <c r="X840">
        <f>A!X840</f>
        <v>0</v>
      </c>
      <c r="Y840">
        <f>A!Y840</f>
        <v>0</v>
      </c>
      <c r="Z840" s="32">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32"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A!CO1150</f>
        <v>0</v>
      </c>
      <c r="CR840">
        <f>A!CP840</f>
        <v>0</v>
      </c>
      <c r="CS840">
        <f>A!CQ840</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32" t="str">
        <f>IF(A!P841="","",INDEX(B!$A$1:$BT$2000,MATCH(A!P841,B!$AX$1:$AX$2000,0),D!$B$5))</f>
        <v/>
      </c>
      <c r="Q841">
        <f>A!Q841</f>
        <v>0</v>
      </c>
      <c r="R841">
        <f>A!R841</f>
        <v>0</v>
      </c>
      <c r="S841">
        <f>A!S841</f>
        <v>0</v>
      </c>
      <c r="T841">
        <f>A!T841</f>
        <v>0</v>
      </c>
      <c r="U841">
        <f>A!U841</f>
        <v>0</v>
      </c>
      <c r="V841" s="32">
        <f>IF(A!V841="&lt;",1,A!V841)</f>
        <v>0</v>
      </c>
      <c r="W841">
        <f>A!W841</f>
        <v>0</v>
      </c>
      <c r="X841">
        <f>A!X841</f>
        <v>0</v>
      </c>
      <c r="Y841">
        <f>A!Y841</f>
        <v>0</v>
      </c>
      <c r="Z841" s="32">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32"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A!CO1151</f>
        <v>0</v>
      </c>
      <c r="CR841">
        <f>A!CP841</f>
        <v>0</v>
      </c>
      <c r="CS841">
        <f>A!CQ841</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32" t="str">
        <f>IF(A!P842="","",INDEX(B!$A$1:$BT$2000,MATCH(A!P842,B!$AX$1:$AX$2000,0),D!$B$5))</f>
        <v/>
      </c>
      <c r="Q842">
        <f>A!Q842</f>
        <v>0</v>
      </c>
      <c r="R842">
        <f>A!R842</f>
        <v>0</v>
      </c>
      <c r="S842">
        <f>A!S842</f>
        <v>0</v>
      </c>
      <c r="T842">
        <f>A!T842</f>
        <v>0</v>
      </c>
      <c r="U842">
        <f>A!U842</f>
        <v>0</v>
      </c>
      <c r="V842" s="32">
        <f>IF(A!V842="&lt;",1,A!V842)</f>
        <v>0</v>
      </c>
      <c r="W842">
        <f>A!W842</f>
        <v>0</v>
      </c>
      <c r="X842">
        <f>A!X842</f>
        <v>0</v>
      </c>
      <c r="Y842">
        <f>A!Y842</f>
        <v>0</v>
      </c>
      <c r="Z842" s="32">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32"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A!CO1152</f>
        <v>0</v>
      </c>
      <c r="CR842">
        <f>A!CP842</f>
        <v>0</v>
      </c>
      <c r="CS842">
        <f>A!CQ842</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32" t="str">
        <f>IF(A!P843="","",INDEX(B!$A$1:$BT$2000,MATCH(A!P843,B!$AX$1:$AX$2000,0),D!$B$5))</f>
        <v/>
      </c>
      <c r="Q843">
        <f>A!Q843</f>
        <v>0</v>
      </c>
      <c r="R843">
        <f>A!R843</f>
        <v>0</v>
      </c>
      <c r="S843">
        <f>A!S843</f>
        <v>0</v>
      </c>
      <c r="T843">
        <f>A!T843</f>
        <v>0</v>
      </c>
      <c r="U843">
        <f>A!U843</f>
        <v>0</v>
      </c>
      <c r="V843" s="32">
        <f>IF(A!V843="&lt;",1,A!V843)</f>
        <v>0</v>
      </c>
      <c r="W843">
        <f>A!W843</f>
        <v>0</v>
      </c>
      <c r="X843">
        <f>A!X843</f>
        <v>0</v>
      </c>
      <c r="Y843">
        <f>A!Y843</f>
        <v>0</v>
      </c>
      <c r="Z843" s="32">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32"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A!CO1153</f>
        <v>0</v>
      </c>
      <c r="CR843">
        <f>A!CP843</f>
        <v>0</v>
      </c>
      <c r="CS843">
        <f>A!CQ843</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32" t="str">
        <f>IF(A!P844="","",INDEX(B!$A$1:$BT$2000,MATCH(A!P844,B!$AX$1:$AX$2000,0),D!$B$5))</f>
        <v/>
      </c>
      <c r="Q844">
        <f>A!Q844</f>
        <v>0</v>
      </c>
      <c r="R844">
        <f>A!R844</f>
        <v>0</v>
      </c>
      <c r="S844">
        <f>A!S844</f>
        <v>0</v>
      </c>
      <c r="T844">
        <f>A!T844</f>
        <v>0</v>
      </c>
      <c r="U844">
        <f>A!U844</f>
        <v>0</v>
      </c>
      <c r="V844" s="32">
        <f>IF(A!V844="&lt;",1,A!V844)</f>
        <v>0</v>
      </c>
      <c r="W844">
        <f>A!W844</f>
        <v>0</v>
      </c>
      <c r="X844">
        <f>A!X844</f>
        <v>0</v>
      </c>
      <c r="Y844">
        <f>A!Y844</f>
        <v>0</v>
      </c>
      <c r="Z844" s="32">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32"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A!CO1154</f>
        <v>0</v>
      </c>
      <c r="CR844">
        <f>A!CP844</f>
        <v>0</v>
      </c>
      <c r="CS844">
        <f>A!CQ844</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32" t="str">
        <f>IF(A!P845="","",INDEX(B!$A$1:$BT$2000,MATCH(A!P845,B!$AX$1:$AX$2000,0),D!$B$5))</f>
        <v/>
      </c>
      <c r="Q845">
        <f>A!Q845</f>
        <v>0</v>
      </c>
      <c r="R845">
        <f>A!R845</f>
        <v>0</v>
      </c>
      <c r="S845">
        <f>A!S845</f>
        <v>0</v>
      </c>
      <c r="T845">
        <f>A!T845</f>
        <v>0</v>
      </c>
      <c r="U845">
        <f>A!U845</f>
        <v>0</v>
      </c>
      <c r="V845" s="32">
        <f>IF(A!V845="&lt;",1,A!V845)</f>
        <v>0</v>
      </c>
      <c r="W845">
        <f>A!W845</f>
        <v>0</v>
      </c>
      <c r="X845">
        <f>A!X845</f>
        <v>0</v>
      </c>
      <c r="Y845">
        <f>A!Y845</f>
        <v>0</v>
      </c>
      <c r="Z845" s="32">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32"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A!CO1155</f>
        <v>0</v>
      </c>
      <c r="CR845">
        <f>A!CP845</f>
        <v>0</v>
      </c>
      <c r="CS845">
        <f>A!CQ845</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32" t="str">
        <f>IF(A!P846="","",INDEX(B!$A$1:$BT$2000,MATCH(A!P846,B!$AX$1:$AX$2000,0),D!$B$5))</f>
        <v/>
      </c>
      <c r="Q846">
        <f>A!Q846</f>
        <v>0</v>
      </c>
      <c r="R846">
        <f>A!R846</f>
        <v>0</v>
      </c>
      <c r="S846">
        <f>A!S846</f>
        <v>0</v>
      </c>
      <c r="T846">
        <f>A!T846</f>
        <v>0</v>
      </c>
      <c r="U846">
        <f>A!U846</f>
        <v>0</v>
      </c>
      <c r="V846" s="32">
        <f>IF(A!V846="&lt;",1,A!V846)</f>
        <v>0</v>
      </c>
      <c r="W846">
        <f>A!W846</f>
        <v>0</v>
      </c>
      <c r="X846">
        <f>A!X846</f>
        <v>0</v>
      </c>
      <c r="Y846">
        <f>A!Y846</f>
        <v>0</v>
      </c>
      <c r="Z846" s="32">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32"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A!CO1156</f>
        <v>0</v>
      </c>
      <c r="CR846">
        <f>A!CP846</f>
        <v>0</v>
      </c>
      <c r="CS846">
        <f>A!CQ846</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32" t="str">
        <f>IF(A!P847="","",INDEX(B!$A$1:$BT$2000,MATCH(A!P847,B!$AX$1:$AX$2000,0),D!$B$5))</f>
        <v/>
      </c>
      <c r="Q847">
        <f>A!Q847</f>
        <v>0</v>
      </c>
      <c r="R847">
        <f>A!R847</f>
        <v>0</v>
      </c>
      <c r="S847">
        <f>A!S847</f>
        <v>0</v>
      </c>
      <c r="T847">
        <f>A!T847</f>
        <v>0</v>
      </c>
      <c r="U847">
        <f>A!U847</f>
        <v>0</v>
      </c>
      <c r="V847" s="32">
        <f>IF(A!V847="&lt;",1,A!V847)</f>
        <v>0</v>
      </c>
      <c r="W847">
        <f>A!W847</f>
        <v>0</v>
      </c>
      <c r="X847">
        <f>A!X847</f>
        <v>0</v>
      </c>
      <c r="Y847">
        <f>A!Y847</f>
        <v>0</v>
      </c>
      <c r="Z847" s="32">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32"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A!CO1157</f>
        <v>0</v>
      </c>
      <c r="CR847">
        <f>A!CP847</f>
        <v>0</v>
      </c>
      <c r="CS847">
        <f>A!CQ847</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32" t="str">
        <f>IF(A!P848="","",INDEX(B!$A$1:$BT$2000,MATCH(A!P848,B!$AX$1:$AX$2000,0),D!$B$5))</f>
        <v/>
      </c>
      <c r="Q848">
        <f>A!Q848</f>
        <v>0</v>
      </c>
      <c r="R848">
        <f>A!R848</f>
        <v>0</v>
      </c>
      <c r="S848">
        <f>A!S848</f>
        <v>0</v>
      </c>
      <c r="T848">
        <f>A!T848</f>
        <v>0</v>
      </c>
      <c r="U848">
        <f>A!U848</f>
        <v>0</v>
      </c>
      <c r="V848" s="32">
        <f>IF(A!V848="&lt;",1,A!V848)</f>
        <v>0</v>
      </c>
      <c r="W848">
        <f>A!W848</f>
        <v>0</v>
      </c>
      <c r="X848">
        <f>A!X848</f>
        <v>0</v>
      </c>
      <c r="Y848">
        <f>A!Y848</f>
        <v>0</v>
      </c>
      <c r="Z848" s="32">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32"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A!CO1158</f>
        <v>0</v>
      </c>
      <c r="CR848">
        <f>A!CP848</f>
        <v>0</v>
      </c>
      <c r="CS848">
        <f>A!CQ848</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32" t="str">
        <f>IF(A!P849="","",INDEX(B!$A$1:$BT$2000,MATCH(A!P849,B!$AX$1:$AX$2000,0),D!$B$5))</f>
        <v/>
      </c>
      <c r="Q849">
        <f>A!Q849</f>
        <v>0</v>
      </c>
      <c r="R849">
        <f>A!R849</f>
        <v>0</v>
      </c>
      <c r="S849">
        <f>A!S849</f>
        <v>0</v>
      </c>
      <c r="T849">
        <f>A!T849</f>
        <v>0</v>
      </c>
      <c r="U849">
        <f>A!U849</f>
        <v>0</v>
      </c>
      <c r="V849" s="32">
        <f>IF(A!V849="&lt;",1,A!V849)</f>
        <v>0</v>
      </c>
      <c r="W849">
        <f>A!W849</f>
        <v>0</v>
      </c>
      <c r="X849">
        <f>A!X849</f>
        <v>0</v>
      </c>
      <c r="Y849">
        <f>A!Y849</f>
        <v>0</v>
      </c>
      <c r="Z849" s="32">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32"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A!CO1159</f>
        <v>0</v>
      </c>
      <c r="CR849">
        <f>A!CP849</f>
        <v>0</v>
      </c>
      <c r="CS849">
        <f>A!CQ849</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32" t="str">
        <f>IF(A!P850="","",INDEX(B!$A$1:$BT$2000,MATCH(A!P850,B!$AX$1:$AX$2000,0),D!$B$5))</f>
        <v/>
      </c>
      <c r="Q850">
        <f>A!Q850</f>
        <v>0</v>
      </c>
      <c r="R850">
        <f>A!R850</f>
        <v>0</v>
      </c>
      <c r="S850">
        <f>A!S850</f>
        <v>0</v>
      </c>
      <c r="T850">
        <f>A!T850</f>
        <v>0</v>
      </c>
      <c r="U850">
        <f>A!U850</f>
        <v>0</v>
      </c>
      <c r="V850" s="32">
        <f>IF(A!V850="&lt;",1,A!V850)</f>
        <v>0</v>
      </c>
      <c r="W850">
        <f>A!W850</f>
        <v>0</v>
      </c>
      <c r="X850">
        <f>A!X850</f>
        <v>0</v>
      </c>
      <c r="Y850">
        <f>A!Y850</f>
        <v>0</v>
      </c>
      <c r="Z850" s="32">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32"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A!CO1160</f>
        <v>0</v>
      </c>
      <c r="CR850">
        <f>A!CP850</f>
        <v>0</v>
      </c>
      <c r="CS850">
        <f>A!CQ850</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32" t="str">
        <f>IF(A!P851="","",INDEX(B!$A$1:$BT$2000,MATCH(A!P851,B!$AX$1:$AX$2000,0),D!$B$5))</f>
        <v/>
      </c>
      <c r="Q851">
        <f>A!Q851</f>
        <v>0</v>
      </c>
      <c r="R851">
        <f>A!R851</f>
        <v>0</v>
      </c>
      <c r="S851">
        <f>A!S851</f>
        <v>0</v>
      </c>
      <c r="T851">
        <f>A!T851</f>
        <v>0</v>
      </c>
      <c r="U851">
        <f>A!U851</f>
        <v>0</v>
      </c>
      <c r="V851" s="32">
        <f>IF(A!V851="&lt;",1,A!V851)</f>
        <v>0</v>
      </c>
      <c r="W851">
        <f>A!W851</f>
        <v>0</v>
      </c>
      <c r="X851">
        <f>A!X851</f>
        <v>0</v>
      </c>
      <c r="Y851">
        <f>A!Y851</f>
        <v>0</v>
      </c>
      <c r="Z851" s="32">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32"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A!CO1161</f>
        <v>0</v>
      </c>
      <c r="CR851">
        <f>A!CP851</f>
        <v>0</v>
      </c>
      <c r="CS851">
        <f>A!CQ851</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32" t="str">
        <f>IF(A!P852="","",INDEX(B!$A$1:$BT$2000,MATCH(A!P852,B!$AX$1:$AX$2000,0),D!$B$5))</f>
        <v/>
      </c>
      <c r="Q852">
        <f>A!Q852</f>
        <v>0</v>
      </c>
      <c r="R852">
        <f>A!R852</f>
        <v>0</v>
      </c>
      <c r="S852">
        <f>A!S852</f>
        <v>0</v>
      </c>
      <c r="T852">
        <f>A!T852</f>
        <v>0</v>
      </c>
      <c r="U852">
        <f>A!U852</f>
        <v>0</v>
      </c>
      <c r="V852" s="32">
        <f>IF(A!V852="&lt;",1,A!V852)</f>
        <v>0</v>
      </c>
      <c r="W852">
        <f>A!W852</f>
        <v>0</v>
      </c>
      <c r="X852">
        <f>A!X852</f>
        <v>0</v>
      </c>
      <c r="Y852">
        <f>A!Y852</f>
        <v>0</v>
      </c>
      <c r="Z852" s="32">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32"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A!CO1162</f>
        <v>0</v>
      </c>
      <c r="CR852">
        <f>A!CP852</f>
        <v>0</v>
      </c>
      <c r="CS852">
        <f>A!CQ852</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32" t="str">
        <f>IF(A!P853="","",INDEX(B!$A$1:$BT$2000,MATCH(A!P853,B!$AX$1:$AX$2000,0),D!$B$5))</f>
        <v/>
      </c>
      <c r="Q853">
        <f>A!Q853</f>
        <v>0</v>
      </c>
      <c r="R853">
        <f>A!R853</f>
        <v>0</v>
      </c>
      <c r="S853">
        <f>A!S853</f>
        <v>0</v>
      </c>
      <c r="T853">
        <f>A!T853</f>
        <v>0</v>
      </c>
      <c r="U853">
        <f>A!U853</f>
        <v>0</v>
      </c>
      <c r="V853" s="32">
        <f>IF(A!V853="&lt;",1,A!V853)</f>
        <v>0</v>
      </c>
      <c r="W853">
        <f>A!W853</f>
        <v>0</v>
      </c>
      <c r="X853">
        <f>A!X853</f>
        <v>0</v>
      </c>
      <c r="Y853">
        <f>A!Y853</f>
        <v>0</v>
      </c>
      <c r="Z853" s="32">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32"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A!CO1163</f>
        <v>0</v>
      </c>
      <c r="CR853">
        <f>A!CP853</f>
        <v>0</v>
      </c>
      <c r="CS853">
        <f>A!CQ853</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32" t="str">
        <f>IF(A!P854="","",INDEX(B!$A$1:$BT$2000,MATCH(A!P854,B!$AX$1:$AX$2000,0),D!$B$5))</f>
        <v/>
      </c>
      <c r="Q854">
        <f>A!Q854</f>
        <v>0</v>
      </c>
      <c r="R854">
        <f>A!R854</f>
        <v>0</v>
      </c>
      <c r="S854">
        <f>A!S854</f>
        <v>0</v>
      </c>
      <c r="T854">
        <f>A!T854</f>
        <v>0</v>
      </c>
      <c r="U854">
        <f>A!U854</f>
        <v>0</v>
      </c>
      <c r="V854" s="32">
        <f>IF(A!V854="&lt;",1,A!V854)</f>
        <v>0</v>
      </c>
      <c r="W854">
        <f>A!W854</f>
        <v>0</v>
      </c>
      <c r="X854">
        <f>A!X854</f>
        <v>0</v>
      </c>
      <c r="Y854">
        <f>A!Y854</f>
        <v>0</v>
      </c>
      <c r="Z854" s="32">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32"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A!CO1164</f>
        <v>0</v>
      </c>
      <c r="CR854">
        <f>A!CP854</f>
        <v>0</v>
      </c>
      <c r="CS854">
        <f>A!CQ854</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32" t="str">
        <f>IF(A!P855="","",INDEX(B!$A$1:$BT$2000,MATCH(A!P855,B!$AX$1:$AX$2000,0),D!$B$5))</f>
        <v/>
      </c>
      <c r="Q855">
        <f>A!Q855</f>
        <v>0</v>
      </c>
      <c r="R855">
        <f>A!R855</f>
        <v>0</v>
      </c>
      <c r="S855">
        <f>A!S855</f>
        <v>0</v>
      </c>
      <c r="T855">
        <f>A!T855</f>
        <v>0</v>
      </c>
      <c r="U855">
        <f>A!U855</f>
        <v>0</v>
      </c>
      <c r="V855" s="32">
        <f>IF(A!V855="&lt;",1,A!V855)</f>
        <v>0</v>
      </c>
      <c r="W855">
        <f>A!W855</f>
        <v>0</v>
      </c>
      <c r="X855">
        <f>A!X855</f>
        <v>0</v>
      </c>
      <c r="Y855">
        <f>A!Y855</f>
        <v>0</v>
      </c>
      <c r="Z855" s="32">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32"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A!CO1165</f>
        <v>0</v>
      </c>
      <c r="CR855">
        <f>A!CP855</f>
        <v>0</v>
      </c>
      <c r="CS855">
        <f>A!CQ855</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32" t="str">
        <f>IF(A!P856="","",INDEX(B!$A$1:$BT$2000,MATCH(A!P856,B!$AX$1:$AX$2000,0),D!$B$5))</f>
        <v/>
      </c>
      <c r="Q856">
        <f>A!Q856</f>
        <v>0</v>
      </c>
      <c r="R856">
        <f>A!R856</f>
        <v>0</v>
      </c>
      <c r="S856">
        <f>A!S856</f>
        <v>0</v>
      </c>
      <c r="T856">
        <f>A!T856</f>
        <v>0</v>
      </c>
      <c r="U856">
        <f>A!U856</f>
        <v>0</v>
      </c>
      <c r="V856" s="32">
        <f>IF(A!V856="&lt;",1,A!V856)</f>
        <v>0</v>
      </c>
      <c r="W856">
        <f>A!W856</f>
        <v>0</v>
      </c>
      <c r="X856">
        <f>A!X856</f>
        <v>0</v>
      </c>
      <c r="Y856">
        <f>A!Y856</f>
        <v>0</v>
      </c>
      <c r="Z856" s="32">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32"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A!CO1166</f>
        <v>0</v>
      </c>
      <c r="CR856">
        <f>A!CP856</f>
        <v>0</v>
      </c>
      <c r="CS856">
        <f>A!CQ856</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32" t="str">
        <f>IF(A!P857="","",INDEX(B!$A$1:$BT$2000,MATCH(A!P857,B!$AX$1:$AX$2000,0),D!$B$5))</f>
        <v/>
      </c>
      <c r="Q857">
        <f>A!Q857</f>
        <v>0</v>
      </c>
      <c r="R857">
        <f>A!R857</f>
        <v>0</v>
      </c>
      <c r="S857">
        <f>A!S857</f>
        <v>0</v>
      </c>
      <c r="T857">
        <f>A!T857</f>
        <v>0</v>
      </c>
      <c r="U857">
        <f>A!U857</f>
        <v>0</v>
      </c>
      <c r="V857" s="32">
        <f>IF(A!V857="&lt;",1,A!V857)</f>
        <v>0</v>
      </c>
      <c r="W857">
        <f>A!W857</f>
        <v>0</v>
      </c>
      <c r="X857">
        <f>A!X857</f>
        <v>0</v>
      </c>
      <c r="Y857">
        <f>A!Y857</f>
        <v>0</v>
      </c>
      <c r="Z857" s="32">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32"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A!CO1167</f>
        <v>0</v>
      </c>
      <c r="CR857">
        <f>A!CP857</f>
        <v>0</v>
      </c>
      <c r="CS857">
        <f>A!CQ857</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32" t="str">
        <f>IF(A!P858="","",INDEX(B!$A$1:$BT$2000,MATCH(A!P858,B!$AX$1:$AX$2000,0),D!$B$5))</f>
        <v/>
      </c>
      <c r="Q858">
        <f>A!Q858</f>
        <v>0</v>
      </c>
      <c r="R858">
        <f>A!R858</f>
        <v>0</v>
      </c>
      <c r="S858">
        <f>A!S858</f>
        <v>0</v>
      </c>
      <c r="T858">
        <f>A!T858</f>
        <v>0</v>
      </c>
      <c r="U858">
        <f>A!U858</f>
        <v>0</v>
      </c>
      <c r="V858" s="32">
        <f>IF(A!V858="&lt;",1,A!V858)</f>
        <v>0</v>
      </c>
      <c r="W858">
        <f>A!W858</f>
        <v>0</v>
      </c>
      <c r="X858">
        <f>A!X858</f>
        <v>0</v>
      </c>
      <c r="Y858">
        <f>A!Y858</f>
        <v>0</v>
      </c>
      <c r="Z858" s="32">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32"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A!CO1168</f>
        <v>0</v>
      </c>
      <c r="CR858">
        <f>A!CP858</f>
        <v>0</v>
      </c>
      <c r="CS858">
        <f>A!CQ858</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32" t="str">
        <f>IF(A!P859="","",INDEX(B!$A$1:$BT$2000,MATCH(A!P859,B!$AX$1:$AX$2000,0),D!$B$5))</f>
        <v/>
      </c>
      <c r="Q859">
        <f>A!Q859</f>
        <v>0</v>
      </c>
      <c r="R859">
        <f>A!R859</f>
        <v>0</v>
      </c>
      <c r="S859">
        <f>A!S859</f>
        <v>0</v>
      </c>
      <c r="T859">
        <f>A!T859</f>
        <v>0</v>
      </c>
      <c r="U859">
        <f>A!U859</f>
        <v>0</v>
      </c>
      <c r="V859" s="32">
        <f>IF(A!V859="&lt;",1,A!V859)</f>
        <v>0</v>
      </c>
      <c r="W859">
        <f>A!W859</f>
        <v>0</v>
      </c>
      <c r="X859">
        <f>A!X859</f>
        <v>0</v>
      </c>
      <c r="Y859">
        <f>A!Y859</f>
        <v>0</v>
      </c>
      <c r="Z859" s="32">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32"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A!CO1169</f>
        <v>0</v>
      </c>
      <c r="CR859">
        <f>A!CP859</f>
        <v>0</v>
      </c>
      <c r="CS859">
        <f>A!CQ859</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32" t="str">
        <f>IF(A!P860="","",INDEX(B!$A$1:$BT$2000,MATCH(A!P860,B!$AX$1:$AX$2000,0),D!$B$5))</f>
        <v/>
      </c>
      <c r="Q860">
        <f>A!Q860</f>
        <v>0</v>
      </c>
      <c r="R860">
        <f>A!R860</f>
        <v>0</v>
      </c>
      <c r="S860">
        <f>A!S860</f>
        <v>0</v>
      </c>
      <c r="T860">
        <f>A!T860</f>
        <v>0</v>
      </c>
      <c r="U860">
        <f>A!U860</f>
        <v>0</v>
      </c>
      <c r="V860" s="32">
        <f>IF(A!V860="&lt;",1,A!V860)</f>
        <v>0</v>
      </c>
      <c r="W860">
        <f>A!W860</f>
        <v>0</v>
      </c>
      <c r="X860">
        <f>A!X860</f>
        <v>0</v>
      </c>
      <c r="Y860">
        <f>A!Y860</f>
        <v>0</v>
      </c>
      <c r="Z860" s="32">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32"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A!CO1170</f>
        <v>0</v>
      </c>
      <c r="CR860">
        <f>A!CP860</f>
        <v>0</v>
      </c>
      <c r="CS860">
        <f>A!CQ860</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32" t="str">
        <f>IF(A!P861="","",INDEX(B!$A$1:$BT$2000,MATCH(A!P861,B!$AX$1:$AX$2000,0),D!$B$5))</f>
        <v/>
      </c>
      <c r="Q861">
        <f>A!Q861</f>
        <v>0</v>
      </c>
      <c r="R861">
        <f>A!R861</f>
        <v>0</v>
      </c>
      <c r="S861">
        <f>A!S861</f>
        <v>0</v>
      </c>
      <c r="T861">
        <f>A!T861</f>
        <v>0</v>
      </c>
      <c r="U861">
        <f>A!U861</f>
        <v>0</v>
      </c>
      <c r="V861" s="32">
        <f>IF(A!V861="&lt;",1,A!V861)</f>
        <v>0</v>
      </c>
      <c r="W861">
        <f>A!W861</f>
        <v>0</v>
      </c>
      <c r="X861">
        <f>A!X861</f>
        <v>0</v>
      </c>
      <c r="Y861">
        <f>A!Y861</f>
        <v>0</v>
      </c>
      <c r="Z861" s="32">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32"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A!CO1171</f>
        <v>0</v>
      </c>
      <c r="CR861">
        <f>A!CP861</f>
        <v>0</v>
      </c>
      <c r="CS861">
        <f>A!CQ861</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32" t="str">
        <f>IF(A!P862="","",INDEX(B!$A$1:$BT$2000,MATCH(A!P862,B!$AX$1:$AX$2000,0),D!$B$5))</f>
        <v/>
      </c>
      <c r="Q862">
        <f>A!Q862</f>
        <v>0</v>
      </c>
      <c r="R862">
        <f>A!R862</f>
        <v>0</v>
      </c>
      <c r="S862">
        <f>A!S862</f>
        <v>0</v>
      </c>
      <c r="T862">
        <f>A!T862</f>
        <v>0</v>
      </c>
      <c r="U862">
        <f>A!U862</f>
        <v>0</v>
      </c>
      <c r="V862" s="32">
        <f>IF(A!V862="&lt;",1,A!V862)</f>
        <v>0</v>
      </c>
      <c r="W862">
        <f>A!W862</f>
        <v>0</v>
      </c>
      <c r="X862">
        <f>A!X862</f>
        <v>0</v>
      </c>
      <c r="Y862">
        <f>A!Y862</f>
        <v>0</v>
      </c>
      <c r="Z862" s="32">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32"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A!CO1172</f>
        <v>0</v>
      </c>
      <c r="CR862">
        <f>A!CP862</f>
        <v>0</v>
      </c>
      <c r="CS862">
        <f>A!CQ862</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32" t="str">
        <f>IF(A!P863="","",INDEX(B!$A$1:$BT$2000,MATCH(A!P863,B!$AX$1:$AX$2000,0),D!$B$5))</f>
        <v/>
      </c>
      <c r="Q863">
        <f>A!Q863</f>
        <v>0</v>
      </c>
      <c r="R863">
        <f>A!R863</f>
        <v>0</v>
      </c>
      <c r="S863">
        <f>A!S863</f>
        <v>0</v>
      </c>
      <c r="T863">
        <f>A!T863</f>
        <v>0</v>
      </c>
      <c r="U863">
        <f>A!U863</f>
        <v>0</v>
      </c>
      <c r="V863" s="32">
        <f>IF(A!V863="&lt;",1,A!V863)</f>
        <v>0</v>
      </c>
      <c r="W863">
        <f>A!W863</f>
        <v>0</v>
      </c>
      <c r="X863">
        <f>A!X863</f>
        <v>0</v>
      </c>
      <c r="Y863">
        <f>A!Y863</f>
        <v>0</v>
      </c>
      <c r="Z863" s="32">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32"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A!CO1173</f>
        <v>0</v>
      </c>
      <c r="CR863">
        <f>A!CP863</f>
        <v>0</v>
      </c>
      <c r="CS863">
        <f>A!CQ863</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32" t="str">
        <f>IF(A!P864="","",INDEX(B!$A$1:$BT$2000,MATCH(A!P864,B!$AX$1:$AX$2000,0),D!$B$5))</f>
        <v/>
      </c>
      <c r="Q864">
        <f>A!Q864</f>
        <v>0</v>
      </c>
      <c r="R864">
        <f>A!R864</f>
        <v>0</v>
      </c>
      <c r="S864">
        <f>A!S864</f>
        <v>0</v>
      </c>
      <c r="T864">
        <f>A!T864</f>
        <v>0</v>
      </c>
      <c r="U864">
        <f>A!U864</f>
        <v>0</v>
      </c>
      <c r="V864" s="32">
        <f>IF(A!V864="&lt;",1,A!V864)</f>
        <v>0</v>
      </c>
      <c r="W864">
        <f>A!W864</f>
        <v>0</v>
      </c>
      <c r="X864">
        <f>A!X864</f>
        <v>0</v>
      </c>
      <c r="Y864">
        <f>A!Y864</f>
        <v>0</v>
      </c>
      <c r="Z864" s="32">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32"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A!CO1174</f>
        <v>0</v>
      </c>
      <c r="CR864">
        <f>A!CP864</f>
        <v>0</v>
      </c>
      <c r="CS864">
        <f>A!CQ864</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32" t="str">
        <f>IF(A!P865="","",INDEX(B!$A$1:$BT$2000,MATCH(A!P865,B!$AX$1:$AX$2000,0),D!$B$5))</f>
        <v/>
      </c>
      <c r="Q865">
        <f>A!Q865</f>
        <v>0</v>
      </c>
      <c r="R865">
        <f>A!R865</f>
        <v>0</v>
      </c>
      <c r="S865">
        <f>A!S865</f>
        <v>0</v>
      </c>
      <c r="T865">
        <f>A!T865</f>
        <v>0</v>
      </c>
      <c r="U865">
        <f>A!U865</f>
        <v>0</v>
      </c>
      <c r="V865" s="32">
        <f>IF(A!V865="&lt;",1,A!V865)</f>
        <v>0</v>
      </c>
      <c r="W865">
        <f>A!W865</f>
        <v>0</v>
      </c>
      <c r="X865">
        <f>A!X865</f>
        <v>0</v>
      </c>
      <c r="Y865">
        <f>A!Y865</f>
        <v>0</v>
      </c>
      <c r="Z865" s="32">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32"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A!CO1175</f>
        <v>0</v>
      </c>
      <c r="CR865">
        <f>A!CP865</f>
        <v>0</v>
      </c>
      <c r="CS865">
        <f>A!CQ865</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32" t="str">
        <f>IF(A!P866="","",INDEX(B!$A$1:$BT$2000,MATCH(A!P866,B!$AX$1:$AX$2000,0),D!$B$5))</f>
        <v/>
      </c>
      <c r="Q866">
        <f>A!Q866</f>
        <v>0</v>
      </c>
      <c r="R866">
        <f>A!R866</f>
        <v>0</v>
      </c>
      <c r="S866">
        <f>A!S866</f>
        <v>0</v>
      </c>
      <c r="T866">
        <f>A!T866</f>
        <v>0</v>
      </c>
      <c r="U866">
        <f>A!U866</f>
        <v>0</v>
      </c>
      <c r="V866" s="32">
        <f>IF(A!V866="&lt;",1,A!V866)</f>
        <v>0</v>
      </c>
      <c r="W866">
        <f>A!W866</f>
        <v>0</v>
      </c>
      <c r="X866">
        <f>A!X866</f>
        <v>0</v>
      </c>
      <c r="Y866">
        <f>A!Y866</f>
        <v>0</v>
      </c>
      <c r="Z866" s="32">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32"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A!CO1176</f>
        <v>0</v>
      </c>
      <c r="CR866">
        <f>A!CP866</f>
        <v>0</v>
      </c>
      <c r="CS866">
        <f>A!CQ866</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32" t="str">
        <f>IF(A!P867="","",INDEX(B!$A$1:$BT$2000,MATCH(A!P867,B!$AX$1:$AX$2000,0),D!$B$5))</f>
        <v/>
      </c>
      <c r="Q867">
        <f>A!Q867</f>
        <v>0</v>
      </c>
      <c r="R867">
        <f>A!R867</f>
        <v>0</v>
      </c>
      <c r="S867">
        <f>A!S867</f>
        <v>0</v>
      </c>
      <c r="T867">
        <f>A!T867</f>
        <v>0</v>
      </c>
      <c r="U867">
        <f>A!U867</f>
        <v>0</v>
      </c>
      <c r="V867" s="32">
        <f>IF(A!V867="&lt;",1,A!V867)</f>
        <v>0</v>
      </c>
      <c r="W867">
        <f>A!W867</f>
        <v>0</v>
      </c>
      <c r="X867">
        <f>A!X867</f>
        <v>0</v>
      </c>
      <c r="Y867">
        <f>A!Y867</f>
        <v>0</v>
      </c>
      <c r="Z867" s="32">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32"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A!CO1177</f>
        <v>0</v>
      </c>
      <c r="CR867">
        <f>A!CP867</f>
        <v>0</v>
      </c>
      <c r="CS867">
        <f>A!CQ867</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32" t="str">
        <f>IF(A!P868="","",INDEX(B!$A$1:$BT$2000,MATCH(A!P868,B!$AX$1:$AX$2000,0),D!$B$5))</f>
        <v/>
      </c>
      <c r="Q868">
        <f>A!Q868</f>
        <v>0</v>
      </c>
      <c r="R868">
        <f>A!R868</f>
        <v>0</v>
      </c>
      <c r="S868">
        <f>A!S868</f>
        <v>0</v>
      </c>
      <c r="T868">
        <f>A!T868</f>
        <v>0</v>
      </c>
      <c r="U868">
        <f>A!U868</f>
        <v>0</v>
      </c>
      <c r="V868" s="32">
        <f>IF(A!V868="&lt;",1,A!V868)</f>
        <v>0</v>
      </c>
      <c r="W868">
        <f>A!W868</f>
        <v>0</v>
      </c>
      <c r="X868">
        <f>A!X868</f>
        <v>0</v>
      </c>
      <c r="Y868">
        <f>A!Y868</f>
        <v>0</v>
      </c>
      <c r="Z868" s="32">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32"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A!CO1178</f>
        <v>0</v>
      </c>
      <c r="CR868">
        <f>A!CP868</f>
        <v>0</v>
      </c>
      <c r="CS868">
        <f>A!CQ868</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32" t="str">
        <f>IF(A!P869="","",INDEX(B!$A$1:$BT$2000,MATCH(A!P869,B!$AX$1:$AX$2000,0),D!$B$5))</f>
        <v/>
      </c>
      <c r="Q869">
        <f>A!Q869</f>
        <v>0</v>
      </c>
      <c r="R869">
        <f>A!R869</f>
        <v>0</v>
      </c>
      <c r="S869">
        <f>A!S869</f>
        <v>0</v>
      </c>
      <c r="T869">
        <f>A!T869</f>
        <v>0</v>
      </c>
      <c r="U869">
        <f>A!U869</f>
        <v>0</v>
      </c>
      <c r="V869" s="32">
        <f>IF(A!V869="&lt;",1,A!V869)</f>
        <v>0</v>
      </c>
      <c r="W869">
        <f>A!W869</f>
        <v>0</v>
      </c>
      <c r="X869">
        <f>A!X869</f>
        <v>0</v>
      </c>
      <c r="Y869">
        <f>A!Y869</f>
        <v>0</v>
      </c>
      <c r="Z869" s="32">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32"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A!CO1179</f>
        <v>0</v>
      </c>
      <c r="CR869">
        <f>A!CP869</f>
        <v>0</v>
      </c>
      <c r="CS869">
        <f>A!CQ869</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32" t="str">
        <f>IF(A!P870="","",INDEX(B!$A$1:$BT$2000,MATCH(A!P870,B!$AX$1:$AX$2000,0),D!$B$5))</f>
        <v/>
      </c>
      <c r="Q870">
        <f>A!Q870</f>
        <v>0</v>
      </c>
      <c r="R870">
        <f>A!R870</f>
        <v>0</v>
      </c>
      <c r="S870">
        <f>A!S870</f>
        <v>0</v>
      </c>
      <c r="T870">
        <f>A!T870</f>
        <v>0</v>
      </c>
      <c r="U870">
        <f>A!U870</f>
        <v>0</v>
      </c>
      <c r="V870" s="32">
        <f>IF(A!V870="&lt;",1,A!V870)</f>
        <v>0</v>
      </c>
      <c r="W870">
        <f>A!W870</f>
        <v>0</v>
      </c>
      <c r="X870">
        <f>A!X870</f>
        <v>0</v>
      </c>
      <c r="Y870">
        <f>A!Y870</f>
        <v>0</v>
      </c>
      <c r="Z870" s="32">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32"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A!CO1180</f>
        <v>0</v>
      </c>
      <c r="CR870">
        <f>A!CP870</f>
        <v>0</v>
      </c>
      <c r="CS870">
        <f>A!CQ870</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32" t="str">
        <f>IF(A!P871="","",INDEX(B!$A$1:$BT$2000,MATCH(A!P871,B!$AX$1:$AX$2000,0),D!$B$5))</f>
        <v/>
      </c>
      <c r="Q871">
        <f>A!Q871</f>
        <v>0</v>
      </c>
      <c r="R871">
        <f>A!R871</f>
        <v>0</v>
      </c>
      <c r="S871">
        <f>A!S871</f>
        <v>0</v>
      </c>
      <c r="T871">
        <f>A!T871</f>
        <v>0</v>
      </c>
      <c r="U871">
        <f>A!U871</f>
        <v>0</v>
      </c>
      <c r="V871" s="32">
        <f>IF(A!V871="&lt;",1,A!V871)</f>
        <v>0</v>
      </c>
      <c r="W871">
        <f>A!W871</f>
        <v>0</v>
      </c>
      <c r="X871">
        <f>A!X871</f>
        <v>0</v>
      </c>
      <c r="Y871">
        <f>A!Y871</f>
        <v>0</v>
      </c>
      <c r="Z871" s="32">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32"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A!CO1181</f>
        <v>0</v>
      </c>
      <c r="CR871">
        <f>A!CP871</f>
        <v>0</v>
      </c>
      <c r="CS871">
        <f>A!CQ871</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32" t="str">
        <f>IF(A!P872="","",INDEX(B!$A$1:$BT$2000,MATCH(A!P872,B!$AX$1:$AX$2000,0),D!$B$5))</f>
        <v/>
      </c>
      <c r="Q872">
        <f>A!Q872</f>
        <v>0</v>
      </c>
      <c r="R872">
        <f>A!R872</f>
        <v>0</v>
      </c>
      <c r="S872">
        <f>A!S872</f>
        <v>0</v>
      </c>
      <c r="T872">
        <f>A!T872</f>
        <v>0</v>
      </c>
      <c r="U872">
        <f>A!U872</f>
        <v>0</v>
      </c>
      <c r="V872" s="32">
        <f>IF(A!V872="&lt;",1,A!V872)</f>
        <v>0</v>
      </c>
      <c r="W872">
        <f>A!W872</f>
        <v>0</v>
      </c>
      <c r="X872">
        <f>A!X872</f>
        <v>0</v>
      </c>
      <c r="Y872">
        <f>A!Y872</f>
        <v>0</v>
      </c>
      <c r="Z872" s="32">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32"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A!CO1182</f>
        <v>0</v>
      </c>
      <c r="CR872">
        <f>A!CP872</f>
        <v>0</v>
      </c>
      <c r="CS872">
        <f>A!CQ872</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32" t="str">
        <f>IF(A!P873="","",INDEX(B!$A$1:$BT$2000,MATCH(A!P873,B!$AX$1:$AX$2000,0),D!$B$5))</f>
        <v/>
      </c>
      <c r="Q873">
        <f>A!Q873</f>
        <v>0</v>
      </c>
      <c r="R873">
        <f>A!R873</f>
        <v>0</v>
      </c>
      <c r="S873">
        <f>A!S873</f>
        <v>0</v>
      </c>
      <c r="T873">
        <f>A!T873</f>
        <v>0</v>
      </c>
      <c r="U873">
        <f>A!U873</f>
        <v>0</v>
      </c>
      <c r="V873" s="32">
        <f>IF(A!V873="&lt;",1,A!V873)</f>
        <v>0</v>
      </c>
      <c r="W873">
        <f>A!W873</f>
        <v>0</v>
      </c>
      <c r="X873">
        <f>A!X873</f>
        <v>0</v>
      </c>
      <c r="Y873">
        <f>A!Y873</f>
        <v>0</v>
      </c>
      <c r="Z873" s="32">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32"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A!CO1183</f>
        <v>0</v>
      </c>
      <c r="CR873">
        <f>A!CP873</f>
        <v>0</v>
      </c>
      <c r="CS873">
        <f>A!CQ873</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32" t="str">
        <f>IF(A!P874="","",INDEX(B!$A$1:$BT$2000,MATCH(A!P874,B!$AX$1:$AX$2000,0),D!$B$5))</f>
        <v/>
      </c>
      <c r="Q874">
        <f>A!Q874</f>
        <v>0</v>
      </c>
      <c r="R874">
        <f>A!R874</f>
        <v>0</v>
      </c>
      <c r="S874">
        <f>A!S874</f>
        <v>0</v>
      </c>
      <c r="T874">
        <f>A!T874</f>
        <v>0</v>
      </c>
      <c r="U874">
        <f>A!U874</f>
        <v>0</v>
      </c>
      <c r="V874" s="32">
        <f>IF(A!V874="&lt;",1,A!V874)</f>
        <v>0</v>
      </c>
      <c r="W874">
        <f>A!W874</f>
        <v>0</v>
      </c>
      <c r="X874">
        <f>A!X874</f>
        <v>0</v>
      </c>
      <c r="Y874">
        <f>A!Y874</f>
        <v>0</v>
      </c>
      <c r="Z874" s="32">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32"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A!CO1184</f>
        <v>0</v>
      </c>
      <c r="CR874">
        <f>A!CP874</f>
        <v>0</v>
      </c>
      <c r="CS874">
        <f>A!CQ874</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32" t="str">
        <f>IF(A!P875="","",INDEX(B!$A$1:$BT$2000,MATCH(A!P875,B!$AX$1:$AX$2000,0),D!$B$5))</f>
        <v/>
      </c>
      <c r="Q875">
        <f>A!Q875</f>
        <v>0</v>
      </c>
      <c r="R875">
        <f>A!R875</f>
        <v>0</v>
      </c>
      <c r="S875">
        <f>A!S875</f>
        <v>0</v>
      </c>
      <c r="T875">
        <f>A!T875</f>
        <v>0</v>
      </c>
      <c r="U875">
        <f>A!U875</f>
        <v>0</v>
      </c>
      <c r="V875" s="32">
        <f>IF(A!V875="&lt;",1,A!V875)</f>
        <v>0</v>
      </c>
      <c r="W875">
        <f>A!W875</f>
        <v>0</v>
      </c>
      <c r="X875">
        <f>A!X875</f>
        <v>0</v>
      </c>
      <c r="Y875">
        <f>A!Y875</f>
        <v>0</v>
      </c>
      <c r="Z875" s="32">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32"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A!CO1185</f>
        <v>0</v>
      </c>
      <c r="CR875">
        <f>A!CP875</f>
        <v>0</v>
      </c>
      <c r="CS875">
        <f>A!CQ875</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32" t="str">
        <f>IF(A!P876="","",INDEX(B!$A$1:$BT$2000,MATCH(A!P876,B!$AX$1:$AX$2000,0),D!$B$5))</f>
        <v/>
      </c>
      <c r="Q876">
        <f>A!Q876</f>
        <v>0</v>
      </c>
      <c r="R876">
        <f>A!R876</f>
        <v>0</v>
      </c>
      <c r="S876">
        <f>A!S876</f>
        <v>0</v>
      </c>
      <c r="T876">
        <f>A!T876</f>
        <v>0</v>
      </c>
      <c r="U876">
        <f>A!U876</f>
        <v>0</v>
      </c>
      <c r="V876" s="32">
        <f>IF(A!V876="&lt;",1,A!V876)</f>
        <v>0</v>
      </c>
      <c r="W876">
        <f>A!W876</f>
        <v>0</v>
      </c>
      <c r="X876">
        <f>A!X876</f>
        <v>0</v>
      </c>
      <c r="Y876">
        <f>A!Y876</f>
        <v>0</v>
      </c>
      <c r="Z876" s="32">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32"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A!CO1186</f>
        <v>0</v>
      </c>
      <c r="CR876">
        <f>A!CP876</f>
        <v>0</v>
      </c>
      <c r="CS876">
        <f>A!CQ876</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32" t="str">
        <f>IF(A!P877="","",INDEX(B!$A$1:$BT$2000,MATCH(A!P877,B!$AX$1:$AX$2000,0),D!$B$5))</f>
        <v/>
      </c>
      <c r="Q877">
        <f>A!Q877</f>
        <v>0</v>
      </c>
      <c r="R877">
        <f>A!R877</f>
        <v>0</v>
      </c>
      <c r="S877">
        <f>A!S877</f>
        <v>0</v>
      </c>
      <c r="T877">
        <f>A!T877</f>
        <v>0</v>
      </c>
      <c r="U877">
        <f>A!U877</f>
        <v>0</v>
      </c>
      <c r="V877" s="32">
        <f>IF(A!V877="&lt;",1,A!V877)</f>
        <v>0</v>
      </c>
      <c r="W877">
        <f>A!W877</f>
        <v>0</v>
      </c>
      <c r="X877">
        <f>A!X877</f>
        <v>0</v>
      </c>
      <c r="Y877">
        <f>A!Y877</f>
        <v>0</v>
      </c>
      <c r="Z877" s="32">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32"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A!CO1187</f>
        <v>0</v>
      </c>
      <c r="CR877">
        <f>A!CP877</f>
        <v>0</v>
      </c>
      <c r="CS877">
        <f>A!CQ877</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32" t="str">
        <f>IF(A!P878="","",INDEX(B!$A$1:$BT$2000,MATCH(A!P878,B!$AX$1:$AX$2000,0),D!$B$5))</f>
        <v/>
      </c>
      <c r="Q878">
        <f>A!Q878</f>
        <v>0</v>
      </c>
      <c r="R878">
        <f>A!R878</f>
        <v>0</v>
      </c>
      <c r="S878">
        <f>A!S878</f>
        <v>0</v>
      </c>
      <c r="T878">
        <f>A!T878</f>
        <v>0</v>
      </c>
      <c r="U878">
        <f>A!U878</f>
        <v>0</v>
      </c>
      <c r="V878" s="32">
        <f>IF(A!V878="&lt;",1,A!V878)</f>
        <v>0</v>
      </c>
      <c r="W878">
        <f>A!W878</f>
        <v>0</v>
      </c>
      <c r="X878">
        <f>A!X878</f>
        <v>0</v>
      </c>
      <c r="Y878">
        <f>A!Y878</f>
        <v>0</v>
      </c>
      <c r="Z878" s="32">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32"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A!CO1188</f>
        <v>0</v>
      </c>
      <c r="CR878">
        <f>A!CP878</f>
        <v>0</v>
      </c>
      <c r="CS878">
        <f>A!CQ878</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32" t="str">
        <f>IF(A!P879="","",INDEX(B!$A$1:$BT$2000,MATCH(A!P879,B!$AX$1:$AX$2000,0),D!$B$5))</f>
        <v/>
      </c>
      <c r="Q879">
        <f>A!Q879</f>
        <v>0</v>
      </c>
      <c r="R879">
        <f>A!R879</f>
        <v>0</v>
      </c>
      <c r="S879">
        <f>A!S879</f>
        <v>0</v>
      </c>
      <c r="T879">
        <f>A!T879</f>
        <v>0</v>
      </c>
      <c r="U879">
        <f>A!U879</f>
        <v>0</v>
      </c>
      <c r="V879" s="32">
        <f>IF(A!V879="&lt;",1,A!V879)</f>
        <v>0</v>
      </c>
      <c r="W879">
        <f>A!W879</f>
        <v>0</v>
      </c>
      <c r="X879">
        <f>A!X879</f>
        <v>0</v>
      </c>
      <c r="Y879">
        <f>A!Y879</f>
        <v>0</v>
      </c>
      <c r="Z879" s="32">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32"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A!CO1189</f>
        <v>0</v>
      </c>
      <c r="CR879">
        <f>A!CP879</f>
        <v>0</v>
      </c>
      <c r="CS879">
        <f>A!CQ879</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32" t="str">
        <f>IF(A!P880="","",INDEX(B!$A$1:$BT$2000,MATCH(A!P880,B!$AX$1:$AX$2000,0),D!$B$5))</f>
        <v/>
      </c>
      <c r="Q880">
        <f>A!Q880</f>
        <v>0</v>
      </c>
      <c r="R880">
        <f>A!R880</f>
        <v>0</v>
      </c>
      <c r="S880">
        <f>A!S880</f>
        <v>0</v>
      </c>
      <c r="T880">
        <f>A!T880</f>
        <v>0</v>
      </c>
      <c r="U880">
        <f>A!U880</f>
        <v>0</v>
      </c>
      <c r="V880" s="32">
        <f>IF(A!V880="&lt;",1,A!V880)</f>
        <v>0</v>
      </c>
      <c r="W880">
        <f>A!W880</f>
        <v>0</v>
      </c>
      <c r="X880">
        <f>A!X880</f>
        <v>0</v>
      </c>
      <c r="Y880">
        <f>A!Y880</f>
        <v>0</v>
      </c>
      <c r="Z880" s="32">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32"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A!CO1190</f>
        <v>0</v>
      </c>
      <c r="CR880">
        <f>A!CP880</f>
        <v>0</v>
      </c>
      <c r="CS880">
        <f>A!CQ880</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32" t="str">
        <f>IF(A!P881="","",INDEX(B!$A$1:$BT$2000,MATCH(A!P881,B!$AX$1:$AX$2000,0),D!$B$5))</f>
        <v/>
      </c>
      <c r="Q881">
        <f>A!Q881</f>
        <v>0</v>
      </c>
      <c r="R881">
        <f>A!R881</f>
        <v>0</v>
      </c>
      <c r="S881">
        <f>A!S881</f>
        <v>0</v>
      </c>
      <c r="T881">
        <f>A!T881</f>
        <v>0</v>
      </c>
      <c r="U881">
        <f>A!U881</f>
        <v>0</v>
      </c>
      <c r="V881" s="32">
        <f>IF(A!V881="&lt;",1,A!V881)</f>
        <v>0</v>
      </c>
      <c r="W881">
        <f>A!W881</f>
        <v>0</v>
      </c>
      <c r="X881">
        <f>A!X881</f>
        <v>0</v>
      </c>
      <c r="Y881">
        <f>A!Y881</f>
        <v>0</v>
      </c>
      <c r="Z881" s="32">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32"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A!CO1191</f>
        <v>0</v>
      </c>
      <c r="CR881">
        <f>A!CP881</f>
        <v>0</v>
      </c>
      <c r="CS881">
        <f>A!CQ881</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32" t="str">
        <f>IF(A!P882="","",INDEX(B!$A$1:$BT$2000,MATCH(A!P882,B!$AX$1:$AX$2000,0),D!$B$5))</f>
        <v/>
      </c>
      <c r="Q882">
        <f>A!Q882</f>
        <v>0</v>
      </c>
      <c r="R882">
        <f>A!R882</f>
        <v>0</v>
      </c>
      <c r="S882">
        <f>A!S882</f>
        <v>0</v>
      </c>
      <c r="T882">
        <f>A!T882</f>
        <v>0</v>
      </c>
      <c r="U882">
        <f>A!U882</f>
        <v>0</v>
      </c>
      <c r="V882" s="32">
        <f>IF(A!V882="&lt;",1,A!V882)</f>
        <v>0</v>
      </c>
      <c r="W882">
        <f>A!W882</f>
        <v>0</v>
      </c>
      <c r="X882">
        <f>A!X882</f>
        <v>0</v>
      </c>
      <c r="Y882">
        <f>A!Y882</f>
        <v>0</v>
      </c>
      <c r="Z882" s="32">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32"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A!CO1192</f>
        <v>0</v>
      </c>
      <c r="CR882">
        <f>A!CP882</f>
        <v>0</v>
      </c>
      <c r="CS882">
        <f>A!CQ882</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32" t="str">
        <f>IF(A!P883="","",INDEX(B!$A$1:$BT$2000,MATCH(A!P883,B!$AX$1:$AX$2000,0),D!$B$5))</f>
        <v/>
      </c>
      <c r="Q883">
        <f>A!Q883</f>
        <v>0</v>
      </c>
      <c r="R883">
        <f>A!R883</f>
        <v>0</v>
      </c>
      <c r="S883">
        <f>A!S883</f>
        <v>0</v>
      </c>
      <c r="T883">
        <f>A!T883</f>
        <v>0</v>
      </c>
      <c r="U883">
        <f>A!U883</f>
        <v>0</v>
      </c>
      <c r="V883" s="32">
        <f>IF(A!V883="&lt;",1,A!V883)</f>
        <v>0</v>
      </c>
      <c r="W883">
        <f>A!W883</f>
        <v>0</v>
      </c>
      <c r="X883">
        <f>A!X883</f>
        <v>0</v>
      </c>
      <c r="Y883">
        <f>A!Y883</f>
        <v>0</v>
      </c>
      <c r="Z883" s="32">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32"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A!CO1193</f>
        <v>0</v>
      </c>
      <c r="CR883">
        <f>A!CP883</f>
        <v>0</v>
      </c>
      <c r="CS883">
        <f>A!CQ883</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32" t="str">
        <f>IF(A!P884="","",INDEX(B!$A$1:$BT$2000,MATCH(A!P884,B!$AX$1:$AX$2000,0),D!$B$5))</f>
        <v/>
      </c>
      <c r="Q884">
        <f>A!Q884</f>
        <v>0</v>
      </c>
      <c r="R884">
        <f>A!R884</f>
        <v>0</v>
      </c>
      <c r="S884">
        <f>A!S884</f>
        <v>0</v>
      </c>
      <c r="T884">
        <f>A!T884</f>
        <v>0</v>
      </c>
      <c r="U884">
        <f>A!U884</f>
        <v>0</v>
      </c>
      <c r="V884" s="32">
        <f>IF(A!V884="&lt;",1,A!V884)</f>
        <v>0</v>
      </c>
      <c r="W884">
        <f>A!W884</f>
        <v>0</v>
      </c>
      <c r="X884">
        <f>A!X884</f>
        <v>0</v>
      </c>
      <c r="Y884">
        <f>A!Y884</f>
        <v>0</v>
      </c>
      <c r="Z884" s="32">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32"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A!CO1194</f>
        <v>0</v>
      </c>
      <c r="CR884">
        <f>A!CP884</f>
        <v>0</v>
      </c>
      <c r="CS884">
        <f>A!CQ884</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32" t="str">
        <f>IF(A!P885="","",INDEX(B!$A$1:$BT$2000,MATCH(A!P885,B!$AX$1:$AX$2000,0),D!$B$5))</f>
        <v/>
      </c>
      <c r="Q885">
        <f>A!Q885</f>
        <v>0</v>
      </c>
      <c r="R885">
        <f>A!R885</f>
        <v>0</v>
      </c>
      <c r="S885">
        <f>A!S885</f>
        <v>0</v>
      </c>
      <c r="T885">
        <f>A!T885</f>
        <v>0</v>
      </c>
      <c r="U885">
        <f>A!U885</f>
        <v>0</v>
      </c>
      <c r="V885" s="32">
        <f>IF(A!V885="&lt;",1,A!V885)</f>
        <v>0</v>
      </c>
      <c r="W885">
        <f>A!W885</f>
        <v>0</v>
      </c>
      <c r="X885">
        <f>A!X885</f>
        <v>0</v>
      </c>
      <c r="Y885">
        <f>A!Y885</f>
        <v>0</v>
      </c>
      <c r="Z885" s="32">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32"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A!CO1195</f>
        <v>0</v>
      </c>
      <c r="CR885">
        <f>A!CP885</f>
        <v>0</v>
      </c>
      <c r="CS885">
        <f>A!CQ885</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32" t="str">
        <f>IF(A!P886="","",INDEX(B!$A$1:$BT$2000,MATCH(A!P886,B!$AX$1:$AX$2000,0),D!$B$5))</f>
        <v/>
      </c>
      <c r="Q886">
        <f>A!Q886</f>
        <v>0</v>
      </c>
      <c r="R886">
        <f>A!R886</f>
        <v>0</v>
      </c>
      <c r="S886">
        <f>A!S886</f>
        <v>0</v>
      </c>
      <c r="T886">
        <f>A!T886</f>
        <v>0</v>
      </c>
      <c r="U886">
        <f>A!U886</f>
        <v>0</v>
      </c>
      <c r="V886" s="32">
        <f>IF(A!V886="&lt;",1,A!V886)</f>
        <v>0</v>
      </c>
      <c r="W886">
        <f>A!W886</f>
        <v>0</v>
      </c>
      <c r="X886">
        <f>A!X886</f>
        <v>0</v>
      </c>
      <c r="Y886">
        <f>A!Y886</f>
        <v>0</v>
      </c>
      <c r="Z886" s="32">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32"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A!CO1196</f>
        <v>0</v>
      </c>
      <c r="CR886">
        <f>A!CP886</f>
        <v>0</v>
      </c>
      <c r="CS886">
        <f>A!CQ886</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32" t="str">
        <f>IF(A!P887="","",INDEX(B!$A$1:$BT$2000,MATCH(A!P887,B!$AX$1:$AX$2000,0),D!$B$5))</f>
        <v/>
      </c>
      <c r="Q887">
        <f>A!Q887</f>
        <v>0</v>
      </c>
      <c r="R887">
        <f>A!R887</f>
        <v>0</v>
      </c>
      <c r="S887">
        <f>A!S887</f>
        <v>0</v>
      </c>
      <c r="T887">
        <f>A!T887</f>
        <v>0</v>
      </c>
      <c r="U887">
        <f>A!U887</f>
        <v>0</v>
      </c>
      <c r="V887" s="32">
        <f>IF(A!V887="&lt;",1,A!V887)</f>
        <v>0</v>
      </c>
      <c r="W887">
        <f>A!W887</f>
        <v>0</v>
      </c>
      <c r="X887">
        <f>A!X887</f>
        <v>0</v>
      </c>
      <c r="Y887">
        <f>A!Y887</f>
        <v>0</v>
      </c>
      <c r="Z887" s="32">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32"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A!CO1197</f>
        <v>0</v>
      </c>
      <c r="CR887">
        <f>A!CP887</f>
        <v>0</v>
      </c>
      <c r="CS887">
        <f>A!CQ887</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32" t="str">
        <f>IF(A!P888="","",INDEX(B!$A$1:$BT$2000,MATCH(A!P888,B!$AX$1:$AX$2000,0),D!$B$5))</f>
        <v/>
      </c>
      <c r="Q888">
        <f>A!Q888</f>
        <v>0</v>
      </c>
      <c r="R888">
        <f>A!R888</f>
        <v>0</v>
      </c>
      <c r="S888">
        <f>A!S888</f>
        <v>0</v>
      </c>
      <c r="T888">
        <f>A!T888</f>
        <v>0</v>
      </c>
      <c r="U888">
        <f>A!U888</f>
        <v>0</v>
      </c>
      <c r="V888" s="32">
        <f>IF(A!V888="&lt;",1,A!V888)</f>
        <v>0</v>
      </c>
      <c r="W888">
        <f>A!W888</f>
        <v>0</v>
      </c>
      <c r="X888">
        <f>A!X888</f>
        <v>0</v>
      </c>
      <c r="Y888">
        <f>A!Y888</f>
        <v>0</v>
      </c>
      <c r="Z888" s="32">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32"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A!CO1198</f>
        <v>0</v>
      </c>
      <c r="CR888">
        <f>A!CP888</f>
        <v>0</v>
      </c>
      <c r="CS888">
        <f>A!CQ888</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32" t="str">
        <f>IF(A!P889="","",INDEX(B!$A$1:$BT$2000,MATCH(A!P889,B!$AX$1:$AX$2000,0),D!$B$5))</f>
        <v/>
      </c>
      <c r="Q889">
        <f>A!Q889</f>
        <v>0</v>
      </c>
      <c r="R889">
        <f>A!R889</f>
        <v>0</v>
      </c>
      <c r="S889">
        <f>A!S889</f>
        <v>0</v>
      </c>
      <c r="T889">
        <f>A!T889</f>
        <v>0</v>
      </c>
      <c r="U889">
        <f>A!U889</f>
        <v>0</v>
      </c>
      <c r="V889" s="32">
        <f>IF(A!V889="&lt;",1,A!V889)</f>
        <v>0</v>
      </c>
      <c r="W889">
        <f>A!W889</f>
        <v>0</v>
      </c>
      <c r="X889">
        <f>A!X889</f>
        <v>0</v>
      </c>
      <c r="Y889">
        <f>A!Y889</f>
        <v>0</v>
      </c>
      <c r="Z889" s="32">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32"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A!CO1199</f>
        <v>0</v>
      </c>
      <c r="CR889">
        <f>A!CP889</f>
        <v>0</v>
      </c>
      <c r="CS889">
        <f>A!CQ889</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32" t="str">
        <f>IF(A!P890="","",INDEX(B!$A$1:$BT$2000,MATCH(A!P890,B!$AX$1:$AX$2000,0),D!$B$5))</f>
        <v/>
      </c>
      <c r="Q890">
        <f>A!Q890</f>
        <v>0</v>
      </c>
      <c r="R890">
        <f>A!R890</f>
        <v>0</v>
      </c>
      <c r="S890">
        <f>A!S890</f>
        <v>0</v>
      </c>
      <c r="T890">
        <f>A!T890</f>
        <v>0</v>
      </c>
      <c r="U890">
        <f>A!U890</f>
        <v>0</v>
      </c>
      <c r="V890" s="32">
        <f>IF(A!V890="&lt;",1,A!V890)</f>
        <v>0</v>
      </c>
      <c r="W890">
        <f>A!W890</f>
        <v>0</v>
      </c>
      <c r="X890">
        <f>A!X890</f>
        <v>0</v>
      </c>
      <c r="Y890">
        <f>A!Y890</f>
        <v>0</v>
      </c>
      <c r="Z890" s="32">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32"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A!CO1200</f>
        <v>0</v>
      </c>
      <c r="CR890">
        <f>A!CP890</f>
        <v>0</v>
      </c>
      <c r="CS890">
        <f>A!CQ890</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32" t="str">
        <f>IF(A!P891="","",INDEX(B!$A$1:$BT$2000,MATCH(A!P891,B!$AX$1:$AX$2000,0),D!$B$5))</f>
        <v/>
      </c>
      <c r="Q891">
        <f>A!Q891</f>
        <v>0</v>
      </c>
      <c r="R891">
        <f>A!R891</f>
        <v>0</v>
      </c>
      <c r="S891">
        <f>A!S891</f>
        <v>0</v>
      </c>
      <c r="T891">
        <f>A!T891</f>
        <v>0</v>
      </c>
      <c r="U891">
        <f>A!U891</f>
        <v>0</v>
      </c>
      <c r="V891" s="32">
        <f>IF(A!V891="&lt;",1,A!V891)</f>
        <v>0</v>
      </c>
      <c r="W891">
        <f>A!W891</f>
        <v>0</v>
      </c>
      <c r="X891">
        <f>A!X891</f>
        <v>0</v>
      </c>
      <c r="Y891">
        <f>A!Y891</f>
        <v>0</v>
      </c>
      <c r="Z891" s="32">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32"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A!CO1201</f>
        <v>0</v>
      </c>
      <c r="CR891">
        <f>A!CP891</f>
        <v>0</v>
      </c>
      <c r="CS891">
        <f>A!CQ891</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32" t="str">
        <f>IF(A!P892="","",INDEX(B!$A$1:$BT$2000,MATCH(A!P892,B!$AX$1:$AX$2000,0),D!$B$5))</f>
        <v/>
      </c>
      <c r="Q892">
        <f>A!Q892</f>
        <v>0</v>
      </c>
      <c r="R892">
        <f>A!R892</f>
        <v>0</v>
      </c>
      <c r="S892">
        <f>A!S892</f>
        <v>0</v>
      </c>
      <c r="T892">
        <f>A!T892</f>
        <v>0</v>
      </c>
      <c r="U892">
        <f>A!U892</f>
        <v>0</v>
      </c>
      <c r="V892" s="32">
        <f>IF(A!V892="&lt;",1,A!V892)</f>
        <v>0</v>
      </c>
      <c r="W892">
        <f>A!W892</f>
        <v>0</v>
      </c>
      <c r="X892">
        <f>A!X892</f>
        <v>0</v>
      </c>
      <c r="Y892">
        <f>A!Y892</f>
        <v>0</v>
      </c>
      <c r="Z892" s="32">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32"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A!CO1202</f>
        <v>0</v>
      </c>
      <c r="CR892">
        <f>A!CP892</f>
        <v>0</v>
      </c>
      <c r="CS892">
        <f>A!CQ892</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32" t="str">
        <f>IF(A!P893="","",INDEX(B!$A$1:$BT$2000,MATCH(A!P893,B!$AX$1:$AX$2000,0),D!$B$5))</f>
        <v/>
      </c>
      <c r="Q893">
        <f>A!Q893</f>
        <v>0</v>
      </c>
      <c r="R893">
        <f>A!R893</f>
        <v>0</v>
      </c>
      <c r="S893">
        <f>A!S893</f>
        <v>0</v>
      </c>
      <c r="T893">
        <f>A!T893</f>
        <v>0</v>
      </c>
      <c r="U893">
        <f>A!U893</f>
        <v>0</v>
      </c>
      <c r="V893" s="32">
        <f>IF(A!V893="&lt;",1,A!V893)</f>
        <v>0</v>
      </c>
      <c r="W893">
        <f>A!W893</f>
        <v>0</v>
      </c>
      <c r="X893">
        <f>A!X893</f>
        <v>0</v>
      </c>
      <c r="Y893">
        <f>A!Y893</f>
        <v>0</v>
      </c>
      <c r="Z893" s="32">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32"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A!CO1203</f>
        <v>0</v>
      </c>
      <c r="CR893">
        <f>A!CP893</f>
        <v>0</v>
      </c>
      <c r="CS893">
        <f>A!CQ893</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32" t="str">
        <f>IF(A!P894="","",INDEX(B!$A$1:$BT$2000,MATCH(A!P894,B!$AX$1:$AX$2000,0),D!$B$5))</f>
        <v/>
      </c>
      <c r="Q894">
        <f>A!Q894</f>
        <v>0</v>
      </c>
      <c r="R894">
        <f>A!R894</f>
        <v>0</v>
      </c>
      <c r="S894">
        <f>A!S894</f>
        <v>0</v>
      </c>
      <c r="T894">
        <f>A!T894</f>
        <v>0</v>
      </c>
      <c r="U894">
        <f>A!U894</f>
        <v>0</v>
      </c>
      <c r="V894" s="32">
        <f>IF(A!V894="&lt;",1,A!V894)</f>
        <v>0</v>
      </c>
      <c r="W894">
        <f>A!W894</f>
        <v>0</v>
      </c>
      <c r="X894">
        <f>A!X894</f>
        <v>0</v>
      </c>
      <c r="Y894">
        <f>A!Y894</f>
        <v>0</v>
      </c>
      <c r="Z894" s="32">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32"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A!CO1204</f>
        <v>0</v>
      </c>
      <c r="CR894">
        <f>A!CP894</f>
        <v>0</v>
      </c>
      <c r="CS894">
        <f>A!CQ894</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32" t="str">
        <f>IF(A!P895="","",INDEX(B!$A$1:$BT$2000,MATCH(A!P895,B!$AX$1:$AX$2000,0),D!$B$5))</f>
        <v/>
      </c>
      <c r="Q895">
        <f>A!Q895</f>
        <v>0</v>
      </c>
      <c r="R895">
        <f>A!R895</f>
        <v>0</v>
      </c>
      <c r="S895">
        <f>A!S895</f>
        <v>0</v>
      </c>
      <c r="T895">
        <f>A!T895</f>
        <v>0</v>
      </c>
      <c r="U895">
        <f>A!U895</f>
        <v>0</v>
      </c>
      <c r="V895" s="32">
        <f>IF(A!V895="&lt;",1,A!V895)</f>
        <v>0</v>
      </c>
      <c r="W895">
        <f>A!W895</f>
        <v>0</v>
      </c>
      <c r="X895">
        <f>A!X895</f>
        <v>0</v>
      </c>
      <c r="Y895">
        <f>A!Y895</f>
        <v>0</v>
      </c>
      <c r="Z895" s="32">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32"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A!CO1205</f>
        <v>0</v>
      </c>
      <c r="CR895">
        <f>A!CP895</f>
        <v>0</v>
      </c>
      <c r="CS895">
        <f>A!CQ895</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32" t="str">
        <f>IF(A!P896="","",INDEX(B!$A$1:$BT$2000,MATCH(A!P896,B!$AX$1:$AX$2000,0),D!$B$5))</f>
        <v/>
      </c>
      <c r="Q896">
        <f>A!Q896</f>
        <v>0</v>
      </c>
      <c r="R896">
        <f>A!R896</f>
        <v>0</v>
      </c>
      <c r="S896">
        <f>A!S896</f>
        <v>0</v>
      </c>
      <c r="T896">
        <f>A!T896</f>
        <v>0</v>
      </c>
      <c r="U896">
        <f>A!U896</f>
        <v>0</v>
      </c>
      <c r="V896" s="32">
        <f>IF(A!V896="&lt;",1,A!V896)</f>
        <v>0</v>
      </c>
      <c r="W896">
        <f>A!W896</f>
        <v>0</v>
      </c>
      <c r="X896">
        <f>A!X896</f>
        <v>0</v>
      </c>
      <c r="Y896">
        <f>A!Y896</f>
        <v>0</v>
      </c>
      <c r="Z896" s="32">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32"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A!CO1206</f>
        <v>0</v>
      </c>
      <c r="CR896">
        <f>A!CP896</f>
        <v>0</v>
      </c>
      <c r="CS896">
        <f>A!CQ896</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32" t="str">
        <f>IF(A!P897="","",INDEX(B!$A$1:$BT$2000,MATCH(A!P897,B!$AX$1:$AX$2000,0),D!$B$5))</f>
        <v/>
      </c>
      <c r="Q897">
        <f>A!Q897</f>
        <v>0</v>
      </c>
      <c r="R897">
        <f>A!R897</f>
        <v>0</v>
      </c>
      <c r="S897">
        <f>A!S897</f>
        <v>0</v>
      </c>
      <c r="T897">
        <f>A!T897</f>
        <v>0</v>
      </c>
      <c r="U897">
        <f>A!U897</f>
        <v>0</v>
      </c>
      <c r="V897" s="32">
        <f>IF(A!V897="&lt;",1,A!V897)</f>
        <v>0</v>
      </c>
      <c r="W897">
        <f>A!W897</f>
        <v>0</v>
      </c>
      <c r="X897">
        <f>A!X897</f>
        <v>0</v>
      </c>
      <c r="Y897">
        <f>A!Y897</f>
        <v>0</v>
      </c>
      <c r="Z897" s="32">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32"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A!CO1207</f>
        <v>0</v>
      </c>
      <c r="CR897">
        <f>A!CP897</f>
        <v>0</v>
      </c>
      <c r="CS897">
        <f>A!CQ897</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32" t="str">
        <f>IF(A!P898="","",INDEX(B!$A$1:$BT$2000,MATCH(A!P898,B!$AX$1:$AX$2000,0),D!$B$5))</f>
        <v/>
      </c>
      <c r="Q898">
        <f>A!Q898</f>
        <v>0</v>
      </c>
      <c r="R898">
        <f>A!R898</f>
        <v>0</v>
      </c>
      <c r="S898">
        <f>A!S898</f>
        <v>0</v>
      </c>
      <c r="T898">
        <f>A!T898</f>
        <v>0</v>
      </c>
      <c r="U898">
        <f>A!U898</f>
        <v>0</v>
      </c>
      <c r="V898" s="32">
        <f>IF(A!V898="&lt;",1,A!V898)</f>
        <v>0</v>
      </c>
      <c r="W898">
        <f>A!W898</f>
        <v>0</v>
      </c>
      <c r="X898">
        <f>A!X898</f>
        <v>0</v>
      </c>
      <c r="Y898">
        <f>A!Y898</f>
        <v>0</v>
      </c>
      <c r="Z898" s="32">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32"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A!CO1208</f>
        <v>0</v>
      </c>
      <c r="CR898">
        <f>A!CP898</f>
        <v>0</v>
      </c>
      <c r="CS898">
        <f>A!CQ898</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32" t="str">
        <f>IF(A!P899="","",INDEX(B!$A$1:$BT$2000,MATCH(A!P899,B!$AX$1:$AX$2000,0),D!$B$5))</f>
        <v/>
      </c>
      <c r="Q899">
        <f>A!Q899</f>
        <v>0</v>
      </c>
      <c r="R899">
        <f>A!R899</f>
        <v>0</v>
      </c>
      <c r="S899">
        <f>A!S899</f>
        <v>0</v>
      </c>
      <c r="T899">
        <f>A!T899</f>
        <v>0</v>
      </c>
      <c r="U899">
        <f>A!U899</f>
        <v>0</v>
      </c>
      <c r="V899" s="32">
        <f>IF(A!V899="&lt;",1,A!V899)</f>
        <v>0</v>
      </c>
      <c r="W899">
        <f>A!W899</f>
        <v>0</v>
      </c>
      <c r="X899">
        <f>A!X899</f>
        <v>0</v>
      </c>
      <c r="Y899">
        <f>A!Y899</f>
        <v>0</v>
      </c>
      <c r="Z899" s="32">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32"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A!CO1209</f>
        <v>0</v>
      </c>
      <c r="CR899">
        <f>A!CP899</f>
        <v>0</v>
      </c>
      <c r="CS899">
        <f>A!CQ899</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32" t="str">
        <f>IF(A!P900="","",INDEX(B!$A$1:$BT$2000,MATCH(A!P900,B!$AX$1:$AX$2000,0),D!$B$5))</f>
        <v/>
      </c>
      <c r="Q900">
        <f>A!Q900</f>
        <v>0</v>
      </c>
      <c r="R900">
        <f>A!R900</f>
        <v>0</v>
      </c>
      <c r="S900">
        <f>A!S900</f>
        <v>0</v>
      </c>
      <c r="T900">
        <f>A!T900</f>
        <v>0</v>
      </c>
      <c r="U900">
        <f>A!U900</f>
        <v>0</v>
      </c>
      <c r="V900" s="32">
        <f>IF(A!V900="&lt;",1,A!V900)</f>
        <v>0</v>
      </c>
      <c r="W900">
        <f>A!W900</f>
        <v>0</v>
      </c>
      <c r="X900">
        <f>A!X900</f>
        <v>0</v>
      </c>
      <c r="Y900">
        <f>A!Y900</f>
        <v>0</v>
      </c>
      <c r="Z900" s="32">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32"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A!CO1210</f>
        <v>0</v>
      </c>
      <c r="CR900">
        <f>A!CP900</f>
        <v>0</v>
      </c>
      <c r="CS900">
        <f>A!CQ900</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32" t="str">
        <f>IF(A!P901="","",INDEX(B!$A$1:$BT$2000,MATCH(A!P901,B!$AX$1:$AX$2000,0),D!$B$5))</f>
        <v/>
      </c>
      <c r="Q901">
        <f>A!Q901</f>
        <v>0</v>
      </c>
      <c r="R901">
        <f>A!R901</f>
        <v>0</v>
      </c>
      <c r="S901">
        <f>A!S901</f>
        <v>0</v>
      </c>
      <c r="T901">
        <f>A!T901</f>
        <v>0</v>
      </c>
      <c r="U901">
        <f>A!U901</f>
        <v>0</v>
      </c>
      <c r="V901" s="32">
        <f>IF(A!V901="&lt;",1,A!V901)</f>
        <v>0</v>
      </c>
      <c r="W901">
        <f>A!W901</f>
        <v>0</v>
      </c>
      <c r="X901">
        <f>A!X901</f>
        <v>0</v>
      </c>
      <c r="Y901">
        <f>A!Y901</f>
        <v>0</v>
      </c>
      <c r="Z901" s="32">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32"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A!CO1211</f>
        <v>0</v>
      </c>
      <c r="CR901">
        <f>A!CP901</f>
        <v>0</v>
      </c>
      <c r="CS901">
        <f>A!CQ901</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32" t="str">
        <f>IF(A!P902="","",INDEX(B!$A$1:$BT$2000,MATCH(A!P902,B!$AX$1:$AX$2000,0),D!$B$5))</f>
        <v/>
      </c>
      <c r="Q902">
        <f>A!Q902</f>
        <v>0</v>
      </c>
      <c r="R902">
        <f>A!R902</f>
        <v>0</v>
      </c>
      <c r="S902">
        <f>A!S902</f>
        <v>0</v>
      </c>
      <c r="T902">
        <f>A!T902</f>
        <v>0</v>
      </c>
      <c r="U902">
        <f>A!U902</f>
        <v>0</v>
      </c>
      <c r="V902" s="32">
        <f>IF(A!V902="&lt;",1,A!V902)</f>
        <v>0</v>
      </c>
      <c r="W902">
        <f>A!W902</f>
        <v>0</v>
      </c>
      <c r="X902">
        <f>A!X902</f>
        <v>0</v>
      </c>
      <c r="Y902">
        <f>A!Y902</f>
        <v>0</v>
      </c>
      <c r="Z902" s="32">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32"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A!CO1212</f>
        <v>0</v>
      </c>
      <c r="CR902">
        <f>A!CP902</f>
        <v>0</v>
      </c>
      <c r="CS902">
        <f>A!CQ902</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32" t="str">
        <f>IF(A!P903="","",INDEX(B!$A$1:$BT$2000,MATCH(A!P903,B!$AX$1:$AX$2000,0),D!$B$5))</f>
        <v/>
      </c>
      <c r="Q903">
        <f>A!Q903</f>
        <v>0</v>
      </c>
      <c r="R903">
        <f>A!R903</f>
        <v>0</v>
      </c>
      <c r="S903">
        <f>A!S903</f>
        <v>0</v>
      </c>
      <c r="T903">
        <f>A!T903</f>
        <v>0</v>
      </c>
      <c r="U903">
        <f>A!U903</f>
        <v>0</v>
      </c>
      <c r="V903" s="32">
        <f>IF(A!V903="&lt;",1,A!V903)</f>
        <v>0</v>
      </c>
      <c r="W903">
        <f>A!W903</f>
        <v>0</v>
      </c>
      <c r="X903">
        <f>A!X903</f>
        <v>0</v>
      </c>
      <c r="Y903">
        <f>A!Y903</f>
        <v>0</v>
      </c>
      <c r="Z903" s="32">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32"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A!CO1213</f>
        <v>0</v>
      </c>
      <c r="CR903">
        <f>A!CP903</f>
        <v>0</v>
      </c>
      <c r="CS903">
        <f>A!CQ903</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32" t="str">
        <f>IF(A!P904="","",INDEX(B!$A$1:$BT$2000,MATCH(A!P904,B!$AX$1:$AX$2000,0),D!$B$5))</f>
        <v/>
      </c>
      <c r="Q904">
        <f>A!Q904</f>
        <v>0</v>
      </c>
      <c r="R904">
        <f>A!R904</f>
        <v>0</v>
      </c>
      <c r="S904">
        <f>A!S904</f>
        <v>0</v>
      </c>
      <c r="T904">
        <f>A!T904</f>
        <v>0</v>
      </c>
      <c r="U904">
        <f>A!U904</f>
        <v>0</v>
      </c>
      <c r="V904" s="32">
        <f>IF(A!V904="&lt;",1,A!V904)</f>
        <v>0</v>
      </c>
      <c r="W904">
        <f>A!W904</f>
        <v>0</v>
      </c>
      <c r="X904">
        <f>A!X904</f>
        <v>0</v>
      </c>
      <c r="Y904">
        <f>A!Y904</f>
        <v>0</v>
      </c>
      <c r="Z904" s="32">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32"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A!CO1214</f>
        <v>0</v>
      </c>
      <c r="CR904">
        <f>A!CP904</f>
        <v>0</v>
      </c>
      <c r="CS904">
        <f>A!CQ904</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32" t="str">
        <f>IF(A!P905="","",INDEX(B!$A$1:$BT$2000,MATCH(A!P905,B!$AX$1:$AX$2000,0),D!$B$5))</f>
        <v/>
      </c>
      <c r="Q905">
        <f>A!Q905</f>
        <v>0</v>
      </c>
      <c r="R905">
        <f>A!R905</f>
        <v>0</v>
      </c>
      <c r="S905">
        <f>A!S905</f>
        <v>0</v>
      </c>
      <c r="T905">
        <f>A!T905</f>
        <v>0</v>
      </c>
      <c r="U905">
        <f>A!U905</f>
        <v>0</v>
      </c>
      <c r="V905" s="32">
        <f>IF(A!V905="&lt;",1,A!V905)</f>
        <v>0</v>
      </c>
      <c r="W905">
        <f>A!W905</f>
        <v>0</v>
      </c>
      <c r="X905">
        <f>A!X905</f>
        <v>0</v>
      </c>
      <c r="Y905">
        <f>A!Y905</f>
        <v>0</v>
      </c>
      <c r="Z905" s="32">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32"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A!CO1215</f>
        <v>0</v>
      </c>
      <c r="CR905">
        <f>A!CP905</f>
        <v>0</v>
      </c>
      <c r="CS905">
        <f>A!CQ905</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32" t="str">
        <f>IF(A!P906="","",INDEX(B!$A$1:$BT$2000,MATCH(A!P906,B!$AX$1:$AX$2000,0),D!$B$5))</f>
        <v/>
      </c>
      <c r="Q906">
        <f>A!Q906</f>
        <v>0</v>
      </c>
      <c r="R906">
        <f>A!R906</f>
        <v>0</v>
      </c>
      <c r="S906">
        <f>A!S906</f>
        <v>0</v>
      </c>
      <c r="T906">
        <f>A!T906</f>
        <v>0</v>
      </c>
      <c r="U906">
        <f>A!U906</f>
        <v>0</v>
      </c>
      <c r="V906" s="32">
        <f>IF(A!V906="&lt;",1,A!V906)</f>
        <v>0</v>
      </c>
      <c r="W906">
        <f>A!W906</f>
        <v>0</v>
      </c>
      <c r="X906">
        <f>A!X906</f>
        <v>0</v>
      </c>
      <c r="Y906">
        <f>A!Y906</f>
        <v>0</v>
      </c>
      <c r="Z906" s="32">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32"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A!CO1216</f>
        <v>0</v>
      </c>
      <c r="CR906">
        <f>A!CP906</f>
        <v>0</v>
      </c>
      <c r="CS906">
        <f>A!CQ906</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32" t="str">
        <f>IF(A!P907="","",INDEX(B!$A$1:$BT$2000,MATCH(A!P907,B!$AX$1:$AX$2000,0),D!$B$5))</f>
        <v/>
      </c>
      <c r="Q907">
        <f>A!Q907</f>
        <v>0</v>
      </c>
      <c r="R907">
        <f>A!R907</f>
        <v>0</v>
      </c>
      <c r="S907">
        <f>A!S907</f>
        <v>0</v>
      </c>
      <c r="T907">
        <f>A!T907</f>
        <v>0</v>
      </c>
      <c r="U907">
        <f>A!U907</f>
        <v>0</v>
      </c>
      <c r="V907" s="32">
        <f>IF(A!V907="&lt;",1,A!V907)</f>
        <v>0</v>
      </c>
      <c r="W907">
        <f>A!W907</f>
        <v>0</v>
      </c>
      <c r="X907">
        <f>A!X907</f>
        <v>0</v>
      </c>
      <c r="Y907">
        <f>A!Y907</f>
        <v>0</v>
      </c>
      <c r="Z907" s="32">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32"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A!CO1217</f>
        <v>0</v>
      </c>
      <c r="CR907">
        <f>A!CP907</f>
        <v>0</v>
      </c>
      <c r="CS907">
        <f>A!CQ907</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32" t="str">
        <f>IF(A!P908="","",INDEX(B!$A$1:$BT$2000,MATCH(A!P908,B!$AX$1:$AX$2000,0),D!$B$5))</f>
        <v/>
      </c>
      <c r="Q908">
        <f>A!Q908</f>
        <v>0</v>
      </c>
      <c r="R908">
        <f>A!R908</f>
        <v>0</v>
      </c>
      <c r="S908">
        <f>A!S908</f>
        <v>0</v>
      </c>
      <c r="T908">
        <f>A!T908</f>
        <v>0</v>
      </c>
      <c r="U908">
        <f>A!U908</f>
        <v>0</v>
      </c>
      <c r="V908" s="32">
        <f>IF(A!V908="&lt;",1,A!V908)</f>
        <v>0</v>
      </c>
      <c r="W908">
        <f>A!W908</f>
        <v>0</v>
      </c>
      <c r="X908">
        <f>A!X908</f>
        <v>0</v>
      </c>
      <c r="Y908">
        <f>A!Y908</f>
        <v>0</v>
      </c>
      <c r="Z908" s="32">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32"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A!CO1218</f>
        <v>0</v>
      </c>
      <c r="CR908">
        <f>A!CP908</f>
        <v>0</v>
      </c>
      <c r="CS908">
        <f>A!CQ908</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32" t="str">
        <f>IF(A!P909="","",INDEX(B!$A$1:$BT$2000,MATCH(A!P909,B!$AX$1:$AX$2000,0),D!$B$5))</f>
        <v/>
      </c>
      <c r="Q909">
        <f>A!Q909</f>
        <v>0</v>
      </c>
      <c r="R909">
        <f>A!R909</f>
        <v>0</v>
      </c>
      <c r="S909">
        <f>A!S909</f>
        <v>0</v>
      </c>
      <c r="T909">
        <f>A!T909</f>
        <v>0</v>
      </c>
      <c r="U909">
        <f>A!U909</f>
        <v>0</v>
      </c>
      <c r="V909" s="32">
        <f>IF(A!V909="&lt;",1,A!V909)</f>
        <v>0</v>
      </c>
      <c r="W909">
        <f>A!W909</f>
        <v>0</v>
      </c>
      <c r="X909">
        <f>A!X909</f>
        <v>0</v>
      </c>
      <c r="Y909">
        <f>A!Y909</f>
        <v>0</v>
      </c>
      <c r="Z909" s="32">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32"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A!CO1219</f>
        <v>0</v>
      </c>
      <c r="CR909">
        <f>A!CP909</f>
        <v>0</v>
      </c>
      <c r="CS909">
        <f>A!CQ909</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32" t="str">
        <f>IF(A!P910="","",INDEX(B!$A$1:$BT$2000,MATCH(A!P910,B!$AX$1:$AX$2000,0),D!$B$5))</f>
        <v/>
      </c>
      <c r="Q910">
        <f>A!Q910</f>
        <v>0</v>
      </c>
      <c r="R910">
        <f>A!R910</f>
        <v>0</v>
      </c>
      <c r="S910">
        <f>A!S910</f>
        <v>0</v>
      </c>
      <c r="T910">
        <f>A!T910</f>
        <v>0</v>
      </c>
      <c r="U910">
        <f>A!U910</f>
        <v>0</v>
      </c>
      <c r="V910" s="32">
        <f>IF(A!V910="&lt;",1,A!V910)</f>
        <v>0</v>
      </c>
      <c r="W910">
        <f>A!W910</f>
        <v>0</v>
      </c>
      <c r="X910">
        <f>A!X910</f>
        <v>0</v>
      </c>
      <c r="Y910">
        <f>A!Y910</f>
        <v>0</v>
      </c>
      <c r="Z910" s="32">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32"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A!CO1220</f>
        <v>0</v>
      </c>
      <c r="CR910">
        <f>A!CP910</f>
        <v>0</v>
      </c>
      <c r="CS910">
        <f>A!CQ910</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32" t="str">
        <f>IF(A!P911="","",INDEX(B!$A$1:$BT$2000,MATCH(A!P911,B!$AX$1:$AX$2000,0),D!$B$5))</f>
        <v/>
      </c>
      <c r="Q911">
        <f>A!Q911</f>
        <v>0</v>
      </c>
      <c r="R911">
        <f>A!R911</f>
        <v>0</v>
      </c>
      <c r="S911">
        <f>A!S911</f>
        <v>0</v>
      </c>
      <c r="T911">
        <f>A!T911</f>
        <v>0</v>
      </c>
      <c r="U911">
        <f>A!U911</f>
        <v>0</v>
      </c>
      <c r="V911" s="32">
        <f>IF(A!V911="&lt;",1,A!V911)</f>
        <v>0</v>
      </c>
      <c r="W911">
        <f>A!W911</f>
        <v>0</v>
      </c>
      <c r="X911">
        <f>A!X911</f>
        <v>0</v>
      </c>
      <c r="Y911">
        <f>A!Y911</f>
        <v>0</v>
      </c>
      <c r="Z911" s="32">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32"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A!CO1221</f>
        <v>0</v>
      </c>
      <c r="CR911">
        <f>A!CP911</f>
        <v>0</v>
      </c>
      <c r="CS911">
        <f>A!CQ911</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32" t="str">
        <f>IF(A!P912="","",INDEX(B!$A$1:$BT$2000,MATCH(A!P912,B!$AX$1:$AX$2000,0),D!$B$5))</f>
        <v/>
      </c>
      <c r="Q912">
        <f>A!Q912</f>
        <v>0</v>
      </c>
      <c r="R912">
        <f>A!R912</f>
        <v>0</v>
      </c>
      <c r="S912">
        <f>A!S912</f>
        <v>0</v>
      </c>
      <c r="T912">
        <f>A!T912</f>
        <v>0</v>
      </c>
      <c r="U912">
        <f>A!U912</f>
        <v>0</v>
      </c>
      <c r="V912" s="32">
        <f>IF(A!V912="&lt;",1,A!V912)</f>
        <v>0</v>
      </c>
      <c r="W912">
        <f>A!W912</f>
        <v>0</v>
      </c>
      <c r="X912">
        <f>A!X912</f>
        <v>0</v>
      </c>
      <c r="Y912">
        <f>A!Y912</f>
        <v>0</v>
      </c>
      <c r="Z912" s="32">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32"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A!CO1222</f>
        <v>0</v>
      </c>
      <c r="CR912">
        <f>A!CP912</f>
        <v>0</v>
      </c>
      <c r="CS912">
        <f>A!CQ912</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32" t="str">
        <f>IF(A!P913="","",INDEX(B!$A$1:$BT$2000,MATCH(A!P913,B!$AX$1:$AX$2000,0),D!$B$5))</f>
        <v/>
      </c>
      <c r="Q913">
        <f>A!Q913</f>
        <v>0</v>
      </c>
      <c r="R913">
        <f>A!R913</f>
        <v>0</v>
      </c>
      <c r="S913">
        <f>A!S913</f>
        <v>0</v>
      </c>
      <c r="T913">
        <f>A!T913</f>
        <v>0</v>
      </c>
      <c r="U913">
        <f>A!U913</f>
        <v>0</v>
      </c>
      <c r="V913" s="32">
        <f>IF(A!V913="&lt;",1,A!V913)</f>
        <v>0</v>
      </c>
      <c r="W913">
        <f>A!W913</f>
        <v>0</v>
      </c>
      <c r="X913">
        <f>A!X913</f>
        <v>0</v>
      </c>
      <c r="Y913">
        <f>A!Y913</f>
        <v>0</v>
      </c>
      <c r="Z913" s="32">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32"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A!CO1223</f>
        <v>0</v>
      </c>
      <c r="CR913">
        <f>A!CP913</f>
        <v>0</v>
      </c>
      <c r="CS913">
        <f>A!CQ913</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32" t="str">
        <f>IF(A!P914="","",INDEX(B!$A$1:$BT$2000,MATCH(A!P914,B!$AX$1:$AX$2000,0),D!$B$5))</f>
        <v/>
      </c>
      <c r="Q914">
        <f>A!Q914</f>
        <v>0</v>
      </c>
      <c r="R914">
        <f>A!R914</f>
        <v>0</v>
      </c>
      <c r="S914">
        <f>A!S914</f>
        <v>0</v>
      </c>
      <c r="T914">
        <f>A!T914</f>
        <v>0</v>
      </c>
      <c r="U914">
        <f>A!U914</f>
        <v>0</v>
      </c>
      <c r="V914" s="32">
        <f>IF(A!V914="&lt;",1,A!V914)</f>
        <v>0</v>
      </c>
      <c r="W914">
        <f>A!W914</f>
        <v>0</v>
      </c>
      <c r="X914">
        <f>A!X914</f>
        <v>0</v>
      </c>
      <c r="Y914">
        <f>A!Y914</f>
        <v>0</v>
      </c>
      <c r="Z914" s="32">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32"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A!CO1224</f>
        <v>0</v>
      </c>
      <c r="CR914">
        <f>A!CP914</f>
        <v>0</v>
      </c>
      <c r="CS914">
        <f>A!CQ914</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32" t="str">
        <f>IF(A!P915="","",INDEX(B!$A$1:$BT$2000,MATCH(A!P915,B!$AX$1:$AX$2000,0),D!$B$5))</f>
        <v/>
      </c>
      <c r="Q915">
        <f>A!Q915</f>
        <v>0</v>
      </c>
      <c r="R915">
        <f>A!R915</f>
        <v>0</v>
      </c>
      <c r="S915">
        <f>A!S915</f>
        <v>0</v>
      </c>
      <c r="T915">
        <f>A!T915</f>
        <v>0</v>
      </c>
      <c r="U915">
        <f>A!U915</f>
        <v>0</v>
      </c>
      <c r="V915" s="32">
        <f>IF(A!V915="&lt;",1,A!V915)</f>
        <v>0</v>
      </c>
      <c r="W915">
        <f>A!W915</f>
        <v>0</v>
      </c>
      <c r="X915">
        <f>A!X915</f>
        <v>0</v>
      </c>
      <c r="Y915">
        <f>A!Y915</f>
        <v>0</v>
      </c>
      <c r="Z915" s="32">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32"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A!CO1225</f>
        <v>0</v>
      </c>
      <c r="CR915">
        <f>A!CP915</f>
        <v>0</v>
      </c>
      <c r="CS915">
        <f>A!CQ915</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32" t="str">
        <f>IF(A!P916="","",INDEX(B!$A$1:$BT$2000,MATCH(A!P916,B!$AX$1:$AX$2000,0),D!$B$5))</f>
        <v/>
      </c>
      <c r="Q916">
        <f>A!Q916</f>
        <v>0</v>
      </c>
      <c r="R916">
        <f>A!R916</f>
        <v>0</v>
      </c>
      <c r="S916">
        <f>A!S916</f>
        <v>0</v>
      </c>
      <c r="T916">
        <f>A!T916</f>
        <v>0</v>
      </c>
      <c r="U916">
        <f>A!U916</f>
        <v>0</v>
      </c>
      <c r="V916" s="32">
        <f>IF(A!V916="&lt;",1,A!V916)</f>
        <v>0</v>
      </c>
      <c r="W916">
        <f>A!W916</f>
        <v>0</v>
      </c>
      <c r="X916">
        <f>A!X916</f>
        <v>0</v>
      </c>
      <c r="Y916">
        <f>A!Y916</f>
        <v>0</v>
      </c>
      <c r="Z916" s="32">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32"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A!CO1226</f>
        <v>0</v>
      </c>
      <c r="CR916">
        <f>A!CP916</f>
        <v>0</v>
      </c>
      <c r="CS916">
        <f>A!CQ916</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32" t="str">
        <f>IF(A!P917="","",INDEX(B!$A$1:$BT$2000,MATCH(A!P917,B!$AX$1:$AX$2000,0),D!$B$5))</f>
        <v/>
      </c>
      <c r="Q917">
        <f>A!Q917</f>
        <v>0</v>
      </c>
      <c r="R917">
        <f>A!R917</f>
        <v>0</v>
      </c>
      <c r="S917">
        <f>A!S917</f>
        <v>0</v>
      </c>
      <c r="T917">
        <f>A!T917</f>
        <v>0</v>
      </c>
      <c r="U917">
        <f>A!U917</f>
        <v>0</v>
      </c>
      <c r="V917" s="32">
        <f>IF(A!V917="&lt;",1,A!V917)</f>
        <v>0</v>
      </c>
      <c r="W917">
        <f>A!W917</f>
        <v>0</v>
      </c>
      <c r="X917">
        <f>A!X917</f>
        <v>0</v>
      </c>
      <c r="Y917">
        <f>A!Y917</f>
        <v>0</v>
      </c>
      <c r="Z917" s="32">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32"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A!CO1227</f>
        <v>0</v>
      </c>
      <c r="CR917">
        <f>A!CP917</f>
        <v>0</v>
      </c>
      <c r="CS917">
        <f>A!CQ917</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32" t="str">
        <f>IF(A!P918="","",INDEX(B!$A$1:$BT$2000,MATCH(A!P918,B!$AX$1:$AX$2000,0),D!$B$5))</f>
        <v/>
      </c>
      <c r="Q918">
        <f>A!Q918</f>
        <v>0</v>
      </c>
      <c r="R918">
        <f>A!R918</f>
        <v>0</v>
      </c>
      <c r="S918">
        <f>A!S918</f>
        <v>0</v>
      </c>
      <c r="T918">
        <f>A!T918</f>
        <v>0</v>
      </c>
      <c r="U918">
        <f>A!U918</f>
        <v>0</v>
      </c>
      <c r="V918" s="32">
        <f>IF(A!V918="&lt;",1,A!V918)</f>
        <v>0</v>
      </c>
      <c r="W918">
        <f>A!W918</f>
        <v>0</v>
      </c>
      <c r="X918">
        <f>A!X918</f>
        <v>0</v>
      </c>
      <c r="Y918">
        <f>A!Y918</f>
        <v>0</v>
      </c>
      <c r="Z918" s="32">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32"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A!CO1228</f>
        <v>0</v>
      </c>
      <c r="CR918">
        <f>A!CP918</f>
        <v>0</v>
      </c>
      <c r="CS918">
        <f>A!CQ918</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32" t="str">
        <f>IF(A!P919="","",INDEX(B!$A$1:$BT$2000,MATCH(A!P919,B!$AX$1:$AX$2000,0),D!$B$5))</f>
        <v/>
      </c>
      <c r="Q919">
        <f>A!Q919</f>
        <v>0</v>
      </c>
      <c r="R919">
        <f>A!R919</f>
        <v>0</v>
      </c>
      <c r="S919">
        <f>A!S919</f>
        <v>0</v>
      </c>
      <c r="T919">
        <f>A!T919</f>
        <v>0</v>
      </c>
      <c r="U919">
        <f>A!U919</f>
        <v>0</v>
      </c>
      <c r="V919" s="32">
        <f>IF(A!V919="&lt;",1,A!V919)</f>
        <v>0</v>
      </c>
      <c r="W919">
        <f>A!W919</f>
        <v>0</v>
      </c>
      <c r="X919">
        <f>A!X919</f>
        <v>0</v>
      </c>
      <c r="Y919">
        <f>A!Y919</f>
        <v>0</v>
      </c>
      <c r="Z919" s="32">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32"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A!CO1229</f>
        <v>0</v>
      </c>
      <c r="CR919">
        <f>A!CP919</f>
        <v>0</v>
      </c>
      <c r="CS919">
        <f>A!CQ919</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32" t="str">
        <f>IF(A!P920="","",INDEX(B!$A$1:$BT$2000,MATCH(A!P920,B!$AX$1:$AX$2000,0),D!$B$5))</f>
        <v/>
      </c>
      <c r="Q920">
        <f>A!Q920</f>
        <v>0</v>
      </c>
      <c r="R920">
        <f>A!R920</f>
        <v>0</v>
      </c>
      <c r="S920">
        <f>A!S920</f>
        <v>0</v>
      </c>
      <c r="T920">
        <f>A!T920</f>
        <v>0</v>
      </c>
      <c r="U920">
        <f>A!U920</f>
        <v>0</v>
      </c>
      <c r="V920" s="32">
        <f>IF(A!V920="&lt;",1,A!V920)</f>
        <v>0</v>
      </c>
      <c r="W920">
        <f>A!W920</f>
        <v>0</v>
      </c>
      <c r="X920">
        <f>A!X920</f>
        <v>0</v>
      </c>
      <c r="Y920">
        <f>A!Y920</f>
        <v>0</v>
      </c>
      <c r="Z920" s="32">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32"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A!CO1230</f>
        <v>0</v>
      </c>
      <c r="CR920">
        <f>A!CP920</f>
        <v>0</v>
      </c>
      <c r="CS920">
        <f>A!CQ920</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32" t="str">
        <f>IF(A!P921="","",INDEX(B!$A$1:$BT$2000,MATCH(A!P921,B!$AX$1:$AX$2000,0),D!$B$5))</f>
        <v/>
      </c>
      <c r="Q921">
        <f>A!Q921</f>
        <v>0</v>
      </c>
      <c r="R921">
        <f>A!R921</f>
        <v>0</v>
      </c>
      <c r="S921">
        <f>A!S921</f>
        <v>0</v>
      </c>
      <c r="T921">
        <f>A!T921</f>
        <v>0</v>
      </c>
      <c r="U921">
        <f>A!U921</f>
        <v>0</v>
      </c>
      <c r="V921" s="32">
        <f>IF(A!V921="&lt;",1,A!V921)</f>
        <v>0</v>
      </c>
      <c r="W921">
        <f>A!W921</f>
        <v>0</v>
      </c>
      <c r="X921">
        <f>A!X921</f>
        <v>0</v>
      </c>
      <c r="Y921">
        <f>A!Y921</f>
        <v>0</v>
      </c>
      <c r="Z921" s="32">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32"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A!CO1231</f>
        <v>0</v>
      </c>
      <c r="CR921">
        <f>A!CP921</f>
        <v>0</v>
      </c>
      <c r="CS921">
        <f>A!CQ921</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32" t="str">
        <f>IF(A!P922="","",INDEX(B!$A$1:$BT$2000,MATCH(A!P922,B!$AX$1:$AX$2000,0),D!$B$5))</f>
        <v/>
      </c>
      <c r="Q922">
        <f>A!Q922</f>
        <v>0</v>
      </c>
      <c r="R922">
        <f>A!R922</f>
        <v>0</v>
      </c>
      <c r="S922">
        <f>A!S922</f>
        <v>0</v>
      </c>
      <c r="T922">
        <f>A!T922</f>
        <v>0</v>
      </c>
      <c r="U922">
        <f>A!U922</f>
        <v>0</v>
      </c>
      <c r="V922" s="32">
        <f>IF(A!V922="&lt;",1,A!V922)</f>
        <v>0</v>
      </c>
      <c r="W922">
        <f>A!W922</f>
        <v>0</v>
      </c>
      <c r="X922">
        <f>A!X922</f>
        <v>0</v>
      </c>
      <c r="Y922">
        <f>A!Y922</f>
        <v>0</v>
      </c>
      <c r="Z922" s="32">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32"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A!CO1232</f>
        <v>0</v>
      </c>
      <c r="CR922">
        <f>A!CP922</f>
        <v>0</v>
      </c>
      <c r="CS922">
        <f>A!CQ922</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32" t="str">
        <f>IF(A!P923="","",INDEX(B!$A$1:$BT$2000,MATCH(A!P923,B!$AX$1:$AX$2000,0),D!$B$5))</f>
        <v/>
      </c>
      <c r="Q923">
        <f>A!Q923</f>
        <v>0</v>
      </c>
      <c r="R923">
        <f>A!R923</f>
        <v>0</v>
      </c>
      <c r="S923">
        <f>A!S923</f>
        <v>0</v>
      </c>
      <c r="T923">
        <f>A!T923</f>
        <v>0</v>
      </c>
      <c r="U923">
        <f>A!U923</f>
        <v>0</v>
      </c>
      <c r="V923" s="32">
        <f>IF(A!V923="&lt;",1,A!V923)</f>
        <v>0</v>
      </c>
      <c r="W923">
        <f>A!W923</f>
        <v>0</v>
      </c>
      <c r="X923">
        <f>A!X923</f>
        <v>0</v>
      </c>
      <c r="Y923">
        <f>A!Y923</f>
        <v>0</v>
      </c>
      <c r="Z923" s="32">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32"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A!CO1233</f>
        <v>0</v>
      </c>
      <c r="CR923">
        <f>A!CP923</f>
        <v>0</v>
      </c>
      <c r="CS923">
        <f>A!CQ923</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32" t="str">
        <f>IF(A!P924="","",INDEX(B!$A$1:$BT$2000,MATCH(A!P924,B!$AX$1:$AX$2000,0),D!$B$5))</f>
        <v/>
      </c>
      <c r="Q924">
        <f>A!Q924</f>
        <v>0</v>
      </c>
      <c r="R924">
        <f>A!R924</f>
        <v>0</v>
      </c>
      <c r="S924">
        <f>A!S924</f>
        <v>0</v>
      </c>
      <c r="T924">
        <f>A!T924</f>
        <v>0</v>
      </c>
      <c r="U924">
        <f>A!U924</f>
        <v>0</v>
      </c>
      <c r="V924" s="32">
        <f>IF(A!V924="&lt;",1,A!V924)</f>
        <v>0</v>
      </c>
      <c r="W924">
        <f>A!W924</f>
        <v>0</v>
      </c>
      <c r="X924">
        <f>A!X924</f>
        <v>0</v>
      </c>
      <c r="Y924">
        <f>A!Y924</f>
        <v>0</v>
      </c>
      <c r="Z924" s="32">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32"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A!CO1234</f>
        <v>0</v>
      </c>
      <c r="CR924">
        <f>A!CP924</f>
        <v>0</v>
      </c>
      <c r="CS924">
        <f>A!CQ924</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32" t="str">
        <f>IF(A!P925="","",INDEX(B!$A$1:$BT$2000,MATCH(A!P925,B!$AX$1:$AX$2000,0),D!$B$5))</f>
        <v/>
      </c>
      <c r="Q925">
        <f>A!Q925</f>
        <v>0</v>
      </c>
      <c r="R925">
        <f>A!R925</f>
        <v>0</v>
      </c>
      <c r="S925">
        <f>A!S925</f>
        <v>0</v>
      </c>
      <c r="T925">
        <f>A!T925</f>
        <v>0</v>
      </c>
      <c r="U925">
        <f>A!U925</f>
        <v>0</v>
      </c>
      <c r="V925" s="32">
        <f>IF(A!V925="&lt;",1,A!V925)</f>
        <v>0</v>
      </c>
      <c r="W925">
        <f>A!W925</f>
        <v>0</v>
      </c>
      <c r="X925">
        <f>A!X925</f>
        <v>0</v>
      </c>
      <c r="Y925">
        <f>A!Y925</f>
        <v>0</v>
      </c>
      <c r="Z925" s="32">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32"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A!CO1235</f>
        <v>0</v>
      </c>
      <c r="CR925">
        <f>A!CP925</f>
        <v>0</v>
      </c>
      <c r="CS925">
        <f>A!CQ925</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32" t="str">
        <f>IF(A!P926="","",INDEX(B!$A$1:$BT$2000,MATCH(A!P926,B!$AX$1:$AX$2000,0),D!$B$5))</f>
        <v/>
      </c>
      <c r="Q926">
        <f>A!Q926</f>
        <v>0</v>
      </c>
      <c r="R926">
        <f>A!R926</f>
        <v>0</v>
      </c>
      <c r="S926">
        <f>A!S926</f>
        <v>0</v>
      </c>
      <c r="T926">
        <f>A!T926</f>
        <v>0</v>
      </c>
      <c r="U926">
        <f>A!U926</f>
        <v>0</v>
      </c>
      <c r="V926" s="32">
        <f>IF(A!V926="&lt;",1,A!V926)</f>
        <v>0</v>
      </c>
      <c r="W926">
        <f>A!W926</f>
        <v>0</v>
      </c>
      <c r="X926">
        <f>A!X926</f>
        <v>0</v>
      </c>
      <c r="Y926">
        <f>A!Y926</f>
        <v>0</v>
      </c>
      <c r="Z926" s="32">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32"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A!CO1236</f>
        <v>0</v>
      </c>
      <c r="CR926">
        <f>A!CP926</f>
        <v>0</v>
      </c>
      <c r="CS926">
        <f>A!CQ926</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32" t="str">
        <f>IF(A!P927="","",INDEX(B!$A$1:$BT$2000,MATCH(A!P927,B!$AX$1:$AX$2000,0),D!$B$5))</f>
        <v/>
      </c>
      <c r="Q927">
        <f>A!Q927</f>
        <v>0</v>
      </c>
      <c r="R927">
        <f>A!R927</f>
        <v>0</v>
      </c>
      <c r="S927">
        <f>A!S927</f>
        <v>0</v>
      </c>
      <c r="T927">
        <f>A!T927</f>
        <v>0</v>
      </c>
      <c r="U927">
        <f>A!U927</f>
        <v>0</v>
      </c>
      <c r="V927" s="32">
        <f>IF(A!V927="&lt;",1,A!V927)</f>
        <v>0</v>
      </c>
      <c r="W927">
        <f>A!W927</f>
        <v>0</v>
      </c>
      <c r="X927">
        <f>A!X927</f>
        <v>0</v>
      </c>
      <c r="Y927">
        <f>A!Y927</f>
        <v>0</v>
      </c>
      <c r="Z927" s="32">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32"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A!CO1237</f>
        <v>0</v>
      </c>
      <c r="CR927">
        <f>A!CP927</f>
        <v>0</v>
      </c>
      <c r="CS927">
        <f>A!CQ927</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32" t="str">
        <f>IF(A!P928="","",INDEX(B!$A$1:$BT$2000,MATCH(A!P928,B!$AX$1:$AX$2000,0),D!$B$5))</f>
        <v/>
      </c>
      <c r="Q928">
        <f>A!Q928</f>
        <v>0</v>
      </c>
      <c r="R928">
        <f>A!R928</f>
        <v>0</v>
      </c>
      <c r="S928">
        <f>A!S928</f>
        <v>0</v>
      </c>
      <c r="T928">
        <f>A!T928</f>
        <v>0</v>
      </c>
      <c r="U928">
        <f>A!U928</f>
        <v>0</v>
      </c>
      <c r="V928" s="32">
        <f>IF(A!V928="&lt;",1,A!V928)</f>
        <v>0</v>
      </c>
      <c r="W928">
        <f>A!W928</f>
        <v>0</v>
      </c>
      <c r="X928">
        <f>A!X928</f>
        <v>0</v>
      </c>
      <c r="Y928">
        <f>A!Y928</f>
        <v>0</v>
      </c>
      <c r="Z928" s="32">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32"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A!CO1238</f>
        <v>0</v>
      </c>
      <c r="CR928">
        <f>A!CP928</f>
        <v>0</v>
      </c>
      <c r="CS928">
        <f>A!CQ928</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32" t="str">
        <f>IF(A!P929="","",INDEX(B!$A$1:$BT$2000,MATCH(A!P929,B!$AX$1:$AX$2000,0),D!$B$5))</f>
        <v/>
      </c>
      <c r="Q929">
        <f>A!Q929</f>
        <v>0</v>
      </c>
      <c r="R929">
        <f>A!R929</f>
        <v>0</v>
      </c>
      <c r="S929">
        <f>A!S929</f>
        <v>0</v>
      </c>
      <c r="T929">
        <f>A!T929</f>
        <v>0</v>
      </c>
      <c r="U929">
        <f>A!U929</f>
        <v>0</v>
      </c>
      <c r="V929" s="32">
        <f>IF(A!V929="&lt;",1,A!V929)</f>
        <v>0</v>
      </c>
      <c r="W929">
        <f>A!W929</f>
        <v>0</v>
      </c>
      <c r="X929">
        <f>A!X929</f>
        <v>0</v>
      </c>
      <c r="Y929">
        <f>A!Y929</f>
        <v>0</v>
      </c>
      <c r="Z929" s="32">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32"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A!CO1239</f>
        <v>0</v>
      </c>
      <c r="CR929">
        <f>A!CP929</f>
        <v>0</v>
      </c>
      <c r="CS929">
        <f>A!CQ929</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32" t="str">
        <f>IF(A!P930="","",INDEX(B!$A$1:$BT$2000,MATCH(A!P930,B!$AX$1:$AX$2000,0),D!$B$5))</f>
        <v/>
      </c>
      <c r="Q930">
        <f>A!Q930</f>
        <v>0</v>
      </c>
      <c r="R930">
        <f>A!R930</f>
        <v>0</v>
      </c>
      <c r="S930">
        <f>A!S930</f>
        <v>0</v>
      </c>
      <c r="T930">
        <f>A!T930</f>
        <v>0</v>
      </c>
      <c r="U930">
        <f>A!U930</f>
        <v>0</v>
      </c>
      <c r="V930" s="32">
        <f>IF(A!V930="&lt;",1,A!V930)</f>
        <v>0</v>
      </c>
      <c r="W930">
        <f>A!W930</f>
        <v>0</v>
      </c>
      <c r="X930">
        <f>A!X930</f>
        <v>0</v>
      </c>
      <c r="Y930">
        <f>A!Y930</f>
        <v>0</v>
      </c>
      <c r="Z930" s="32">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32"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A!CO1240</f>
        <v>0</v>
      </c>
      <c r="CR930">
        <f>A!CP930</f>
        <v>0</v>
      </c>
      <c r="CS930">
        <f>A!CQ930</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32" t="str">
        <f>IF(A!P931="","",INDEX(B!$A$1:$BT$2000,MATCH(A!P931,B!$AX$1:$AX$2000,0),D!$B$5))</f>
        <v/>
      </c>
      <c r="Q931">
        <f>A!Q931</f>
        <v>0</v>
      </c>
      <c r="R931">
        <f>A!R931</f>
        <v>0</v>
      </c>
      <c r="S931">
        <f>A!S931</f>
        <v>0</v>
      </c>
      <c r="T931">
        <f>A!T931</f>
        <v>0</v>
      </c>
      <c r="U931">
        <f>A!U931</f>
        <v>0</v>
      </c>
      <c r="V931" s="32">
        <f>IF(A!V931="&lt;",1,A!V931)</f>
        <v>0</v>
      </c>
      <c r="W931">
        <f>A!W931</f>
        <v>0</v>
      </c>
      <c r="X931">
        <f>A!X931</f>
        <v>0</v>
      </c>
      <c r="Y931">
        <f>A!Y931</f>
        <v>0</v>
      </c>
      <c r="Z931" s="32">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32"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A!CO1241</f>
        <v>0</v>
      </c>
      <c r="CR931">
        <f>A!CP931</f>
        <v>0</v>
      </c>
      <c r="CS931">
        <f>A!CQ931</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32" t="str">
        <f>IF(A!P932="","",INDEX(B!$A$1:$BT$2000,MATCH(A!P932,B!$AX$1:$AX$2000,0),D!$B$5))</f>
        <v/>
      </c>
      <c r="Q932">
        <f>A!Q932</f>
        <v>0</v>
      </c>
      <c r="R932">
        <f>A!R932</f>
        <v>0</v>
      </c>
      <c r="S932">
        <f>A!S932</f>
        <v>0</v>
      </c>
      <c r="T932">
        <f>A!T932</f>
        <v>0</v>
      </c>
      <c r="U932">
        <f>A!U932</f>
        <v>0</v>
      </c>
      <c r="V932" s="32">
        <f>IF(A!V932="&lt;",1,A!V932)</f>
        <v>0</v>
      </c>
      <c r="W932">
        <f>A!W932</f>
        <v>0</v>
      </c>
      <c r="X932">
        <f>A!X932</f>
        <v>0</v>
      </c>
      <c r="Y932">
        <f>A!Y932</f>
        <v>0</v>
      </c>
      <c r="Z932" s="32">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32"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A!CO1242</f>
        <v>0</v>
      </c>
      <c r="CR932">
        <f>A!CP932</f>
        <v>0</v>
      </c>
      <c r="CS932">
        <f>A!CQ932</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32" t="str">
        <f>IF(A!P933="","",INDEX(B!$A$1:$BT$2000,MATCH(A!P933,B!$AX$1:$AX$2000,0),D!$B$5))</f>
        <v/>
      </c>
      <c r="Q933">
        <f>A!Q933</f>
        <v>0</v>
      </c>
      <c r="R933">
        <f>A!R933</f>
        <v>0</v>
      </c>
      <c r="S933">
        <f>A!S933</f>
        <v>0</v>
      </c>
      <c r="T933">
        <f>A!T933</f>
        <v>0</v>
      </c>
      <c r="U933">
        <f>A!U933</f>
        <v>0</v>
      </c>
      <c r="V933" s="32">
        <f>IF(A!V933="&lt;",1,A!V933)</f>
        <v>0</v>
      </c>
      <c r="W933">
        <f>A!W933</f>
        <v>0</v>
      </c>
      <c r="X933">
        <f>A!X933</f>
        <v>0</v>
      </c>
      <c r="Y933">
        <f>A!Y933</f>
        <v>0</v>
      </c>
      <c r="Z933" s="32">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32"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A!CO1243</f>
        <v>0</v>
      </c>
      <c r="CR933">
        <f>A!CP933</f>
        <v>0</v>
      </c>
      <c r="CS933">
        <f>A!CQ933</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32" t="str">
        <f>IF(A!P934="","",INDEX(B!$A$1:$BT$2000,MATCH(A!P934,B!$AX$1:$AX$2000,0),D!$B$5))</f>
        <v/>
      </c>
      <c r="Q934">
        <f>A!Q934</f>
        <v>0</v>
      </c>
      <c r="R934">
        <f>A!R934</f>
        <v>0</v>
      </c>
      <c r="S934">
        <f>A!S934</f>
        <v>0</v>
      </c>
      <c r="T934">
        <f>A!T934</f>
        <v>0</v>
      </c>
      <c r="U934">
        <f>A!U934</f>
        <v>0</v>
      </c>
      <c r="V934" s="32">
        <f>IF(A!V934="&lt;",1,A!V934)</f>
        <v>0</v>
      </c>
      <c r="W934">
        <f>A!W934</f>
        <v>0</v>
      </c>
      <c r="X934">
        <f>A!X934</f>
        <v>0</v>
      </c>
      <c r="Y934">
        <f>A!Y934</f>
        <v>0</v>
      </c>
      <c r="Z934" s="32">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32"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A!CO1244</f>
        <v>0</v>
      </c>
      <c r="CR934">
        <f>A!CP934</f>
        <v>0</v>
      </c>
      <c r="CS934">
        <f>A!CQ934</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32" t="str">
        <f>IF(A!P935="","",INDEX(B!$A$1:$BT$2000,MATCH(A!P935,B!$AX$1:$AX$2000,0),D!$B$5))</f>
        <v/>
      </c>
      <c r="Q935">
        <f>A!Q935</f>
        <v>0</v>
      </c>
      <c r="R935">
        <f>A!R935</f>
        <v>0</v>
      </c>
      <c r="S935">
        <f>A!S935</f>
        <v>0</v>
      </c>
      <c r="T935">
        <f>A!T935</f>
        <v>0</v>
      </c>
      <c r="U935">
        <f>A!U935</f>
        <v>0</v>
      </c>
      <c r="V935" s="32">
        <f>IF(A!V935="&lt;",1,A!V935)</f>
        <v>0</v>
      </c>
      <c r="W935">
        <f>A!W935</f>
        <v>0</v>
      </c>
      <c r="X935">
        <f>A!X935</f>
        <v>0</v>
      </c>
      <c r="Y935">
        <f>A!Y935</f>
        <v>0</v>
      </c>
      <c r="Z935" s="32">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32"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A!CO1245</f>
        <v>0</v>
      </c>
      <c r="CR935">
        <f>A!CP935</f>
        <v>0</v>
      </c>
      <c r="CS935">
        <f>A!CQ935</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32" t="str">
        <f>IF(A!P936="","",INDEX(B!$A$1:$BT$2000,MATCH(A!P936,B!$AX$1:$AX$2000,0),D!$B$5))</f>
        <v/>
      </c>
      <c r="Q936">
        <f>A!Q936</f>
        <v>0</v>
      </c>
      <c r="R936">
        <f>A!R936</f>
        <v>0</v>
      </c>
      <c r="S936">
        <f>A!S936</f>
        <v>0</v>
      </c>
      <c r="T936">
        <f>A!T936</f>
        <v>0</v>
      </c>
      <c r="U936">
        <f>A!U936</f>
        <v>0</v>
      </c>
      <c r="V936" s="32">
        <f>IF(A!V936="&lt;",1,A!V936)</f>
        <v>0</v>
      </c>
      <c r="W936">
        <f>A!W936</f>
        <v>0</v>
      </c>
      <c r="X936">
        <f>A!X936</f>
        <v>0</v>
      </c>
      <c r="Y936">
        <f>A!Y936</f>
        <v>0</v>
      </c>
      <c r="Z936" s="32">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32"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A!CO1246</f>
        <v>0</v>
      </c>
      <c r="CR936">
        <f>A!CP936</f>
        <v>0</v>
      </c>
      <c r="CS936">
        <f>A!CQ936</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32" t="str">
        <f>IF(A!P937="","",INDEX(B!$A$1:$BT$2000,MATCH(A!P937,B!$AX$1:$AX$2000,0),D!$B$5))</f>
        <v/>
      </c>
      <c r="Q937">
        <f>A!Q937</f>
        <v>0</v>
      </c>
      <c r="R937">
        <f>A!R937</f>
        <v>0</v>
      </c>
      <c r="S937">
        <f>A!S937</f>
        <v>0</v>
      </c>
      <c r="T937">
        <f>A!T937</f>
        <v>0</v>
      </c>
      <c r="U937">
        <f>A!U937</f>
        <v>0</v>
      </c>
      <c r="V937" s="32">
        <f>IF(A!V937="&lt;",1,A!V937)</f>
        <v>0</v>
      </c>
      <c r="W937">
        <f>A!W937</f>
        <v>0</v>
      </c>
      <c r="X937">
        <f>A!X937</f>
        <v>0</v>
      </c>
      <c r="Y937">
        <f>A!Y937</f>
        <v>0</v>
      </c>
      <c r="Z937" s="32">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32"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A!CO1247</f>
        <v>0</v>
      </c>
      <c r="CR937">
        <f>A!CP937</f>
        <v>0</v>
      </c>
      <c r="CS937">
        <f>A!CQ937</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32" t="str">
        <f>IF(A!P938="","",INDEX(B!$A$1:$BT$2000,MATCH(A!P938,B!$AX$1:$AX$2000,0),D!$B$5))</f>
        <v/>
      </c>
      <c r="Q938">
        <f>A!Q938</f>
        <v>0</v>
      </c>
      <c r="R938">
        <f>A!R938</f>
        <v>0</v>
      </c>
      <c r="S938">
        <f>A!S938</f>
        <v>0</v>
      </c>
      <c r="T938">
        <f>A!T938</f>
        <v>0</v>
      </c>
      <c r="U938">
        <f>A!U938</f>
        <v>0</v>
      </c>
      <c r="V938" s="32">
        <f>IF(A!V938="&lt;",1,A!V938)</f>
        <v>0</v>
      </c>
      <c r="W938">
        <f>A!W938</f>
        <v>0</v>
      </c>
      <c r="X938">
        <f>A!X938</f>
        <v>0</v>
      </c>
      <c r="Y938">
        <f>A!Y938</f>
        <v>0</v>
      </c>
      <c r="Z938" s="32">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32"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A!CO1248</f>
        <v>0</v>
      </c>
      <c r="CR938">
        <f>A!CP938</f>
        <v>0</v>
      </c>
      <c r="CS938">
        <f>A!CQ938</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32" t="str">
        <f>IF(A!P939="","",INDEX(B!$A$1:$BT$2000,MATCH(A!P939,B!$AX$1:$AX$2000,0),D!$B$5))</f>
        <v/>
      </c>
      <c r="Q939">
        <f>A!Q939</f>
        <v>0</v>
      </c>
      <c r="R939">
        <f>A!R939</f>
        <v>0</v>
      </c>
      <c r="S939">
        <f>A!S939</f>
        <v>0</v>
      </c>
      <c r="T939">
        <f>A!T939</f>
        <v>0</v>
      </c>
      <c r="U939">
        <f>A!U939</f>
        <v>0</v>
      </c>
      <c r="V939" s="32">
        <f>IF(A!V939="&lt;",1,A!V939)</f>
        <v>0</v>
      </c>
      <c r="W939">
        <f>A!W939</f>
        <v>0</v>
      </c>
      <c r="X939">
        <f>A!X939</f>
        <v>0</v>
      </c>
      <c r="Y939">
        <f>A!Y939</f>
        <v>0</v>
      </c>
      <c r="Z939" s="32">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32"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A!CO1249</f>
        <v>0</v>
      </c>
      <c r="CR939">
        <f>A!CP939</f>
        <v>0</v>
      </c>
      <c r="CS939">
        <f>A!CQ939</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32" t="str">
        <f>IF(A!P940="","",INDEX(B!$A$1:$BT$2000,MATCH(A!P940,B!$AX$1:$AX$2000,0),D!$B$5))</f>
        <v/>
      </c>
      <c r="Q940">
        <f>A!Q940</f>
        <v>0</v>
      </c>
      <c r="R940">
        <f>A!R940</f>
        <v>0</v>
      </c>
      <c r="S940">
        <f>A!S940</f>
        <v>0</v>
      </c>
      <c r="T940">
        <f>A!T940</f>
        <v>0</v>
      </c>
      <c r="U940">
        <f>A!U940</f>
        <v>0</v>
      </c>
      <c r="V940" s="32">
        <f>IF(A!V940="&lt;",1,A!V940)</f>
        <v>0</v>
      </c>
      <c r="W940">
        <f>A!W940</f>
        <v>0</v>
      </c>
      <c r="X940">
        <f>A!X940</f>
        <v>0</v>
      </c>
      <c r="Y940">
        <f>A!Y940</f>
        <v>0</v>
      </c>
      <c r="Z940" s="32">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32"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A!CO1250</f>
        <v>0</v>
      </c>
      <c r="CR940">
        <f>A!CP940</f>
        <v>0</v>
      </c>
      <c r="CS940">
        <f>A!CQ940</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32" t="str">
        <f>IF(A!P941="","",INDEX(B!$A$1:$BT$2000,MATCH(A!P941,B!$AX$1:$AX$2000,0),D!$B$5))</f>
        <v/>
      </c>
      <c r="Q941">
        <f>A!Q941</f>
        <v>0</v>
      </c>
      <c r="R941">
        <f>A!R941</f>
        <v>0</v>
      </c>
      <c r="S941">
        <f>A!S941</f>
        <v>0</v>
      </c>
      <c r="T941">
        <f>A!T941</f>
        <v>0</v>
      </c>
      <c r="U941">
        <f>A!U941</f>
        <v>0</v>
      </c>
      <c r="V941" s="32">
        <f>IF(A!V941="&lt;",1,A!V941)</f>
        <v>0</v>
      </c>
      <c r="W941">
        <f>A!W941</f>
        <v>0</v>
      </c>
      <c r="X941">
        <f>A!X941</f>
        <v>0</v>
      </c>
      <c r="Y941">
        <f>A!Y941</f>
        <v>0</v>
      </c>
      <c r="Z941" s="32">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32"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A!CO1251</f>
        <v>0</v>
      </c>
      <c r="CR941">
        <f>A!CP941</f>
        <v>0</v>
      </c>
      <c r="CS941">
        <f>A!CQ941</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32" t="str">
        <f>IF(A!P942="","",INDEX(B!$A$1:$BT$2000,MATCH(A!P942,B!$AX$1:$AX$2000,0),D!$B$5))</f>
        <v/>
      </c>
      <c r="Q942">
        <f>A!Q942</f>
        <v>0</v>
      </c>
      <c r="R942">
        <f>A!R942</f>
        <v>0</v>
      </c>
      <c r="S942">
        <f>A!S942</f>
        <v>0</v>
      </c>
      <c r="T942">
        <f>A!T942</f>
        <v>0</v>
      </c>
      <c r="U942">
        <f>A!U942</f>
        <v>0</v>
      </c>
      <c r="V942" s="32">
        <f>IF(A!V942="&lt;",1,A!V942)</f>
        <v>0</v>
      </c>
      <c r="W942">
        <f>A!W942</f>
        <v>0</v>
      </c>
      <c r="X942">
        <f>A!X942</f>
        <v>0</v>
      </c>
      <c r="Y942">
        <f>A!Y942</f>
        <v>0</v>
      </c>
      <c r="Z942" s="32">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32"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A!CO1252</f>
        <v>0</v>
      </c>
      <c r="CR942">
        <f>A!CP942</f>
        <v>0</v>
      </c>
      <c r="CS942">
        <f>A!CQ942</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32" t="str">
        <f>IF(A!P943="","",INDEX(B!$A$1:$BT$2000,MATCH(A!P943,B!$AX$1:$AX$2000,0),D!$B$5))</f>
        <v/>
      </c>
      <c r="Q943">
        <f>A!Q943</f>
        <v>0</v>
      </c>
      <c r="R943">
        <f>A!R943</f>
        <v>0</v>
      </c>
      <c r="S943">
        <f>A!S943</f>
        <v>0</v>
      </c>
      <c r="T943">
        <f>A!T943</f>
        <v>0</v>
      </c>
      <c r="U943">
        <f>A!U943</f>
        <v>0</v>
      </c>
      <c r="V943" s="32">
        <f>IF(A!V943="&lt;",1,A!V943)</f>
        <v>0</v>
      </c>
      <c r="W943">
        <f>A!W943</f>
        <v>0</v>
      </c>
      <c r="X943">
        <f>A!X943</f>
        <v>0</v>
      </c>
      <c r="Y943">
        <f>A!Y943</f>
        <v>0</v>
      </c>
      <c r="Z943" s="32">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32"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A!CO1253</f>
        <v>0</v>
      </c>
      <c r="CR943">
        <f>A!CP943</f>
        <v>0</v>
      </c>
      <c r="CS943">
        <f>A!CQ943</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32" t="str">
        <f>IF(A!P944="","",INDEX(B!$A$1:$BT$2000,MATCH(A!P944,B!$AX$1:$AX$2000,0),D!$B$5))</f>
        <v/>
      </c>
      <c r="Q944">
        <f>A!Q944</f>
        <v>0</v>
      </c>
      <c r="R944">
        <f>A!R944</f>
        <v>0</v>
      </c>
      <c r="S944">
        <f>A!S944</f>
        <v>0</v>
      </c>
      <c r="T944">
        <f>A!T944</f>
        <v>0</v>
      </c>
      <c r="U944">
        <f>A!U944</f>
        <v>0</v>
      </c>
      <c r="V944" s="32">
        <f>IF(A!V944="&lt;",1,A!V944)</f>
        <v>0</v>
      </c>
      <c r="W944">
        <f>A!W944</f>
        <v>0</v>
      </c>
      <c r="X944">
        <f>A!X944</f>
        <v>0</v>
      </c>
      <c r="Y944">
        <f>A!Y944</f>
        <v>0</v>
      </c>
      <c r="Z944" s="32">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32"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A!CO1254</f>
        <v>0</v>
      </c>
      <c r="CR944">
        <f>A!CP944</f>
        <v>0</v>
      </c>
      <c r="CS944">
        <f>A!CQ944</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32" t="str">
        <f>IF(A!P945="","",INDEX(B!$A$1:$BT$2000,MATCH(A!P945,B!$AX$1:$AX$2000,0),D!$B$5))</f>
        <v/>
      </c>
      <c r="Q945">
        <f>A!Q945</f>
        <v>0</v>
      </c>
      <c r="R945">
        <f>A!R945</f>
        <v>0</v>
      </c>
      <c r="S945">
        <f>A!S945</f>
        <v>0</v>
      </c>
      <c r="T945">
        <f>A!T945</f>
        <v>0</v>
      </c>
      <c r="U945">
        <f>A!U945</f>
        <v>0</v>
      </c>
      <c r="V945" s="32">
        <f>IF(A!V945="&lt;",1,A!V945)</f>
        <v>0</v>
      </c>
      <c r="W945">
        <f>A!W945</f>
        <v>0</v>
      </c>
      <c r="X945">
        <f>A!X945</f>
        <v>0</v>
      </c>
      <c r="Y945">
        <f>A!Y945</f>
        <v>0</v>
      </c>
      <c r="Z945" s="32">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32"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A!CO1255</f>
        <v>0</v>
      </c>
      <c r="CR945">
        <f>A!CP945</f>
        <v>0</v>
      </c>
      <c r="CS945">
        <f>A!CQ945</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32" t="str">
        <f>IF(A!P946="","",INDEX(B!$A$1:$BT$2000,MATCH(A!P946,B!$AX$1:$AX$2000,0),D!$B$5))</f>
        <v/>
      </c>
      <c r="Q946">
        <f>A!Q946</f>
        <v>0</v>
      </c>
      <c r="R946">
        <f>A!R946</f>
        <v>0</v>
      </c>
      <c r="S946">
        <f>A!S946</f>
        <v>0</v>
      </c>
      <c r="T946">
        <f>A!T946</f>
        <v>0</v>
      </c>
      <c r="U946">
        <f>A!U946</f>
        <v>0</v>
      </c>
      <c r="V946" s="32">
        <f>IF(A!V946="&lt;",1,A!V946)</f>
        <v>0</v>
      </c>
      <c r="W946">
        <f>A!W946</f>
        <v>0</v>
      </c>
      <c r="X946">
        <f>A!X946</f>
        <v>0</v>
      </c>
      <c r="Y946">
        <f>A!Y946</f>
        <v>0</v>
      </c>
      <c r="Z946" s="32">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32"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A!CO1256</f>
        <v>0</v>
      </c>
      <c r="CR946">
        <f>A!CP946</f>
        <v>0</v>
      </c>
      <c r="CS946">
        <f>A!CQ946</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32" t="str">
        <f>IF(A!P947="","",INDEX(B!$A$1:$BT$2000,MATCH(A!P947,B!$AX$1:$AX$2000,0),D!$B$5))</f>
        <v/>
      </c>
      <c r="Q947">
        <f>A!Q947</f>
        <v>0</v>
      </c>
      <c r="R947">
        <f>A!R947</f>
        <v>0</v>
      </c>
      <c r="S947">
        <f>A!S947</f>
        <v>0</v>
      </c>
      <c r="T947">
        <f>A!T947</f>
        <v>0</v>
      </c>
      <c r="U947">
        <f>A!U947</f>
        <v>0</v>
      </c>
      <c r="V947" s="32">
        <f>IF(A!V947="&lt;",1,A!V947)</f>
        <v>0</v>
      </c>
      <c r="W947">
        <f>A!W947</f>
        <v>0</v>
      </c>
      <c r="X947">
        <f>A!X947</f>
        <v>0</v>
      </c>
      <c r="Y947">
        <f>A!Y947</f>
        <v>0</v>
      </c>
      <c r="Z947" s="32">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32"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A!CO1257</f>
        <v>0</v>
      </c>
      <c r="CR947">
        <f>A!CP947</f>
        <v>0</v>
      </c>
      <c r="CS947">
        <f>A!CQ947</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32" t="str">
        <f>IF(A!P948="","",INDEX(B!$A$1:$BT$2000,MATCH(A!P948,B!$AX$1:$AX$2000,0),D!$B$5))</f>
        <v/>
      </c>
      <c r="Q948">
        <f>A!Q948</f>
        <v>0</v>
      </c>
      <c r="R948">
        <f>A!R948</f>
        <v>0</v>
      </c>
      <c r="S948">
        <f>A!S948</f>
        <v>0</v>
      </c>
      <c r="T948">
        <f>A!T948</f>
        <v>0</v>
      </c>
      <c r="U948">
        <f>A!U948</f>
        <v>0</v>
      </c>
      <c r="V948" s="32">
        <f>IF(A!V948="&lt;",1,A!V948)</f>
        <v>0</v>
      </c>
      <c r="W948">
        <f>A!W948</f>
        <v>0</v>
      </c>
      <c r="X948">
        <f>A!X948</f>
        <v>0</v>
      </c>
      <c r="Y948">
        <f>A!Y948</f>
        <v>0</v>
      </c>
      <c r="Z948" s="32">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32"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A!CO1258</f>
        <v>0</v>
      </c>
      <c r="CR948">
        <f>A!CP948</f>
        <v>0</v>
      </c>
      <c r="CS948">
        <f>A!CQ948</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32" t="str">
        <f>IF(A!P949="","",INDEX(B!$A$1:$BT$2000,MATCH(A!P949,B!$AX$1:$AX$2000,0),D!$B$5))</f>
        <v/>
      </c>
      <c r="Q949">
        <f>A!Q949</f>
        <v>0</v>
      </c>
      <c r="R949">
        <f>A!R949</f>
        <v>0</v>
      </c>
      <c r="S949">
        <f>A!S949</f>
        <v>0</v>
      </c>
      <c r="T949">
        <f>A!T949</f>
        <v>0</v>
      </c>
      <c r="U949">
        <f>A!U949</f>
        <v>0</v>
      </c>
      <c r="V949" s="32">
        <f>IF(A!V949="&lt;",1,A!V949)</f>
        <v>0</v>
      </c>
      <c r="W949">
        <f>A!W949</f>
        <v>0</v>
      </c>
      <c r="X949">
        <f>A!X949</f>
        <v>0</v>
      </c>
      <c r="Y949">
        <f>A!Y949</f>
        <v>0</v>
      </c>
      <c r="Z949" s="32">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32"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A!CO1259</f>
        <v>0</v>
      </c>
      <c r="CR949">
        <f>A!CP949</f>
        <v>0</v>
      </c>
      <c r="CS949">
        <f>A!CQ949</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32" t="str">
        <f>IF(A!P950="","",INDEX(B!$A$1:$BT$2000,MATCH(A!P950,B!$AX$1:$AX$2000,0),D!$B$5))</f>
        <v/>
      </c>
      <c r="Q950">
        <f>A!Q950</f>
        <v>0</v>
      </c>
      <c r="R950">
        <f>A!R950</f>
        <v>0</v>
      </c>
      <c r="S950">
        <f>A!S950</f>
        <v>0</v>
      </c>
      <c r="T950">
        <f>A!T950</f>
        <v>0</v>
      </c>
      <c r="U950">
        <f>A!U950</f>
        <v>0</v>
      </c>
      <c r="V950" s="32">
        <f>IF(A!V950="&lt;",1,A!V950)</f>
        <v>0</v>
      </c>
      <c r="W950">
        <f>A!W950</f>
        <v>0</v>
      </c>
      <c r="X950">
        <f>A!X950</f>
        <v>0</v>
      </c>
      <c r="Y950">
        <f>A!Y950</f>
        <v>0</v>
      </c>
      <c r="Z950" s="32">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32"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A!CO1260</f>
        <v>0</v>
      </c>
      <c r="CR950">
        <f>A!CP950</f>
        <v>0</v>
      </c>
      <c r="CS950">
        <f>A!CQ950</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32" t="str">
        <f>IF(A!P951="","",INDEX(B!$A$1:$BT$2000,MATCH(A!P951,B!$AX$1:$AX$2000,0),D!$B$5))</f>
        <v/>
      </c>
      <c r="Q951">
        <f>A!Q951</f>
        <v>0</v>
      </c>
      <c r="R951">
        <f>A!R951</f>
        <v>0</v>
      </c>
      <c r="S951">
        <f>A!S951</f>
        <v>0</v>
      </c>
      <c r="T951">
        <f>A!T951</f>
        <v>0</v>
      </c>
      <c r="U951">
        <f>A!U951</f>
        <v>0</v>
      </c>
      <c r="V951" s="32">
        <f>IF(A!V951="&lt;",1,A!V951)</f>
        <v>0</v>
      </c>
      <c r="W951">
        <f>A!W951</f>
        <v>0</v>
      </c>
      <c r="X951">
        <f>A!X951</f>
        <v>0</v>
      </c>
      <c r="Y951">
        <f>A!Y951</f>
        <v>0</v>
      </c>
      <c r="Z951" s="32">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32"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A!CO1261</f>
        <v>0</v>
      </c>
      <c r="CR951">
        <f>A!CP951</f>
        <v>0</v>
      </c>
      <c r="CS951">
        <f>A!CQ951</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32" t="str">
        <f>IF(A!P952="","",INDEX(B!$A$1:$BT$2000,MATCH(A!P952,B!$AX$1:$AX$2000,0),D!$B$5))</f>
        <v/>
      </c>
      <c r="Q952">
        <f>A!Q952</f>
        <v>0</v>
      </c>
      <c r="R952">
        <f>A!R952</f>
        <v>0</v>
      </c>
      <c r="S952">
        <f>A!S952</f>
        <v>0</v>
      </c>
      <c r="T952">
        <f>A!T952</f>
        <v>0</v>
      </c>
      <c r="U952">
        <f>A!U952</f>
        <v>0</v>
      </c>
      <c r="V952" s="32">
        <f>IF(A!V952="&lt;",1,A!V952)</f>
        <v>0</v>
      </c>
      <c r="W952">
        <f>A!W952</f>
        <v>0</v>
      </c>
      <c r="X952">
        <f>A!X952</f>
        <v>0</v>
      </c>
      <c r="Y952">
        <f>A!Y952</f>
        <v>0</v>
      </c>
      <c r="Z952" s="32">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32"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A!CO1262</f>
        <v>0</v>
      </c>
      <c r="CR952">
        <f>A!CP952</f>
        <v>0</v>
      </c>
      <c r="CS952">
        <f>A!CQ952</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32" t="str">
        <f>IF(A!P953="","",INDEX(B!$A$1:$BT$2000,MATCH(A!P953,B!$AX$1:$AX$2000,0),D!$B$5))</f>
        <v/>
      </c>
      <c r="Q953">
        <f>A!Q953</f>
        <v>0</v>
      </c>
      <c r="R953">
        <f>A!R953</f>
        <v>0</v>
      </c>
      <c r="S953">
        <f>A!S953</f>
        <v>0</v>
      </c>
      <c r="T953">
        <f>A!T953</f>
        <v>0</v>
      </c>
      <c r="U953">
        <f>A!U953</f>
        <v>0</v>
      </c>
      <c r="V953" s="32">
        <f>IF(A!V953="&lt;",1,A!V953)</f>
        <v>0</v>
      </c>
      <c r="W953">
        <f>A!W953</f>
        <v>0</v>
      </c>
      <c r="X953">
        <f>A!X953</f>
        <v>0</v>
      </c>
      <c r="Y953">
        <f>A!Y953</f>
        <v>0</v>
      </c>
      <c r="Z953" s="32">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32"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A!CO1263</f>
        <v>0</v>
      </c>
      <c r="CR953">
        <f>A!CP953</f>
        <v>0</v>
      </c>
      <c r="CS953">
        <f>A!CQ953</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32" t="str">
        <f>IF(A!P954="","",INDEX(B!$A$1:$BT$2000,MATCH(A!P954,B!$AX$1:$AX$2000,0),D!$B$5))</f>
        <v/>
      </c>
      <c r="Q954">
        <f>A!Q954</f>
        <v>0</v>
      </c>
      <c r="R954">
        <f>A!R954</f>
        <v>0</v>
      </c>
      <c r="S954">
        <f>A!S954</f>
        <v>0</v>
      </c>
      <c r="T954">
        <f>A!T954</f>
        <v>0</v>
      </c>
      <c r="U954">
        <f>A!U954</f>
        <v>0</v>
      </c>
      <c r="V954" s="32">
        <f>IF(A!V954="&lt;",1,A!V954)</f>
        <v>0</v>
      </c>
      <c r="W954">
        <f>A!W954</f>
        <v>0</v>
      </c>
      <c r="X954">
        <f>A!X954</f>
        <v>0</v>
      </c>
      <c r="Y954">
        <f>A!Y954</f>
        <v>0</v>
      </c>
      <c r="Z954" s="32">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32"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A!CO1264</f>
        <v>0</v>
      </c>
      <c r="CR954">
        <f>A!CP954</f>
        <v>0</v>
      </c>
      <c r="CS954">
        <f>A!CQ954</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32" t="str">
        <f>IF(A!P955="","",INDEX(B!$A$1:$BT$2000,MATCH(A!P955,B!$AX$1:$AX$2000,0),D!$B$5))</f>
        <v/>
      </c>
      <c r="Q955">
        <f>A!Q955</f>
        <v>0</v>
      </c>
      <c r="R955">
        <f>A!R955</f>
        <v>0</v>
      </c>
      <c r="S955">
        <f>A!S955</f>
        <v>0</v>
      </c>
      <c r="T955">
        <f>A!T955</f>
        <v>0</v>
      </c>
      <c r="U955">
        <f>A!U955</f>
        <v>0</v>
      </c>
      <c r="V955" s="32">
        <f>IF(A!V955="&lt;",1,A!V955)</f>
        <v>0</v>
      </c>
      <c r="W955">
        <f>A!W955</f>
        <v>0</v>
      </c>
      <c r="X955">
        <f>A!X955</f>
        <v>0</v>
      </c>
      <c r="Y955">
        <f>A!Y955</f>
        <v>0</v>
      </c>
      <c r="Z955" s="32">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32"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A!CO1265</f>
        <v>0</v>
      </c>
      <c r="CR955">
        <f>A!CP955</f>
        <v>0</v>
      </c>
      <c r="CS955">
        <f>A!CQ955</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32" t="str">
        <f>IF(A!P956="","",INDEX(B!$A$1:$BT$2000,MATCH(A!P956,B!$AX$1:$AX$2000,0),D!$B$5))</f>
        <v/>
      </c>
      <c r="Q956">
        <f>A!Q956</f>
        <v>0</v>
      </c>
      <c r="R956">
        <f>A!R956</f>
        <v>0</v>
      </c>
      <c r="S956">
        <f>A!S956</f>
        <v>0</v>
      </c>
      <c r="T956">
        <f>A!T956</f>
        <v>0</v>
      </c>
      <c r="U956">
        <f>A!U956</f>
        <v>0</v>
      </c>
      <c r="V956" s="32">
        <f>IF(A!V956="&lt;",1,A!V956)</f>
        <v>0</v>
      </c>
      <c r="W956">
        <f>A!W956</f>
        <v>0</v>
      </c>
      <c r="X956">
        <f>A!X956</f>
        <v>0</v>
      </c>
      <c r="Y956">
        <f>A!Y956</f>
        <v>0</v>
      </c>
      <c r="Z956" s="32">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32"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A!CO1266</f>
        <v>0</v>
      </c>
      <c r="CR956">
        <f>A!CP956</f>
        <v>0</v>
      </c>
      <c r="CS956">
        <f>A!CQ956</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32" t="str">
        <f>IF(A!P957="","",INDEX(B!$A$1:$BT$2000,MATCH(A!P957,B!$AX$1:$AX$2000,0),D!$B$5))</f>
        <v/>
      </c>
      <c r="Q957">
        <f>A!Q957</f>
        <v>0</v>
      </c>
      <c r="R957">
        <f>A!R957</f>
        <v>0</v>
      </c>
      <c r="S957">
        <f>A!S957</f>
        <v>0</v>
      </c>
      <c r="T957">
        <f>A!T957</f>
        <v>0</v>
      </c>
      <c r="U957">
        <f>A!U957</f>
        <v>0</v>
      </c>
      <c r="V957" s="32">
        <f>IF(A!V957="&lt;",1,A!V957)</f>
        <v>0</v>
      </c>
      <c r="W957">
        <f>A!W957</f>
        <v>0</v>
      </c>
      <c r="X957">
        <f>A!X957</f>
        <v>0</v>
      </c>
      <c r="Y957">
        <f>A!Y957</f>
        <v>0</v>
      </c>
      <c r="Z957" s="32">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32"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A!CO1267</f>
        <v>0</v>
      </c>
      <c r="CR957">
        <f>A!CP957</f>
        <v>0</v>
      </c>
      <c r="CS957">
        <f>A!CQ957</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32" t="str">
        <f>IF(A!P958="","",INDEX(B!$A$1:$BT$2000,MATCH(A!P958,B!$AX$1:$AX$2000,0),D!$B$5))</f>
        <v/>
      </c>
      <c r="Q958">
        <f>A!Q958</f>
        <v>0</v>
      </c>
      <c r="R958">
        <f>A!R958</f>
        <v>0</v>
      </c>
      <c r="S958">
        <f>A!S958</f>
        <v>0</v>
      </c>
      <c r="T958">
        <f>A!T958</f>
        <v>0</v>
      </c>
      <c r="U958">
        <f>A!U958</f>
        <v>0</v>
      </c>
      <c r="V958" s="32">
        <f>IF(A!V958="&lt;",1,A!V958)</f>
        <v>0</v>
      </c>
      <c r="W958">
        <f>A!W958</f>
        <v>0</v>
      </c>
      <c r="X958">
        <f>A!X958</f>
        <v>0</v>
      </c>
      <c r="Y958">
        <f>A!Y958</f>
        <v>0</v>
      </c>
      <c r="Z958" s="32">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32"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A!CO1268</f>
        <v>0</v>
      </c>
      <c r="CR958">
        <f>A!CP958</f>
        <v>0</v>
      </c>
      <c r="CS958">
        <f>A!CQ958</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32" t="str">
        <f>IF(A!P959="","",INDEX(B!$A$1:$BT$2000,MATCH(A!P959,B!$AX$1:$AX$2000,0),D!$B$5))</f>
        <v/>
      </c>
      <c r="Q959">
        <f>A!Q959</f>
        <v>0</v>
      </c>
      <c r="R959">
        <f>A!R959</f>
        <v>0</v>
      </c>
      <c r="S959">
        <f>A!S959</f>
        <v>0</v>
      </c>
      <c r="T959">
        <f>A!T959</f>
        <v>0</v>
      </c>
      <c r="U959">
        <f>A!U959</f>
        <v>0</v>
      </c>
      <c r="V959" s="32">
        <f>IF(A!V959="&lt;",1,A!V959)</f>
        <v>0</v>
      </c>
      <c r="W959">
        <f>A!W959</f>
        <v>0</v>
      </c>
      <c r="X959">
        <f>A!X959</f>
        <v>0</v>
      </c>
      <c r="Y959">
        <f>A!Y959</f>
        <v>0</v>
      </c>
      <c r="Z959" s="32">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32"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A!CO1269</f>
        <v>0</v>
      </c>
      <c r="CR959">
        <f>A!CP959</f>
        <v>0</v>
      </c>
      <c r="CS959">
        <f>A!CQ959</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32" t="str">
        <f>IF(A!P960="","",INDEX(B!$A$1:$BT$2000,MATCH(A!P960,B!$AX$1:$AX$2000,0),D!$B$5))</f>
        <v/>
      </c>
      <c r="Q960">
        <f>A!Q960</f>
        <v>0</v>
      </c>
      <c r="R960">
        <f>A!R960</f>
        <v>0</v>
      </c>
      <c r="S960">
        <f>A!S960</f>
        <v>0</v>
      </c>
      <c r="T960">
        <f>A!T960</f>
        <v>0</v>
      </c>
      <c r="U960">
        <f>A!U960</f>
        <v>0</v>
      </c>
      <c r="V960" s="32">
        <f>IF(A!V960="&lt;",1,A!V960)</f>
        <v>0</v>
      </c>
      <c r="W960">
        <f>A!W960</f>
        <v>0</v>
      </c>
      <c r="X960">
        <f>A!X960</f>
        <v>0</v>
      </c>
      <c r="Y960">
        <f>A!Y960</f>
        <v>0</v>
      </c>
      <c r="Z960" s="32">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32"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A!CO1270</f>
        <v>0</v>
      </c>
      <c r="CR960">
        <f>A!CP960</f>
        <v>0</v>
      </c>
      <c r="CS960">
        <f>A!CQ960</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32" t="str">
        <f>IF(A!P961="","",INDEX(B!$A$1:$BT$2000,MATCH(A!P961,B!$AX$1:$AX$2000,0),D!$B$5))</f>
        <v/>
      </c>
      <c r="Q961">
        <f>A!Q961</f>
        <v>0</v>
      </c>
      <c r="R961">
        <f>A!R961</f>
        <v>0</v>
      </c>
      <c r="S961">
        <f>A!S961</f>
        <v>0</v>
      </c>
      <c r="T961">
        <f>A!T961</f>
        <v>0</v>
      </c>
      <c r="U961">
        <f>A!U961</f>
        <v>0</v>
      </c>
      <c r="V961" s="32">
        <f>IF(A!V961="&lt;",1,A!V961)</f>
        <v>0</v>
      </c>
      <c r="W961">
        <f>A!W961</f>
        <v>0</v>
      </c>
      <c r="X961">
        <f>A!X961</f>
        <v>0</v>
      </c>
      <c r="Y961">
        <f>A!Y961</f>
        <v>0</v>
      </c>
      <c r="Z961" s="32">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32"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A!CO1271</f>
        <v>0</v>
      </c>
      <c r="CR961">
        <f>A!CP961</f>
        <v>0</v>
      </c>
      <c r="CS961">
        <f>A!CQ961</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32" t="str">
        <f>IF(A!P962="","",INDEX(B!$A$1:$BT$2000,MATCH(A!P962,B!$AX$1:$AX$2000,0),D!$B$5))</f>
        <v/>
      </c>
      <c r="Q962">
        <f>A!Q962</f>
        <v>0</v>
      </c>
      <c r="R962">
        <f>A!R962</f>
        <v>0</v>
      </c>
      <c r="S962">
        <f>A!S962</f>
        <v>0</v>
      </c>
      <c r="T962">
        <f>A!T962</f>
        <v>0</v>
      </c>
      <c r="U962">
        <f>A!U962</f>
        <v>0</v>
      </c>
      <c r="V962" s="32">
        <f>IF(A!V962="&lt;",1,A!V962)</f>
        <v>0</v>
      </c>
      <c r="W962">
        <f>A!W962</f>
        <v>0</v>
      </c>
      <c r="X962">
        <f>A!X962</f>
        <v>0</v>
      </c>
      <c r="Y962">
        <f>A!Y962</f>
        <v>0</v>
      </c>
      <c r="Z962" s="32">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32"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A!CO1272</f>
        <v>0</v>
      </c>
      <c r="CR962">
        <f>A!CP962</f>
        <v>0</v>
      </c>
      <c r="CS962">
        <f>A!CQ962</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32" t="str">
        <f>IF(A!P963="","",INDEX(B!$A$1:$BT$2000,MATCH(A!P963,B!$AX$1:$AX$2000,0),D!$B$5))</f>
        <v/>
      </c>
      <c r="Q963">
        <f>A!Q963</f>
        <v>0</v>
      </c>
      <c r="R963">
        <f>A!R963</f>
        <v>0</v>
      </c>
      <c r="S963">
        <f>A!S963</f>
        <v>0</v>
      </c>
      <c r="T963">
        <f>A!T963</f>
        <v>0</v>
      </c>
      <c r="U963">
        <f>A!U963</f>
        <v>0</v>
      </c>
      <c r="V963" s="32">
        <f>IF(A!V963="&lt;",1,A!V963)</f>
        <v>0</v>
      </c>
      <c r="W963">
        <f>A!W963</f>
        <v>0</v>
      </c>
      <c r="X963">
        <f>A!X963</f>
        <v>0</v>
      </c>
      <c r="Y963">
        <f>A!Y963</f>
        <v>0</v>
      </c>
      <c r="Z963" s="32">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32"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A!CO1273</f>
        <v>0</v>
      </c>
      <c r="CR963">
        <f>A!CP963</f>
        <v>0</v>
      </c>
      <c r="CS963">
        <f>A!CQ963</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32" t="str">
        <f>IF(A!P964="","",INDEX(B!$A$1:$BT$2000,MATCH(A!P964,B!$AX$1:$AX$2000,0),D!$B$5))</f>
        <v/>
      </c>
      <c r="Q964">
        <f>A!Q964</f>
        <v>0</v>
      </c>
      <c r="R964">
        <f>A!R964</f>
        <v>0</v>
      </c>
      <c r="S964">
        <f>A!S964</f>
        <v>0</v>
      </c>
      <c r="T964">
        <f>A!T964</f>
        <v>0</v>
      </c>
      <c r="U964">
        <f>A!U964</f>
        <v>0</v>
      </c>
      <c r="V964" s="32">
        <f>IF(A!V964="&lt;",1,A!V964)</f>
        <v>0</v>
      </c>
      <c r="W964">
        <f>A!W964</f>
        <v>0</v>
      </c>
      <c r="X964">
        <f>A!X964</f>
        <v>0</v>
      </c>
      <c r="Y964">
        <f>A!Y964</f>
        <v>0</v>
      </c>
      <c r="Z964" s="32">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32"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A!CO1274</f>
        <v>0</v>
      </c>
      <c r="CR964">
        <f>A!CP964</f>
        <v>0</v>
      </c>
      <c r="CS964">
        <f>A!CQ964</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32" t="str">
        <f>IF(A!P965="","",INDEX(B!$A$1:$BT$2000,MATCH(A!P965,B!$AX$1:$AX$2000,0),D!$B$5))</f>
        <v/>
      </c>
      <c r="Q965">
        <f>A!Q965</f>
        <v>0</v>
      </c>
      <c r="R965">
        <f>A!R965</f>
        <v>0</v>
      </c>
      <c r="S965">
        <f>A!S965</f>
        <v>0</v>
      </c>
      <c r="T965">
        <f>A!T965</f>
        <v>0</v>
      </c>
      <c r="U965">
        <f>A!U965</f>
        <v>0</v>
      </c>
      <c r="V965" s="32">
        <f>IF(A!V965="&lt;",1,A!V965)</f>
        <v>0</v>
      </c>
      <c r="W965">
        <f>A!W965</f>
        <v>0</v>
      </c>
      <c r="X965">
        <f>A!X965</f>
        <v>0</v>
      </c>
      <c r="Y965">
        <f>A!Y965</f>
        <v>0</v>
      </c>
      <c r="Z965" s="32">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32"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A!CO1275</f>
        <v>0</v>
      </c>
      <c r="CR965">
        <f>A!CP965</f>
        <v>0</v>
      </c>
      <c r="CS965">
        <f>A!CQ965</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32" t="str">
        <f>IF(A!P966="","",INDEX(B!$A$1:$BT$2000,MATCH(A!P966,B!$AX$1:$AX$2000,0),D!$B$5))</f>
        <v/>
      </c>
      <c r="Q966">
        <f>A!Q966</f>
        <v>0</v>
      </c>
      <c r="R966">
        <f>A!R966</f>
        <v>0</v>
      </c>
      <c r="S966">
        <f>A!S966</f>
        <v>0</v>
      </c>
      <c r="T966">
        <f>A!T966</f>
        <v>0</v>
      </c>
      <c r="U966">
        <f>A!U966</f>
        <v>0</v>
      </c>
      <c r="V966" s="32">
        <f>IF(A!V966="&lt;",1,A!V966)</f>
        <v>0</v>
      </c>
      <c r="W966">
        <f>A!W966</f>
        <v>0</v>
      </c>
      <c r="X966">
        <f>A!X966</f>
        <v>0</v>
      </c>
      <c r="Y966">
        <f>A!Y966</f>
        <v>0</v>
      </c>
      <c r="Z966" s="32">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32"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A!CO1276</f>
        <v>0</v>
      </c>
      <c r="CR966">
        <f>A!CP966</f>
        <v>0</v>
      </c>
      <c r="CS966">
        <f>A!CQ966</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32" t="str">
        <f>IF(A!P967="","",INDEX(B!$A$1:$BT$2000,MATCH(A!P967,B!$AX$1:$AX$2000,0),D!$B$5))</f>
        <v/>
      </c>
      <c r="Q967">
        <f>A!Q967</f>
        <v>0</v>
      </c>
      <c r="R967">
        <f>A!R967</f>
        <v>0</v>
      </c>
      <c r="S967">
        <f>A!S967</f>
        <v>0</v>
      </c>
      <c r="T967">
        <f>A!T967</f>
        <v>0</v>
      </c>
      <c r="U967">
        <f>A!U967</f>
        <v>0</v>
      </c>
      <c r="V967" s="32">
        <f>IF(A!V967="&lt;",1,A!V967)</f>
        <v>0</v>
      </c>
      <c r="W967">
        <f>A!W967</f>
        <v>0</v>
      </c>
      <c r="X967">
        <f>A!X967</f>
        <v>0</v>
      </c>
      <c r="Y967">
        <f>A!Y967</f>
        <v>0</v>
      </c>
      <c r="Z967" s="32">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32"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A!CO1277</f>
        <v>0</v>
      </c>
      <c r="CR967">
        <f>A!CP967</f>
        <v>0</v>
      </c>
      <c r="CS967">
        <f>A!CQ967</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32" t="str">
        <f>IF(A!P968="","",INDEX(B!$A$1:$BT$2000,MATCH(A!P968,B!$AX$1:$AX$2000,0),D!$B$5))</f>
        <v/>
      </c>
      <c r="Q968">
        <f>A!Q968</f>
        <v>0</v>
      </c>
      <c r="R968">
        <f>A!R968</f>
        <v>0</v>
      </c>
      <c r="S968">
        <f>A!S968</f>
        <v>0</v>
      </c>
      <c r="T968">
        <f>A!T968</f>
        <v>0</v>
      </c>
      <c r="U968">
        <f>A!U968</f>
        <v>0</v>
      </c>
      <c r="V968" s="32">
        <f>IF(A!V968="&lt;",1,A!V968)</f>
        <v>0</v>
      </c>
      <c r="W968">
        <f>A!W968</f>
        <v>0</v>
      </c>
      <c r="X968">
        <f>A!X968</f>
        <v>0</v>
      </c>
      <c r="Y968">
        <f>A!Y968</f>
        <v>0</v>
      </c>
      <c r="Z968" s="32">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32"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A!CO1278</f>
        <v>0</v>
      </c>
      <c r="CR968">
        <f>A!CP968</f>
        <v>0</v>
      </c>
      <c r="CS968">
        <f>A!CQ968</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32" t="str">
        <f>IF(A!P969="","",INDEX(B!$A$1:$BT$2000,MATCH(A!P969,B!$AX$1:$AX$2000,0),D!$B$5))</f>
        <v/>
      </c>
      <c r="Q969">
        <f>A!Q969</f>
        <v>0</v>
      </c>
      <c r="R969">
        <f>A!R969</f>
        <v>0</v>
      </c>
      <c r="S969">
        <f>A!S969</f>
        <v>0</v>
      </c>
      <c r="T969">
        <f>A!T969</f>
        <v>0</v>
      </c>
      <c r="U969">
        <f>A!U969</f>
        <v>0</v>
      </c>
      <c r="V969" s="32">
        <f>IF(A!V969="&lt;",1,A!V969)</f>
        <v>0</v>
      </c>
      <c r="W969">
        <f>A!W969</f>
        <v>0</v>
      </c>
      <c r="X969">
        <f>A!X969</f>
        <v>0</v>
      </c>
      <c r="Y969">
        <f>A!Y969</f>
        <v>0</v>
      </c>
      <c r="Z969" s="32">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32"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A!CO1279</f>
        <v>0</v>
      </c>
      <c r="CR969">
        <f>A!CP969</f>
        <v>0</v>
      </c>
      <c r="CS969">
        <f>A!CQ969</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32" t="str">
        <f>IF(A!P970="","",INDEX(B!$A$1:$BT$2000,MATCH(A!P970,B!$AX$1:$AX$2000,0),D!$B$5))</f>
        <v/>
      </c>
      <c r="Q970">
        <f>A!Q970</f>
        <v>0</v>
      </c>
      <c r="R970">
        <f>A!R970</f>
        <v>0</v>
      </c>
      <c r="S970">
        <f>A!S970</f>
        <v>0</v>
      </c>
      <c r="T970">
        <f>A!T970</f>
        <v>0</v>
      </c>
      <c r="U970">
        <f>A!U970</f>
        <v>0</v>
      </c>
      <c r="V970" s="32">
        <f>IF(A!V970="&lt;",1,A!V970)</f>
        <v>0</v>
      </c>
      <c r="W970">
        <f>A!W970</f>
        <v>0</v>
      </c>
      <c r="X970">
        <f>A!X970</f>
        <v>0</v>
      </c>
      <c r="Y970">
        <f>A!Y970</f>
        <v>0</v>
      </c>
      <c r="Z970" s="32">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32"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A!CO1280</f>
        <v>0</v>
      </c>
      <c r="CR970">
        <f>A!CP970</f>
        <v>0</v>
      </c>
      <c r="CS970">
        <f>A!CQ970</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32" t="str">
        <f>IF(A!P971="","",INDEX(B!$A$1:$BT$2000,MATCH(A!P971,B!$AX$1:$AX$2000,0),D!$B$5))</f>
        <v/>
      </c>
      <c r="Q971">
        <f>A!Q971</f>
        <v>0</v>
      </c>
      <c r="R971">
        <f>A!R971</f>
        <v>0</v>
      </c>
      <c r="S971">
        <f>A!S971</f>
        <v>0</v>
      </c>
      <c r="T971">
        <f>A!T971</f>
        <v>0</v>
      </c>
      <c r="U971">
        <f>A!U971</f>
        <v>0</v>
      </c>
      <c r="V971" s="32">
        <f>IF(A!V971="&lt;",1,A!V971)</f>
        <v>0</v>
      </c>
      <c r="W971">
        <f>A!W971</f>
        <v>0</v>
      </c>
      <c r="X971">
        <f>A!X971</f>
        <v>0</v>
      </c>
      <c r="Y971">
        <f>A!Y971</f>
        <v>0</v>
      </c>
      <c r="Z971" s="32">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32"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A!CO1281</f>
        <v>0</v>
      </c>
      <c r="CR971">
        <f>A!CP971</f>
        <v>0</v>
      </c>
      <c r="CS971">
        <f>A!CQ971</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32" t="str">
        <f>IF(A!P972="","",INDEX(B!$A$1:$BT$2000,MATCH(A!P972,B!$AX$1:$AX$2000,0),D!$B$5))</f>
        <v/>
      </c>
      <c r="Q972">
        <f>A!Q972</f>
        <v>0</v>
      </c>
      <c r="R972">
        <f>A!R972</f>
        <v>0</v>
      </c>
      <c r="S972">
        <f>A!S972</f>
        <v>0</v>
      </c>
      <c r="T972">
        <f>A!T972</f>
        <v>0</v>
      </c>
      <c r="U972">
        <f>A!U972</f>
        <v>0</v>
      </c>
      <c r="V972" s="32">
        <f>IF(A!V972="&lt;",1,A!V972)</f>
        <v>0</v>
      </c>
      <c r="W972">
        <f>A!W972</f>
        <v>0</v>
      </c>
      <c r="X972">
        <f>A!X972</f>
        <v>0</v>
      </c>
      <c r="Y972">
        <f>A!Y972</f>
        <v>0</v>
      </c>
      <c r="Z972" s="32">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32"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A!CO1282</f>
        <v>0</v>
      </c>
      <c r="CR972">
        <f>A!CP972</f>
        <v>0</v>
      </c>
      <c r="CS972">
        <f>A!CQ972</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32" t="str">
        <f>IF(A!P973="","",INDEX(B!$A$1:$BT$2000,MATCH(A!P973,B!$AX$1:$AX$2000,0),D!$B$5))</f>
        <v/>
      </c>
      <c r="Q973">
        <f>A!Q973</f>
        <v>0</v>
      </c>
      <c r="R973">
        <f>A!R973</f>
        <v>0</v>
      </c>
      <c r="S973">
        <f>A!S973</f>
        <v>0</v>
      </c>
      <c r="T973">
        <f>A!T973</f>
        <v>0</v>
      </c>
      <c r="U973">
        <f>A!U973</f>
        <v>0</v>
      </c>
      <c r="V973" s="32">
        <f>IF(A!V973="&lt;",1,A!V973)</f>
        <v>0</v>
      </c>
      <c r="W973">
        <f>A!W973</f>
        <v>0</v>
      </c>
      <c r="X973">
        <f>A!X973</f>
        <v>0</v>
      </c>
      <c r="Y973">
        <f>A!Y973</f>
        <v>0</v>
      </c>
      <c r="Z973" s="32">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32"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A!CO1283</f>
        <v>0</v>
      </c>
      <c r="CR973">
        <f>A!CP973</f>
        <v>0</v>
      </c>
      <c r="CS973">
        <f>A!CQ973</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32" t="str">
        <f>IF(A!P974="","",INDEX(B!$A$1:$BT$2000,MATCH(A!P974,B!$AX$1:$AX$2000,0),D!$B$5))</f>
        <v/>
      </c>
      <c r="Q974">
        <f>A!Q974</f>
        <v>0</v>
      </c>
      <c r="R974">
        <f>A!R974</f>
        <v>0</v>
      </c>
      <c r="S974">
        <f>A!S974</f>
        <v>0</v>
      </c>
      <c r="T974">
        <f>A!T974</f>
        <v>0</v>
      </c>
      <c r="U974">
        <f>A!U974</f>
        <v>0</v>
      </c>
      <c r="V974" s="32">
        <f>IF(A!V974="&lt;",1,A!V974)</f>
        <v>0</v>
      </c>
      <c r="W974">
        <f>A!W974</f>
        <v>0</v>
      </c>
      <c r="X974">
        <f>A!X974</f>
        <v>0</v>
      </c>
      <c r="Y974">
        <f>A!Y974</f>
        <v>0</v>
      </c>
      <c r="Z974" s="32">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32"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A!CO1284</f>
        <v>0</v>
      </c>
      <c r="CR974">
        <f>A!CP974</f>
        <v>0</v>
      </c>
      <c r="CS974">
        <f>A!CQ974</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32" t="str">
        <f>IF(A!P975="","",INDEX(B!$A$1:$BT$2000,MATCH(A!P975,B!$AX$1:$AX$2000,0),D!$B$5))</f>
        <v/>
      </c>
      <c r="Q975">
        <f>A!Q975</f>
        <v>0</v>
      </c>
      <c r="R975">
        <f>A!R975</f>
        <v>0</v>
      </c>
      <c r="S975">
        <f>A!S975</f>
        <v>0</v>
      </c>
      <c r="T975">
        <f>A!T975</f>
        <v>0</v>
      </c>
      <c r="U975">
        <f>A!U975</f>
        <v>0</v>
      </c>
      <c r="V975" s="32">
        <f>IF(A!V975="&lt;",1,A!V975)</f>
        <v>0</v>
      </c>
      <c r="W975">
        <f>A!W975</f>
        <v>0</v>
      </c>
      <c r="X975">
        <f>A!X975</f>
        <v>0</v>
      </c>
      <c r="Y975">
        <f>A!Y975</f>
        <v>0</v>
      </c>
      <c r="Z975" s="32">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32"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A!CO1285</f>
        <v>0</v>
      </c>
      <c r="CR975">
        <f>A!CP975</f>
        <v>0</v>
      </c>
      <c r="CS975">
        <f>A!CQ975</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32" t="str">
        <f>IF(A!P976="","",INDEX(B!$A$1:$BT$2000,MATCH(A!P976,B!$AX$1:$AX$2000,0),D!$B$5))</f>
        <v/>
      </c>
      <c r="Q976">
        <f>A!Q976</f>
        <v>0</v>
      </c>
      <c r="R976">
        <f>A!R976</f>
        <v>0</v>
      </c>
      <c r="S976">
        <f>A!S976</f>
        <v>0</v>
      </c>
      <c r="T976">
        <f>A!T976</f>
        <v>0</v>
      </c>
      <c r="U976">
        <f>A!U976</f>
        <v>0</v>
      </c>
      <c r="V976" s="32">
        <f>IF(A!V976="&lt;",1,A!V976)</f>
        <v>0</v>
      </c>
      <c r="W976">
        <f>A!W976</f>
        <v>0</v>
      </c>
      <c r="X976">
        <f>A!X976</f>
        <v>0</v>
      </c>
      <c r="Y976">
        <f>A!Y976</f>
        <v>0</v>
      </c>
      <c r="Z976" s="32">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32"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A!CO1286</f>
        <v>0</v>
      </c>
      <c r="CR976">
        <f>A!CP976</f>
        <v>0</v>
      </c>
      <c r="CS976">
        <f>A!CQ976</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32" t="str">
        <f>IF(A!P977="","",INDEX(B!$A$1:$BT$2000,MATCH(A!P977,B!$AX$1:$AX$2000,0),D!$B$5))</f>
        <v/>
      </c>
      <c r="Q977">
        <f>A!Q977</f>
        <v>0</v>
      </c>
      <c r="R977">
        <f>A!R977</f>
        <v>0</v>
      </c>
      <c r="S977">
        <f>A!S977</f>
        <v>0</v>
      </c>
      <c r="T977">
        <f>A!T977</f>
        <v>0</v>
      </c>
      <c r="U977">
        <f>A!U977</f>
        <v>0</v>
      </c>
      <c r="V977" s="32">
        <f>IF(A!V977="&lt;",1,A!V977)</f>
        <v>0</v>
      </c>
      <c r="W977">
        <f>A!W977</f>
        <v>0</v>
      </c>
      <c r="X977">
        <f>A!X977</f>
        <v>0</v>
      </c>
      <c r="Y977">
        <f>A!Y977</f>
        <v>0</v>
      </c>
      <c r="Z977" s="32">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32"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A!CO1287</f>
        <v>0</v>
      </c>
      <c r="CR977">
        <f>A!CP977</f>
        <v>0</v>
      </c>
      <c r="CS977">
        <f>A!CQ977</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32" t="str">
        <f>IF(A!P978="","",INDEX(B!$A$1:$BT$2000,MATCH(A!P978,B!$AX$1:$AX$2000,0),D!$B$5))</f>
        <v/>
      </c>
      <c r="Q978">
        <f>A!Q978</f>
        <v>0</v>
      </c>
      <c r="R978">
        <f>A!R978</f>
        <v>0</v>
      </c>
      <c r="S978">
        <f>A!S978</f>
        <v>0</v>
      </c>
      <c r="T978">
        <f>A!T978</f>
        <v>0</v>
      </c>
      <c r="U978">
        <f>A!U978</f>
        <v>0</v>
      </c>
      <c r="V978" s="32">
        <f>IF(A!V978="&lt;",1,A!V978)</f>
        <v>0</v>
      </c>
      <c r="W978">
        <f>A!W978</f>
        <v>0</v>
      </c>
      <c r="X978">
        <f>A!X978</f>
        <v>0</v>
      </c>
      <c r="Y978">
        <f>A!Y978</f>
        <v>0</v>
      </c>
      <c r="Z978" s="32">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32"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A!CO1288</f>
        <v>0</v>
      </c>
      <c r="CR978">
        <f>A!CP978</f>
        <v>0</v>
      </c>
      <c r="CS978">
        <f>A!CQ978</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32" t="str">
        <f>IF(A!P979="","",INDEX(B!$A$1:$BT$2000,MATCH(A!P979,B!$AX$1:$AX$2000,0),D!$B$5))</f>
        <v/>
      </c>
      <c r="Q979">
        <f>A!Q979</f>
        <v>0</v>
      </c>
      <c r="R979">
        <f>A!R979</f>
        <v>0</v>
      </c>
      <c r="S979">
        <f>A!S979</f>
        <v>0</v>
      </c>
      <c r="T979">
        <f>A!T979</f>
        <v>0</v>
      </c>
      <c r="U979">
        <f>A!U979</f>
        <v>0</v>
      </c>
      <c r="V979" s="32">
        <f>IF(A!V979="&lt;",1,A!V979)</f>
        <v>0</v>
      </c>
      <c r="W979">
        <f>A!W979</f>
        <v>0</v>
      </c>
      <c r="X979">
        <f>A!X979</f>
        <v>0</v>
      </c>
      <c r="Y979">
        <f>A!Y979</f>
        <v>0</v>
      </c>
      <c r="Z979" s="32">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32"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A!CO1289</f>
        <v>0</v>
      </c>
      <c r="CR979">
        <f>A!CP979</f>
        <v>0</v>
      </c>
      <c r="CS979">
        <f>A!CQ979</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32" t="str">
        <f>IF(A!P980="","",INDEX(B!$A$1:$BT$2000,MATCH(A!P980,B!$AX$1:$AX$2000,0),D!$B$5))</f>
        <v/>
      </c>
      <c r="Q980">
        <f>A!Q980</f>
        <v>0</v>
      </c>
      <c r="R980">
        <f>A!R980</f>
        <v>0</v>
      </c>
      <c r="S980">
        <f>A!S980</f>
        <v>0</v>
      </c>
      <c r="T980">
        <f>A!T980</f>
        <v>0</v>
      </c>
      <c r="U980">
        <f>A!U980</f>
        <v>0</v>
      </c>
      <c r="V980" s="32">
        <f>IF(A!V980="&lt;",1,A!V980)</f>
        <v>0</v>
      </c>
      <c r="W980">
        <f>A!W980</f>
        <v>0</v>
      </c>
      <c r="X980">
        <f>A!X980</f>
        <v>0</v>
      </c>
      <c r="Y980">
        <f>A!Y980</f>
        <v>0</v>
      </c>
      <c r="Z980" s="32">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32"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A!CO1290</f>
        <v>0</v>
      </c>
      <c r="CR980">
        <f>A!CP980</f>
        <v>0</v>
      </c>
      <c r="CS980">
        <f>A!CQ980</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32" t="str">
        <f>IF(A!P981="","",INDEX(B!$A$1:$BT$2000,MATCH(A!P981,B!$AX$1:$AX$2000,0),D!$B$5))</f>
        <v/>
      </c>
      <c r="Q981">
        <f>A!Q981</f>
        <v>0</v>
      </c>
      <c r="R981">
        <f>A!R981</f>
        <v>0</v>
      </c>
      <c r="S981">
        <f>A!S981</f>
        <v>0</v>
      </c>
      <c r="T981">
        <f>A!T981</f>
        <v>0</v>
      </c>
      <c r="U981">
        <f>A!U981</f>
        <v>0</v>
      </c>
      <c r="V981" s="32">
        <f>IF(A!V981="&lt;",1,A!V981)</f>
        <v>0</v>
      </c>
      <c r="W981">
        <f>A!W981</f>
        <v>0</v>
      </c>
      <c r="X981">
        <f>A!X981</f>
        <v>0</v>
      </c>
      <c r="Y981">
        <f>A!Y981</f>
        <v>0</v>
      </c>
      <c r="Z981" s="32">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32"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A!CO1291</f>
        <v>0</v>
      </c>
      <c r="CR981">
        <f>A!CP981</f>
        <v>0</v>
      </c>
      <c r="CS981">
        <f>A!CQ981</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32" t="str">
        <f>IF(A!P982="","",INDEX(B!$A$1:$BT$2000,MATCH(A!P982,B!$AX$1:$AX$2000,0),D!$B$5))</f>
        <v/>
      </c>
      <c r="Q982">
        <f>A!Q982</f>
        <v>0</v>
      </c>
      <c r="R982">
        <f>A!R982</f>
        <v>0</v>
      </c>
      <c r="S982">
        <f>A!S982</f>
        <v>0</v>
      </c>
      <c r="T982">
        <f>A!T982</f>
        <v>0</v>
      </c>
      <c r="U982">
        <f>A!U982</f>
        <v>0</v>
      </c>
      <c r="V982" s="32">
        <f>IF(A!V982="&lt;",1,A!V982)</f>
        <v>0</v>
      </c>
      <c r="W982">
        <f>A!W982</f>
        <v>0</v>
      </c>
      <c r="X982">
        <f>A!X982</f>
        <v>0</v>
      </c>
      <c r="Y982">
        <f>A!Y982</f>
        <v>0</v>
      </c>
      <c r="Z982" s="32">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32"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A!CO1292</f>
        <v>0</v>
      </c>
      <c r="CR982">
        <f>A!CP982</f>
        <v>0</v>
      </c>
      <c r="CS982">
        <f>A!CQ982</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32" t="str">
        <f>IF(A!P983="","",INDEX(B!$A$1:$BT$2000,MATCH(A!P983,B!$AX$1:$AX$2000,0),D!$B$5))</f>
        <v/>
      </c>
      <c r="Q983">
        <f>A!Q983</f>
        <v>0</v>
      </c>
      <c r="R983">
        <f>A!R983</f>
        <v>0</v>
      </c>
      <c r="S983">
        <f>A!S983</f>
        <v>0</v>
      </c>
      <c r="T983">
        <f>A!T983</f>
        <v>0</v>
      </c>
      <c r="U983">
        <f>A!U983</f>
        <v>0</v>
      </c>
      <c r="V983" s="32">
        <f>IF(A!V983="&lt;",1,A!V983)</f>
        <v>0</v>
      </c>
      <c r="W983">
        <f>A!W983</f>
        <v>0</v>
      </c>
      <c r="X983">
        <f>A!X983</f>
        <v>0</v>
      </c>
      <c r="Y983">
        <f>A!Y983</f>
        <v>0</v>
      </c>
      <c r="Z983" s="32">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32"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A!CO1293</f>
        <v>0</v>
      </c>
      <c r="CR983">
        <f>A!CP983</f>
        <v>0</v>
      </c>
      <c r="CS983">
        <f>A!CQ983</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32" t="str">
        <f>IF(A!P984="","",INDEX(B!$A$1:$BT$2000,MATCH(A!P984,B!$AX$1:$AX$2000,0),D!$B$5))</f>
        <v/>
      </c>
      <c r="Q984">
        <f>A!Q984</f>
        <v>0</v>
      </c>
      <c r="R984">
        <f>A!R984</f>
        <v>0</v>
      </c>
      <c r="S984">
        <f>A!S984</f>
        <v>0</v>
      </c>
      <c r="T984">
        <f>A!T984</f>
        <v>0</v>
      </c>
      <c r="U984">
        <f>A!U984</f>
        <v>0</v>
      </c>
      <c r="V984" s="32">
        <f>IF(A!V984="&lt;",1,A!V984)</f>
        <v>0</v>
      </c>
      <c r="W984">
        <f>A!W984</f>
        <v>0</v>
      </c>
      <c r="X984">
        <f>A!X984</f>
        <v>0</v>
      </c>
      <c r="Y984">
        <f>A!Y984</f>
        <v>0</v>
      </c>
      <c r="Z984" s="32">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32"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A!CO1294</f>
        <v>0</v>
      </c>
      <c r="CR984">
        <f>A!CP984</f>
        <v>0</v>
      </c>
      <c r="CS984">
        <f>A!CQ984</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32" t="str">
        <f>IF(A!P985="","",INDEX(B!$A$1:$BT$2000,MATCH(A!P985,B!$AX$1:$AX$2000,0),D!$B$5))</f>
        <v/>
      </c>
      <c r="Q985">
        <f>A!Q985</f>
        <v>0</v>
      </c>
      <c r="R985">
        <f>A!R985</f>
        <v>0</v>
      </c>
      <c r="S985">
        <f>A!S985</f>
        <v>0</v>
      </c>
      <c r="T985">
        <f>A!T985</f>
        <v>0</v>
      </c>
      <c r="U985">
        <f>A!U985</f>
        <v>0</v>
      </c>
      <c r="V985" s="32">
        <f>IF(A!V985="&lt;",1,A!V985)</f>
        <v>0</v>
      </c>
      <c r="W985">
        <f>A!W985</f>
        <v>0</v>
      </c>
      <c r="X985">
        <f>A!X985</f>
        <v>0</v>
      </c>
      <c r="Y985">
        <f>A!Y985</f>
        <v>0</v>
      </c>
      <c r="Z985" s="32">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32"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A!CO1295</f>
        <v>0</v>
      </c>
      <c r="CR985">
        <f>A!CP985</f>
        <v>0</v>
      </c>
      <c r="CS985">
        <f>A!CQ985</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32" t="str">
        <f>IF(A!P986="","",INDEX(B!$A$1:$BT$2000,MATCH(A!P986,B!$AX$1:$AX$2000,0),D!$B$5))</f>
        <v/>
      </c>
      <c r="Q986">
        <f>A!Q986</f>
        <v>0</v>
      </c>
      <c r="R986">
        <f>A!R986</f>
        <v>0</v>
      </c>
      <c r="S986">
        <f>A!S986</f>
        <v>0</v>
      </c>
      <c r="T986">
        <f>A!T986</f>
        <v>0</v>
      </c>
      <c r="U986">
        <f>A!U986</f>
        <v>0</v>
      </c>
      <c r="V986" s="32">
        <f>IF(A!V986="&lt;",1,A!V986)</f>
        <v>0</v>
      </c>
      <c r="W986">
        <f>A!W986</f>
        <v>0</v>
      </c>
      <c r="X986">
        <f>A!X986</f>
        <v>0</v>
      </c>
      <c r="Y986">
        <f>A!Y986</f>
        <v>0</v>
      </c>
      <c r="Z986" s="32">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32"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A!CO1296</f>
        <v>0</v>
      </c>
      <c r="CR986">
        <f>A!CP986</f>
        <v>0</v>
      </c>
      <c r="CS986">
        <f>A!CQ986</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32" t="str">
        <f>IF(A!P987="","",INDEX(B!$A$1:$BT$2000,MATCH(A!P987,B!$AX$1:$AX$2000,0),D!$B$5))</f>
        <v/>
      </c>
      <c r="Q987">
        <f>A!Q987</f>
        <v>0</v>
      </c>
      <c r="R987">
        <f>A!R987</f>
        <v>0</v>
      </c>
      <c r="S987">
        <f>A!S987</f>
        <v>0</v>
      </c>
      <c r="T987">
        <f>A!T987</f>
        <v>0</v>
      </c>
      <c r="U987">
        <f>A!U987</f>
        <v>0</v>
      </c>
      <c r="V987" s="32">
        <f>IF(A!V987="&lt;",1,A!V987)</f>
        <v>0</v>
      </c>
      <c r="W987">
        <f>A!W987</f>
        <v>0</v>
      </c>
      <c r="X987">
        <f>A!X987</f>
        <v>0</v>
      </c>
      <c r="Y987">
        <f>A!Y987</f>
        <v>0</v>
      </c>
      <c r="Z987" s="32">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32"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A!CO1297</f>
        <v>0</v>
      </c>
      <c r="CR987">
        <f>A!CP987</f>
        <v>0</v>
      </c>
      <c r="CS987">
        <f>A!CQ987</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32" t="str">
        <f>IF(A!P988="","",INDEX(B!$A$1:$BT$2000,MATCH(A!P988,B!$AX$1:$AX$2000,0),D!$B$5))</f>
        <v/>
      </c>
      <c r="Q988">
        <f>A!Q988</f>
        <v>0</v>
      </c>
      <c r="R988">
        <f>A!R988</f>
        <v>0</v>
      </c>
      <c r="S988">
        <f>A!S988</f>
        <v>0</v>
      </c>
      <c r="T988">
        <f>A!T988</f>
        <v>0</v>
      </c>
      <c r="U988">
        <f>A!U988</f>
        <v>0</v>
      </c>
      <c r="V988" s="32">
        <f>IF(A!V988="&lt;",1,A!V988)</f>
        <v>0</v>
      </c>
      <c r="W988">
        <f>A!W988</f>
        <v>0</v>
      </c>
      <c r="X988">
        <f>A!X988</f>
        <v>0</v>
      </c>
      <c r="Y988">
        <f>A!Y988</f>
        <v>0</v>
      </c>
      <c r="Z988" s="32">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32"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A!CO1298</f>
        <v>0</v>
      </c>
      <c r="CR988">
        <f>A!CP988</f>
        <v>0</v>
      </c>
      <c r="CS988">
        <f>A!CQ988</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32" t="str">
        <f>IF(A!P989="","",INDEX(B!$A$1:$BT$2000,MATCH(A!P989,B!$AX$1:$AX$2000,0),D!$B$5))</f>
        <v/>
      </c>
      <c r="Q989">
        <f>A!Q989</f>
        <v>0</v>
      </c>
      <c r="R989">
        <f>A!R989</f>
        <v>0</v>
      </c>
      <c r="S989">
        <f>A!S989</f>
        <v>0</v>
      </c>
      <c r="T989">
        <f>A!T989</f>
        <v>0</v>
      </c>
      <c r="U989">
        <f>A!U989</f>
        <v>0</v>
      </c>
      <c r="V989" s="32">
        <f>IF(A!V989="&lt;",1,A!V989)</f>
        <v>0</v>
      </c>
      <c r="W989">
        <f>A!W989</f>
        <v>0</v>
      </c>
      <c r="X989">
        <f>A!X989</f>
        <v>0</v>
      </c>
      <c r="Y989">
        <f>A!Y989</f>
        <v>0</v>
      </c>
      <c r="Z989" s="32">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32"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A!CO1299</f>
        <v>0</v>
      </c>
      <c r="CR989">
        <f>A!CP989</f>
        <v>0</v>
      </c>
      <c r="CS989">
        <f>A!CQ989</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32" t="str">
        <f>IF(A!P990="","",INDEX(B!$A$1:$BT$2000,MATCH(A!P990,B!$AX$1:$AX$2000,0),D!$B$5))</f>
        <v/>
      </c>
      <c r="Q990">
        <f>A!Q990</f>
        <v>0</v>
      </c>
      <c r="R990">
        <f>A!R990</f>
        <v>0</v>
      </c>
      <c r="S990">
        <f>A!S990</f>
        <v>0</v>
      </c>
      <c r="T990">
        <f>A!T990</f>
        <v>0</v>
      </c>
      <c r="U990">
        <f>A!U990</f>
        <v>0</v>
      </c>
      <c r="V990" s="32">
        <f>IF(A!V990="&lt;",1,A!V990)</f>
        <v>0</v>
      </c>
      <c r="W990">
        <f>A!W990</f>
        <v>0</v>
      </c>
      <c r="X990">
        <f>A!X990</f>
        <v>0</v>
      </c>
      <c r="Y990">
        <f>A!Y990</f>
        <v>0</v>
      </c>
      <c r="Z990" s="32">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32"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A!CO1300</f>
        <v>0</v>
      </c>
      <c r="CR990">
        <f>A!CP990</f>
        <v>0</v>
      </c>
      <c r="CS990">
        <f>A!CQ990</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32" t="str">
        <f>IF(A!P991="","",INDEX(B!$A$1:$BT$2000,MATCH(A!P991,B!$AX$1:$AX$2000,0),D!$B$5))</f>
        <v/>
      </c>
      <c r="Q991">
        <f>A!Q991</f>
        <v>0</v>
      </c>
      <c r="R991">
        <f>A!R991</f>
        <v>0</v>
      </c>
      <c r="S991">
        <f>A!S991</f>
        <v>0</v>
      </c>
      <c r="T991">
        <f>A!T991</f>
        <v>0</v>
      </c>
      <c r="U991">
        <f>A!U991</f>
        <v>0</v>
      </c>
      <c r="V991" s="32">
        <f>IF(A!V991="&lt;",1,A!V991)</f>
        <v>0</v>
      </c>
      <c r="W991">
        <f>A!W991</f>
        <v>0</v>
      </c>
      <c r="X991">
        <f>A!X991</f>
        <v>0</v>
      </c>
      <c r="Y991">
        <f>A!Y991</f>
        <v>0</v>
      </c>
      <c r="Z991" s="32">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32"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A!CO1301</f>
        <v>0</v>
      </c>
      <c r="CR991">
        <f>A!CP991</f>
        <v>0</v>
      </c>
      <c r="CS991">
        <f>A!CQ991</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32" t="str">
        <f>IF(A!P992="","",INDEX(B!$A$1:$BT$2000,MATCH(A!P992,B!$AX$1:$AX$2000,0),D!$B$5))</f>
        <v/>
      </c>
      <c r="Q992">
        <f>A!Q992</f>
        <v>0</v>
      </c>
      <c r="R992">
        <f>A!R992</f>
        <v>0</v>
      </c>
      <c r="S992">
        <f>A!S992</f>
        <v>0</v>
      </c>
      <c r="T992">
        <f>A!T992</f>
        <v>0</v>
      </c>
      <c r="U992">
        <f>A!U992</f>
        <v>0</v>
      </c>
      <c r="V992" s="32">
        <f>IF(A!V992="&lt;",1,A!V992)</f>
        <v>0</v>
      </c>
      <c r="W992">
        <f>A!W992</f>
        <v>0</v>
      </c>
      <c r="X992">
        <f>A!X992</f>
        <v>0</v>
      </c>
      <c r="Y992">
        <f>A!Y992</f>
        <v>0</v>
      </c>
      <c r="Z992" s="32">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32"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A!CO1302</f>
        <v>0</v>
      </c>
      <c r="CR992">
        <f>A!CP992</f>
        <v>0</v>
      </c>
      <c r="CS992">
        <f>A!CQ992</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32" t="str">
        <f>IF(A!P993="","",INDEX(B!$A$1:$BT$2000,MATCH(A!P993,B!$AX$1:$AX$2000,0),D!$B$5))</f>
        <v/>
      </c>
      <c r="Q993">
        <f>A!Q993</f>
        <v>0</v>
      </c>
      <c r="R993">
        <f>A!R993</f>
        <v>0</v>
      </c>
      <c r="S993">
        <f>A!S993</f>
        <v>0</v>
      </c>
      <c r="T993">
        <f>A!T993</f>
        <v>0</v>
      </c>
      <c r="U993">
        <f>A!U993</f>
        <v>0</v>
      </c>
      <c r="V993" s="32">
        <f>IF(A!V993="&lt;",1,A!V993)</f>
        <v>0</v>
      </c>
      <c r="W993">
        <f>A!W993</f>
        <v>0</v>
      </c>
      <c r="X993">
        <f>A!X993</f>
        <v>0</v>
      </c>
      <c r="Y993">
        <f>A!Y993</f>
        <v>0</v>
      </c>
      <c r="Z993" s="32">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32"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A!CO1303</f>
        <v>0</v>
      </c>
      <c r="CR993">
        <f>A!CP993</f>
        <v>0</v>
      </c>
      <c r="CS993">
        <f>A!CQ993</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32" t="str">
        <f>IF(A!P994="","",INDEX(B!$A$1:$BT$2000,MATCH(A!P994,B!$AX$1:$AX$2000,0),D!$B$5))</f>
        <v/>
      </c>
      <c r="Q994">
        <f>A!Q994</f>
        <v>0</v>
      </c>
      <c r="R994">
        <f>A!R994</f>
        <v>0</v>
      </c>
      <c r="S994">
        <f>A!S994</f>
        <v>0</v>
      </c>
      <c r="T994">
        <f>A!T994</f>
        <v>0</v>
      </c>
      <c r="U994">
        <f>A!U994</f>
        <v>0</v>
      </c>
      <c r="V994" s="32">
        <f>IF(A!V994="&lt;",1,A!V994)</f>
        <v>0</v>
      </c>
      <c r="W994">
        <f>A!W994</f>
        <v>0</v>
      </c>
      <c r="X994">
        <f>A!X994</f>
        <v>0</v>
      </c>
      <c r="Y994">
        <f>A!Y994</f>
        <v>0</v>
      </c>
      <c r="Z994" s="32">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32"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A!CO1304</f>
        <v>0</v>
      </c>
      <c r="CR994">
        <f>A!CP994</f>
        <v>0</v>
      </c>
      <c r="CS994">
        <f>A!CQ994</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32" t="str">
        <f>IF(A!P995="","",INDEX(B!$A$1:$BT$2000,MATCH(A!P995,B!$AX$1:$AX$2000,0),D!$B$5))</f>
        <v/>
      </c>
      <c r="Q995">
        <f>A!Q995</f>
        <v>0</v>
      </c>
      <c r="R995">
        <f>A!R995</f>
        <v>0</v>
      </c>
      <c r="S995">
        <f>A!S995</f>
        <v>0</v>
      </c>
      <c r="T995">
        <f>A!T995</f>
        <v>0</v>
      </c>
      <c r="U995">
        <f>A!U995</f>
        <v>0</v>
      </c>
      <c r="V995" s="32">
        <f>IF(A!V995="&lt;",1,A!V995)</f>
        <v>0</v>
      </c>
      <c r="W995">
        <f>A!W995</f>
        <v>0</v>
      </c>
      <c r="X995">
        <f>A!X995</f>
        <v>0</v>
      </c>
      <c r="Y995">
        <f>A!Y995</f>
        <v>0</v>
      </c>
      <c r="Z995" s="32">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32"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A!CO1305</f>
        <v>0</v>
      </c>
      <c r="CR995">
        <f>A!CP995</f>
        <v>0</v>
      </c>
      <c r="CS995">
        <f>A!CQ995</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32" t="str">
        <f>IF(A!P996="","",INDEX(B!$A$1:$BT$2000,MATCH(A!P996,B!$AX$1:$AX$2000,0),D!$B$5))</f>
        <v/>
      </c>
      <c r="Q996">
        <f>A!Q996</f>
        <v>0</v>
      </c>
      <c r="R996">
        <f>A!R996</f>
        <v>0</v>
      </c>
      <c r="S996">
        <f>A!S996</f>
        <v>0</v>
      </c>
      <c r="T996">
        <f>A!T996</f>
        <v>0</v>
      </c>
      <c r="U996">
        <f>A!U996</f>
        <v>0</v>
      </c>
      <c r="V996" s="32">
        <f>IF(A!V996="&lt;",1,A!V996)</f>
        <v>0</v>
      </c>
      <c r="W996">
        <f>A!W996</f>
        <v>0</v>
      </c>
      <c r="X996">
        <f>A!X996</f>
        <v>0</v>
      </c>
      <c r="Y996">
        <f>A!Y996</f>
        <v>0</v>
      </c>
      <c r="Z996" s="32">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32"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A!CO1306</f>
        <v>0</v>
      </c>
      <c r="CR996">
        <f>A!CP996</f>
        <v>0</v>
      </c>
      <c r="CS996">
        <f>A!CQ996</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32" t="str">
        <f>IF(A!P997="","",INDEX(B!$A$1:$BT$2000,MATCH(A!P997,B!$AX$1:$AX$2000,0),D!$B$5))</f>
        <v/>
      </c>
      <c r="Q997">
        <f>A!Q997</f>
        <v>0</v>
      </c>
      <c r="R997">
        <f>A!R997</f>
        <v>0</v>
      </c>
      <c r="S997">
        <f>A!S997</f>
        <v>0</v>
      </c>
      <c r="T997">
        <f>A!T997</f>
        <v>0</v>
      </c>
      <c r="U997">
        <f>A!U997</f>
        <v>0</v>
      </c>
      <c r="V997" s="32">
        <f>IF(A!V997="&lt;",1,A!V997)</f>
        <v>0</v>
      </c>
      <c r="W997">
        <f>A!W997</f>
        <v>0</v>
      </c>
      <c r="X997">
        <f>A!X997</f>
        <v>0</v>
      </c>
      <c r="Y997">
        <f>A!Y997</f>
        <v>0</v>
      </c>
      <c r="Z997" s="32">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32"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A!CO1307</f>
        <v>0</v>
      </c>
      <c r="CR997">
        <f>A!CP997</f>
        <v>0</v>
      </c>
      <c r="CS997">
        <f>A!CQ997</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32" t="str">
        <f>IF(A!P998="","",INDEX(B!$A$1:$BT$2000,MATCH(A!P998,B!$AX$1:$AX$2000,0),D!$B$5))</f>
        <v/>
      </c>
      <c r="Q998">
        <f>A!Q998</f>
        <v>0</v>
      </c>
      <c r="R998">
        <f>A!R998</f>
        <v>0</v>
      </c>
      <c r="S998">
        <f>A!S998</f>
        <v>0</v>
      </c>
      <c r="T998">
        <f>A!T998</f>
        <v>0</v>
      </c>
      <c r="U998">
        <f>A!U998</f>
        <v>0</v>
      </c>
      <c r="V998" s="32">
        <f>IF(A!V998="&lt;",1,A!V998)</f>
        <v>0</v>
      </c>
      <c r="W998">
        <f>A!W998</f>
        <v>0</v>
      </c>
      <c r="X998">
        <f>A!X998</f>
        <v>0</v>
      </c>
      <c r="Y998">
        <f>A!Y998</f>
        <v>0</v>
      </c>
      <c r="Z998" s="32">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32"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A!CO1308</f>
        <v>0</v>
      </c>
      <c r="CR998">
        <f>A!CP998</f>
        <v>0</v>
      </c>
      <c r="CS998">
        <f>A!CQ998</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32" t="str">
        <f>IF(A!P999="","",INDEX(B!$A$1:$BT$2000,MATCH(A!P999,B!$AX$1:$AX$2000,0),D!$B$5))</f>
        <v/>
      </c>
      <c r="Q999">
        <f>A!Q999</f>
        <v>0</v>
      </c>
      <c r="R999">
        <f>A!R999</f>
        <v>0</v>
      </c>
      <c r="S999">
        <f>A!S999</f>
        <v>0</v>
      </c>
      <c r="T999">
        <f>A!T999</f>
        <v>0</v>
      </c>
      <c r="U999">
        <f>A!U999</f>
        <v>0</v>
      </c>
      <c r="V999" s="32">
        <f>IF(A!V999="&lt;",1,A!V999)</f>
        <v>0</v>
      </c>
      <c r="W999">
        <f>A!W999</f>
        <v>0</v>
      </c>
      <c r="X999">
        <f>A!X999</f>
        <v>0</v>
      </c>
      <c r="Y999">
        <f>A!Y999</f>
        <v>0</v>
      </c>
      <c r="Z999" s="32">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32"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A!CO1309</f>
        <v>0</v>
      </c>
      <c r="CR999">
        <f>A!CP999</f>
        <v>0</v>
      </c>
      <c r="CS999">
        <f>A!CQ999</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32" t="str">
        <f>IF(A!P1000="","",INDEX(B!$A$1:$BT$2000,MATCH(A!P1000,B!$AX$1:$AX$2000,0),D!$B$5))</f>
        <v/>
      </c>
      <c r="Q1000">
        <f>A!Q1000</f>
        <v>0</v>
      </c>
      <c r="R1000">
        <f>A!R1000</f>
        <v>0</v>
      </c>
      <c r="S1000">
        <f>A!S1000</f>
        <v>0</v>
      </c>
      <c r="T1000">
        <f>A!T1000</f>
        <v>0</v>
      </c>
      <c r="U1000">
        <f>A!U1000</f>
        <v>0</v>
      </c>
      <c r="V1000" s="32">
        <f>IF(A!V1000="&lt;",1,A!V1000)</f>
        <v>0</v>
      </c>
      <c r="W1000">
        <f>A!W1000</f>
        <v>0</v>
      </c>
      <c r="X1000">
        <f>A!X1000</f>
        <v>0</v>
      </c>
      <c r="Y1000">
        <f>A!Y1000</f>
        <v>0</v>
      </c>
      <c r="Z1000" s="32">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32"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A!CO1310</f>
        <v>0</v>
      </c>
      <c r="CR1000">
        <f>A!CP1000</f>
        <v>0</v>
      </c>
      <c r="CS1000">
        <f>A!CQ1000</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B59"/>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8" x14ac:dyDescent="0.2">
      <c r="A1" s="29"/>
      <c r="B1" s="23" t="s">
        <v>436</v>
      </c>
      <c r="C1" s="171" t="s">
        <v>407</v>
      </c>
      <c r="D1" s="172"/>
      <c r="E1" s="172"/>
      <c r="F1" s="172"/>
      <c r="G1" s="172"/>
      <c r="H1" s="172"/>
      <c r="I1" s="172"/>
      <c r="J1" s="22"/>
      <c r="S1" s="21"/>
      <c r="T1" s="23" t="s">
        <v>436</v>
      </c>
      <c r="U1" s="171" t="s">
        <v>407</v>
      </c>
      <c r="V1" s="172"/>
      <c r="W1" s="172"/>
      <c r="X1" s="172"/>
      <c r="Y1" s="172"/>
      <c r="Z1" s="172"/>
      <c r="AA1" s="172"/>
      <c r="AB1" s="22"/>
    </row>
    <row r="2" spans="1:28" x14ac:dyDescent="0.2">
      <c r="A2" s="30"/>
      <c r="B2" s="21" t="s">
        <v>2449</v>
      </c>
      <c r="C2" s="172"/>
      <c r="D2" s="172"/>
      <c r="E2" s="21" t="s">
        <v>2443</v>
      </c>
      <c r="F2" s="172"/>
      <c r="G2" s="172"/>
      <c r="H2" s="21" t="s">
        <v>2451</v>
      </c>
      <c r="I2" s="172"/>
      <c r="J2" s="22"/>
      <c r="S2" s="28"/>
      <c r="T2" s="21" t="s">
        <v>2449</v>
      </c>
      <c r="U2" s="172"/>
      <c r="V2" s="172"/>
      <c r="W2" s="21" t="s">
        <v>2443</v>
      </c>
      <c r="X2" s="172"/>
      <c r="Y2" s="172"/>
      <c r="Z2" s="21" t="s">
        <v>2451</v>
      </c>
      <c r="AA2" s="172"/>
      <c r="AB2" s="22"/>
    </row>
    <row r="3" spans="1:28" x14ac:dyDescent="0.2">
      <c r="A3" s="23" t="s">
        <v>428</v>
      </c>
      <c r="B3" s="21" t="s">
        <v>491</v>
      </c>
      <c r="C3" s="173" t="s">
        <v>492</v>
      </c>
      <c r="D3" s="173" t="s">
        <v>3252</v>
      </c>
      <c r="E3" s="21" t="s">
        <v>491</v>
      </c>
      <c r="F3" s="173" t="s">
        <v>492</v>
      </c>
      <c r="G3" s="173" t="s">
        <v>3252</v>
      </c>
      <c r="H3" s="21" t="s">
        <v>491</v>
      </c>
      <c r="I3" s="173" t="s">
        <v>492</v>
      </c>
      <c r="J3" s="26" t="s">
        <v>3252</v>
      </c>
      <c r="S3" s="23" t="s">
        <v>426</v>
      </c>
      <c r="T3" s="21" t="s">
        <v>491</v>
      </c>
      <c r="U3" s="173" t="s">
        <v>492</v>
      </c>
      <c r="V3" s="173" t="s">
        <v>3252</v>
      </c>
      <c r="W3" s="21" t="s">
        <v>491</v>
      </c>
      <c r="X3" s="173" t="s">
        <v>492</v>
      </c>
      <c r="Y3" s="173" t="s">
        <v>3252</v>
      </c>
      <c r="Z3" s="21" t="s">
        <v>491</v>
      </c>
      <c r="AA3" s="173" t="s">
        <v>492</v>
      </c>
      <c r="AB3" s="26" t="s">
        <v>3252</v>
      </c>
    </row>
    <row r="4" spans="1:28" x14ac:dyDescent="0.2">
      <c r="A4" s="21">
        <v>0</v>
      </c>
      <c r="B4" s="21">
        <v>2</v>
      </c>
      <c r="C4" s="173">
        <v>1</v>
      </c>
      <c r="D4" s="173">
        <v>1</v>
      </c>
      <c r="E4" s="21">
        <v>11</v>
      </c>
      <c r="F4" s="173">
        <v>0</v>
      </c>
      <c r="G4" s="173">
        <v>1</v>
      </c>
      <c r="H4" s="21">
        <v>5.8</v>
      </c>
      <c r="I4" s="173">
        <v>0</v>
      </c>
      <c r="J4" s="26">
        <v>1</v>
      </c>
      <c r="S4" s="21" t="s">
        <v>342</v>
      </c>
      <c r="T4" s="21">
        <v>164.82000000000005</v>
      </c>
      <c r="U4" s="173">
        <v>47</v>
      </c>
      <c r="V4" s="173">
        <v>5281</v>
      </c>
      <c r="W4" s="21">
        <v>174.32000000000005</v>
      </c>
      <c r="X4" s="173">
        <v>44</v>
      </c>
      <c r="Y4" s="173">
        <v>5281</v>
      </c>
      <c r="Z4" s="21">
        <v>167.82000000000005</v>
      </c>
      <c r="AA4" s="173">
        <v>44</v>
      </c>
      <c r="AB4" s="26">
        <v>5281</v>
      </c>
    </row>
    <row r="5" spans="1:28" x14ac:dyDescent="0.2">
      <c r="A5" s="24" t="s">
        <v>348</v>
      </c>
      <c r="B5" s="24">
        <v>0.2</v>
      </c>
      <c r="C5">
        <v>0</v>
      </c>
      <c r="D5">
        <v>1</v>
      </c>
      <c r="E5" s="24">
        <v>1.2</v>
      </c>
      <c r="F5">
        <v>0</v>
      </c>
      <c r="G5">
        <v>1</v>
      </c>
      <c r="H5" s="24">
        <v>1.4</v>
      </c>
      <c r="I5">
        <v>0</v>
      </c>
      <c r="J5" s="174">
        <v>1</v>
      </c>
      <c r="S5" s="24" t="s">
        <v>2645</v>
      </c>
      <c r="T5" s="24">
        <v>20</v>
      </c>
      <c r="U5">
        <v>1</v>
      </c>
      <c r="V5">
        <v>58</v>
      </c>
      <c r="W5" s="24">
        <v>20</v>
      </c>
      <c r="X5">
        <v>1</v>
      </c>
      <c r="Y5">
        <v>58</v>
      </c>
      <c r="Z5" s="24">
        <v>20</v>
      </c>
      <c r="AA5">
        <v>1</v>
      </c>
      <c r="AB5" s="174">
        <v>58</v>
      </c>
    </row>
    <row r="6" spans="1:28" x14ac:dyDescent="0.2">
      <c r="A6" s="24" t="s">
        <v>343</v>
      </c>
      <c r="B6" s="24">
        <v>78.5</v>
      </c>
      <c r="C6">
        <v>0</v>
      </c>
      <c r="D6">
        <v>1</v>
      </c>
      <c r="E6" s="24">
        <v>79.5</v>
      </c>
      <c r="F6">
        <v>0</v>
      </c>
      <c r="G6">
        <v>1</v>
      </c>
      <c r="H6" s="24">
        <v>76.900000000000006</v>
      </c>
      <c r="I6">
        <v>0</v>
      </c>
      <c r="J6" s="174">
        <v>1</v>
      </c>
      <c r="S6" s="24" t="s">
        <v>2726</v>
      </c>
      <c r="T6" s="24">
        <v>2</v>
      </c>
      <c r="U6">
        <v>1</v>
      </c>
      <c r="V6">
        <v>1</v>
      </c>
      <c r="W6" s="24">
        <v>11</v>
      </c>
      <c r="X6">
        <v>0</v>
      </c>
      <c r="Y6">
        <v>1</v>
      </c>
      <c r="Z6" s="24">
        <v>5.8</v>
      </c>
      <c r="AA6">
        <v>0</v>
      </c>
      <c r="AB6" s="174">
        <v>1</v>
      </c>
    </row>
    <row r="7" spans="1:28" x14ac:dyDescent="0.2">
      <c r="A7" s="24" t="s">
        <v>369</v>
      </c>
      <c r="B7" s="24">
        <v>0.1</v>
      </c>
      <c r="C7">
        <v>1</v>
      </c>
      <c r="D7">
        <v>131</v>
      </c>
      <c r="E7" s="24">
        <v>0.1</v>
      </c>
      <c r="F7">
        <v>1</v>
      </c>
      <c r="G7">
        <v>131</v>
      </c>
      <c r="H7" s="24">
        <v>0.1</v>
      </c>
      <c r="I7">
        <v>1</v>
      </c>
      <c r="J7" s="174">
        <v>131</v>
      </c>
      <c r="S7" s="24" t="s">
        <v>2866</v>
      </c>
      <c r="T7" s="24">
        <v>5</v>
      </c>
      <c r="U7">
        <v>1</v>
      </c>
      <c r="V7">
        <v>58</v>
      </c>
      <c r="W7" s="24">
        <v>5</v>
      </c>
      <c r="X7">
        <v>1</v>
      </c>
      <c r="Y7">
        <v>58</v>
      </c>
      <c r="Z7" s="24">
        <v>5</v>
      </c>
      <c r="AA7">
        <v>1</v>
      </c>
      <c r="AB7" s="174">
        <v>58</v>
      </c>
    </row>
    <row r="8" spans="1:28" x14ac:dyDescent="0.2">
      <c r="A8" s="24" t="s">
        <v>352</v>
      </c>
      <c r="B8" s="24">
        <v>0.1</v>
      </c>
      <c r="C8">
        <v>1</v>
      </c>
      <c r="D8">
        <v>131</v>
      </c>
      <c r="E8" s="24">
        <v>0.1</v>
      </c>
      <c r="F8">
        <v>1</v>
      </c>
      <c r="G8">
        <v>131</v>
      </c>
      <c r="H8" s="24">
        <v>0.1</v>
      </c>
      <c r="I8">
        <v>1</v>
      </c>
      <c r="J8" s="174">
        <v>131</v>
      </c>
      <c r="S8" s="24" t="s">
        <v>2870</v>
      </c>
      <c r="T8" s="24">
        <v>5</v>
      </c>
      <c r="U8">
        <v>1</v>
      </c>
      <c r="V8">
        <v>58</v>
      </c>
      <c r="W8" s="24">
        <v>5</v>
      </c>
      <c r="X8">
        <v>1</v>
      </c>
      <c r="Y8">
        <v>58</v>
      </c>
      <c r="Z8" s="24">
        <v>5</v>
      </c>
      <c r="AA8">
        <v>1</v>
      </c>
      <c r="AB8" s="174">
        <v>58</v>
      </c>
    </row>
    <row r="9" spans="1:28" x14ac:dyDescent="0.2">
      <c r="A9" s="24" t="s">
        <v>363</v>
      </c>
      <c r="B9" s="24">
        <v>0.1</v>
      </c>
      <c r="C9">
        <v>1</v>
      </c>
      <c r="D9">
        <v>131</v>
      </c>
      <c r="E9" s="24">
        <v>0.1</v>
      </c>
      <c r="F9">
        <v>1</v>
      </c>
      <c r="G9">
        <v>131</v>
      </c>
      <c r="H9" s="24">
        <v>0.1</v>
      </c>
      <c r="I9">
        <v>1</v>
      </c>
      <c r="J9" s="174">
        <v>131</v>
      </c>
      <c r="S9" s="24" t="s">
        <v>2874</v>
      </c>
      <c r="T9" s="24">
        <v>5</v>
      </c>
      <c r="U9">
        <v>1</v>
      </c>
      <c r="V9">
        <v>58</v>
      </c>
      <c r="W9" s="24">
        <v>5</v>
      </c>
      <c r="X9">
        <v>1</v>
      </c>
      <c r="Y9">
        <v>58</v>
      </c>
      <c r="Z9" s="24">
        <v>5</v>
      </c>
      <c r="AA9">
        <v>1</v>
      </c>
      <c r="AB9" s="174">
        <v>58</v>
      </c>
    </row>
    <row r="10" spans="1:28" x14ac:dyDescent="0.2">
      <c r="A10" s="24" t="s">
        <v>355</v>
      </c>
      <c r="B10" s="24">
        <v>0.1</v>
      </c>
      <c r="C10">
        <v>1</v>
      </c>
      <c r="D10">
        <v>131</v>
      </c>
      <c r="E10" s="24">
        <v>0.1</v>
      </c>
      <c r="F10">
        <v>1</v>
      </c>
      <c r="G10">
        <v>131</v>
      </c>
      <c r="H10" s="24">
        <v>0.1</v>
      </c>
      <c r="I10">
        <v>1</v>
      </c>
      <c r="J10" s="174">
        <v>131</v>
      </c>
      <c r="S10" s="25" t="s">
        <v>2878</v>
      </c>
      <c r="T10" s="25">
        <v>5</v>
      </c>
      <c r="U10" s="175">
        <v>1</v>
      </c>
      <c r="V10" s="175">
        <v>58</v>
      </c>
      <c r="W10" s="25">
        <v>5</v>
      </c>
      <c r="X10" s="175">
        <v>1</v>
      </c>
      <c r="Y10" s="175">
        <v>58</v>
      </c>
      <c r="Z10" s="25">
        <v>5</v>
      </c>
      <c r="AA10" s="175">
        <v>1</v>
      </c>
      <c r="AB10" s="176">
        <v>58</v>
      </c>
    </row>
    <row r="11" spans="1:28" x14ac:dyDescent="0.2">
      <c r="A11" s="24" t="s">
        <v>354</v>
      </c>
      <c r="B11" s="24">
        <v>0.1</v>
      </c>
      <c r="C11">
        <v>1</v>
      </c>
      <c r="D11">
        <v>131</v>
      </c>
      <c r="E11" s="24">
        <v>0.1</v>
      </c>
      <c r="F11">
        <v>1</v>
      </c>
      <c r="G11">
        <v>131</v>
      </c>
      <c r="H11" s="24">
        <v>0.1</v>
      </c>
      <c r="I11">
        <v>1</v>
      </c>
      <c r="J11" s="174">
        <v>131</v>
      </c>
    </row>
    <row r="12" spans="1:28" x14ac:dyDescent="0.2">
      <c r="A12" s="24" t="s">
        <v>356</v>
      </c>
      <c r="B12" s="24">
        <v>0.1</v>
      </c>
      <c r="C12">
        <v>0</v>
      </c>
      <c r="D12">
        <v>131</v>
      </c>
      <c r="E12" s="24">
        <v>0.1</v>
      </c>
      <c r="F12">
        <v>0</v>
      </c>
      <c r="G12">
        <v>131</v>
      </c>
      <c r="H12" s="24">
        <v>0.1</v>
      </c>
      <c r="I12">
        <v>0</v>
      </c>
      <c r="J12" s="174">
        <v>131</v>
      </c>
    </row>
    <row r="13" spans="1:28" x14ac:dyDescent="0.2">
      <c r="A13" s="24" t="s">
        <v>366</v>
      </c>
      <c r="B13" s="24">
        <v>0.1</v>
      </c>
      <c r="C13">
        <v>1</v>
      </c>
      <c r="D13">
        <v>131</v>
      </c>
      <c r="E13" s="24">
        <v>0.1</v>
      </c>
      <c r="F13">
        <v>1</v>
      </c>
      <c r="G13">
        <v>131</v>
      </c>
      <c r="H13" s="24">
        <v>0.1</v>
      </c>
      <c r="I13">
        <v>1</v>
      </c>
      <c r="J13" s="174">
        <v>131</v>
      </c>
    </row>
    <row r="14" spans="1:28" x14ac:dyDescent="0.2">
      <c r="A14" s="24" t="s">
        <v>368</v>
      </c>
      <c r="B14" s="24">
        <v>0.1</v>
      </c>
      <c r="C14">
        <v>1</v>
      </c>
      <c r="D14">
        <v>131</v>
      </c>
      <c r="E14" s="24">
        <v>0.1</v>
      </c>
      <c r="F14">
        <v>1</v>
      </c>
      <c r="G14">
        <v>131</v>
      </c>
      <c r="H14" s="24">
        <v>0.1</v>
      </c>
      <c r="I14">
        <v>1</v>
      </c>
      <c r="J14" s="174">
        <v>131</v>
      </c>
    </row>
    <row r="15" spans="1:28" x14ac:dyDescent="0.2">
      <c r="A15" s="24" t="s">
        <v>370</v>
      </c>
      <c r="B15" s="24">
        <v>0.1</v>
      </c>
      <c r="C15">
        <v>1</v>
      </c>
      <c r="D15">
        <v>131</v>
      </c>
      <c r="E15" s="24">
        <v>0.1</v>
      </c>
      <c r="F15">
        <v>1</v>
      </c>
      <c r="G15">
        <v>131</v>
      </c>
      <c r="H15" s="24">
        <v>0.1</v>
      </c>
      <c r="I15">
        <v>1</v>
      </c>
      <c r="J15" s="174">
        <v>131</v>
      </c>
    </row>
    <row r="16" spans="1:28" x14ac:dyDescent="0.2">
      <c r="A16" s="24" t="s">
        <v>350</v>
      </c>
      <c r="B16" s="24">
        <v>0.1</v>
      </c>
      <c r="C16">
        <v>1</v>
      </c>
      <c r="D16">
        <v>131</v>
      </c>
      <c r="E16" s="24">
        <v>0.1</v>
      </c>
      <c r="F16">
        <v>1</v>
      </c>
      <c r="G16">
        <v>131</v>
      </c>
      <c r="H16" s="24">
        <v>0.1</v>
      </c>
      <c r="I16">
        <v>1</v>
      </c>
      <c r="J16" s="174">
        <v>131</v>
      </c>
    </row>
    <row r="17" spans="1:10" x14ac:dyDescent="0.2">
      <c r="A17" s="24" t="s">
        <v>361</v>
      </c>
      <c r="B17" s="24">
        <v>0.1</v>
      </c>
      <c r="C17">
        <v>1</v>
      </c>
      <c r="D17">
        <v>131</v>
      </c>
      <c r="E17" s="24">
        <v>0.1</v>
      </c>
      <c r="F17">
        <v>1</v>
      </c>
      <c r="G17">
        <v>131</v>
      </c>
      <c r="H17" s="24">
        <v>0.1</v>
      </c>
      <c r="I17">
        <v>1</v>
      </c>
      <c r="J17" s="174">
        <v>131</v>
      </c>
    </row>
    <row r="18" spans="1:10" x14ac:dyDescent="0.2">
      <c r="A18" s="24" t="s">
        <v>358</v>
      </c>
      <c r="B18" s="24">
        <v>0.1</v>
      </c>
      <c r="C18">
        <v>1</v>
      </c>
      <c r="D18">
        <v>131</v>
      </c>
      <c r="E18" s="24">
        <v>0.1</v>
      </c>
      <c r="F18">
        <v>1</v>
      </c>
      <c r="G18">
        <v>131</v>
      </c>
      <c r="H18" s="24">
        <v>0.1</v>
      </c>
      <c r="I18">
        <v>1</v>
      </c>
      <c r="J18" s="174">
        <v>131</v>
      </c>
    </row>
    <row r="19" spans="1:10" x14ac:dyDescent="0.2">
      <c r="A19" s="24" t="s">
        <v>360</v>
      </c>
      <c r="B19" s="24">
        <v>0.1</v>
      </c>
      <c r="C19">
        <v>1</v>
      </c>
      <c r="D19">
        <v>131</v>
      </c>
      <c r="E19" s="24">
        <v>0.1</v>
      </c>
      <c r="F19">
        <v>1</v>
      </c>
      <c r="G19">
        <v>131</v>
      </c>
      <c r="H19" s="24">
        <v>0.1</v>
      </c>
      <c r="I19">
        <v>1</v>
      </c>
      <c r="J19" s="174">
        <v>131</v>
      </c>
    </row>
    <row r="20" spans="1:10" x14ac:dyDescent="0.2">
      <c r="A20" s="24" t="s">
        <v>364</v>
      </c>
      <c r="B20" s="24">
        <v>0.1</v>
      </c>
      <c r="C20">
        <v>1</v>
      </c>
      <c r="D20">
        <v>131</v>
      </c>
      <c r="E20" s="24">
        <v>0.1</v>
      </c>
      <c r="F20">
        <v>1</v>
      </c>
      <c r="G20">
        <v>131</v>
      </c>
      <c r="H20" s="24">
        <v>0.1</v>
      </c>
      <c r="I20">
        <v>1</v>
      </c>
      <c r="J20" s="174">
        <v>131</v>
      </c>
    </row>
    <row r="21" spans="1:10" x14ac:dyDescent="0.2">
      <c r="A21" s="24" t="s">
        <v>357</v>
      </c>
      <c r="B21" s="24">
        <v>0.1</v>
      </c>
      <c r="C21">
        <v>1</v>
      </c>
      <c r="D21">
        <v>131</v>
      </c>
      <c r="E21" s="24">
        <v>0.1</v>
      </c>
      <c r="F21">
        <v>1</v>
      </c>
      <c r="G21">
        <v>131</v>
      </c>
      <c r="H21" s="24">
        <v>0.1</v>
      </c>
      <c r="I21">
        <v>1</v>
      </c>
      <c r="J21" s="174">
        <v>131</v>
      </c>
    </row>
    <row r="22" spans="1:10" x14ac:dyDescent="0.2">
      <c r="A22" s="24" t="s">
        <v>371</v>
      </c>
      <c r="B22" s="24">
        <v>0.1</v>
      </c>
      <c r="C22">
        <v>1</v>
      </c>
      <c r="D22">
        <v>131</v>
      </c>
      <c r="E22" s="24">
        <v>0.1</v>
      </c>
      <c r="F22">
        <v>1</v>
      </c>
      <c r="G22">
        <v>131</v>
      </c>
      <c r="H22" s="24">
        <v>0.1</v>
      </c>
      <c r="I22">
        <v>1</v>
      </c>
      <c r="J22" s="174">
        <v>131</v>
      </c>
    </row>
    <row r="23" spans="1:10" x14ac:dyDescent="0.2">
      <c r="A23" s="24" t="s">
        <v>351</v>
      </c>
      <c r="B23" s="24">
        <v>0.1</v>
      </c>
      <c r="C23">
        <v>1</v>
      </c>
      <c r="D23">
        <v>131</v>
      </c>
      <c r="E23" s="24">
        <v>0.1</v>
      </c>
      <c r="F23">
        <v>1</v>
      </c>
      <c r="G23">
        <v>131</v>
      </c>
      <c r="H23" s="24">
        <v>0.1</v>
      </c>
      <c r="I23">
        <v>1</v>
      </c>
      <c r="J23" s="174">
        <v>131</v>
      </c>
    </row>
    <row r="24" spans="1:10" x14ac:dyDescent="0.2">
      <c r="A24" s="24" t="s">
        <v>362</v>
      </c>
      <c r="B24" s="24">
        <v>0.1</v>
      </c>
      <c r="C24">
        <v>1</v>
      </c>
      <c r="D24">
        <v>131</v>
      </c>
      <c r="E24" s="24">
        <v>0.1</v>
      </c>
      <c r="F24">
        <v>1</v>
      </c>
      <c r="G24">
        <v>131</v>
      </c>
      <c r="H24" s="24">
        <v>0.1</v>
      </c>
      <c r="I24">
        <v>1</v>
      </c>
      <c r="J24" s="174">
        <v>131</v>
      </c>
    </row>
    <row r="25" spans="1:10" x14ac:dyDescent="0.2">
      <c r="A25" s="24" t="s">
        <v>359</v>
      </c>
      <c r="B25" s="24">
        <v>0.1</v>
      </c>
      <c r="C25">
        <v>1</v>
      </c>
      <c r="D25">
        <v>131</v>
      </c>
      <c r="E25" s="24">
        <v>0.1</v>
      </c>
      <c r="F25">
        <v>1</v>
      </c>
      <c r="G25">
        <v>131</v>
      </c>
      <c r="H25" s="24">
        <v>0.1</v>
      </c>
      <c r="I25">
        <v>1</v>
      </c>
      <c r="J25" s="174">
        <v>131</v>
      </c>
    </row>
    <row r="26" spans="1:10" x14ac:dyDescent="0.2">
      <c r="A26" s="24" t="s">
        <v>353</v>
      </c>
      <c r="B26" s="24">
        <v>0.1</v>
      </c>
      <c r="C26">
        <v>1</v>
      </c>
      <c r="D26">
        <v>131</v>
      </c>
      <c r="E26" s="24">
        <v>0.1</v>
      </c>
      <c r="F26">
        <v>1</v>
      </c>
      <c r="G26">
        <v>131</v>
      </c>
      <c r="H26" s="24">
        <v>0.1</v>
      </c>
      <c r="I26">
        <v>1</v>
      </c>
      <c r="J26" s="174">
        <v>131</v>
      </c>
    </row>
    <row r="27" spans="1:10" x14ac:dyDescent="0.2">
      <c r="A27" s="24" t="s">
        <v>365</v>
      </c>
      <c r="B27" s="24">
        <v>0.1</v>
      </c>
      <c r="C27">
        <v>1</v>
      </c>
      <c r="D27">
        <v>131</v>
      </c>
      <c r="E27" s="24">
        <v>0.1</v>
      </c>
      <c r="F27">
        <v>1</v>
      </c>
      <c r="G27">
        <v>131</v>
      </c>
      <c r="H27" s="24">
        <v>0.1</v>
      </c>
      <c r="I27">
        <v>1</v>
      </c>
      <c r="J27" s="174">
        <v>131</v>
      </c>
    </row>
    <row r="28" spans="1:10" x14ac:dyDescent="0.2">
      <c r="A28" s="24" t="s">
        <v>367</v>
      </c>
      <c r="B28" s="24">
        <v>0.1</v>
      </c>
      <c r="C28">
        <v>0</v>
      </c>
      <c r="D28">
        <v>131</v>
      </c>
      <c r="E28" s="24">
        <v>0.1</v>
      </c>
      <c r="F28">
        <v>0</v>
      </c>
      <c r="G28">
        <v>131</v>
      </c>
      <c r="H28" s="24">
        <v>0.1</v>
      </c>
      <c r="I28">
        <v>0</v>
      </c>
      <c r="J28" s="174">
        <v>131</v>
      </c>
    </row>
    <row r="29" spans="1:10" x14ac:dyDescent="0.2">
      <c r="A29" s="24" t="s">
        <v>2646</v>
      </c>
      <c r="B29" s="24">
        <v>40</v>
      </c>
      <c r="C29">
        <v>5</v>
      </c>
      <c r="D29">
        <v>290</v>
      </c>
      <c r="E29" s="24">
        <v>40</v>
      </c>
      <c r="F29">
        <v>5</v>
      </c>
      <c r="G29">
        <v>290</v>
      </c>
      <c r="H29" s="24">
        <v>40</v>
      </c>
      <c r="I29">
        <v>5</v>
      </c>
      <c r="J29" s="174">
        <v>290</v>
      </c>
    </row>
    <row r="30" spans="1:10" x14ac:dyDescent="0.2">
      <c r="A30" s="24" t="s">
        <v>2652</v>
      </c>
      <c r="B30" s="24">
        <v>1</v>
      </c>
      <c r="C30">
        <v>1</v>
      </c>
      <c r="D30">
        <v>131</v>
      </c>
      <c r="E30" s="24">
        <v>1</v>
      </c>
      <c r="F30">
        <v>1</v>
      </c>
      <c r="G30">
        <v>131</v>
      </c>
      <c r="H30" s="24">
        <v>1</v>
      </c>
      <c r="I30">
        <v>1</v>
      </c>
      <c r="J30" s="174">
        <v>131</v>
      </c>
    </row>
    <row r="31" spans="1:10" x14ac:dyDescent="0.2">
      <c r="A31" s="24" t="s">
        <v>2657</v>
      </c>
      <c r="B31" s="24">
        <v>1</v>
      </c>
      <c r="C31">
        <v>1</v>
      </c>
      <c r="D31">
        <v>131</v>
      </c>
      <c r="E31" s="24">
        <v>1</v>
      </c>
      <c r="F31">
        <v>1</v>
      </c>
      <c r="G31">
        <v>131</v>
      </c>
      <c r="H31" s="24">
        <v>1</v>
      </c>
      <c r="I31">
        <v>1</v>
      </c>
      <c r="J31" s="174">
        <v>131</v>
      </c>
    </row>
    <row r="32" spans="1:10" x14ac:dyDescent="0.2">
      <c r="A32" s="24" t="s">
        <v>2661</v>
      </c>
      <c r="B32" s="24">
        <v>1</v>
      </c>
      <c r="C32">
        <v>1</v>
      </c>
      <c r="D32">
        <v>131</v>
      </c>
      <c r="E32" s="24">
        <v>1</v>
      </c>
      <c r="F32">
        <v>1</v>
      </c>
      <c r="G32">
        <v>131</v>
      </c>
      <c r="H32" s="24">
        <v>1</v>
      </c>
      <c r="I32">
        <v>1</v>
      </c>
      <c r="J32" s="174">
        <v>131</v>
      </c>
    </row>
    <row r="33" spans="1:10" x14ac:dyDescent="0.2">
      <c r="A33" s="24" t="s">
        <v>2665</v>
      </c>
      <c r="B33" s="24">
        <v>1</v>
      </c>
      <c r="C33">
        <v>1</v>
      </c>
      <c r="D33">
        <v>131</v>
      </c>
      <c r="E33" s="24">
        <v>1</v>
      </c>
      <c r="F33">
        <v>1</v>
      </c>
      <c r="G33">
        <v>131</v>
      </c>
      <c r="H33" s="24">
        <v>1</v>
      </c>
      <c r="I33">
        <v>1</v>
      </c>
      <c r="J33" s="174">
        <v>131</v>
      </c>
    </row>
    <row r="34" spans="1:10" x14ac:dyDescent="0.2">
      <c r="A34" s="24" t="s">
        <v>2669</v>
      </c>
      <c r="B34" s="24">
        <v>1</v>
      </c>
      <c r="C34">
        <v>1</v>
      </c>
      <c r="D34">
        <v>131</v>
      </c>
      <c r="E34" s="24">
        <v>1</v>
      </c>
      <c r="F34">
        <v>1</v>
      </c>
      <c r="G34">
        <v>131</v>
      </c>
      <c r="H34" s="24">
        <v>1</v>
      </c>
      <c r="I34">
        <v>1</v>
      </c>
      <c r="J34" s="174">
        <v>131</v>
      </c>
    </row>
    <row r="35" spans="1:10" x14ac:dyDescent="0.2">
      <c r="A35" s="24" t="s">
        <v>2673</v>
      </c>
      <c r="B35" s="24">
        <v>1</v>
      </c>
      <c r="C35">
        <v>1</v>
      </c>
      <c r="D35">
        <v>131</v>
      </c>
      <c r="E35" s="24">
        <v>1</v>
      </c>
      <c r="F35">
        <v>1</v>
      </c>
      <c r="G35">
        <v>131</v>
      </c>
      <c r="H35" s="24">
        <v>1</v>
      </c>
      <c r="I35">
        <v>1</v>
      </c>
      <c r="J35" s="174">
        <v>131</v>
      </c>
    </row>
    <row r="36" spans="1:10" x14ac:dyDescent="0.2">
      <c r="A36" s="24" t="s">
        <v>2677</v>
      </c>
      <c r="B36" s="24">
        <v>1</v>
      </c>
      <c r="C36">
        <v>1</v>
      </c>
      <c r="D36">
        <v>131</v>
      </c>
      <c r="E36" s="24">
        <v>1</v>
      </c>
      <c r="F36">
        <v>1</v>
      </c>
      <c r="G36">
        <v>131</v>
      </c>
      <c r="H36" s="24">
        <v>1</v>
      </c>
      <c r="I36">
        <v>1</v>
      </c>
      <c r="J36" s="174">
        <v>131</v>
      </c>
    </row>
    <row r="37" spans="1:10" x14ac:dyDescent="0.2">
      <c r="A37" s="24" t="s">
        <v>2685</v>
      </c>
      <c r="B37" s="24">
        <v>0.01</v>
      </c>
      <c r="C37">
        <v>1</v>
      </c>
      <c r="D37">
        <v>58</v>
      </c>
      <c r="E37" s="24">
        <v>0.01</v>
      </c>
      <c r="F37">
        <v>1</v>
      </c>
      <c r="G37">
        <v>58</v>
      </c>
      <c r="H37" s="24">
        <v>0.01</v>
      </c>
      <c r="I37">
        <v>1</v>
      </c>
      <c r="J37" s="174">
        <v>58</v>
      </c>
    </row>
    <row r="38" spans="1:10" x14ac:dyDescent="0.2">
      <c r="A38" s="24" t="s">
        <v>2690</v>
      </c>
      <c r="B38" s="24">
        <v>0.01</v>
      </c>
      <c r="C38">
        <v>1</v>
      </c>
      <c r="D38">
        <v>58</v>
      </c>
      <c r="E38" s="24">
        <v>0.01</v>
      </c>
      <c r="F38">
        <v>1</v>
      </c>
      <c r="G38">
        <v>58</v>
      </c>
      <c r="H38" s="24">
        <v>0.01</v>
      </c>
      <c r="I38">
        <v>1</v>
      </c>
      <c r="J38" s="174">
        <v>58</v>
      </c>
    </row>
    <row r="39" spans="1:10" x14ac:dyDescent="0.2">
      <c r="A39" s="24" t="s">
        <v>2694</v>
      </c>
      <c r="B39" s="24">
        <v>0.01</v>
      </c>
      <c r="C39">
        <v>1</v>
      </c>
      <c r="D39">
        <v>58</v>
      </c>
      <c r="E39" s="24">
        <v>0.01</v>
      </c>
      <c r="F39">
        <v>1</v>
      </c>
      <c r="G39">
        <v>58</v>
      </c>
      <c r="H39" s="24">
        <v>0.01</v>
      </c>
      <c r="I39">
        <v>1</v>
      </c>
      <c r="J39" s="174">
        <v>58</v>
      </c>
    </row>
    <row r="40" spans="1:10" x14ac:dyDescent="0.2">
      <c r="A40" s="24" t="s">
        <v>2698</v>
      </c>
      <c r="B40" s="24">
        <v>0.01</v>
      </c>
      <c r="C40">
        <v>1</v>
      </c>
      <c r="D40">
        <v>58</v>
      </c>
      <c r="E40" s="24">
        <v>0.01</v>
      </c>
      <c r="F40">
        <v>1</v>
      </c>
      <c r="G40">
        <v>58</v>
      </c>
      <c r="H40" s="24">
        <v>0.01</v>
      </c>
      <c r="I40">
        <v>1</v>
      </c>
      <c r="J40" s="174">
        <v>58</v>
      </c>
    </row>
    <row r="41" spans="1:10" x14ac:dyDescent="0.2">
      <c r="A41" s="24" t="s">
        <v>2702</v>
      </c>
      <c r="B41" s="24">
        <v>0.01</v>
      </c>
      <c r="C41">
        <v>1</v>
      </c>
      <c r="D41">
        <v>58</v>
      </c>
      <c r="E41" s="24">
        <v>0.01</v>
      </c>
      <c r="F41">
        <v>1</v>
      </c>
      <c r="G41">
        <v>58</v>
      </c>
      <c r="H41" s="24">
        <v>0.01</v>
      </c>
      <c r="I41">
        <v>1</v>
      </c>
      <c r="J41" s="174">
        <v>58</v>
      </c>
    </row>
    <row r="42" spans="1:10" x14ac:dyDescent="0.2">
      <c r="A42" s="24" t="s">
        <v>2706</v>
      </c>
      <c r="B42" s="24">
        <v>0.01</v>
      </c>
      <c r="C42">
        <v>1</v>
      </c>
      <c r="D42">
        <v>58</v>
      </c>
      <c r="E42" s="24">
        <v>0.01</v>
      </c>
      <c r="F42">
        <v>1</v>
      </c>
      <c r="G42">
        <v>58</v>
      </c>
      <c r="H42" s="24">
        <v>0.01</v>
      </c>
      <c r="I42">
        <v>1</v>
      </c>
      <c r="J42" s="174">
        <v>58</v>
      </c>
    </row>
    <row r="43" spans="1:10" x14ac:dyDescent="0.2">
      <c r="A43" s="24" t="s">
        <v>2710</v>
      </c>
      <c r="B43" s="24">
        <v>0.01</v>
      </c>
      <c r="C43">
        <v>1</v>
      </c>
      <c r="D43">
        <v>58</v>
      </c>
      <c r="E43" s="24">
        <v>0.01</v>
      </c>
      <c r="F43">
        <v>1</v>
      </c>
      <c r="G43">
        <v>58</v>
      </c>
      <c r="H43" s="24">
        <v>0.01</v>
      </c>
      <c r="I43">
        <v>1</v>
      </c>
      <c r="J43" s="174">
        <v>58</v>
      </c>
    </row>
    <row r="44" spans="1:10" x14ac:dyDescent="0.2">
      <c r="A44" s="24" t="s">
        <v>2714</v>
      </c>
      <c r="B44" s="24">
        <v>0.01</v>
      </c>
      <c r="C44">
        <v>1</v>
      </c>
      <c r="D44">
        <v>58</v>
      </c>
      <c r="E44" s="24">
        <v>0.01</v>
      </c>
      <c r="F44">
        <v>1</v>
      </c>
      <c r="G44">
        <v>58</v>
      </c>
      <c r="H44" s="24">
        <v>0.01</v>
      </c>
      <c r="I44">
        <v>1</v>
      </c>
      <c r="J44" s="174">
        <v>58</v>
      </c>
    </row>
    <row r="45" spans="1:10" x14ac:dyDescent="0.2">
      <c r="A45" s="24" t="s">
        <v>2718</v>
      </c>
      <c r="B45" s="24">
        <v>0.01</v>
      </c>
      <c r="C45">
        <v>1</v>
      </c>
      <c r="D45">
        <v>58</v>
      </c>
      <c r="E45" s="24">
        <v>0.01</v>
      </c>
      <c r="F45">
        <v>1</v>
      </c>
      <c r="G45">
        <v>58</v>
      </c>
      <c r="H45" s="24">
        <v>0.01</v>
      </c>
      <c r="I45">
        <v>1</v>
      </c>
      <c r="J45" s="174">
        <v>58</v>
      </c>
    </row>
    <row r="46" spans="1:10" x14ac:dyDescent="0.2">
      <c r="A46" s="24" t="s">
        <v>2722</v>
      </c>
      <c r="B46" s="24">
        <v>0.01</v>
      </c>
      <c r="C46">
        <v>1</v>
      </c>
      <c r="D46">
        <v>58</v>
      </c>
      <c r="E46" s="24">
        <v>0.01</v>
      </c>
      <c r="F46">
        <v>1</v>
      </c>
      <c r="G46">
        <v>58</v>
      </c>
      <c r="H46" s="24">
        <v>0.01</v>
      </c>
      <c r="I46">
        <v>1</v>
      </c>
      <c r="J46" s="174">
        <v>58</v>
      </c>
    </row>
    <row r="47" spans="1:10" x14ac:dyDescent="0.2">
      <c r="A47" s="24" t="s">
        <v>2736</v>
      </c>
      <c r="B47" s="24">
        <v>4.9000000000000004</v>
      </c>
      <c r="C47">
        <v>0</v>
      </c>
      <c r="D47">
        <v>131</v>
      </c>
      <c r="E47" s="24">
        <v>4.9000000000000004</v>
      </c>
      <c r="F47">
        <v>0</v>
      </c>
      <c r="G47">
        <v>131</v>
      </c>
      <c r="H47" s="24">
        <v>4.9000000000000004</v>
      </c>
      <c r="I47">
        <v>0</v>
      </c>
      <c r="J47" s="174">
        <v>131</v>
      </c>
    </row>
    <row r="48" spans="1:10" x14ac:dyDescent="0.2">
      <c r="A48" s="24" t="s">
        <v>2741</v>
      </c>
      <c r="B48" s="24">
        <v>7.0000000000000007E-2</v>
      </c>
      <c r="C48">
        <v>0</v>
      </c>
      <c r="D48">
        <v>58</v>
      </c>
      <c r="E48" s="24">
        <v>7.0000000000000007E-2</v>
      </c>
      <c r="F48">
        <v>0</v>
      </c>
      <c r="G48">
        <v>58</v>
      </c>
      <c r="H48" s="24">
        <v>7.0000000000000007E-2</v>
      </c>
      <c r="I48">
        <v>0</v>
      </c>
      <c r="J48" s="174">
        <v>58</v>
      </c>
    </row>
    <row r="49" spans="1:10" x14ac:dyDescent="0.2">
      <c r="A49" s="24" t="s">
        <v>2746</v>
      </c>
      <c r="B49" s="24">
        <v>20</v>
      </c>
      <c r="C49">
        <v>1</v>
      </c>
      <c r="D49">
        <v>58</v>
      </c>
      <c r="E49" s="24">
        <v>20</v>
      </c>
      <c r="F49">
        <v>1</v>
      </c>
      <c r="G49">
        <v>58</v>
      </c>
      <c r="H49" s="24">
        <v>20</v>
      </c>
      <c r="I49">
        <v>1</v>
      </c>
      <c r="J49" s="174">
        <v>58</v>
      </c>
    </row>
    <row r="50" spans="1:10" x14ac:dyDescent="0.2">
      <c r="A50" s="24" t="s">
        <v>2750</v>
      </c>
      <c r="B50" s="24">
        <v>20</v>
      </c>
      <c r="C50">
        <v>1</v>
      </c>
      <c r="D50">
        <v>58</v>
      </c>
      <c r="E50" s="24">
        <v>21</v>
      </c>
      <c r="F50">
        <v>0</v>
      </c>
      <c r="G50">
        <v>58</v>
      </c>
      <c r="H50" s="24">
        <v>20</v>
      </c>
      <c r="I50">
        <v>0</v>
      </c>
      <c r="J50" s="174">
        <v>58</v>
      </c>
    </row>
    <row r="51" spans="1:10" x14ac:dyDescent="0.2">
      <c r="A51" s="24" t="s">
        <v>2755</v>
      </c>
      <c r="B51" s="24">
        <v>4</v>
      </c>
      <c r="C51">
        <v>1</v>
      </c>
      <c r="D51">
        <v>58</v>
      </c>
      <c r="E51" s="24">
        <v>4.4000000000000004</v>
      </c>
      <c r="F51">
        <v>0</v>
      </c>
      <c r="G51">
        <v>58</v>
      </c>
      <c r="H51" s="24">
        <v>5</v>
      </c>
      <c r="I51">
        <v>0</v>
      </c>
      <c r="J51" s="174">
        <v>58</v>
      </c>
    </row>
    <row r="52" spans="1:10" x14ac:dyDescent="0.2">
      <c r="A52" s="24" t="s">
        <v>2760</v>
      </c>
      <c r="B52" s="24">
        <v>0.2</v>
      </c>
      <c r="C52">
        <v>1</v>
      </c>
      <c r="D52">
        <v>58</v>
      </c>
      <c r="E52" s="24">
        <v>0.2</v>
      </c>
      <c r="F52">
        <v>1</v>
      </c>
      <c r="G52">
        <v>58</v>
      </c>
      <c r="H52" s="24">
        <v>0.2</v>
      </c>
      <c r="I52">
        <v>1</v>
      </c>
      <c r="J52" s="174">
        <v>58</v>
      </c>
    </row>
    <row r="53" spans="1:10" x14ac:dyDescent="0.2">
      <c r="A53" s="24" t="s">
        <v>2765</v>
      </c>
      <c r="B53" s="24">
        <v>3</v>
      </c>
      <c r="C53">
        <v>1</v>
      </c>
      <c r="D53">
        <v>58</v>
      </c>
      <c r="E53" s="24">
        <v>4.0999999999999996</v>
      </c>
      <c r="F53">
        <v>0</v>
      </c>
      <c r="G53">
        <v>58</v>
      </c>
      <c r="H53" s="24">
        <v>3.4</v>
      </c>
      <c r="I53">
        <v>0</v>
      </c>
      <c r="J53" s="174">
        <v>58</v>
      </c>
    </row>
    <row r="54" spans="1:10" x14ac:dyDescent="0.2">
      <c r="A54" s="24" t="s">
        <v>2770</v>
      </c>
      <c r="B54" s="24">
        <v>5</v>
      </c>
      <c r="C54">
        <v>1</v>
      </c>
      <c r="D54">
        <v>58</v>
      </c>
      <c r="E54" s="24">
        <v>5</v>
      </c>
      <c r="F54">
        <v>1</v>
      </c>
      <c r="G54">
        <v>58</v>
      </c>
      <c r="H54" s="24">
        <v>5</v>
      </c>
      <c r="I54">
        <v>1</v>
      </c>
      <c r="J54" s="174">
        <v>58</v>
      </c>
    </row>
    <row r="55" spans="1:10" x14ac:dyDescent="0.2">
      <c r="A55" s="24" t="s">
        <v>2775</v>
      </c>
      <c r="B55" s="24">
        <v>0.05</v>
      </c>
      <c r="C55">
        <v>1</v>
      </c>
      <c r="D55">
        <v>58</v>
      </c>
      <c r="E55" s="24">
        <v>0.05</v>
      </c>
      <c r="F55">
        <v>1</v>
      </c>
      <c r="G55">
        <v>58</v>
      </c>
      <c r="H55" s="24">
        <v>0.05</v>
      </c>
      <c r="I55">
        <v>1</v>
      </c>
      <c r="J55" s="174">
        <v>58</v>
      </c>
    </row>
    <row r="56" spans="1:10" x14ac:dyDescent="0.2">
      <c r="A56" s="24" t="s">
        <v>2780</v>
      </c>
      <c r="B56" s="24">
        <v>1.5</v>
      </c>
      <c r="C56">
        <v>1</v>
      </c>
      <c r="D56">
        <v>58</v>
      </c>
      <c r="E56" s="24">
        <v>1.5</v>
      </c>
      <c r="F56">
        <v>1</v>
      </c>
      <c r="G56">
        <v>58</v>
      </c>
      <c r="H56" s="24">
        <v>1.5</v>
      </c>
      <c r="I56">
        <v>1</v>
      </c>
      <c r="J56" s="174">
        <v>58</v>
      </c>
    </row>
    <row r="57" spans="1:10" x14ac:dyDescent="0.2">
      <c r="A57" s="24" t="s">
        <v>2785</v>
      </c>
      <c r="B57" s="24">
        <v>8</v>
      </c>
      <c r="C57">
        <v>0</v>
      </c>
      <c r="D57">
        <v>58</v>
      </c>
      <c r="E57" s="24">
        <v>13</v>
      </c>
      <c r="F57">
        <v>0</v>
      </c>
      <c r="G57">
        <v>58</v>
      </c>
      <c r="H57" s="24">
        <v>10</v>
      </c>
      <c r="I57">
        <v>0</v>
      </c>
      <c r="J57" s="174">
        <v>58</v>
      </c>
    </row>
    <row r="58" spans="1:10" x14ac:dyDescent="0.2">
      <c r="A58" s="24" t="s">
        <v>2790</v>
      </c>
      <c r="B58" s="24">
        <v>10</v>
      </c>
      <c r="C58">
        <v>1</v>
      </c>
      <c r="D58">
        <v>58</v>
      </c>
      <c r="E58" s="24">
        <v>10</v>
      </c>
      <c r="F58">
        <v>1</v>
      </c>
      <c r="G58">
        <v>58</v>
      </c>
      <c r="H58" s="24">
        <v>10</v>
      </c>
      <c r="I58">
        <v>1</v>
      </c>
      <c r="J58" s="174">
        <v>58</v>
      </c>
    </row>
    <row r="59" spans="1:10" x14ac:dyDescent="0.2">
      <c r="A59" s="25" t="s">
        <v>2810</v>
      </c>
      <c r="B59" s="25">
        <v>0.1</v>
      </c>
      <c r="C59" s="175">
        <v>1</v>
      </c>
      <c r="D59" s="175">
        <v>131</v>
      </c>
      <c r="E59" s="25">
        <v>0.1</v>
      </c>
      <c r="F59" s="175">
        <v>1</v>
      </c>
      <c r="G59" s="175">
        <v>131</v>
      </c>
      <c r="H59" s="25">
        <v>0.1</v>
      </c>
      <c r="I59" s="175">
        <v>1</v>
      </c>
      <c r="J59" s="176">
        <v>131</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4" t="s">
        <v>472</v>
      </c>
      <c r="I2" s="4" t="s">
        <v>938</v>
      </c>
      <c r="AD2" s="4" t="s">
        <v>939</v>
      </c>
      <c r="AO2" s="4" t="s">
        <v>133</v>
      </c>
      <c r="BA2" s="4" t="s">
        <v>139</v>
      </c>
    </row>
    <row r="3" spans="2:62" x14ac:dyDescent="0.2">
      <c r="B3" s="89">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4" t="s">
        <v>459</v>
      </c>
    </row>
    <row r="5" spans="2:62" x14ac:dyDescent="0.2">
      <c r="B5" s="89">
        <f>MATCH((HLOOKUP("/imsikb0101:featureMember/imsikb0101:LabAssignment/imsikb0101:analysisRequest/imsikb0101:SampleAnalysisRequest/imsikb0101:nameOnLabCertificate",B!A2:DK2,1,FALSE)),B!A2:DK2)</f>
        <v>49</v>
      </c>
      <c r="I5" s="4">
        <f ca="1">IF(ISNUMBER(SEARCH(" ",$G39,1)),SEARCH(" ",$G39,1),"")</f>
        <v>5</v>
      </c>
      <c r="J5" s="4">
        <f t="shared" ref="J5:AB7" ca="1" si="0">IF(ISNUMBER(SEARCH(" ",$G39,I5+1)),SEARCH(" ",$G39,I5+1),"")</f>
        <v>8</v>
      </c>
      <c r="K5" s="4">
        <f t="shared" ca="1" si="0"/>
        <v>18</v>
      </c>
      <c r="L5" s="4">
        <f t="shared" ca="1" si="0"/>
        <v>21</v>
      </c>
      <c r="M5" s="4" t="str">
        <f t="shared" ca="1" si="0"/>
        <v/>
      </c>
      <c r="N5" s="4" t="str">
        <f t="shared" ca="1" si="0"/>
        <v/>
      </c>
      <c r="O5" s="4" t="str">
        <f t="shared" ca="1" si="0"/>
        <v/>
      </c>
      <c r="P5" s="4" t="str">
        <f t="shared" ca="1" si="0"/>
        <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17</v>
      </c>
      <c r="AE5" s="4">
        <f ca="1">IF(ISNUMBER(K5),SEARCH(")",$G39,K5),"")</f>
        <v>30</v>
      </c>
      <c r="AF5" s="4" t="str">
        <f ca="1">IF(ISNUMBER(M5),SEARCH(")",$G39,M5),"")</f>
        <v/>
      </c>
      <c r="AG5" s="4" t="str">
        <f ca="1">IF(ISNUMBER(O5),SEARCH(")",$G39,O5),"")</f>
        <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6" t="str">
        <f ca="1">IF($E39="ja",IF(ISNUMBER(I5),MID($G39,I5+1,AD5-I5),""),IF(ISNUMBER(I5),MID($G39,AD5+1,AE5-AD5),""))</f>
        <v>04 (100-150)</v>
      </c>
      <c r="AP5" s="6" t="str">
        <f ca="1">IF($E39="ja",IF(ISNUMBER(K5),MID($G39,K5+1,AE5-K5),""),"")</f>
        <v>05 (100-150)</v>
      </c>
      <c r="AQ5" s="6" t="str">
        <f ca="1">IF($E39="ja",IF(ISNUMBER(M5),MID($G39,M5+1,AF5-M5),""),"")</f>
        <v/>
      </c>
      <c r="AR5" s="6" t="str">
        <f ca="1">IF($E39="ja",IF(ISNUMBER(O5),MID($G39,O5+1,AG5-O5),""),"")</f>
        <v/>
      </c>
      <c r="AS5" s="6" t="str">
        <f ca="1">IF($E39="ja",IF(ISNUMBER(Q5),MID($G39,Q5+1,AH5-Q5),""),"")</f>
        <v/>
      </c>
      <c r="AT5" s="6" t="str">
        <f ca="1">IF($E39="ja",IF(ISNUMBER(S5),MID($G39,S5+1,AI5-S5),""),"")</f>
        <v/>
      </c>
      <c r="AU5" s="6" t="str">
        <f ca="1">IF($E39="ja",IF(ISNUMBER(U5),MID($G39,U5+1,AJ5-U5),""),"")</f>
        <v/>
      </c>
      <c r="AV5" s="6" t="str">
        <f ca="1">IF($E39="ja",IF(ISNUMBER(W5),MID($G39,W5+1,AK5-W5),""),"")</f>
        <v/>
      </c>
      <c r="AW5" s="6" t="str">
        <f ca="1">IF($E39="ja",IF(ISNUMBER(Y5),MID($G39,Y5+1,AL5-Y5),""),"")</f>
        <v/>
      </c>
      <c r="AX5" s="6" t="str">
        <f ca="1">IF($E39="ja",IF(ISNUMBER(AA5),MID($G39,AA5+1,AM5-AA5),""),"")</f>
        <v/>
      </c>
      <c r="BA5" s="4" t="str">
        <f t="shared" ref="BA5:BJ7" ca="1" si="1">IF(AO17="","zz",CONCATENATE(AO17,"(",AO41,"-",AO65,")"))</f>
        <v>04 (1,00-1,50)</v>
      </c>
      <c r="BB5" s="4" t="str">
        <f t="shared" ca="1" si="1"/>
        <v>05 (1,00-1,50)</v>
      </c>
      <c r="BC5" s="4" t="str">
        <f t="shared" ca="1" si="1"/>
        <v>zz</v>
      </c>
      <c r="BD5" s="4" t="str">
        <f t="shared" ca="1" si="1"/>
        <v>zz</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33" t="s">
        <v>143</v>
      </c>
      <c r="I6" s="4">
        <f ca="1">IF(ISNUMBER(SEARCH(" ",$G40,1)),SEARCH(" ",$G40,1),"")</f>
        <v>5</v>
      </c>
      <c r="J6" s="4">
        <f t="shared" ca="1" si="0"/>
        <v>8</v>
      </c>
      <c r="K6" s="4">
        <f t="shared" ca="1" si="0"/>
        <v>18</v>
      </c>
      <c r="L6" s="4">
        <f t="shared" ca="1" si="0"/>
        <v>21</v>
      </c>
      <c r="M6" s="4" t="str">
        <f t="shared" ca="1" si="0"/>
        <v/>
      </c>
      <c r="N6" s="4" t="str">
        <f t="shared" ca="1" si="0"/>
        <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17</v>
      </c>
      <c r="AE6" s="4">
        <f ca="1">IF(ISNUMBER(K6),SEARCH(")",$G40,K6),"")</f>
        <v>30</v>
      </c>
      <c r="AF6" s="4" t="str">
        <f ca="1">IF(ISNUMBER(M6),SEARCH(")",$G40,M6),"")</f>
        <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6" t="str">
        <f t="shared" ref="AO6:AO7" ca="1" si="2">IF($E40="ja",IF(ISNUMBER(I6),MID($G40,I6+1,AD6-I6),""),IF(ISNUMBER(I6),MID($G40,AD6+1,AE6-AD6),""))</f>
        <v>04 (150-200)</v>
      </c>
      <c r="AP6" s="6" t="str">
        <f t="shared" ref="AP6:AP7" ca="1" si="3">IF($E40="ja",IF(ISNUMBER(K6),MID($G40,K6+1,AE6-K6),""),"")</f>
        <v>05 (150-200)</v>
      </c>
      <c r="AQ6" s="6" t="str">
        <f t="shared" ref="AQ6:AQ7" ca="1" si="4">IF($E40="ja",IF(ISNUMBER(M6),MID($G40,M6+1,AF6-M6),""),"")</f>
        <v/>
      </c>
      <c r="AR6" s="6" t="str">
        <f t="shared" ref="AR6:AR7" ca="1" si="5">IF($E40="ja",IF(ISNUMBER(O6),MID($G40,O6+1,AG6-O6),""),"")</f>
        <v/>
      </c>
      <c r="AS6" s="6" t="str">
        <f t="shared" ref="AS6:AS7" ca="1" si="6">IF($E40="ja",IF(ISNUMBER(Q6),MID($G40,Q6+1,AH6-Q6),""),"")</f>
        <v/>
      </c>
      <c r="AT6" s="6" t="str">
        <f t="shared" ref="AT6:AT7" ca="1" si="7">IF($E40="ja",IF(ISNUMBER(S6),MID($G40,S6+1,AI6-S6),""),"")</f>
        <v/>
      </c>
      <c r="AU6" s="6" t="str">
        <f t="shared" ref="AU6:AU7" ca="1" si="8">IF($E40="ja",IF(ISNUMBER(U6),MID($G40,U6+1,AJ6-U6),""),"")</f>
        <v/>
      </c>
      <c r="AV6" s="6" t="str">
        <f t="shared" ref="AV6:AV7" ca="1" si="9">IF($E40="ja",IF(ISNUMBER(W6),MID($G40,W6+1,AK6-W6),""),"")</f>
        <v/>
      </c>
      <c r="AW6" s="6" t="str">
        <f t="shared" ref="AW6:AW7" ca="1" si="10">IF($E40="ja",IF(ISNUMBER(Y6),MID($G40,Y6+1,AL6-Y6),""),"")</f>
        <v/>
      </c>
      <c r="AX6" s="6" t="str">
        <f t="shared" ref="AX6:AX7" ca="1" si="11">IF($E40="ja",IF(ISNUMBER(AA6),MID($G40,AA6+1,AM6-AA6),""),"")</f>
        <v/>
      </c>
      <c r="BA6" s="4" t="str">
        <f t="shared" ca="1" si="1"/>
        <v>04 (1,50-2,00)</v>
      </c>
      <c r="BB6" s="4" t="str">
        <f t="shared" ca="1" si="1"/>
        <v>05 (1,50-2,00)</v>
      </c>
      <c r="BC6" s="4" t="str">
        <f t="shared" ca="1" si="1"/>
        <v>zz</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89">
        <f>MATCH((HLOOKUP("/imsikb0101:featureMember/imsikb0101:LabAssignment/imsikb0101:analysisRequest/imsikb0101:SampleAnalysisRequest/imsikb0101:sample/@xlink:href",B!A2:DK2,1,FALSE)),B!A2:DK2)</f>
        <v>50</v>
      </c>
      <c r="I7" s="4">
        <f ca="1">IF(ISNUMBER(SEARCH(" ",$G41,1)),SEARCH(" ",$G41,1),"")</f>
        <v>5</v>
      </c>
      <c r="J7" s="4">
        <f t="shared" ca="1" si="0"/>
        <v>8</v>
      </c>
      <c r="K7" s="4">
        <f t="shared" ca="1" si="0"/>
        <v>18</v>
      </c>
      <c r="L7" s="4">
        <f t="shared" ca="1" si="0"/>
        <v>21</v>
      </c>
      <c r="M7" s="4">
        <f t="shared" ca="1" si="0"/>
        <v>31</v>
      </c>
      <c r="N7" s="4">
        <f t="shared" ca="1" si="0"/>
        <v>34</v>
      </c>
      <c r="O7" s="4">
        <f t="shared" ca="1" si="0"/>
        <v>44</v>
      </c>
      <c r="P7" s="4">
        <f t="shared" ca="1" si="0"/>
        <v>47</v>
      </c>
      <c r="Q7" s="4" t="str">
        <f t="shared" ca="1" si="0"/>
        <v/>
      </c>
      <c r="R7" s="4" t="str">
        <f t="shared" ca="1" si="0"/>
        <v/>
      </c>
      <c r="S7" s="4" t="str">
        <f t="shared" ca="1" si="0"/>
        <v/>
      </c>
      <c r="T7" s="4" t="str">
        <f t="shared" ca="1" si="0"/>
        <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f ca="1">IF(ISNUMBER(I7),SEARCH(")",$G41,I7),"")</f>
        <v>17</v>
      </c>
      <c r="AE7" s="4">
        <f ca="1">IF(ISNUMBER(K7),SEARCH(")",$G41,K7),"")</f>
        <v>30</v>
      </c>
      <c r="AF7" s="4">
        <f ca="1">IF(ISNUMBER(M7),SEARCH(")",$G41,M7),"")</f>
        <v>43</v>
      </c>
      <c r="AG7" s="4">
        <f ca="1">IF(ISNUMBER(O7),SEARCH(")",$G41,O7),"")</f>
        <v>56</v>
      </c>
      <c r="AH7" s="4" t="str">
        <f ca="1">IF(ISNUMBER(Q7),SEARCH(")",$G41,Q7),"")</f>
        <v/>
      </c>
      <c r="AI7" s="4" t="str">
        <f ca="1">IF(ISNUMBER(S7),SEARCH(")",$G41,S7),"")</f>
        <v/>
      </c>
      <c r="AJ7" s="4" t="str">
        <f ca="1">IF(ISNUMBER(U7),SEARCH(")",$G41,U7),"")</f>
        <v/>
      </c>
      <c r="AK7" s="4" t="str">
        <f ca="1">IF(ISNUMBER(W7),SEARCH(")",$G41,W7),"")</f>
        <v/>
      </c>
      <c r="AL7" s="4" t="str">
        <f ca="1">IF(ISNUMBER(Y7),SEARCH(")",$G41,Y7),"")</f>
        <v/>
      </c>
      <c r="AM7" s="4" t="str">
        <f ca="1">IF(ISNUMBER(AA7),SEARCH(")",$G41,AA7),"")</f>
        <v/>
      </c>
      <c r="AO7" s="6" t="str">
        <f t="shared" ca="1" si="2"/>
        <v>04 (200-250)</v>
      </c>
      <c r="AP7" s="6" t="str">
        <f t="shared" ca="1" si="3"/>
        <v>04 (250-300)</v>
      </c>
      <c r="AQ7" s="6" t="str">
        <f t="shared" ca="1" si="4"/>
        <v>05 (200-250)</v>
      </c>
      <c r="AR7" s="6" t="str">
        <f t="shared" ca="1" si="5"/>
        <v>05 (250-300)</v>
      </c>
      <c r="AS7" s="6" t="str">
        <f t="shared" ca="1" si="6"/>
        <v/>
      </c>
      <c r="AT7" s="6" t="str">
        <f t="shared" ca="1" si="7"/>
        <v/>
      </c>
      <c r="AU7" s="6" t="str">
        <f t="shared" ca="1" si="8"/>
        <v/>
      </c>
      <c r="AV7" s="6" t="str">
        <f t="shared" ca="1" si="9"/>
        <v/>
      </c>
      <c r="AW7" s="6" t="str">
        <f t="shared" ca="1" si="10"/>
        <v/>
      </c>
      <c r="AX7" s="6" t="str">
        <f t="shared" ca="1" si="11"/>
        <v/>
      </c>
      <c r="BA7" s="4" t="str">
        <f t="shared" ca="1" si="1"/>
        <v>04 (2,00-2,50)</v>
      </c>
      <c r="BB7" s="4" t="str">
        <f t="shared" ca="1" si="1"/>
        <v>04 (2,50-3,00)</v>
      </c>
      <c r="BC7" s="4" t="str">
        <f t="shared" ca="1" si="1"/>
        <v>05 (2,00-2,50)</v>
      </c>
      <c r="BD7" s="4" t="str">
        <f t="shared" ca="1" si="1"/>
        <v>05 (2,50-3,00)</v>
      </c>
      <c r="BE7" s="4" t="str">
        <f t="shared" ca="1" si="1"/>
        <v>zz</v>
      </c>
      <c r="BF7" s="4" t="str">
        <f t="shared" ca="1" si="1"/>
        <v>zz</v>
      </c>
      <c r="BG7" s="4" t="str">
        <f t="shared" ca="1" si="1"/>
        <v>zz</v>
      </c>
      <c r="BH7" s="4" t="str">
        <f t="shared" ca="1" si="1"/>
        <v>zz</v>
      </c>
      <c r="BI7" s="4" t="str">
        <f t="shared" ca="1" si="1"/>
        <v>zz</v>
      </c>
      <c r="BJ7" s="4" t="str">
        <f t="shared" ca="1" si="1"/>
        <v>zz</v>
      </c>
    </row>
    <row r="8" spans="2:62" x14ac:dyDescent="0.2">
      <c r="B8" s="4" t="s">
        <v>217</v>
      </c>
      <c r="C8" s="4" t="s">
        <v>218</v>
      </c>
      <c r="F8" s="6" t="s">
        <v>514</v>
      </c>
      <c r="G8" s="4" t="str">
        <f ca="1">MID(C9,3,2)</f>
        <v>25</v>
      </c>
      <c r="AO8" s="6"/>
      <c r="AP8" s="6"/>
      <c r="AQ8" s="6"/>
      <c r="AR8" s="6"/>
      <c r="AS8" s="6"/>
      <c r="AT8" s="6"/>
      <c r="AU8" s="6"/>
      <c r="AV8" s="6"/>
      <c r="AW8" s="6"/>
      <c r="AX8" s="6"/>
    </row>
    <row r="9" spans="2:62" x14ac:dyDescent="0.2">
      <c r="B9" s="89">
        <f>MATCH((HLOOKUP("/imsikb0101:featureMember/imsikb0101:Project/imsikb0101:projectCode",B!A2:DK2,1,FALSE)),B!A2:DK2)</f>
        <v>75</v>
      </c>
      <c r="C9" s="75" t="str">
        <f ca="1">OFFSET(B!A3,1,$B$9-1)</f>
        <v>T.25.13603</v>
      </c>
      <c r="F9" s="6" t="s">
        <v>515</v>
      </c>
      <c r="G9" s="4" t="str">
        <f ca="1">TEXT(ROUNDDOWN(MID(C9,6,5),-2),0)</f>
        <v>13600</v>
      </c>
      <c r="AO9" s="6"/>
      <c r="AP9" s="6"/>
      <c r="AQ9" s="6"/>
      <c r="AR9" s="6"/>
      <c r="AS9" s="6"/>
      <c r="AT9" s="6"/>
      <c r="AU9" s="6"/>
      <c r="AV9" s="6"/>
      <c r="AW9" s="6"/>
      <c r="AX9" s="6"/>
    </row>
    <row r="10" spans="2:62" x14ac:dyDescent="0.2">
      <c r="B10" s="4" t="s">
        <v>219</v>
      </c>
      <c r="C10" s="4" t="s">
        <v>220</v>
      </c>
      <c r="F10" s="6" t="s">
        <v>516</v>
      </c>
      <c r="G10" s="4" t="str">
        <f ca="1">C9</f>
        <v>T.25.13603</v>
      </c>
      <c r="AO10" s="6"/>
      <c r="AP10" s="6"/>
      <c r="AQ10" s="6"/>
      <c r="AR10" s="6"/>
      <c r="AS10" s="6"/>
      <c r="AT10" s="6"/>
      <c r="AU10" s="6"/>
      <c r="AV10" s="6"/>
      <c r="AW10" s="6"/>
      <c r="AX10" s="6"/>
      <c r="BA10" s="4" t="s">
        <v>155</v>
      </c>
    </row>
    <row r="11" spans="2:62" x14ac:dyDescent="0.2">
      <c r="B11" s="89">
        <f>MATCH((HLOOKUP("/imsikb0101:featureMember/imsikb0101:Project/imsikb0101:name",B!A2:DK2,1,FALSE)),B!A2:DK2)</f>
        <v>74</v>
      </c>
      <c r="C11" s="75" t="str">
        <f ca="1">OFFSET(B!A3,1,$B$11-1)</f>
        <v>GOH 09-27, HWA onder baan</v>
      </c>
      <c r="F11" s="6" t="s">
        <v>517</v>
      </c>
      <c r="G11" s="75" t="str">
        <f ca="1">IF(Invoer!S2=TRUE,_xlfn.CONCAT("T:\",G8,"\",G9,"\",G10),_xlfn.CONCAT("M:\",G8,"\",G9,"\",G10))</f>
        <v>T:\25\13600\T.25.13603</v>
      </c>
      <c r="AO11" s="6"/>
      <c r="AP11" s="6"/>
      <c r="AQ11" s="6"/>
      <c r="AR11" s="6"/>
      <c r="AS11" s="6"/>
      <c r="AT11" s="6"/>
      <c r="AU11" s="6"/>
      <c r="AV11" s="6"/>
      <c r="AW11" s="6"/>
      <c r="AX11" s="6"/>
    </row>
    <row r="12" spans="2:62" x14ac:dyDescent="0.2">
      <c r="B12" s="33" t="s">
        <v>751</v>
      </c>
      <c r="C12" s="4" t="s">
        <v>752</v>
      </c>
      <c r="F12" s="6" t="s">
        <v>753</v>
      </c>
      <c r="G12" s="90">
        <f ca="1">C13</f>
        <v>45810</v>
      </c>
      <c r="BA12" s="4" t="s">
        <v>156</v>
      </c>
      <c r="BD12" s="4" t="s">
        <v>157</v>
      </c>
      <c r="BG12" s="4" t="s">
        <v>158</v>
      </c>
    </row>
    <row r="13" spans="2:62" x14ac:dyDescent="0.2">
      <c r="B13" s="89">
        <f>MATCH((HLOOKUP("/imsikb0101:featureMember/imsikb0101:LabAssignment/imsikb0101:startTime",B!A2:DK2,1,FALSE)),B!A2:DK2)</f>
        <v>67</v>
      </c>
      <c r="C13" s="89">
        <f ca="1">OFFSET(B!A5,1,$B$13-1)</f>
        <v>45810</v>
      </c>
      <c r="F13" s="6"/>
      <c r="BA13" s="6" t="s">
        <v>159</v>
      </c>
      <c r="BB13" s="4" t="s">
        <v>161</v>
      </c>
      <c r="BC13" s="4" t="s">
        <v>160</v>
      </c>
      <c r="BD13" s="6" t="s">
        <v>159</v>
      </c>
      <c r="BE13" s="4" t="s">
        <v>161</v>
      </c>
      <c r="BF13" s="4" t="s">
        <v>160</v>
      </c>
      <c r="BG13" s="6" t="s">
        <v>159</v>
      </c>
      <c r="BH13" s="4" t="s">
        <v>161</v>
      </c>
      <c r="BI13" s="4" t="s">
        <v>160</v>
      </c>
    </row>
    <row r="14" spans="2:62" x14ac:dyDescent="0.2">
      <c r="AD14" s="4" t="s">
        <v>940</v>
      </c>
      <c r="AO14" s="4" t="s">
        <v>136</v>
      </c>
      <c r="BA14" s="4">
        <f t="shared" ref="BA14:BA23" ca="1" si="12">COUNTIF($BB$14:$BB$23,"&lt;="&amp;BB14)</f>
        <v>1</v>
      </c>
      <c r="BB14" s="4" t="str">
        <f ca="1">BA5</f>
        <v>04 (1,00-1,50)</v>
      </c>
      <c r="BC14" s="4" t="str">
        <f ca="1">IF(ISNA(VLOOKUP(ROW()-ROW($BA$13),$BA$14:$BB$23,2,FALSE))=TRUE,"zz",VLOOKUP(ROW()-ROW($BA$13),$BA$14:$BB$23,2,FALSE))</f>
        <v>04 (1,00-1,50)</v>
      </c>
      <c r="BD14" s="4">
        <f t="shared" ref="BD14:BD23" ca="1" si="13">COUNTIF($BE$14:$BE$23,"&lt;="&amp;BE14)</f>
        <v>1</v>
      </c>
      <c r="BE14" s="4" t="str">
        <f ca="1">BA6</f>
        <v>04 (1,50-2,00)</v>
      </c>
      <c r="BF14" s="4" t="str">
        <f ca="1">IF(ISNA(VLOOKUP(ROW()-ROW($BD$13),$BD$14:$BE$23,2,FALSE))=TRUE,"zz",VLOOKUP(ROW()-ROW($BD$13),$BD$14:$BE$23,2,FALSE))</f>
        <v>04 (1,50-2,00)</v>
      </c>
      <c r="BG14" s="4">
        <f t="shared" ref="BG14:BG23" ca="1" si="14">COUNTIF($BH$14:$BH$23,"&lt;="&amp;BH14)</f>
        <v>1</v>
      </c>
      <c r="BH14" s="4" t="str">
        <f ca="1">BA7</f>
        <v>04 (2,00-2,50)</v>
      </c>
      <c r="BI14" s="4" t="str">
        <f ca="1">IF(ISNA(VLOOKUP(ROW()-ROW($BG$13),$BG$14:$BH$23,2,FALSE))=TRUE,"zz",VLOOKUP(ROW()-ROW($BG$13),$BG$14:$BH$23,2,FALSE))</f>
        <v>04 (2,00-2,50)</v>
      </c>
    </row>
    <row r="15" spans="2:62" x14ac:dyDescent="0.2">
      <c r="H15" s="91"/>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4">
        <f t="shared" ca="1" si="12"/>
        <v>2</v>
      </c>
      <c r="BB15" s="4" t="str">
        <f ca="1">BB5</f>
        <v>05 (1,00-1,50)</v>
      </c>
      <c r="BC15" s="4" t="str">
        <f t="shared" ref="BC15:BC23" ca="1" si="15">IF(ISNA(VLOOKUP(ROW()-ROW($BA$13),$BA$14:$BB$23,2,FALSE))=TRUE,"zz",VLOOKUP(ROW()-ROW($BA$13),$BA$14:$BB$23,2,FALSE))</f>
        <v>05 (1,00-1,50)</v>
      </c>
      <c r="BD15" s="4">
        <f t="shared" ca="1" si="13"/>
        <v>2</v>
      </c>
      <c r="BE15" s="4" t="str">
        <f ca="1">BB6</f>
        <v>05 (1,50-2,00)</v>
      </c>
      <c r="BF15" s="4" t="str">
        <f t="shared" ref="BF15:BF23" ca="1" si="16">IF(ISNA(VLOOKUP(ROW()-ROW($BD$13),$BD$14:$BE$23,2,FALSE))=TRUE,"zz",VLOOKUP(ROW()-ROW($BD$13),$BD$14:$BE$23,2,FALSE))</f>
        <v>05 (1,50-2,00)</v>
      </c>
      <c r="BG15" s="4">
        <f t="shared" ca="1" si="14"/>
        <v>2</v>
      </c>
      <c r="BH15" s="4" t="str">
        <f ca="1">BB7</f>
        <v>04 (2,50-3,00)</v>
      </c>
      <c r="BI15" s="4" t="str">
        <f t="shared" ref="BI15:BI23" ca="1" si="17">IF(ISNA(VLOOKUP(ROW()-ROW($BG$13),$BG$14:$BH$23,2,FALSE))=TRUE,"zz",VLOOKUP(ROW()-ROW($BG$13),$BG$14:$BH$23,2,FALSE))</f>
        <v>04 (2,50-3,00)</v>
      </c>
    </row>
    <row r="16" spans="2:62" x14ac:dyDescent="0.2">
      <c r="B16" s="27" t="s">
        <v>460</v>
      </c>
      <c r="C16" s="4" t="s">
        <v>461</v>
      </c>
      <c r="BA16" s="4">
        <f t="shared" ca="1" si="12"/>
        <v>10</v>
      </c>
      <c r="BB16" s="4" t="str">
        <f ca="1">BC5</f>
        <v>zz</v>
      </c>
      <c r="BC16" s="4" t="str">
        <f t="shared" ca="1" si="15"/>
        <v>zz</v>
      </c>
      <c r="BD16" s="4">
        <f t="shared" ca="1" si="13"/>
        <v>10</v>
      </c>
      <c r="BE16" s="4" t="str">
        <f ca="1">BC6</f>
        <v>zz</v>
      </c>
      <c r="BF16" s="4" t="str">
        <f t="shared" ca="1" si="16"/>
        <v>zz</v>
      </c>
      <c r="BG16" s="4">
        <f t="shared" ca="1" si="14"/>
        <v>3</v>
      </c>
      <c r="BH16" s="4" t="str">
        <f ca="1">BC7</f>
        <v>05 (2,00-2,50)</v>
      </c>
      <c r="BI16" s="4" t="str">
        <f t="shared" ca="1" si="17"/>
        <v>05 (2,00-2,50)</v>
      </c>
    </row>
    <row r="17" spans="1:61" x14ac:dyDescent="0.2">
      <c r="A17" s="4" t="str">
        <f>INDEX(B!$A$2:$BW$8,C17,$B$5)</f>
        <v>MM04 04 (100-150) 05 (100-150)</v>
      </c>
      <c r="B17" s="75" t="str">
        <f>G!AP5</f>
        <v>MM04 04 (100-150) 05 (100-150)</v>
      </c>
      <c r="C17" s="4">
        <f>IF(B!$AW$6=B17,ROW(B!$AW$6)-1,IF(B!$AW$7=B17,ROW(B!$AW$7)-1,IF(B!$AW$8=B17,ROW(B!$AW$8)-1,"")))</f>
        <v>6</v>
      </c>
      <c r="D17" s="4" t="str">
        <f>IF(ISNUMBER(SEARCH(CHAR(10),$A17,1)),REPLACE($A17,SEARCH(CHAR(10),$A17,1),1," "),$A17)</f>
        <v>MM04 04 (100-150) 05 (100-150)</v>
      </c>
      <c r="AD17" s="4">
        <f ca="1">IF(ISNUMBER(I5),SEARCH("(",$G39,I5),"")</f>
        <v>9</v>
      </c>
      <c r="AE17" s="4">
        <f ca="1">IF(ISNUMBER(K5),SEARCH("(",$G39,K5),"")</f>
        <v>22</v>
      </c>
      <c r="AF17" s="4" t="str">
        <f ca="1">IF(ISNUMBER(M5),SEARCH("(",$G39,M5),"")</f>
        <v/>
      </c>
      <c r="AG17" s="4" t="str">
        <f ca="1">IF(ISNUMBER(O5),SEARCH("(",$G39,O5),"")</f>
        <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6" t="str">
        <f ca="1">IF($E39="ja",IF(ISNUMBER(I5),MID($G39,I5+1,J5-I5),""),IF(ISNUMBER(I5),MID($G39,J5+1,K5-J5),""))</f>
        <v xml:space="preserve">04 </v>
      </c>
      <c r="AP17" s="6" t="str">
        <f ca="1">IF($E39="ja",IF(ISNUMBER(K5),MID($G39,K5+1,L5-K5),""),"")</f>
        <v xml:space="preserve">05 </v>
      </c>
      <c r="AQ17" s="6" t="str">
        <f ca="1">IF($E39="ja",IF(ISNUMBER(M5),MID($G39,M5+1,N5-M5),""),"")</f>
        <v/>
      </c>
      <c r="AR17" s="6" t="str">
        <f ca="1">IF($E39="ja",IF(ISNUMBER(O5),MID($G39,O5+1,P5-O5),""),"")</f>
        <v/>
      </c>
      <c r="AS17" s="6" t="str">
        <f ca="1">IF($E39="ja",IF(ISNUMBER(Q5),MID($G39,Q5+1,R5-Q5),""),"")</f>
        <v/>
      </c>
      <c r="AT17" s="6" t="str">
        <f ca="1">IF($E39="ja",IF(ISNUMBER(S5),MID($G39,S5+1,T5-S5),""),"")</f>
        <v/>
      </c>
      <c r="AU17" s="6" t="str">
        <f ca="1">IF($E39="ja",IF(ISNUMBER(U5),MID($G39,U5+1,V5-U5),""),"")</f>
        <v/>
      </c>
      <c r="AV17" s="6" t="str">
        <f ca="1">IF($E39="ja",IF(ISNUMBER(W5),MID($G39,W5+1,X5-W5),""),"")</f>
        <v/>
      </c>
      <c r="AW17" s="6" t="str">
        <f ca="1">IF($E39="ja",IF(ISNUMBER(Y5),MID($G39,Y5+1,Z5-Y5),""),"")</f>
        <v/>
      </c>
      <c r="AX17" s="6" t="str">
        <f ca="1">IF($E39="ja",IF(ISNUMBER(AA5),MID($G39,AA5+1,AB5-AA5),""),"")</f>
        <v/>
      </c>
      <c r="BA17" s="4">
        <f t="shared" ca="1" si="12"/>
        <v>10</v>
      </c>
      <c r="BB17" s="4" t="str">
        <f ca="1">BD5</f>
        <v>zz</v>
      </c>
      <c r="BC17" s="4" t="str">
        <f t="shared" ca="1" si="15"/>
        <v>zz</v>
      </c>
      <c r="BD17" s="4">
        <f t="shared" ca="1" si="13"/>
        <v>10</v>
      </c>
      <c r="BE17" s="4" t="str">
        <f ca="1">BD6</f>
        <v>zz</v>
      </c>
      <c r="BF17" s="4" t="str">
        <f t="shared" ca="1" si="16"/>
        <v>zz</v>
      </c>
      <c r="BG17" s="4">
        <f t="shared" ca="1" si="14"/>
        <v>4</v>
      </c>
      <c r="BH17" s="4" t="str">
        <f ca="1">BD7</f>
        <v>05 (2,50-3,00)</v>
      </c>
      <c r="BI17" s="4" t="str">
        <f t="shared" ca="1" si="17"/>
        <v>05 (2,50-3,00)</v>
      </c>
    </row>
    <row r="18" spans="1:61" x14ac:dyDescent="0.2">
      <c r="A18" s="4" t="str">
        <f>INDEX(B!$A$2:$BW$8,C18,$B$5)</f>
        <v>MM05 04 (150-200) 05 (150-200)</v>
      </c>
      <c r="B18" s="75" t="str">
        <f>G!AV5</f>
        <v>MM05 04 (150-200) 05 (150-200)</v>
      </c>
      <c r="C18" s="4">
        <f>IF(B!$AW$6=B18,ROW(B!$AW$6)-1,IF(B!$AW$7=B18,ROW(B!$AW$7)-1,IF(B!$AW$8=B18,ROW(B!$AW$8)-1,"")))</f>
        <v>5</v>
      </c>
      <c r="D18" s="4" t="str">
        <f t="shared" ref="D18:D19" si="18">IF(ISNUMBER(SEARCH(CHAR(10),$A18,1)),REPLACE($A18,SEARCH(CHAR(10),$A18,1),1," "),$A18)</f>
        <v>MM05 04 (150-200) 05 (150-200)</v>
      </c>
      <c r="AD18" s="4">
        <f ca="1">IF(ISNUMBER(I6),SEARCH("(",$G40,I6),"")</f>
        <v>9</v>
      </c>
      <c r="AE18" s="4">
        <f ca="1">IF(ISNUMBER(K6),SEARCH("(",$G40,K6),"")</f>
        <v>22</v>
      </c>
      <c r="AF18" s="4" t="str">
        <f ca="1">IF(ISNUMBER(M6),SEARCH("(",$G40,M6),"")</f>
        <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6" t="str">
        <f t="shared" ref="AO18:AO19" ca="1" si="19">IF($E40="ja",IF(ISNUMBER(I6),MID($G40,I6+1,J6-I6),""),IF(ISNUMBER(I6),MID($G40,J6+1,K6-J6),""))</f>
        <v xml:space="preserve">04 </v>
      </c>
      <c r="AP18" s="6" t="str">
        <f t="shared" ref="AP18:AP19" ca="1" si="20">IF($E40="ja",IF(ISNUMBER(K6),MID($G40,K6+1,L6-K6),""),"")</f>
        <v xml:space="preserve">05 </v>
      </c>
      <c r="AQ18" s="6" t="str">
        <f t="shared" ref="AQ18:AQ19" ca="1" si="21">IF($E40="ja",IF(ISNUMBER(M6),MID($G40,M6+1,N6-M6),""),"")</f>
        <v/>
      </c>
      <c r="AR18" s="6" t="str">
        <f t="shared" ref="AR18:AR19" ca="1" si="22">IF($E40="ja",IF(ISNUMBER(O6),MID($G40,O6+1,P6-O6),""),"")</f>
        <v/>
      </c>
      <c r="AS18" s="6" t="str">
        <f t="shared" ref="AS18:AS19" ca="1" si="23">IF($E40="ja",IF(ISNUMBER(Q6),MID($G40,Q6+1,R6-Q6),""),"")</f>
        <v/>
      </c>
      <c r="AT18" s="6" t="str">
        <f t="shared" ref="AT18:AT19" ca="1" si="24">IF($E40="ja",IF(ISNUMBER(S6),MID($G40,S6+1,T6-S6),""),"")</f>
        <v/>
      </c>
      <c r="AU18" s="6" t="str">
        <f t="shared" ref="AU18:AU19" ca="1" si="25">IF($E40="ja",IF(ISNUMBER(U6),MID($G40,U6+1,V6-U6),""),"")</f>
        <v/>
      </c>
      <c r="AV18" s="6" t="str">
        <f t="shared" ref="AV18:AV19" ca="1" si="26">IF($E40="ja",IF(ISNUMBER(W6),MID($G40,W6+1,X6-W6),""),"")</f>
        <v/>
      </c>
      <c r="AW18" s="6" t="str">
        <f t="shared" ref="AW18:AW19" ca="1" si="27">IF($E40="ja",IF(ISNUMBER(Y6),MID($G40,Y6+1,Z6-Y6),""),"")</f>
        <v/>
      </c>
      <c r="AX18" s="6" t="str">
        <f t="shared" ref="AX18:AX19" ca="1" si="28">IF($E40="ja",IF(ISNUMBER(AA6),MID($G40,AA6+1,AB6-AA6),""),"")</f>
        <v/>
      </c>
      <c r="BA18" s="4">
        <f t="shared" ca="1" si="12"/>
        <v>10</v>
      </c>
      <c r="BB18" s="4" t="str">
        <f ca="1">BE5</f>
        <v>zz</v>
      </c>
      <c r="BC18" s="4" t="str">
        <f t="shared" ca="1" si="15"/>
        <v>zz</v>
      </c>
      <c r="BD18" s="4">
        <f t="shared" ca="1" si="13"/>
        <v>10</v>
      </c>
      <c r="BE18" s="4" t="str">
        <f ca="1">BE6</f>
        <v>zz</v>
      </c>
      <c r="BF18" s="4" t="str">
        <f t="shared" ca="1" si="16"/>
        <v>zz</v>
      </c>
      <c r="BG18" s="4">
        <f t="shared" ca="1" si="14"/>
        <v>10</v>
      </c>
      <c r="BH18" s="4" t="str">
        <f ca="1">BE7</f>
        <v>zz</v>
      </c>
      <c r="BI18" s="4" t="str">
        <f t="shared" ca="1" si="17"/>
        <v>zz</v>
      </c>
    </row>
    <row r="19" spans="1:61" x14ac:dyDescent="0.2">
      <c r="A19" s="4" t="str">
        <f>INDEX(B!$A$2:$BW$8,C19,$B$5)</f>
        <v>MM06 04 (200-250) 04 (250-300) 05 (200-250) 05 (250-300)</v>
      </c>
      <c r="B19" s="75" t="str">
        <f>G!BB5</f>
        <v>MM06 04 (200-250) 04 (250-300) 05 (200-250) 05 (250-300)</v>
      </c>
      <c r="C19" s="4">
        <f>IF(B!$AW$6=B19,ROW(B!$AW$6)-1,IF(B!$AW$7=B19,ROW(B!$AW$7)-1,IF(B!$AW$8=B19,ROW(B!$AW$8)-1,"")))</f>
        <v>7</v>
      </c>
      <c r="D19" s="4" t="str">
        <f t="shared" si="18"/>
        <v>MM06 04 (200-250) 04 (250-300) 05 (200-250) 05 (250-300)</v>
      </c>
      <c r="AD19" s="4">
        <f ca="1">IF(ISNUMBER(I7),SEARCH("(",$G41,I7),"")</f>
        <v>9</v>
      </c>
      <c r="AE19" s="4">
        <f ca="1">IF(ISNUMBER(K7),SEARCH("(",$G41,K7),"")</f>
        <v>22</v>
      </c>
      <c r="AF19" s="4">
        <f ca="1">IF(ISNUMBER(M7),SEARCH("(",$G41,M7),"")</f>
        <v>35</v>
      </c>
      <c r="AG19" s="4">
        <f ca="1">IF(ISNUMBER(O7),SEARCH("(",$G41,O7),"")</f>
        <v>48</v>
      </c>
      <c r="AH19" s="4" t="str">
        <f ca="1">IF(ISNUMBER(Q7),SEARCH("(",$G41,Q7),"")</f>
        <v/>
      </c>
      <c r="AI19" s="4" t="str">
        <f ca="1">IF(ISNUMBER(S7),SEARCH("(",$G41,S7),"")</f>
        <v/>
      </c>
      <c r="AJ19" s="4" t="str">
        <f ca="1">IF(ISNUMBER(U7),SEARCH("(",$G41,U7),"")</f>
        <v/>
      </c>
      <c r="AK19" s="4" t="str">
        <f ca="1">IF(ISNUMBER(W7),SEARCH("(",$G41,W7),"")</f>
        <v/>
      </c>
      <c r="AL19" s="4" t="str">
        <f ca="1">IF(ISNUMBER(Y7),SEARCH("(",$G41,Y7),"")</f>
        <v/>
      </c>
      <c r="AM19" s="4" t="str">
        <f ca="1">IF(ISNUMBER(AA7),SEARCH("(",$G41,AA7),"")</f>
        <v/>
      </c>
      <c r="AO19" s="6" t="str">
        <f t="shared" ca="1" si="19"/>
        <v xml:space="preserve">04 </v>
      </c>
      <c r="AP19" s="6" t="str">
        <f t="shared" ca="1" si="20"/>
        <v xml:space="preserve">04 </v>
      </c>
      <c r="AQ19" s="6" t="str">
        <f t="shared" ca="1" si="21"/>
        <v xml:space="preserve">05 </v>
      </c>
      <c r="AR19" s="6" t="str">
        <f t="shared" ca="1" si="22"/>
        <v xml:space="preserve">05 </v>
      </c>
      <c r="AS19" s="6" t="str">
        <f t="shared" ca="1" si="23"/>
        <v/>
      </c>
      <c r="AT19" s="6" t="str">
        <f t="shared" ca="1" si="24"/>
        <v/>
      </c>
      <c r="AU19" s="6" t="str">
        <f t="shared" ca="1" si="25"/>
        <v/>
      </c>
      <c r="AV19" s="6" t="str">
        <f t="shared" ca="1" si="26"/>
        <v/>
      </c>
      <c r="AW19" s="6" t="str">
        <f t="shared" ca="1" si="27"/>
        <v/>
      </c>
      <c r="AX19" s="6" t="str">
        <f t="shared" ca="1" si="28"/>
        <v/>
      </c>
      <c r="BA19" s="4">
        <f t="shared" ca="1" si="12"/>
        <v>10</v>
      </c>
      <c r="BB19" s="4" t="str">
        <f ca="1">BF5</f>
        <v>zz</v>
      </c>
      <c r="BC19" s="4" t="str">
        <f t="shared" ca="1" si="15"/>
        <v>zz</v>
      </c>
      <c r="BD19" s="4">
        <f t="shared" ca="1" si="13"/>
        <v>10</v>
      </c>
      <c r="BE19" s="4" t="str">
        <f ca="1">BF6</f>
        <v>zz</v>
      </c>
      <c r="BF19" s="4" t="str">
        <f t="shared" ca="1" si="16"/>
        <v>zz</v>
      </c>
      <c r="BG19" s="4">
        <f t="shared" ca="1" si="14"/>
        <v>10</v>
      </c>
      <c r="BH19" s="4" t="str">
        <f ca="1">BF7</f>
        <v>zz</v>
      </c>
      <c r="BI19" s="4" t="str">
        <f t="shared" ca="1" si="17"/>
        <v>zz</v>
      </c>
    </row>
    <row r="20" spans="1:61" x14ac:dyDescent="0.2">
      <c r="AO20" s="6"/>
      <c r="AP20" s="6"/>
      <c r="AQ20" s="6"/>
      <c r="AR20" s="6"/>
      <c r="AS20" s="6"/>
      <c r="AT20" s="6"/>
      <c r="AU20" s="6"/>
      <c r="AV20" s="6"/>
      <c r="AW20" s="6"/>
      <c r="AX20" s="6"/>
      <c r="BA20" s="4">
        <f t="shared" ca="1" si="12"/>
        <v>10</v>
      </c>
      <c r="BB20" s="4" t="str">
        <f ca="1">BG5</f>
        <v>zz</v>
      </c>
      <c r="BC20" s="4" t="str">
        <f t="shared" ca="1" si="15"/>
        <v>zz</v>
      </c>
      <c r="BD20" s="4">
        <f t="shared" ca="1" si="13"/>
        <v>10</v>
      </c>
      <c r="BE20" s="4" t="str">
        <f ca="1">BG6</f>
        <v>zz</v>
      </c>
      <c r="BF20" s="4" t="str">
        <f t="shared" ca="1" si="16"/>
        <v>zz</v>
      </c>
      <c r="BG20" s="4">
        <f t="shared" ca="1" si="14"/>
        <v>10</v>
      </c>
      <c r="BH20" s="4" t="str">
        <f ca="1">BG7</f>
        <v>zz</v>
      </c>
      <c r="BI20" s="4" t="str">
        <f t="shared" ca="1" si="17"/>
        <v>zz</v>
      </c>
    </row>
    <row r="21" spans="1:61" x14ac:dyDescent="0.2">
      <c r="AO21" s="6"/>
      <c r="AP21" s="6"/>
      <c r="AQ21" s="6"/>
      <c r="AR21" s="6"/>
      <c r="AS21" s="6"/>
      <c r="AT21" s="6"/>
      <c r="AU21" s="6"/>
      <c r="AV21" s="6"/>
      <c r="AW21" s="6"/>
      <c r="AX21" s="6"/>
      <c r="BA21" s="4">
        <f t="shared" ca="1" si="12"/>
        <v>10</v>
      </c>
      <c r="BB21" s="4" t="str">
        <f ca="1">BH5</f>
        <v>zz</v>
      </c>
      <c r="BC21" s="4" t="str">
        <f t="shared" ca="1" si="15"/>
        <v>zz</v>
      </c>
      <c r="BD21" s="4">
        <f t="shared" ca="1" si="13"/>
        <v>10</v>
      </c>
      <c r="BE21" s="4" t="str">
        <f ca="1">BH6</f>
        <v>zz</v>
      </c>
      <c r="BF21" s="4" t="str">
        <f t="shared" ca="1" si="16"/>
        <v>zz</v>
      </c>
      <c r="BG21" s="4">
        <f t="shared" ca="1" si="14"/>
        <v>10</v>
      </c>
      <c r="BH21" s="4" t="str">
        <f ca="1">BH7</f>
        <v>zz</v>
      </c>
      <c r="BI21" s="4" t="str">
        <f t="shared" ca="1" si="17"/>
        <v>zz</v>
      </c>
    </row>
    <row r="22" spans="1:61" x14ac:dyDescent="0.2">
      <c r="B22" s="27" t="s">
        <v>415</v>
      </c>
      <c r="C22" s="4" t="s">
        <v>373</v>
      </c>
      <c r="D22" s="4" t="s">
        <v>372</v>
      </c>
      <c r="E22" s="4" t="s">
        <v>376</v>
      </c>
      <c r="F22" s="4" t="s">
        <v>376</v>
      </c>
      <c r="AO22" s="6"/>
      <c r="AP22" s="6"/>
      <c r="AQ22" s="6"/>
      <c r="AR22" s="6"/>
      <c r="AS22" s="6"/>
      <c r="AT22" s="6"/>
      <c r="AU22" s="6"/>
      <c r="AV22" s="6"/>
      <c r="AW22" s="6"/>
      <c r="AX22" s="6"/>
      <c r="BA22" s="4">
        <f t="shared" ca="1" si="12"/>
        <v>10</v>
      </c>
      <c r="BB22" s="4" t="str">
        <f ca="1">BI5</f>
        <v>zz</v>
      </c>
      <c r="BC22" s="4" t="str">
        <f t="shared" ca="1" si="15"/>
        <v>zz</v>
      </c>
      <c r="BD22" s="4">
        <f t="shared" ca="1" si="13"/>
        <v>10</v>
      </c>
      <c r="BE22" s="4" t="str">
        <f ca="1">BI6</f>
        <v>zz</v>
      </c>
      <c r="BF22" s="4" t="str">
        <f t="shared" ca="1" si="16"/>
        <v>zz</v>
      </c>
      <c r="BG22" s="4">
        <f t="shared" ca="1" si="14"/>
        <v>10</v>
      </c>
      <c r="BH22" s="4" t="str">
        <f ca="1">BI7</f>
        <v>zz</v>
      </c>
      <c r="BI22" s="4" t="str">
        <f t="shared" ca="1" si="17"/>
        <v>zz</v>
      </c>
    </row>
    <row r="23" spans="1:61" x14ac:dyDescent="0.2">
      <c r="C23" s="4" t="s">
        <v>374</v>
      </c>
      <c r="D23" s="4" t="s">
        <v>375</v>
      </c>
      <c r="E23" s="4" t="s">
        <v>377</v>
      </c>
      <c r="F23" s="4" t="s">
        <v>378</v>
      </c>
      <c r="BA23" s="4">
        <f t="shared" ca="1" si="12"/>
        <v>10</v>
      </c>
      <c r="BB23" s="4" t="str">
        <f ca="1">BJ5</f>
        <v>zz</v>
      </c>
      <c r="BC23" s="4" t="str">
        <f t="shared" ca="1" si="15"/>
        <v>zz</v>
      </c>
      <c r="BD23" s="4">
        <f t="shared" ca="1" si="13"/>
        <v>10</v>
      </c>
      <c r="BE23" s="4" t="str">
        <f ca="1">BJ6</f>
        <v>zz</v>
      </c>
      <c r="BF23" s="4" t="str">
        <f t="shared" ca="1" si="16"/>
        <v>zz</v>
      </c>
      <c r="BG23" s="4">
        <f t="shared" ca="1" si="14"/>
        <v>10</v>
      </c>
      <c r="BH23" s="4" t="str">
        <f ca="1">BJ7</f>
        <v>zz</v>
      </c>
      <c r="BI23" s="4" t="str">
        <f t="shared" ca="1" si="17"/>
        <v>zz</v>
      </c>
    </row>
    <row r="24" spans="1:61" x14ac:dyDescent="0.2">
      <c r="B24" s="4" t="str">
        <f>D17</f>
        <v>MM04 04 (100-150) 05 (100-150)</v>
      </c>
      <c r="C24" s="4">
        <f>IF(ISNUMBER(SEARCH(" ",$B24,1)),SEARCH(" ",$B24,1),"")</f>
        <v>5</v>
      </c>
      <c r="D24" s="4" t="str">
        <f>MID(B24,1,C24-1)</f>
        <v>MM04</v>
      </c>
      <c r="E24" s="4" t="str">
        <f>IF(OR(B24="(leeg)",B24=0),"",MID(D24,1,(LEN(D24))))</f>
        <v>MM04</v>
      </c>
      <c r="F24" s="4" t="str">
        <f ca="1">IF($C$13&gt;=44498,B24,MID(B24,LEN(E24)+1,1000))</f>
        <v>MM04 04 (100-150) 05 (100-150)</v>
      </c>
    </row>
    <row r="25" spans="1:61" x14ac:dyDescent="0.2">
      <c r="B25" s="4" t="str">
        <f t="shared" ref="B25:B26" si="29">D18</f>
        <v>MM05 04 (150-200) 05 (150-200)</v>
      </c>
      <c r="C25" s="4">
        <f>IF(ISNUMBER(SEARCH(" ",$B25,1)),SEARCH(" ",$B25,1),"")</f>
        <v>5</v>
      </c>
      <c r="D25" s="4" t="str">
        <f>MID(B25,1,C25-1)</f>
        <v>MM05</v>
      </c>
      <c r="E25" s="4" t="str">
        <f t="shared" ref="E25:E26" si="30">IF(OR(B25="(leeg)",B25=0),"",MID(D25,1,(LEN(D25))))</f>
        <v>MM05</v>
      </c>
      <c r="F25" s="4" t="str">
        <f ca="1">IF($C$13&gt;=44498,B25,MID(B25,LEN(E25)+1,1000))</f>
        <v>MM05 04 (150-200) 05 (150-200)</v>
      </c>
    </row>
    <row r="26" spans="1:61" x14ac:dyDescent="0.2">
      <c r="B26" s="4" t="str">
        <f t="shared" si="29"/>
        <v>MM06 04 (200-250) 04 (250-300) 05 (200-250) 05 (250-300)</v>
      </c>
      <c r="C26" s="4">
        <f>IF(ISNUMBER(SEARCH(" ",$B26,1)),SEARCH(" ",$B26,1),"")</f>
        <v>5</v>
      </c>
      <c r="D26" s="4" t="str">
        <f>MID(B26,1,C26-1)</f>
        <v>MM06</v>
      </c>
      <c r="E26" s="4" t="str">
        <f t="shared" si="30"/>
        <v>MM06</v>
      </c>
      <c r="F26" s="4" t="str">
        <f ca="1">IF($C$13&gt;=44498,B26,MID(B26,LEN(E26)+1,1000))</f>
        <v>MM06 04 (200-250) 04 (250-300) 05 (200-250) 05 (250-300)</v>
      </c>
      <c r="AD26" s="4" t="s">
        <v>941</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27" t="s">
        <v>416</v>
      </c>
      <c r="C29" s="4" t="s">
        <v>373</v>
      </c>
      <c r="D29" s="4" t="s">
        <v>372</v>
      </c>
      <c r="E29" s="4" t="s">
        <v>376</v>
      </c>
      <c r="F29" s="4" t="s">
        <v>376</v>
      </c>
      <c r="AD29" s="4">
        <f ca="1">IF(ISNUMBER(I5),SEARCH("-",$G39,I5),"")</f>
        <v>13</v>
      </c>
      <c r="AE29" s="4">
        <f ca="1">IF(ISNUMBER(K5),SEARCH("-",$G39,K5),"")</f>
        <v>26</v>
      </c>
      <c r="AF29" s="4" t="str">
        <f ca="1">IF(ISNUMBER(M5),SEARCH("-",$G39,M5),"")</f>
        <v/>
      </c>
      <c r="AG29" s="4" t="str">
        <f ca="1">IF(ISNUMBER(O5),SEARCH("-",$G39,O5),"")</f>
        <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100</v>
      </c>
      <c r="AP29" s="4">
        <f ca="1">IF(ISNUMBER(K5),VALUE(MID($G39,AE17+1,AE29-AE17-1)),"")</f>
        <v>100</v>
      </c>
      <c r="AQ29" s="4" t="str">
        <f ca="1">IF(ISNUMBER(M5),VALUE(MID($G39,AF17+1,AF29-AF17-1)),"")</f>
        <v/>
      </c>
      <c r="AR29" s="4" t="str">
        <f ca="1">IF(ISNUMBER(O5),VALUE(MID($G39,AG17+1,AG29-AG17-1)),"")</f>
        <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374</v>
      </c>
      <c r="D30" s="4" t="s">
        <v>375</v>
      </c>
      <c r="E30" s="4" t="s">
        <v>377</v>
      </c>
      <c r="F30" s="4" t="s">
        <v>378</v>
      </c>
      <c r="AD30" s="4">
        <f ca="1">IF(ISNUMBER(I6),SEARCH("-",$G40,I6),"")</f>
        <v>13</v>
      </c>
      <c r="AE30" s="4">
        <f ca="1">IF(ISNUMBER(K6),SEARCH("-",$G40,K6),"")</f>
        <v>26</v>
      </c>
      <c r="AF30" s="4" t="str">
        <f ca="1">IF(ISNUMBER(M6),SEARCH("-",$G40,M6),"")</f>
        <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150</v>
      </c>
      <c r="AP30" s="4">
        <f ca="1">IF(ISNUMBER(K6),VALUE(MID($G40,AE18+1,AE30-AE18-1)),"")</f>
        <v>150</v>
      </c>
      <c r="AQ30" s="4" t="str">
        <f ca="1">IF(ISNUMBER(M6),VALUE(MID($G40,AF18+1,AF30-AF18-1)),"")</f>
        <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f ca="1">IF(ISNUMBER(I7),SEARCH("-",$G41,I7),"")</f>
        <v>13</v>
      </c>
      <c r="AE31" s="4">
        <f ca="1">IF(ISNUMBER(K7),SEARCH("-",$G41,K7),"")</f>
        <v>26</v>
      </c>
      <c r="AF31" s="4">
        <f ca="1">IF(ISNUMBER(M7),SEARCH("-",$G41,M7),"")</f>
        <v>39</v>
      </c>
      <c r="AG31" s="4">
        <f ca="1">IF(ISNUMBER(O7),SEARCH("-",$G41,O7),"")</f>
        <v>52</v>
      </c>
      <c r="AH31" s="4" t="str">
        <f ca="1">IF(ISNUMBER(Q7),SEARCH("-",$G41,Q7),"")</f>
        <v/>
      </c>
      <c r="AI31" s="4" t="str">
        <f ca="1">IF(ISNUMBER(S7),SEARCH("-",$G41,S7),"")</f>
        <v/>
      </c>
      <c r="AJ31" s="4" t="str">
        <f ca="1">IF(ISNUMBER(U7),SEARCH("-",$G41,U7),"")</f>
        <v/>
      </c>
      <c r="AK31" s="4" t="str">
        <f ca="1">IF(ISNUMBER(W7),SEARCH("-",$G41,W7),"")</f>
        <v/>
      </c>
      <c r="AL31" s="4" t="str">
        <f ca="1">IF(ISNUMBER(Y7),SEARCH("-",$G41,Y7),"")</f>
        <v/>
      </c>
      <c r="AM31" s="4" t="str">
        <f ca="1">IF(ISNUMBER(AA7),SEARCH("-",$G41,AA7),"")</f>
        <v/>
      </c>
      <c r="AO31" s="4">
        <f ca="1">IF(ISNUMBER(I7),VALUE(MID($G41,AD19+1,AD31-AD19-1)),"")</f>
        <v>200</v>
      </c>
      <c r="AP31" s="4">
        <f ca="1">IF(ISNUMBER(K7),VALUE(MID($G41,AE19+1,AE31-AE19-1)),"")</f>
        <v>250</v>
      </c>
      <c r="AQ31" s="4">
        <f ca="1">IF(ISNUMBER(M7),VALUE(MID($G41,AF19+1,AF31-AF19-1)),"")</f>
        <v>200</v>
      </c>
      <c r="AR31" s="4">
        <f ca="1">IF(ISNUMBER(O7),VALUE(MID($G41,AG19+1,AG31-AG19-1)),"")</f>
        <v>250</v>
      </c>
      <c r="AS31" s="4" t="str">
        <f ca="1">IF(ISNUMBER(Q7),VALUE(MID($G41,AH19+1,AH31-AH19-1)),"")</f>
        <v/>
      </c>
      <c r="AT31" s="4" t="str">
        <f ca="1">IF(ISNUMBER(S7),VALUE(MID($G41,AI19+1,AI31-AI19-1)),"")</f>
        <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4" t="str">
        <f>'C'!B2</f>
        <v>MM04 04 (100-150) 05 (100-150)</v>
      </c>
      <c r="B32" s="4" t="str">
        <f>VLOOKUP(A32,$B$17:$D$19,3,FALSE)</f>
        <v>MM04 04 (100-150) 05 (100-150)</v>
      </c>
      <c r="C32" s="4">
        <f>IF(ISNUMBER(SEARCH(" ",$B32,1)),SEARCH(" ",$B32,1),"")</f>
        <v>5</v>
      </c>
      <c r="D32" s="4" t="str">
        <f>MID(B32,1,C32-1)</f>
        <v>MM04</v>
      </c>
      <c r="E32" s="4" t="str">
        <f>IF(OR(B32="(leeg)",B32=0),"",MID(D32,1,(LEN(D32))))</f>
        <v>MM04</v>
      </c>
      <c r="F32" s="4" t="str">
        <f ca="1">IF($C$13&gt;=44498,B32,MID(B32,LEN(E32)+1,1000))</f>
        <v>MM04 04 (100-150) 05 (100-150)</v>
      </c>
    </row>
    <row r="33" spans="1:50" x14ac:dyDescent="0.2">
      <c r="A33" s="4" t="str">
        <f>'C'!E2</f>
        <v>MM05 04 (150-200) 05 (150-200)</v>
      </c>
      <c r="B33" s="4" t="str">
        <f>VLOOKUP(A33,$B$17:$D$19,3,FALSE)</f>
        <v>MM05 04 (150-200) 05 (150-200)</v>
      </c>
      <c r="C33" s="4">
        <f>IF(ISNUMBER(SEARCH(" ",$B33,1)),SEARCH(" ",$B33,1),"")</f>
        <v>5</v>
      </c>
      <c r="D33" s="4" t="str">
        <f>MID(B33,1,C33-1)</f>
        <v>MM05</v>
      </c>
      <c r="E33" s="4" t="str">
        <f t="shared" ref="E33:E34" si="31">IF(OR(B33="(leeg)",B33=0),"",MID(D33,1,(LEN(D33))))</f>
        <v>MM05</v>
      </c>
      <c r="F33" s="4" t="str">
        <f ca="1">IF($C$13&gt;=44498,B33,MID(B33,LEN(E33)+1,1000))</f>
        <v>MM05 04 (150-200) 05 (150-200)</v>
      </c>
    </row>
    <row r="34" spans="1:50" x14ac:dyDescent="0.2">
      <c r="A34" s="4" t="str">
        <f>'C'!H2</f>
        <v>MM06 04 (200-250) 04 (250-300) 05 (200-250) 05 (250-300)</v>
      </c>
      <c r="B34" s="4" t="str">
        <f>VLOOKUP(A34,$B$17:$D$19,3,FALSE)</f>
        <v>MM06 04 (200-250) 04 (250-300) 05 (200-250) 05 (250-300)</v>
      </c>
      <c r="C34" s="4">
        <f>IF(ISNUMBER(SEARCH(" ",$B34,1)),SEARCH(" ",$B34,1),"")</f>
        <v>5</v>
      </c>
      <c r="D34" s="4" t="str">
        <f>MID(B34,1,C34-1)</f>
        <v>MM06</v>
      </c>
      <c r="E34" s="4" t="str">
        <f t="shared" si="31"/>
        <v>MM06</v>
      </c>
      <c r="F34" s="4" t="str">
        <f ca="1">IF($C$13&gt;=44498,B34,MID(B34,LEN(E34)+1,1000))</f>
        <v>MM06 04 (200-250) 04 (250-300) 05 (200-250) 05 (250-300)</v>
      </c>
    </row>
    <row r="37" spans="1:50" x14ac:dyDescent="0.2">
      <c r="B37" s="27" t="s">
        <v>131</v>
      </c>
      <c r="C37" s="4" t="s">
        <v>59</v>
      </c>
      <c r="E37" s="4" t="s">
        <v>144</v>
      </c>
      <c r="G37" s="4" t="s">
        <v>132</v>
      </c>
    </row>
    <row r="38" spans="1:50" x14ac:dyDescent="0.2">
      <c r="AO38" s="4" t="s">
        <v>135</v>
      </c>
    </row>
    <row r="39" spans="1:50" x14ac:dyDescent="0.2">
      <c r="B39" s="4" t="str">
        <f ca="1">F24</f>
        <v>MM04 04 (100-150) 05 (100-150)</v>
      </c>
      <c r="C39" s="4" t="str">
        <f>E24</f>
        <v>MM04</v>
      </c>
      <c r="E39" s="4" t="str">
        <f t="shared" ref="E39:E41" ca="1" si="32">IF(LEN(B39)-LEN(SUBSTITUTE(B39," ",""))&lt;=3,"nee","ja")</f>
        <v>ja</v>
      </c>
      <c r="G39" s="4" t="str">
        <f ca="1">TEXT(B39,)</f>
        <v>MM04 04 (100-150) 05 (100-150)</v>
      </c>
      <c r="AO39" s="4">
        <v>1</v>
      </c>
      <c r="AP39" s="4">
        <v>2</v>
      </c>
      <c r="AQ39" s="4">
        <v>3</v>
      </c>
      <c r="AR39" s="4">
        <v>4</v>
      </c>
      <c r="AS39" s="4">
        <v>5</v>
      </c>
      <c r="AT39" s="4">
        <v>6</v>
      </c>
      <c r="AU39" s="4">
        <v>7</v>
      </c>
      <c r="AV39" s="4">
        <v>8</v>
      </c>
      <c r="AW39" s="4">
        <v>9</v>
      </c>
      <c r="AX39" s="4">
        <v>10</v>
      </c>
    </row>
    <row r="40" spans="1:50" x14ac:dyDescent="0.2">
      <c r="B40" s="4" t="str">
        <f ca="1">F25</f>
        <v>MM05 04 (150-200) 05 (150-200)</v>
      </c>
      <c r="C40" s="4" t="str">
        <f>E25</f>
        <v>MM05</v>
      </c>
      <c r="E40" s="4" t="str">
        <f t="shared" ca="1" si="32"/>
        <v>ja</v>
      </c>
      <c r="G40" s="4" t="str">
        <f t="shared" ref="G40:G41" ca="1" si="33">TEXT(B40,)</f>
        <v>MM05 04 (150-200) 05 (150-200)</v>
      </c>
    </row>
    <row r="41" spans="1:50" x14ac:dyDescent="0.2">
      <c r="B41" s="4" t="str">
        <f ca="1">F26</f>
        <v>MM06 04 (200-250) 04 (250-300) 05 (200-250) 05 (250-300)</v>
      </c>
      <c r="C41" s="4" t="str">
        <f>E26</f>
        <v>MM06</v>
      </c>
      <c r="E41" s="4" t="str">
        <f t="shared" ca="1" si="32"/>
        <v>ja</v>
      </c>
      <c r="G41" s="4" t="str">
        <f t="shared" ca="1" si="33"/>
        <v>MM06 04 (200-250) 04 (250-300) 05 (200-250) 05 (250-300)</v>
      </c>
      <c r="AO41" s="92" t="str">
        <f t="shared" ref="AO41:AX43" ca="1" si="34">IF(ISNUMBER(AO29),FIXED(AO29/100,2),"")</f>
        <v>1,00</v>
      </c>
      <c r="AP41" s="92" t="str">
        <f t="shared" ca="1" si="34"/>
        <v>1,00</v>
      </c>
      <c r="AQ41" s="92" t="str">
        <f t="shared" ca="1" si="34"/>
        <v/>
      </c>
      <c r="AR41" s="92" t="str">
        <f t="shared" ca="1" si="34"/>
        <v/>
      </c>
      <c r="AS41" s="92" t="str">
        <f t="shared" ca="1" si="34"/>
        <v/>
      </c>
      <c r="AT41" s="92" t="str">
        <f t="shared" ca="1" si="34"/>
        <v/>
      </c>
      <c r="AU41" s="92" t="str">
        <f t="shared" ca="1" si="34"/>
        <v/>
      </c>
      <c r="AV41" s="92" t="str">
        <f t="shared" ca="1" si="34"/>
        <v/>
      </c>
      <c r="AW41" s="92" t="str">
        <f t="shared" ca="1" si="34"/>
        <v/>
      </c>
      <c r="AX41" s="92" t="str">
        <f t="shared" ca="1" si="34"/>
        <v/>
      </c>
    </row>
    <row r="42" spans="1:50" x14ac:dyDescent="0.2">
      <c r="AO42" s="92" t="str">
        <f t="shared" ca="1" si="34"/>
        <v>1,50</v>
      </c>
      <c r="AP42" s="92" t="str">
        <f t="shared" ca="1" si="34"/>
        <v>1,50</v>
      </c>
      <c r="AQ42" s="92" t="str">
        <f t="shared" ca="1" si="34"/>
        <v/>
      </c>
      <c r="AR42" s="92" t="str">
        <f t="shared" ca="1" si="34"/>
        <v/>
      </c>
      <c r="AS42" s="92" t="str">
        <f t="shared" ca="1" si="34"/>
        <v/>
      </c>
      <c r="AT42" s="92" t="str">
        <f t="shared" ca="1" si="34"/>
        <v/>
      </c>
      <c r="AU42" s="92" t="str">
        <f t="shared" ca="1" si="34"/>
        <v/>
      </c>
      <c r="AV42" s="92" t="str">
        <f t="shared" ca="1" si="34"/>
        <v/>
      </c>
      <c r="AW42" s="92" t="str">
        <f t="shared" ca="1" si="34"/>
        <v/>
      </c>
      <c r="AX42" s="92" t="str">
        <f t="shared" ca="1" si="34"/>
        <v/>
      </c>
    </row>
    <row r="43" spans="1:50" x14ac:dyDescent="0.2">
      <c r="AO43" s="92" t="str">
        <f t="shared" ca="1" si="34"/>
        <v>2,00</v>
      </c>
      <c r="AP43" s="92" t="str">
        <f t="shared" ca="1" si="34"/>
        <v>2,50</v>
      </c>
      <c r="AQ43" s="92" t="str">
        <f t="shared" ca="1" si="34"/>
        <v>2,00</v>
      </c>
      <c r="AR43" s="92" t="str">
        <f t="shared" ca="1" si="34"/>
        <v>2,50</v>
      </c>
      <c r="AS43" s="92" t="str">
        <f t="shared" ca="1" si="34"/>
        <v/>
      </c>
      <c r="AT43" s="92" t="str">
        <f t="shared" ca="1" si="34"/>
        <v/>
      </c>
      <c r="AU43" s="92" t="str">
        <f t="shared" ca="1" si="34"/>
        <v/>
      </c>
      <c r="AV43" s="92" t="str">
        <f t="shared" ca="1" si="34"/>
        <v/>
      </c>
      <c r="AW43" s="92" t="str">
        <f t="shared" ca="1" si="34"/>
        <v/>
      </c>
      <c r="AX43" s="92" t="str">
        <f t="shared" ca="1" si="34"/>
        <v/>
      </c>
    </row>
    <row r="44" spans="1:50" x14ac:dyDescent="0.2">
      <c r="G44" s="4" t="str">
        <f ca="1">IF(E39="ja",TEXT(B39,),CONCATENATE("XX ",(C39)))</f>
        <v>MM04 04 (100-150) 05 (100-150)</v>
      </c>
      <c r="AO44" s="92"/>
      <c r="AP44" s="92"/>
      <c r="AQ44" s="92"/>
      <c r="AR44" s="92"/>
      <c r="AS44" s="92"/>
      <c r="AT44" s="92"/>
      <c r="AU44" s="92"/>
      <c r="AV44" s="92"/>
      <c r="AW44" s="92"/>
      <c r="AX44" s="92"/>
    </row>
    <row r="45" spans="1:50" x14ac:dyDescent="0.2">
      <c r="G45" s="4" t="str">
        <f ca="1">IF(E40="ja",TEXT(B40,),CONCATENATE("XX ",(C40)))</f>
        <v>MM05 04 (150-200) 05 (150-200)</v>
      </c>
      <c r="AO45" s="92"/>
      <c r="AP45" s="92"/>
      <c r="AQ45" s="92"/>
      <c r="AR45" s="92"/>
      <c r="AS45" s="92"/>
      <c r="AT45" s="92"/>
      <c r="AU45" s="92"/>
      <c r="AV45" s="92"/>
      <c r="AW45" s="92"/>
      <c r="AX45" s="92"/>
    </row>
    <row r="46" spans="1:50" x14ac:dyDescent="0.2">
      <c r="G46" s="4" t="str">
        <f ca="1">IF(E41="ja",TEXT(B41,),CONCATENATE("XX ",(C41)))</f>
        <v>MM06 04 (200-250) 04 (250-300) 05 (200-250) 05 (250-300)</v>
      </c>
      <c r="AO46" s="92"/>
      <c r="AP46" s="92"/>
      <c r="AQ46" s="92"/>
      <c r="AR46" s="92"/>
      <c r="AS46" s="92"/>
      <c r="AT46" s="92"/>
      <c r="AU46" s="92"/>
      <c r="AV46" s="92"/>
      <c r="AW46" s="92"/>
      <c r="AX46" s="92"/>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150</v>
      </c>
      <c r="AP53" s="4">
        <f ca="1">IF(ISNUMBER(K5),VALUE(MID($G39,AE29+1,AE5-AE29-1)),"")</f>
        <v>150</v>
      </c>
      <c r="AQ53" s="4" t="str">
        <f ca="1">IF(ISNUMBER(M5),VALUE(MID($G39,AF29+1,AF5-AF29-1)),"")</f>
        <v/>
      </c>
      <c r="AR53" s="4" t="str">
        <f ca="1">IF(ISNUMBER(O5),VALUE(MID($G39,AG29+1,AG5-AG29-1)),"")</f>
        <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200</v>
      </c>
      <c r="AP54" s="4">
        <f ca="1">IF(ISNUMBER(K6),VALUE(MID($G40,AE30+1,AE6-AE30-1)),"")</f>
        <v>200</v>
      </c>
      <c r="AQ54" s="4" t="str">
        <f ca="1">IF(ISNUMBER(M6),VALUE(MID($G40,AF30+1,AF6-AF30-1)),"")</f>
        <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f ca="1">IF(ISNUMBER(I7),VALUE(MID($G41,AD31+1,AD7-AD31-1)),"")</f>
        <v>250</v>
      </c>
      <c r="AP55" s="4">
        <f ca="1">IF(ISNUMBER(K7),VALUE(MID($G41,AE31+1,AE7-AE31-1)),"")</f>
        <v>300</v>
      </c>
      <c r="AQ55" s="4">
        <f ca="1">IF(ISNUMBER(M7),VALUE(MID($G41,AF31+1,AF7-AF31-1)),"")</f>
        <v>250</v>
      </c>
      <c r="AR55" s="4">
        <f ca="1">IF(ISNUMBER(O7),VALUE(MID($G41,AG31+1,AG7-AG31-1)),"")</f>
        <v>300</v>
      </c>
      <c r="AS55" s="4" t="str">
        <f ca="1">IF(ISNUMBER(Q7),VALUE(MID($G41,AH31+1,AH7-AH31-1)),"")</f>
        <v/>
      </c>
      <c r="AT55" s="4" t="str">
        <f ca="1">IF(ISNUMBER(S7),VALUE(MID($G41,AI31+1,AI7-AI31-1)),"")</f>
        <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92" t="str">
        <f ca="1">IF(ISNUMBER(AO53),FIXED(AO53/100,2),"")</f>
        <v>1,50</v>
      </c>
      <c r="AP65" s="92" t="str">
        <f t="shared" ref="AP65:AX65" ca="1" si="35">IF(ISNUMBER(AP53),FIXED(AP53/100,2),"")</f>
        <v>1,50</v>
      </c>
      <c r="AQ65" s="92" t="str">
        <f t="shared" ca="1" si="35"/>
        <v/>
      </c>
      <c r="AR65" s="92" t="str">
        <f t="shared" ca="1" si="35"/>
        <v/>
      </c>
      <c r="AS65" s="92" t="str">
        <f t="shared" ca="1" si="35"/>
        <v/>
      </c>
      <c r="AT65" s="92" t="str">
        <f t="shared" ca="1" si="35"/>
        <v/>
      </c>
      <c r="AU65" s="92" t="str">
        <f t="shared" ca="1" si="35"/>
        <v/>
      </c>
      <c r="AV65" s="92" t="str">
        <f t="shared" ca="1" si="35"/>
        <v/>
      </c>
      <c r="AW65" s="92" t="str">
        <f t="shared" ca="1" si="35"/>
        <v/>
      </c>
      <c r="AX65" s="92" t="str">
        <f t="shared" ca="1" si="35"/>
        <v/>
      </c>
    </row>
    <row r="66" spans="41:50" x14ac:dyDescent="0.2">
      <c r="AO66" s="92" t="str">
        <f t="shared" ref="AO66:AX67" ca="1" si="36">IF(ISNUMBER(AO54),FIXED(AO54/100,2),"")</f>
        <v>2,00</v>
      </c>
      <c r="AP66" s="92" t="str">
        <f t="shared" ca="1" si="36"/>
        <v>2,00</v>
      </c>
      <c r="AQ66" s="92" t="str">
        <f t="shared" ca="1" si="36"/>
        <v/>
      </c>
      <c r="AR66" s="92" t="str">
        <f t="shared" ca="1" si="36"/>
        <v/>
      </c>
      <c r="AS66" s="92" t="str">
        <f t="shared" ca="1" si="36"/>
        <v/>
      </c>
      <c r="AT66" s="92" t="str">
        <f t="shared" ca="1" si="36"/>
        <v/>
      </c>
      <c r="AU66" s="92" t="str">
        <f t="shared" ca="1" si="36"/>
        <v/>
      </c>
      <c r="AV66" s="92" t="str">
        <f t="shared" ca="1" si="36"/>
        <v/>
      </c>
      <c r="AW66" s="92" t="str">
        <f t="shared" ca="1" si="36"/>
        <v/>
      </c>
      <c r="AX66" s="92" t="str">
        <f t="shared" ca="1" si="36"/>
        <v/>
      </c>
    </row>
    <row r="67" spans="41:50" x14ac:dyDescent="0.2">
      <c r="AO67" s="92" t="str">
        <f t="shared" ca="1" si="36"/>
        <v>2,50</v>
      </c>
      <c r="AP67" s="92" t="str">
        <f t="shared" ca="1" si="36"/>
        <v>3,00</v>
      </c>
      <c r="AQ67" s="92" t="str">
        <f t="shared" ca="1" si="36"/>
        <v>2,50</v>
      </c>
      <c r="AR67" s="92" t="str">
        <f t="shared" ca="1" si="36"/>
        <v>3,00</v>
      </c>
      <c r="AS67" s="92" t="str">
        <f t="shared" ca="1" si="36"/>
        <v/>
      </c>
      <c r="AT67" s="92" t="str">
        <f t="shared" ca="1" si="36"/>
        <v/>
      </c>
      <c r="AU67" s="92" t="str">
        <f t="shared" ca="1" si="36"/>
        <v/>
      </c>
      <c r="AV67" s="92" t="str">
        <f t="shared" ca="1" si="36"/>
        <v/>
      </c>
      <c r="AW67" s="92" t="str">
        <f t="shared" ca="1" si="36"/>
        <v/>
      </c>
      <c r="AX67" s="92" t="str">
        <f t="shared" ca="1" si="36"/>
        <v/>
      </c>
    </row>
    <row r="68" spans="41:50" x14ac:dyDescent="0.2">
      <c r="AO68" s="92"/>
      <c r="AP68" s="92"/>
      <c r="AQ68" s="92"/>
      <c r="AR68" s="92"/>
      <c r="AS68" s="92"/>
      <c r="AT68" s="92"/>
      <c r="AU68" s="92"/>
      <c r="AV68" s="92"/>
      <c r="AW68" s="92"/>
      <c r="AX68" s="92"/>
    </row>
    <row r="69" spans="41:50" x14ac:dyDescent="0.2">
      <c r="AO69" s="92"/>
      <c r="AP69" s="92"/>
      <c r="AQ69" s="92"/>
      <c r="AR69" s="92"/>
      <c r="AS69" s="92"/>
      <c r="AT69" s="92"/>
      <c r="AU69" s="92"/>
      <c r="AV69" s="92"/>
      <c r="AW69" s="92"/>
      <c r="AX69" s="92"/>
    </row>
    <row r="70" spans="41:50" x14ac:dyDescent="0.2">
      <c r="AO70" s="92"/>
      <c r="AP70" s="92"/>
      <c r="AQ70" s="92"/>
      <c r="AR70" s="92"/>
      <c r="AS70" s="92"/>
      <c r="AT70" s="92"/>
      <c r="AU70" s="92"/>
      <c r="AV70" s="92"/>
      <c r="AW70" s="92"/>
      <c r="AX70" s="92"/>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2" width="6.28515625" customWidth="1"/>
    <col min="53" max="55" width="6.28515625" bestFit="1" customWidth="1"/>
    <col min="56" max="56" width="16.7109375" bestFit="1" customWidth="1"/>
    <col min="57" max="57" width="18.42578125" bestFit="1" customWidth="1"/>
    <col min="58" max="58" width="27.140625" bestFit="1" customWidth="1"/>
    <col min="59" max="59" width="26.7109375" bestFit="1" customWidth="1"/>
    <col min="60" max="60" width="48.5703125" bestFit="1" customWidth="1"/>
    <col min="61" max="61" width="44.5703125" bestFit="1" customWidth="1"/>
    <col min="62" max="62" width="27.85546875" bestFit="1" customWidth="1"/>
    <col min="63" max="63" width="11.85546875" bestFit="1" customWidth="1"/>
    <col min="64" max="64" width="13.7109375" bestFit="1" customWidth="1"/>
    <col min="65" max="65" width="12.28515625" bestFit="1" customWidth="1"/>
    <col min="66" max="66" width="36.7109375" bestFit="1" customWidth="1"/>
    <col min="67" max="67" width="29.28515625" bestFit="1" customWidth="1"/>
    <col min="68" max="68" width="11.85546875" bestFit="1" customWidth="1"/>
    <col min="69" max="69" width="14.42578125" bestFit="1" customWidth="1"/>
    <col min="70" max="70" width="12.28515625" bestFit="1" customWidth="1"/>
    <col min="71" max="71" width="36.7109375" bestFit="1" customWidth="1"/>
    <col min="72" max="72" width="47.140625" bestFit="1" customWidth="1"/>
    <col min="73" max="73" width="26" bestFit="1" customWidth="1"/>
    <col min="74" max="74" width="27.140625" bestFit="1" customWidth="1"/>
    <col min="75" max="75" width="26.7109375" bestFit="1" customWidth="1"/>
    <col min="76" max="76" width="55.7109375" bestFit="1" customWidth="1"/>
    <col min="77" max="77" width="51.140625" bestFit="1" customWidth="1"/>
    <col min="78" max="78" width="46.5703125" bestFit="1" customWidth="1"/>
    <col min="79" max="79" width="45.7109375" bestFit="1" customWidth="1"/>
    <col min="80" max="80" width="11.85546875" bestFit="1" customWidth="1"/>
    <col min="81" max="81" width="21.140625" bestFit="1" customWidth="1"/>
    <col min="82" max="83" width="11.85546875" bestFit="1" customWidth="1"/>
    <col min="84" max="84" width="25" bestFit="1" customWidth="1"/>
    <col min="85" max="85" width="25.42578125" bestFit="1" customWidth="1"/>
    <col min="86" max="86" width="16.5703125" bestFit="1" customWidth="1"/>
    <col min="87" max="87" width="28.28515625" bestFit="1" customWidth="1"/>
    <col min="88" max="89" width="11.85546875" bestFit="1" customWidth="1"/>
    <col min="90" max="90" width="16.7109375" bestFit="1" customWidth="1"/>
    <col min="91" max="91" width="18.42578125" bestFit="1" customWidth="1"/>
    <col min="92" max="92" width="27.140625" bestFit="1" customWidth="1"/>
    <col min="93" max="93" width="26.7109375" bestFit="1" customWidth="1"/>
    <col min="94" max="94" width="48.5703125" bestFit="1" customWidth="1"/>
    <col min="95" max="95" width="44.5703125" bestFit="1" customWidth="1"/>
    <col min="96" max="96" width="27.85546875" bestFit="1" customWidth="1"/>
    <col min="97" max="97" width="6.28515625" bestFit="1" customWidth="1"/>
    <col min="98" max="98" width="13.7109375" bestFit="1" customWidth="1"/>
    <col min="99" max="99" width="12.28515625" bestFit="1" customWidth="1"/>
    <col min="100" max="100" width="36.7109375" bestFit="1" customWidth="1"/>
    <col min="101" max="101" width="29.28515625" bestFit="1" customWidth="1"/>
    <col min="102" max="102" width="6.28515625" bestFit="1" customWidth="1"/>
    <col min="103" max="103" width="14.42578125" bestFit="1" customWidth="1"/>
    <col min="104" max="104" width="12.28515625" bestFit="1" customWidth="1"/>
    <col min="105" max="105" width="36.7109375" bestFit="1" customWidth="1"/>
    <col min="106" max="106" width="47.140625" bestFit="1" customWidth="1"/>
    <col min="107" max="107" width="26" bestFit="1" customWidth="1"/>
    <col min="108" max="108" width="27.140625" bestFit="1" customWidth="1"/>
    <col min="109" max="109" width="26.7109375" bestFit="1" customWidth="1"/>
    <col min="110" max="110" width="55.7109375" bestFit="1" customWidth="1"/>
    <col min="111" max="111" width="51.140625" bestFit="1" customWidth="1"/>
    <col min="112" max="112" width="46.5703125" bestFit="1" customWidth="1"/>
    <col min="113" max="113" width="45.7109375" bestFit="1" customWidth="1"/>
    <col min="114" max="114" width="6.28515625" bestFit="1" customWidth="1"/>
    <col min="115" max="115" width="21.140625" bestFit="1" customWidth="1"/>
    <col min="116" max="117" width="7" bestFit="1" customWidth="1"/>
    <col min="118" max="118" width="25" bestFit="1" customWidth="1"/>
    <col min="119" max="119" width="25.42578125" bestFit="1" customWidth="1"/>
    <col min="120" max="120" width="16.5703125" bestFit="1" customWidth="1"/>
    <col min="121" max="121" width="28.28515625" bestFit="1" customWidth="1"/>
    <col min="122" max="122" width="7.5703125" bestFit="1" customWidth="1"/>
    <col min="123" max="123" width="80.85546875" bestFit="1" customWidth="1"/>
    <col min="124" max="135" width="6.28515625" bestFit="1" customWidth="1"/>
  </cols>
  <sheetData>
    <row r="1" spans="1:52" x14ac:dyDescent="0.2">
      <c r="A1" t="s">
        <v>2007</v>
      </c>
      <c r="B1" t="s">
        <v>335</v>
      </c>
      <c r="C1" t="s">
        <v>861</v>
      </c>
      <c r="D1" t="s">
        <v>2008</v>
      </c>
      <c r="E1" t="s">
        <v>2009</v>
      </c>
      <c r="F1" t="s">
        <v>2010</v>
      </c>
      <c r="G1" t="s">
        <v>2011</v>
      </c>
      <c r="H1" t="s">
        <v>2012</v>
      </c>
      <c r="I1" t="s">
        <v>2013</v>
      </c>
      <c r="J1" t="s">
        <v>2014</v>
      </c>
      <c r="K1" t="s">
        <v>2015</v>
      </c>
      <c r="L1" t="s">
        <v>2016</v>
      </c>
      <c r="M1" t="s">
        <v>2017</v>
      </c>
      <c r="N1" t="s">
        <v>2018</v>
      </c>
      <c r="O1" t="s">
        <v>862</v>
      </c>
      <c r="P1" t="s">
        <v>2019</v>
      </c>
      <c r="Q1" t="s">
        <v>2020</v>
      </c>
      <c r="R1" t="s">
        <v>2021</v>
      </c>
      <c r="S1" t="s">
        <v>2022</v>
      </c>
      <c r="T1" t="s">
        <v>863</v>
      </c>
      <c r="U1" t="s">
        <v>2023</v>
      </c>
      <c r="V1" t="s">
        <v>2024</v>
      </c>
      <c r="W1" t="s">
        <v>2025</v>
      </c>
      <c r="X1" t="s">
        <v>2026</v>
      </c>
      <c r="Y1" t="s">
        <v>2027</v>
      </c>
      <c r="Z1" t="s">
        <v>2028</v>
      </c>
      <c r="AA1" t="s">
        <v>2029</v>
      </c>
      <c r="AB1" t="s">
        <v>2030</v>
      </c>
      <c r="AC1" t="s">
        <v>2031</v>
      </c>
      <c r="AD1" t="s">
        <v>2032</v>
      </c>
      <c r="AE1" t="s">
        <v>2033</v>
      </c>
      <c r="AF1" t="s">
        <v>864</v>
      </c>
      <c r="AG1" t="s">
        <v>2034</v>
      </c>
      <c r="AH1" t="s">
        <v>2035</v>
      </c>
      <c r="AI1" t="s">
        <v>2036</v>
      </c>
      <c r="AJ1" t="s">
        <v>2037</v>
      </c>
      <c r="AK1" t="s">
        <v>2038</v>
      </c>
      <c r="AL1" t="s">
        <v>865</v>
      </c>
      <c r="AM1" t="s">
        <v>2039</v>
      </c>
      <c r="AN1" t="s">
        <v>2040</v>
      </c>
      <c r="AO1" t="s">
        <v>1316</v>
      </c>
      <c r="AP1" t="s">
        <v>1277</v>
      </c>
      <c r="AQ1" t="s">
        <v>2041</v>
      </c>
      <c r="AR1" t="s">
        <v>2042</v>
      </c>
      <c r="AS1" t="s">
        <v>2043</v>
      </c>
      <c r="AT1" t="s">
        <v>2044</v>
      </c>
      <c r="AU1" t="s">
        <v>2045</v>
      </c>
      <c r="AV1" t="s">
        <v>2046</v>
      </c>
      <c r="AW1" t="s">
        <v>2047</v>
      </c>
      <c r="AX1" t="s">
        <v>2048</v>
      </c>
      <c r="AY1" t="s">
        <v>2049</v>
      </c>
      <c r="AZ1" t="s">
        <v>2050</v>
      </c>
    </row>
    <row r="2" spans="1:52" x14ac:dyDescent="0.2">
      <c r="A2" s="18"/>
      <c r="B2">
        <v>45754</v>
      </c>
      <c r="C2" t="s">
        <v>715</v>
      </c>
      <c r="D2" t="s">
        <v>866</v>
      </c>
      <c r="E2" t="s">
        <v>867</v>
      </c>
      <c r="F2" t="s">
        <v>868</v>
      </c>
      <c r="G2" t="s">
        <v>869</v>
      </c>
      <c r="H2" t="s">
        <v>870</v>
      </c>
      <c r="I2" t="s">
        <v>871</v>
      </c>
      <c r="J2" t="s">
        <v>872</v>
      </c>
      <c r="K2" t="s">
        <v>873</v>
      </c>
      <c r="L2" t="s">
        <v>874</v>
      </c>
      <c r="M2" t="s">
        <v>875</v>
      </c>
      <c r="N2" t="s">
        <v>876</v>
      </c>
      <c r="O2" t="s">
        <v>715</v>
      </c>
      <c r="P2" t="s">
        <v>866</v>
      </c>
      <c r="Q2" t="s">
        <v>867</v>
      </c>
      <c r="R2" t="s">
        <v>2414</v>
      </c>
      <c r="S2" t="s">
        <v>877</v>
      </c>
      <c r="T2" t="s">
        <v>715</v>
      </c>
      <c r="U2" t="s">
        <v>866</v>
      </c>
      <c r="V2" t="s">
        <v>867</v>
      </c>
      <c r="W2" t="s">
        <v>878</v>
      </c>
      <c r="X2" t="s">
        <v>879</v>
      </c>
      <c r="Y2" t="s">
        <v>871</v>
      </c>
      <c r="Z2" t="s">
        <v>872</v>
      </c>
      <c r="AA2" t="s">
        <v>880</v>
      </c>
      <c r="AB2" t="s">
        <v>881</v>
      </c>
      <c r="AC2" t="s">
        <v>882</v>
      </c>
      <c r="AD2" t="s">
        <v>883</v>
      </c>
      <c r="AE2" t="s">
        <v>2415</v>
      </c>
      <c r="AF2" t="s">
        <v>884</v>
      </c>
      <c r="AG2" t="s">
        <v>885</v>
      </c>
      <c r="AH2" t="s">
        <v>886</v>
      </c>
      <c r="AI2" t="s">
        <v>887</v>
      </c>
      <c r="AJ2" t="s">
        <v>888</v>
      </c>
      <c r="AK2" t="s">
        <v>889</v>
      </c>
      <c r="AL2" t="s">
        <v>890</v>
      </c>
      <c r="AM2" t="s">
        <v>891</v>
      </c>
      <c r="AN2" t="s">
        <v>892</v>
      </c>
      <c r="AO2" t="s">
        <v>2051</v>
      </c>
      <c r="AP2" t="s">
        <v>2051</v>
      </c>
      <c r="AQ2" t="s">
        <v>2051</v>
      </c>
      <c r="AR2" t="s">
        <v>2051</v>
      </c>
      <c r="AS2" t="s">
        <v>2051</v>
      </c>
      <c r="AT2" t="s">
        <v>2051</v>
      </c>
      <c r="AU2" t="s">
        <v>2051</v>
      </c>
      <c r="AV2" t="s">
        <v>2051</v>
      </c>
      <c r="AW2" t="s">
        <v>2051</v>
      </c>
      <c r="AX2" t="s">
        <v>2051</v>
      </c>
      <c r="AY2" t="s">
        <v>2051</v>
      </c>
      <c r="AZ2" t="s">
        <v>2051</v>
      </c>
    </row>
    <row r="3" spans="1:52" x14ac:dyDescent="0.2">
      <c r="A3" t="s">
        <v>591</v>
      </c>
      <c r="B3">
        <v>301</v>
      </c>
      <c r="C3" t="s">
        <v>893</v>
      </c>
      <c r="D3">
        <v>58</v>
      </c>
      <c r="E3">
        <v>1.5</v>
      </c>
      <c r="F3">
        <v>4</v>
      </c>
      <c r="G3">
        <v>15</v>
      </c>
      <c r="H3">
        <v>22</v>
      </c>
      <c r="I3">
        <v>22</v>
      </c>
      <c r="J3">
        <v>22</v>
      </c>
      <c r="K3">
        <v>9</v>
      </c>
      <c r="L3">
        <v>7.0000000000000007E-2</v>
      </c>
      <c r="M3">
        <v>22</v>
      </c>
      <c r="N3" t="s">
        <v>2051</v>
      </c>
      <c r="O3" t="s">
        <v>894</v>
      </c>
      <c r="P3">
        <v>14</v>
      </c>
      <c r="Q3">
        <v>3</v>
      </c>
      <c r="R3">
        <v>1000000000</v>
      </c>
      <c r="S3">
        <v>20</v>
      </c>
      <c r="T3" t="s">
        <v>893</v>
      </c>
      <c r="U3">
        <v>58</v>
      </c>
      <c r="V3">
        <v>1.5</v>
      </c>
      <c r="W3">
        <v>4</v>
      </c>
      <c r="X3">
        <v>1000000000</v>
      </c>
      <c r="Y3">
        <v>15</v>
      </c>
      <c r="Z3">
        <v>15</v>
      </c>
      <c r="AA3">
        <v>9</v>
      </c>
      <c r="AB3">
        <v>7.0000000000000007E-2</v>
      </c>
      <c r="AC3">
        <v>4</v>
      </c>
      <c r="AD3">
        <v>1000000000</v>
      </c>
      <c r="AE3">
        <v>22</v>
      </c>
      <c r="AF3">
        <v>1</v>
      </c>
      <c r="AG3" t="s">
        <v>2051</v>
      </c>
      <c r="AH3" t="s">
        <v>2051</v>
      </c>
      <c r="AI3">
        <v>2</v>
      </c>
      <c r="AJ3" t="s">
        <v>2051</v>
      </c>
      <c r="AK3">
        <v>2</v>
      </c>
      <c r="AL3" t="s">
        <v>2051</v>
      </c>
      <c r="AM3" t="s">
        <v>2051</v>
      </c>
      <c r="AN3" t="s">
        <v>2051</v>
      </c>
      <c r="AO3" t="s">
        <v>2051</v>
      </c>
      <c r="AP3" t="s">
        <v>2051</v>
      </c>
      <c r="AQ3" t="s">
        <v>2051</v>
      </c>
      <c r="AR3" t="s">
        <v>2051</v>
      </c>
      <c r="AS3" t="s">
        <v>2051</v>
      </c>
      <c r="AT3" t="s">
        <v>2051</v>
      </c>
      <c r="AU3" t="s">
        <v>2051</v>
      </c>
      <c r="AV3" t="s">
        <v>2051</v>
      </c>
      <c r="AW3" t="s">
        <v>2051</v>
      </c>
      <c r="AX3" t="s">
        <v>2051</v>
      </c>
      <c r="AY3" t="s">
        <v>2051</v>
      </c>
      <c r="AZ3" t="s">
        <v>2051</v>
      </c>
    </row>
    <row r="4" spans="1:52" x14ac:dyDescent="0.2">
      <c r="A4" t="s">
        <v>55</v>
      </c>
      <c r="B4">
        <v>310</v>
      </c>
      <c r="C4" t="s">
        <v>893</v>
      </c>
      <c r="D4">
        <v>58</v>
      </c>
      <c r="E4">
        <v>4</v>
      </c>
      <c r="F4">
        <v>20</v>
      </c>
      <c r="G4">
        <v>27</v>
      </c>
      <c r="H4">
        <v>76</v>
      </c>
      <c r="I4">
        <v>76</v>
      </c>
      <c r="J4">
        <v>76</v>
      </c>
      <c r="K4">
        <v>42</v>
      </c>
      <c r="L4">
        <v>0.61</v>
      </c>
      <c r="M4">
        <v>76</v>
      </c>
      <c r="N4" t="s">
        <v>2051</v>
      </c>
      <c r="O4" t="s">
        <v>894</v>
      </c>
      <c r="P4">
        <v>14</v>
      </c>
      <c r="Q4">
        <v>5</v>
      </c>
      <c r="R4">
        <v>1000000000</v>
      </c>
      <c r="S4">
        <v>60</v>
      </c>
      <c r="T4" t="s">
        <v>893</v>
      </c>
      <c r="U4">
        <v>58</v>
      </c>
      <c r="V4">
        <v>4</v>
      </c>
      <c r="W4">
        <v>20</v>
      </c>
      <c r="X4">
        <v>29</v>
      </c>
      <c r="Y4">
        <v>85</v>
      </c>
      <c r="Z4">
        <v>85</v>
      </c>
      <c r="AA4">
        <v>42</v>
      </c>
      <c r="AB4">
        <v>0.61</v>
      </c>
      <c r="AC4">
        <v>29</v>
      </c>
      <c r="AD4">
        <v>29</v>
      </c>
      <c r="AE4">
        <v>76</v>
      </c>
      <c r="AF4">
        <v>15</v>
      </c>
      <c r="AG4">
        <v>0.4</v>
      </c>
      <c r="AH4">
        <v>0.4</v>
      </c>
      <c r="AI4">
        <v>2</v>
      </c>
      <c r="AJ4" t="s">
        <v>2051</v>
      </c>
      <c r="AK4">
        <v>2</v>
      </c>
      <c r="AL4" t="s">
        <v>2051</v>
      </c>
      <c r="AM4" t="s">
        <v>2051</v>
      </c>
      <c r="AN4" t="s">
        <v>2051</v>
      </c>
      <c r="AO4" t="s">
        <v>2051</v>
      </c>
      <c r="AP4" t="s">
        <v>2051</v>
      </c>
      <c r="AQ4" t="s">
        <v>2051</v>
      </c>
      <c r="AR4" t="s">
        <v>2051</v>
      </c>
      <c r="AS4" t="s">
        <v>2051</v>
      </c>
      <c r="AT4" t="s">
        <v>2051</v>
      </c>
      <c r="AU4" t="s">
        <v>2051</v>
      </c>
      <c r="AV4" t="s">
        <v>2051</v>
      </c>
      <c r="AW4" t="s">
        <v>2051</v>
      </c>
      <c r="AX4" t="s">
        <v>2051</v>
      </c>
      <c r="AY4" t="s">
        <v>2051</v>
      </c>
      <c r="AZ4" t="s">
        <v>2051</v>
      </c>
    </row>
    <row r="5" spans="1:52" x14ac:dyDescent="0.2">
      <c r="A5" t="s">
        <v>1</v>
      </c>
      <c r="B5">
        <v>333</v>
      </c>
      <c r="C5" t="s">
        <v>893</v>
      </c>
      <c r="D5">
        <v>58</v>
      </c>
      <c r="E5">
        <v>20</v>
      </c>
      <c r="F5">
        <v>1000000000</v>
      </c>
      <c r="G5">
        <v>1000000000</v>
      </c>
      <c r="H5">
        <v>1000000000</v>
      </c>
      <c r="I5">
        <v>1000000000</v>
      </c>
      <c r="J5">
        <v>1000000000</v>
      </c>
      <c r="K5">
        <v>1000000000</v>
      </c>
      <c r="L5">
        <v>1000000000</v>
      </c>
      <c r="M5">
        <v>920</v>
      </c>
      <c r="N5" t="s">
        <v>2051</v>
      </c>
      <c r="O5" t="s">
        <v>894</v>
      </c>
      <c r="P5">
        <v>14</v>
      </c>
      <c r="Q5">
        <v>20</v>
      </c>
      <c r="R5">
        <v>1000000000</v>
      </c>
      <c r="S5">
        <v>625</v>
      </c>
      <c r="T5" t="s">
        <v>893</v>
      </c>
      <c r="U5">
        <v>58</v>
      </c>
      <c r="V5">
        <v>20</v>
      </c>
      <c r="W5">
        <v>1000000000</v>
      </c>
      <c r="X5">
        <v>1000000000</v>
      </c>
      <c r="Y5">
        <v>1000000000</v>
      </c>
      <c r="Z5">
        <v>1000000000</v>
      </c>
      <c r="AA5">
        <v>1000000000</v>
      </c>
      <c r="AB5">
        <v>1000000000</v>
      </c>
      <c r="AC5">
        <v>1000000000</v>
      </c>
      <c r="AD5">
        <v>1000000000</v>
      </c>
      <c r="AE5">
        <v>1000000000</v>
      </c>
      <c r="AF5">
        <v>30</v>
      </c>
      <c r="AG5">
        <v>5</v>
      </c>
      <c r="AH5" t="s">
        <v>2051</v>
      </c>
      <c r="AI5">
        <v>2</v>
      </c>
      <c r="AJ5" t="s">
        <v>2051</v>
      </c>
      <c r="AK5">
        <v>2</v>
      </c>
      <c r="AL5" t="s">
        <v>2051</v>
      </c>
      <c r="AM5" t="s">
        <v>2051</v>
      </c>
      <c r="AN5" t="s">
        <v>2051</v>
      </c>
      <c r="AO5" t="s">
        <v>2051</v>
      </c>
      <c r="AP5" t="s">
        <v>2051</v>
      </c>
      <c r="AQ5" t="s">
        <v>2051</v>
      </c>
      <c r="AR5" t="s">
        <v>2051</v>
      </c>
      <c r="AS5" t="s">
        <v>2051</v>
      </c>
      <c r="AT5" t="s">
        <v>2051</v>
      </c>
      <c r="AU5" t="s">
        <v>2051</v>
      </c>
      <c r="AV5" t="s">
        <v>2051</v>
      </c>
      <c r="AW5" t="s">
        <v>2051</v>
      </c>
      <c r="AX5" t="s">
        <v>2051</v>
      </c>
      <c r="AY5" t="s">
        <v>2051</v>
      </c>
      <c r="AZ5" t="s">
        <v>2051</v>
      </c>
    </row>
    <row r="6" spans="1:52" x14ac:dyDescent="0.2">
      <c r="A6" t="s">
        <v>895</v>
      </c>
      <c r="B6">
        <v>362</v>
      </c>
      <c r="C6" t="s">
        <v>893</v>
      </c>
      <c r="D6">
        <v>58</v>
      </c>
      <c r="E6">
        <v>1</v>
      </c>
      <c r="F6">
        <v>1000000000</v>
      </c>
      <c r="G6">
        <v>1000000000</v>
      </c>
      <c r="H6">
        <v>1000000000</v>
      </c>
      <c r="I6">
        <v>1000000000</v>
      </c>
      <c r="J6">
        <v>1000000000</v>
      </c>
      <c r="K6">
        <v>1000000000</v>
      </c>
      <c r="L6">
        <v>1000000000</v>
      </c>
      <c r="M6">
        <v>1000000000</v>
      </c>
      <c r="N6" t="s">
        <v>2051</v>
      </c>
      <c r="O6" t="s">
        <v>894</v>
      </c>
      <c r="P6">
        <v>14</v>
      </c>
      <c r="Q6">
        <v>1</v>
      </c>
      <c r="R6">
        <v>1000000000</v>
      </c>
      <c r="S6">
        <v>1000000000</v>
      </c>
      <c r="T6" t="s">
        <v>893</v>
      </c>
      <c r="U6">
        <v>58</v>
      </c>
      <c r="V6">
        <v>1000000000</v>
      </c>
      <c r="W6">
        <v>1000000000</v>
      </c>
      <c r="X6">
        <v>1000000000</v>
      </c>
      <c r="Y6">
        <v>1000000000</v>
      </c>
      <c r="Z6">
        <v>1000000000</v>
      </c>
      <c r="AA6">
        <v>1000000000</v>
      </c>
      <c r="AB6">
        <v>1000000000</v>
      </c>
      <c r="AC6">
        <v>1000000000</v>
      </c>
      <c r="AD6">
        <v>1000000000</v>
      </c>
      <c r="AE6">
        <v>1000000000</v>
      </c>
      <c r="AF6">
        <v>8</v>
      </c>
      <c r="AG6">
        <v>0.9</v>
      </c>
      <c r="AH6" t="s">
        <v>2051</v>
      </c>
      <c r="AI6">
        <v>2</v>
      </c>
      <c r="AJ6" t="s">
        <v>2051</v>
      </c>
      <c r="AK6">
        <v>2</v>
      </c>
      <c r="AL6" t="s">
        <v>2051</v>
      </c>
      <c r="AM6" t="s">
        <v>2051</v>
      </c>
      <c r="AN6" t="s">
        <v>2051</v>
      </c>
      <c r="AO6" t="s">
        <v>2051</v>
      </c>
      <c r="AP6" t="s">
        <v>2051</v>
      </c>
      <c r="AQ6" t="s">
        <v>2051</v>
      </c>
      <c r="AR6" t="s">
        <v>2051</v>
      </c>
      <c r="AS6" t="s">
        <v>2051</v>
      </c>
      <c r="AT6" t="s">
        <v>2051</v>
      </c>
      <c r="AU6" t="s">
        <v>2051</v>
      </c>
      <c r="AV6" t="s">
        <v>2051</v>
      </c>
      <c r="AW6" t="s">
        <v>2051</v>
      </c>
      <c r="AX6" t="s">
        <v>2051</v>
      </c>
      <c r="AY6" t="s">
        <v>2051</v>
      </c>
      <c r="AZ6" t="s">
        <v>2051</v>
      </c>
    </row>
    <row r="7" spans="1:52" x14ac:dyDescent="0.2">
      <c r="A7" t="s">
        <v>2</v>
      </c>
      <c r="B7">
        <v>441</v>
      </c>
      <c r="C7" t="s">
        <v>893</v>
      </c>
      <c r="D7">
        <v>58</v>
      </c>
      <c r="E7">
        <v>0.2</v>
      </c>
      <c r="F7">
        <v>0.6</v>
      </c>
      <c r="G7">
        <v>1.2</v>
      </c>
      <c r="H7">
        <v>4.3</v>
      </c>
      <c r="I7">
        <v>13</v>
      </c>
      <c r="J7">
        <v>13</v>
      </c>
      <c r="K7">
        <v>4.3</v>
      </c>
      <c r="L7">
        <v>5.0999999999999997E-2</v>
      </c>
      <c r="M7">
        <v>13</v>
      </c>
      <c r="N7" t="s">
        <v>2051</v>
      </c>
      <c r="O7" t="s">
        <v>894</v>
      </c>
      <c r="P7">
        <v>14</v>
      </c>
      <c r="Q7">
        <v>0.2</v>
      </c>
      <c r="R7">
        <v>1000000000</v>
      </c>
      <c r="S7">
        <v>6</v>
      </c>
      <c r="T7" t="s">
        <v>893</v>
      </c>
      <c r="U7">
        <v>58</v>
      </c>
      <c r="V7">
        <v>0.2</v>
      </c>
      <c r="W7">
        <v>0.6</v>
      </c>
      <c r="X7">
        <v>4</v>
      </c>
      <c r="Y7">
        <v>14</v>
      </c>
      <c r="Z7">
        <v>14</v>
      </c>
      <c r="AA7">
        <v>4.3</v>
      </c>
      <c r="AB7">
        <v>5.0999999999999997E-2</v>
      </c>
      <c r="AC7">
        <v>4</v>
      </c>
      <c r="AD7">
        <v>4</v>
      </c>
      <c r="AE7">
        <v>2.7</v>
      </c>
      <c r="AF7">
        <v>0.4</v>
      </c>
      <c r="AG7">
        <v>7.0000000000000001E-3</v>
      </c>
      <c r="AH7">
        <v>2.1000000000000001E-2</v>
      </c>
      <c r="AI7">
        <v>2</v>
      </c>
      <c r="AJ7" t="s">
        <v>2051</v>
      </c>
      <c r="AK7">
        <v>2</v>
      </c>
      <c r="AL7" t="s">
        <v>2051</v>
      </c>
      <c r="AM7" t="s">
        <v>2051</v>
      </c>
      <c r="AN7" t="s">
        <v>2051</v>
      </c>
      <c r="AO7" t="s">
        <v>2051</v>
      </c>
      <c r="AP7" t="s">
        <v>2051</v>
      </c>
      <c r="AQ7" t="s">
        <v>2051</v>
      </c>
      <c r="AR7" t="s">
        <v>2051</v>
      </c>
      <c r="AS7" t="s">
        <v>2051</v>
      </c>
      <c r="AT7" t="s">
        <v>2051</v>
      </c>
      <c r="AU7" t="s">
        <v>2051</v>
      </c>
      <c r="AV7" t="s">
        <v>2051</v>
      </c>
      <c r="AW7" t="s">
        <v>2051</v>
      </c>
      <c r="AX7" t="s">
        <v>2051</v>
      </c>
      <c r="AY7" t="s">
        <v>2051</v>
      </c>
      <c r="AZ7" t="s">
        <v>2051</v>
      </c>
    </row>
    <row r="8" spans="1:52" x14ac:dyDescent="0.2">
      <c r="A8" t="s">
        <v>56</v>
      </c>
      <c r="B8">
        <v>517</v>
      </c>
      <c r="C8" t="s">
        <v>893</v>
      </c>
      <c r="D8">
        <v>58</v>
      </c>
      <c r="E8">
        <v>10</v>
      </c>
      <c r="F8">
        <v>55</v>
      </c>
      <c r="G8">
        <v>62</v>
      </c>
      <c r="H8">
        <v>180</v>
      </c>
      <c r="I8">
        <v>180</v>
      </c>
      <c r="J8">
        <v>180</v>
      </c>
      <c r="K8">
        <v>180</v>
      </c>
      <c r="L8">
        <v>0.17</v>
      </c>
      <c r="M8">
        <v>1000000000</v>
      </c>
      <c r="N8" t="s">
        <v>2051</v>
      </c>
      <c r="O8" t="s">
        <v>894</v>
      </c>
      <c r="P8">
        <v>14</v>
      </c>
      <c r="Q8">
        <v>1</v>
      </c>
      <c r="R8">
        <v>1000000000</v>
      </c>
      <c r="S8">
        <v>30</v>
      </c>
      <c r="T8" t="s">
        <v>893</v>
      </c>
      <c r="U8">
        <v>58</v>
      </c>
      <c r="V8">
        <v>10</v>
      </c>
      <c r="W8">
        <v>55</v>
      </c>
      <c r="X8">
        <v>120</v>
      </c>
      <c r="Y8">
        <v>380</v>
      </c>
      <c r="Z8">
        <v>380</v>
      </c>
      <c r="AA8">
        <v>180</v>
      </c>
      <c r="AB8">
        <v>0.17</v>
      </c>
      <c r="AC8">
        <v>120</v>
      </c>
      <c r="AD8">
        <v>120</v>
      </c>
      <c r="AE8">
        <v>180</v>
      </c>
      <c r="AF8">
        <v>50</v>
      </c>
      <c r="AG8">
        <v>2</v>
      </c>
      <c r="AH8" t="s">
        <v>2051</v>
      </c>
      <c r="AI8">
        <v>2</v>
      </c>
      <c r="AJ8" t="s">
        <v>2051</v>
      </c>
      <c r="AK8">
        <v>2</v>
      </c>
      <c r="AL8" t="s">
        <v>2051</v>
      </c>
      <c r="AM8" t="s">
        <v>2051</v>
      </c>
      <c r="AN8" t="s">
        <v>2051</v>
      </c>
      <c r="AO8" t="s">
        <v>2051</v>
      </c>
      <c r="AP8" t="s">
        <v>2051</v>
      </c>
      <c r="AQ8" t="s">
        <v>2051</v>
      </c>
      <c r="AR8" t="s">
        <v>2051</v>
      </c>
      <c r="AS8" t="s">
        <v>2051</v>
      </c>
      <c r="AT8" t="s">
        <v>2051</v>
      </c>
      <c r="AU8" t="s">
        <v>2051</v>
      </c>
      <c r="AV8" t="s">
        <v>2051</v>
      </c>
      <c r="AW8" t="s">
        <v>2051</v>
      </c>
      <c r="AX8" t="s">
        <v>2051</v>
      </c>
      <c r="AY8" t="s">
        <v>2051</v>
      </c>
      <c r="AZ8" t="s">
        <v>2051</v>
      </c>
    </row>
    <row r="9" spans="1:52" x14ac:dyDescent="0.2">
      <c r="A9" t="s">
        <v>804</v>
      </c>
      <c r="B9">
        <v>3510</v>
      </c>
      <c r="C9" t="s">
        <v>893</v>
      </c>
      <c r="D9">
        <v>58</v>
      </c>
      <c r="E9">
        <v>1000000000</v>
      </c>
      <c r="F9">
        <v>1000000000</v>
      </c>
      <c r="G9">
        <v>1000000000</v>
      </c>
      <c r="H9">
        <v>1000000000</v>
      </c>
      <c r="I9">
        <v>1000000000</v>
      </c>
      <c r="J9">
        <v>1000000000</v>
      </c>
      <c r="K9">
        <v>1000000000</v>
      </c>
      <c r="L9">
        <v>1000000000</v>
      </c>
      <c r="M9">
        <v>180</v>
      </c>
      <c r="N9" t="s">
        <v>2051</v>
      </c>
      <c r="O9" t="s">
        <v>894</v>
      </c>
      <c r="P9">
        <v>14</v>
      </c>
      <c r="Q9">
        <v>1000000000</v>
      </c>
      <c r="R9">
        <v>1000000000</v>
      </c>
      <c r="S9">
        <v>1000000000</v>
      </c>
      <c r="T9" t="s">
        <v>893</v>
      </c>
      <c r="U9">
        <v>58</v>
      </c>
      <c r="V9">
        <v>1000000000</v>
      </c>
      <c r="W9">
        <v>1000000000</v>
      </c>
      <c r="X9">
        <v>1000000000</v>
      </c>
      <c r="Y9">
        <v>1000000000</v>
      </c>
      <c r="Z9">
        <v>1000000000</v>
      </c>
      <c r="AA9">
        <v>1000000000</v>
      </c>
      <c r="AB9">
        <v>1000000000</v>
      </c>
      <c r="AC9">
        <v>1000000000</v>
      </c>
      <c r="AD9">
        <v>1000000000</v>
      </c>
      <c r="AE9">
        <v>1000000000</v>
      </c>
      <c r="AF9">
        <v>50</v>
      </c>
      <c r="AG9">
        <v>2</v>
      </c>
      <c r="AH9" t="s">
        <v>2051</v>
      </c>
      <c r="AI9">
        <v>2</v>
      </c>
      <c r="AJ9" t="s">
        <v>2051</v>
      </c>
      <c r="AK9">
        <v>2</v>
      </c>
      <c r="AL9" t="s">
        <v>2051</v>
      </c>
      <c r="AM9" t="s">
        <v>2051</v>
      </c>
      <c r="AN9" t="s">
        <v>2051</v>
      </c>
      <c r="AO9" t="s">
        <v>2051</v>
      </c>
      <c r="AP9" t="s">
        <v>2051</v>
      </c>
      <c r="AQ9" t="s">
        <v>2051</v>
      </c>
      <c r="AR9" t="s">
        <v>2051</v>
      </c>
      <c r="AS9" t="s">
        <v>2051</v>
      </c>
      <c r="AT9" t="s">
        <v>2051</v>
      </c>
      <c r="AU9" t="s">
        <v>2051</v>
      </c>
      <c r="AV9" t="s">
        <v>2051</v>
      </c>
      <c r="AW9" t="s">
        <v>2051</v>
      </c>
      <c r="AX9" t="s">
        <v>2051</v>
      </c>
      <c r="AY9" t="s">
        <v>2051</v>
      </c>
      <c r="AZ9" t="s">
        <v>2051</v>
      </c>
    </row>
    <row r="10" spans="1:52" x14ac:dyDescent="0.2">
      <c r="A10" t="s">
        <v>805</v>
      </c>
      <c r="B10">
        <v>516</v>
      </c>
      <c r="C10" t="s">
        <v>893</v>
      </c>
      <c r="D10">
        <v>58</v>
      </c>
      <c r="E10">
        <v>1000000000</v>
      </c>
      <c r="F10">
        <v>1000000000</v>
      </c>
      <c r="G10">
        <v>1000000000</v>
      </c>
      <c r="H10">
        <v>1000000000</v>
      </c>
      <c r="I10">
        <v>1000000000</v>
      </c>
      <c r="J10">
        <v>1000000000</v>
      </c>
      <c r="K10">
        <v>1000000000</v>
      </c>
      <c r="L10">
        <v>1000000000</v>
      </c>
      <c r="M10">
        <v>78</v>
      </c>
      <c r="N10" t="s">
        <v>2051</v>
      </c>
      <c r="O10" t="s">
        <v>894</v>
      </c>
      <c r="P10">
        <v>14</v>
      </c>
      <c r="Q10">
        <v>1000000000</v>
      </c>
      <c r="R10">
        <v>1000000000</v>
      </c>
      <c r="S10">
        <v>1000000000</v>
      </c>
      <c r="T10" t="s">
        <v>893</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2051</v>
      </c>
      <c r="AI10">
        <v>2</v>
      </c>
      <c r="AJ10" t="s">
        <v>2051</v>
      </c>
      <c r="AK10">
        <v>2</v>
      </c>
      <c r="AL10" t="s">
        <v>2051</v>
      </c>
      <c r="AM10" t="s">
        <v>2051</v>
      </c>
      <c r="AN10" t="s">
        <v>2051</v>
      </c>
      <c r="AO10" t="s">
        <v>2051</v>
      </c>
      <c r="AP10" t="s">
        <v>2051</v>
      </c>
      <c r="AQ10" t="s">
        <v>2051</v>
      </c>
      <c r="AR10" t="s">
        <v>2051</v>
      </c>
      <c r="AS10" t="s">
        <v>2051</v>
      </c>
      <c r="AT10" t="s">
        <v>2051</v>
      </c>
      <c r="AU10" t="s">
        <v>2051</v>
      </c>
      <c r="AV10" t="s">
        <v>2051</v>
      </c>
      <c r="AW10" t="s">
        <v>2051</v>
      </c>
      <c r="AX10" t="s">
        <v>2051</v>
      </c>
      <c r="AY10" t="s">
        <v>2051</v>
      </c>
      <c r="AZ10" t="s">
        <v>2051</v>
      </c>
    </row>
    <row r="11" spans="1:52" x14ac:dyDescent="0.2">
      <c r="A11" t="s">
        <v>3</v>
      </c>
      <c r="B11">
        <v>527</v>
      </c>
      <c r="C11" t="s">
        <v>893</v>
      </c>
      <c r="D11">
        <v>58</v>
      </c>
      <c r="E11">
        <v>3</v>
      </c>
      <c r="F11">
        <v>15</v>
      </c>
      <c r="G11">
        <v>35</v>
      </c>
      <c r="H11">
        <v>190</v>
      </c>
      <c r="I11">
        <v>190</v>
      </c>
      <c r="J11">
        <v>190</v>
      </c>
      <c r="K11">
        <v>130</v>
      </c>
      <c r="L11">
        <v>0.24</v>
      </c>
      <c r="M11">
        <v>190</v>
      </c>
      <c r="N11" t="s">
        <v>2051</v>
      </c>
      <c r="O11" t="s">
        <v>894</v>
      </c>
      <c r="P11">
        <v>14</v>
      </c>
      <c r="Q11">
        <v>2</v>
      </c>
      <c r="R11">
        <v>1000000000</v>
      </c>
      <c r="S11">
        <v>100</v>
      </c>
      <c r="T11" t="s">
        <v>893</v>
      </c>
      <c r="U11">
        <v>58</v>
      </c>
      <c r="V11">
        <v>3</v>
      </c>
      <c r="W11">
        <v>15</v>
      </c>
      <c r="X11">
        <v>25</v>
      </c>
      <c r="Y11">
        <v>240</v>
      </c>
      <c r="Z11">
        <v>240</v>
      </c>
      <c r="AA11">
        <v>130</v>
      </c>
      <c r="AB11">
        <v>0.24</v>
      </c>
      <c r="AC11">
        <v>25</v>
      </c>
      <c r="AD11">
        <v>1000000000</v>
      </c>
      <c r="AE11">
        <v>190</v>
      </c>
      <c r="AF11">
        <v>2</v>
      </c>
      <c r="AG11">
        <v>0.28000000000000003</v>
      </c>
      <c r="AH11" t="s">
        <v>2051</v>
      </c>
      <c r="AI11">
        <v>2</v>
      </c>
      <c r="AJ11" t="s">
        <v>2051</v>
      </c>
      <c r="AK11">
        <v>2</v>
      </c>
      <c r="AL11" t="s">
        <v>2051</v>
      </c>
      <c r="AM11" t="s">
        <v>2051</v>
      </c>
      <c r="AN11" t="s">
        <v>2051</v>
      </c>
      <c r="AO11" t="s">
        <v>2051</v>
      </c>
      <c r="AP11" t="s">
        <v>2051</v>
      </c>
      <c r="AQ11" t="s">
        <v>2051</v>
      </c>
      <c r="AR11" t="s">
        <v>2051</v>
      </c>
      <c r="AS11" t="s">
        <v>2051</v>
      </c>
      <c r="AT11" t="s">
        <v>2051</v>
      </c>
      <c r="AU11" t="s">
        <v>2051</v>
      </c>
      <c r="AV11" t="s">
        <v>2051</v>
      </c>
      <c r="AW11" t="s">
        <v>2051</v>
      </c>
      <c r="AX11" t="s">
        <v>2051</v>
      </c>
      <c r="AY11" t="s">
        <v>2051</v>
      </c>
      <c r="AZ11" t="s">
        <v>2051</v>
      </c>
    </row>
    <row r="12" spans="1:52" x14ac:dyDescent="0.2">
      <c r="A12" t="s">
        <v>4</v>
      </c>
      <c r="B12">
        <v>971</v>
      </c>
      <c r="C12" t="s">
        <v>893</v>
      </c>
      <c r="D12">
        <v>58</v>
      </c>
      <c r="E12">
        <v>5</v>
      </c>
      <c r="F12">
        <v>40</v>
      </c>
      <c r="G12">
        <v>54</v>
      </c>
      <c r="H12">
        <v>190</v>
      </c>
      <c r="I12">
        <v>190</v>
      </c>
      <c r="J12">
        <v>190</v>
      </c>
      <c r="K12">
        <v>113</v>
      </c>
      <c r="L12">
        <v>1</v>
      </c>
      <c r="M12">
        <v>190</v>
      </c>
      <c r="N12" t="s">
        <v>2051</v>
      </c>
      <c r="O12" t="s">
        <v>894</v>
      </c>
      <c r="P12">
        <v>14</v>
      </c>
      <c r="Q12">
        <v>2</v>
      </c>
      <c r="R12">
        <v>1000000000</v>
      </c>
      <c r="S12">
        <v>75</v>
      </c>
      <c r="T12" t="s">
        <v>893</v>
      </c>
      <c r="U12">
        <v>58</v>
      </c>
      <c r="V12">
        <v>5</v>
      </c>
      <c r="W12">
        <v>40</v>
      </c>
      <c r="X12">
        <v>96</v>
      </c>
      <c r="Y12">
        <v>190</v>
      </c>
      <c r="Z12">
        <v>190</v>
      </c>
      <c r="AA12">
        <v>113</v>
      </c>
      <c r="AB12">
        <v>1</v>
      </c>
      <c r="AC12">
        <v>96</v>
      </c>
      <c r="AD12">
        <v>60</v>
      </c>
      <c r="AE12">
        <v>190</v>
      </c>
      <c r="AF12">
        <v>15</v>
      </c>
      <c r="AG12">
        <v>0.6</v>
      </c>
      <c r="AH12">
        <v>0.6</v>
      </c>
      <c r="AI12">
        <v>2</v>
      </c>
      <c r="AJ12" t="s">
        <v>2051</v>
      </c>
      <c r="AK12">
        <v>2</v>
      </c>
      <c r="AL12" t="s">
        <v>2051</v>
      </c>
      <c r="AM12" t="s">
        <v>2051</v>
      </c>
      <c r="AN12" t="s">
        <v>2051</v>
      </c>
      <c r="AO12" t="s">
        <v>2051</v>
      </c>
      <c r="AP12" t="s">
        <v>2051</v>
      </c>
      <c r="AQ12" t="s">
        <v>2051</v>
      </c>
      <c r="AR12" t="s">
        <v>2051</v>
      </c>
      <c r="AS12" t="s">
        <v>2051</v>
      </c>
      <c r="AT12" t="s">
        <v>2051</v>
      </c>
      <c r="AU12" t="s">
        <v>2051</v>
      </c>
      <c r="AV12" t="s">
        <v>2051</v>
      </c>
      <c r="AW12" t="s">
        <v>2051</v>
      </c>
      <c r="AX12" t="s">
        <v>2051</v>
      </c>
      <c r="AY12" t="s">
        <v>2051</v>
      </c>
      <c r="AZ12" t="s">
        <v>2051</v>
      </c>
    </row>
    <row r="13" spans="1:52" x14ac:dyDescent="0.2">
      <c r="A13" t="s">
        <v>5</v>
      </c>
      <c r="B13">
        <v>1097</v>
      </c>
      <c r="C13" t="s">
        <v>893</v>
      </c>
      <c r="D13">
        <v>58</v>
      </c>
      <c r="E13">
        <v>0.05</v>
      </c>
      <c r="F13">
        <v>0.15</v>
      </c>
      <c r="G13">
        <v>0.83</v>
      </c>
      <c r="H13">
        <v>4.8</v>
      </c>
      <c r="I13">
        <v>36</v>
      </c>
      <c r="J13">
        <v>36</v>
      </c>
      <c r="K13">
        <v>4.8</v>
      </c>
      <c r="L13">
        <v>0.49</v>
      </c>
      <c r="M13">
        <v>1000000000</v>
      </c>
      <c r="N13" t="s">
        <v>2051</v>
      </c>
      <c r="O13" t="s">
        <v>894</v>
      </c>
      <c r="P13">
        <v>14</v>
      </c>
      <c r="Q13">
        <v>0.05</v>
      </c>
      <c r="R13">
        <v>1000000000</v>
      </c>
      <c r="S13">
        <v>0.3</v>
      </c>
      <c r="T13" t="s">
        <v>893</v>
      </c>
      <c r="U13">
        <v>58</v>
      </c>
      <c r="V13">
        <v>0.05</v>
      </c>
      <c r="W13">
        <v>0.15</v>
      </c>
      <c r="X13">
        <v>1.2</v>
      </c>
      <c r="Y13">
        <v>10</v>
      </c>
      <c r="Z13">
        <v>10</v>
      </c>
      <c r="AA13">
        <v>4.8</v>
      </c>
      <c r="AB13">
        <v>0.49</v>
      </c>
      <c r="AC13">
        <v>1.2</v>
      </c>
      <c r="AD13">
        <v>1.2</v>
      </c>
      <c r="AE13">
        <v>2.9</v>
      </c>
      <c r="AF13">
        <v>0.2</v>
      </c>
      <c r="AG13">
        <v>3.3999999999999998E-3</v>
      </c>
      <c r="AH13">
        <v>1.6999999999999999E-3</v>
      </c>
      <c r="AI13">
        <v>2</v>
      </c>
      <c r="AJ13" t="s">
        <v>2051</v>
      </c>
      <c r="AK13">
        <v>2</v>
      </c>
      <c r="AL13" t="s">
        <v>2051</v>
      </c>
      <c r="AM13" t="s">
        <v>2051</v>
      </c>
      <c r="AN13" t="s">
        <v>2051</v>
      </c>
      <c r="AO13" t="s">
        <v>2051</v>
      </c>
      <c r="AP13" t="s">
        <v>2051</v>
      </c>
      <c r="AQ13" t="s">
        <v>2051</v>
      </c>
      <c r="AR13" t="s">
        <v>2051</v>
      </c>
      <c r="AS13" t="s">
        <v>2051</v>
      </c>
      <c r="AT13" t="s">
        <v>2051</v>
      </c>
      <c r="AU13" t="s">
        <v>2051</v>
      </c>
      <c r="AV13" t="s">
        <v>2051</v>
      </c>
      <c r="AW13" t="s">
        <v>2051</v>
      </c>
      <c r="AX13" t="s">
        <v>2051</v>
      </c>
      <c r="AY13" t="s">
        <v>2051</v>
      </c>
      <c r="AZ13" t="s">
        <v>2051</v>
      </c>
    </row>
    <row r="14" spans="1:52" x14ac:dyDescent="0.2">
      <c r="A14" t="s">
        <v>896</v>
      </c>
      <c r="B14">
        <v>2574</v>
      </c>
      <c r="C14" t="s">
        <v>893</v>
      </c>
      <c r="D14">
        <v>58</v>
      </c>
      <c r="E14">
        <v>1000000000</v>
      </c>
      <c r="F14">
        <v>1000000000</v>
      </c>
      <c r="G14">
        <v>1000000000</v>
      </c>
      <c r="H14">
        <v>1000000000</v>
      </c>
      <c r="I14">
        <v>1000000000</v>
      </c>
      <c r="J14">
        <v>1000000000</v>
      </c>
      <c r="K14">
        <v>1000000000</v>
      </c>
      <c r="L14">
        <v>1000000000</v>
      </c>
      <c r="M14">
        <v>36</v>
      </c>
      <c r="N14" t="s">
        <v>2051</v>
      </c>
      <c r="O14" t="s">
        <v>894</v>
      </c>
      <c r="P14">
        <v>14</v>
      </c>
      <c r="Q14">
        <v>1000000000</v>
      </c>
      <c r="R14">
        <v>1000000000</v>
      </c>
      <c r="S14">
        <v>1000000000</v>
      </c>
      <c r="T14" t="s">
        <v>893</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2051</v>
      </c>
      <c r="AK14">
        <v>2</v>
      </c>
      <c r="AL14" t="s">
        <v>2051</v>
      </c>
      <c r="AM14" t="s">
        <v>2051</v>
      </c>
      <c r="AN14" t="s">
        <v>2051</v>
      </c>
      <c r="AO14" t="s">
        <v>2051</v>
      </c>
      <c r="AP14" t="s">
        <v>2051</v>
      </c>
      <c r="AQ14" t="s">
        <v>2051</v>
      </c>
      <c r="AR14" t="s">
        <v>2051</v>
      </c>
      <c r="AS14" t="s">
        <v>2051</v>
      </c>
      <c r="AT14" t="s">
        <v>2051</v>
      </c>
      <c r="AU14" t="s">
        <v>2051</v>
      </c>
      <c r="AV14" t="s">
        <v>2051</v>
      </c>
      <c r="AW14" t="s">
        <v>2051</v>
      </c>
      <c r="AX14" t="s">
        <v>2051</v>
      </c>
      <c r="AY14" t="s">
        <v>2051</v>
      </c>
      <c r="AZ14" t="s">
        <v>2051</v>
      </c>
    </row>
    <row r="15" spans="1:52" x14ac:dyDescent="0.2">
      <c r="A15" t="s">
        <v>897</v>
      </c>
      <c r="B15">
        <v>2575</v>
      </c>
      <c r="C15" t="s">
        <v>893</v>
      </c>
      <c r="D15">
        <v>58</v>
      </c>
      <c r="E15">
        <v>1000000000</v>
      </c>
      <c r="F15">
        <v>1000000000</v>
      </c>
      <c r="G15">
        <v>1000000000</v>
      </c>
      <c r="H15">
        <v>1000000000</v>
      </c>
      <c r="I15">
        <v>1000000000</v>
      </c>
      <c r="J15">
        <v>1000000000</v>
      </c>
      <c r="K15">
        <v>1000000000</v>
      </c>
      <c r="L15">
        <v>1000000000</v>
      </c>
      <c r="M15">
        <v>4</v>
      </c>
      <c r="N15" t="s">
        <v>2051</v>
      </c>
      <c r="O15" t="s">
        <v>894</v>
      </c>
      <c r="P15">
        <v>14</v>
      </c>
      <c r="Q15">
        <v>1000000000</v>
      </c>
      <c r="R15">
        <v>1000000000</v>
      </c>
      <c r="S15">
        <v>1000000000</v>
      </c>
      <c r="T15" t="s">
        <v>893</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2051</v>
      </c>
      <c r="AK15">
        <v>2</v>
      </c>
      <c r="AL15" t="s">
        <v>2051</v>
      </c>
      <c r="AM15" t="s">
        <v>2051</v>
      </c>
      <c r="AN15" t="s">
        <v>2051</v>
      </c>
      <c r="AO15" t="s">
        <v>2051</v>
      </c>
      <c r="AP15" t="s">
        <v>2051</v>
      </c>
      <c r="AQ15" t="s">
        <v>2051</v>
      </c>
      <c r="AR15" t="s">
        <v>2051</v>
      </c>
      <c r="AS15" t="s">
        <v>2051</v>
      </c>
      <c r="AT15" t="s">
        <v>2051</v>
      </c>
      <c r="AU15" t="s">
        <v>2051</v>
      </c>
      <c r="AV15" t="s">
        <v>2051</v>
      </c>
      <c r="AW15" t="s">
        <v>2051</v>
      </c>
      <c r="AX15" t="s">
        <v>2051</v>
      </c>
      <c r="AY15" t="s">
        <v>2051</v>
      </c>
      <c r="AZ15" t="s">
        <v>2051</v>
      </c>
    </row>
    <row r="16" spans="1:52" x14ac:dyDescent="0.2">
      <c r="A16" t="s">
        <v>6</v>
      </c>
      <c r="B16">
        <v>1116</v>
      </c>
      <c r="C16" t="s">
        <v>893</v>
      </c>
      <c r="D16">
        <v>58</v>
      </c>
      <c r="E16">
        <v>10</v>
      </c>
      <c r="F16">
        <v>50</v>
      </c>
      <c r="G16">
        <v>210</v>
      </c>
      <c r="H16">
        <v>530</v>
      </c>
      <c r="I16">
        <v>530</v>
      </c>
      <c r="J16">
        <v>530</v>
      </c>
      <c r="K16">
        <v>308</v>
      </c>
      <c r="L16">
        <v>15</v>
      </c>
      <c r="M16">
        <v>530</v>
      </c>
      <c r="N16" t="s">
        <v>2051</v>
      </c>
      <c r="O16" t="s">
        <v>894</v>
      </c>
      <c r="P16">
        <v>14</v>
      </c>
      <c r="Q16">
        <v>2</v>
      </c>
      <c r="R16">
        <v>1000000000</v>
      </c>
      <c r="S16">
        <v>75</v>
      </c>
      <c r="T16" t="s">
        <v>893</v>
      </c>
      <c r="U16">
        <v>58</v>
      </c>
      <c r="V16">
        <v>10</v>
      </c>
      <c r="W16">
        <v>50</v>
      </c>
      <c r="X16">
        <v>138</v>
      </c>
      <c r="Y16">
        <v>580</v>
      </c>
      <c r="Z16">
        <v>580</v>
      </c>
      <c r="AA16">
        <v>308</v>
      </c>
      <c r="AB16">
        <v>15</v>
      </c>
      <c r="AC16">
        <v>138</v>
      </c>
      <c r="AD16">
        <v>110</v>
      </c>
      <c r="AE16">
        <v>183</v>
      </c>
      <c r="AF16">
        <v>50</v>
      </c>
      <c r="AG16">
        <v>1</v>
      </c>
      <c r="AH16">
        <v>1</v>
      </c>
      <c r="AI16">
        <v>2</v>
      </c>
      <c r="AJ16" t="s">
        <v>2051</v>
      </c>
      <c r="AK16">
        <v>2</v>
      </c>
      <c r="AL16" t="s">
        <v>6</v>
      </c>
      <c r="AM16">
        <v>370</v>
      </c>
      <c r="AN16" t="s">
        <v>2052</v>
      </c>
      <c r="AO16" t="s">
        <v>2051</v>
      </c>
      <c r="AP16" t="s">
        <v>2051</v>
      </c>
      <c r="AQ16" t="s">
        <v>2051</v>
      </c>
      <c r="AR16" t="s">
        <v>2051</v>
      </c>
      <c r="AS16" t="s">
        <v>2051</v>
      </c>
      <c r="AT16" t="s">
        <v>2051</v>
      </c>
      <c r="AU16" t="s">
        <v>2051</v>
      </c>
      <c r="AV16" t="s">
        <v>2051</v>
      </c>
      <c r="AW16" t="s">
        <v>2051</v>
      </c>
      <c r="AX16" t="s">
        <v>2051</v>
      </c>
      <c r="AY16" t="s">
        <v>2051</v>
      </c>
      <c r="AZ16" t="s">
        <v>2051</v>
      </c>
    </row>
    <row r="17" spans="1:52" x14ac:dyDescent="0.2">
      <c r="A17" t="s">
        <v>7</v>
      </c>
      <c r="B17">
        <v>1243</v>
      </c>
      <c r="C17" t="s">
        <v>893</v>
      </c>
      <c r="D17">
        <v>58</v>
      </c>
      <c r="E17">
        <v>1.5</v>
      </c>
      <c r="F17">
        <v>1.5</v>
      </c>
      <c r="G17">
        <v>88</v>
      </c>
      <c r="H17">
        <v>190</v>
      </c>
      <c r="I17">
        <v>190</v>
      </c>
      <c r="J17">
        <v>190</v>
      </c>
      <c r="K17">
        <v>105</v>
      </c>
      <c r="L17">
        <v>0.48</v>
      </c>
      <c r="M17">
        <v>190</v>
      </c>
      <c r="N17" t="s">
        <v>2051</v>
      </c>
      <c r="O17" t="s">
        <v>894</v>
      </c>
      <c r="P17">
        <v>14</v>
      </c>
      <c r="Q17">
        <v>2</v>
      </c>
      <c r="R17">
        <v>1000000000</v>
      </c>
      <c r="S17">
        <v>300</v>
      </c>
      <c r="T17" t="s">
        <v>893</v>
      </c>
      <c r="U17">
        <v>58</v>
      </c>
      <c r="V17">
        <v>1.5</v>
      </c>
      <c r="W17">
        <v>1.5</v>
      </c>
      <c r="X17">
        <v>5</v>
      </c>
      <c r="Y17">
        <v>200</v>
      </c>
      <c r="Z17">
        <v>200</v>
      </c>
      <c r="AA17">
        <v>105</v>
      </c>
      <c r="AB17">
        <v>0.48</v>
      </c>
      <c r="AC17">
        <v>5</v>
      </c>
      <c r="AD17">
        <v>1000000000</v>
      </c>
      <c r="AE17">
        <v>7</v>
      </c>
      <c r="AF17">
        <v>1</v>
      </c>
      <c r="AG17" t="s">
        <v>2051</v>
      </c>
      <c r="AH17" t="s">
        <v>2051</v>
      </c>
      <c r="AI17">
        <v>2</v>
      </c>
      <c r="AJ17" t="s">
        <v>2051</v>
      </c>
      <c r="AK17">
        <v>2</v>
      </c>
      <c r="AL17" t="s">
        <v>2051</v>
      </c>
      <c r="AM17" t="s">
        <v>2051</v>
      </c>
      <c r="AN17" t="s">
        <v>2051</v>
      </c>
      <c r="AO17" t="s">
        <v>2051</v>
      </c>
      <c r="AP17" t="s">
        <v>2051</v>
      </c>
      <c r="AQ17" t="s">
        <v>2051</v>
      </c>
      <c r="AR17" t="s">
        <v>2051</v>
      </c>
      <c r="AS17" t="s">
        <v>2051</v>
      </c>
      <c r="AT17" t="s">
        <v>2051</v>
      </c>
      <c r="AU17" t="s">
        <v>2051</v>
      </c>
      <c r="AV17" t="s">
        <v>2051</v>
      </c>
      <c r="AW17" t="s">
        <v>2051</v>
      </c>
      <c r="AX17" t="s">
        <v>2051</v>
      </c>
      <c r="AY17" t="s">
        <v>2051</v>
      </c>
      <c r="AZ17" t="s">
        <v>2051</v>
      </c>
    </row>
    <row r="18" spans="1:52" x14ac:dyDescent="0.2">
      <c r="A18" t="s">
        <v>8</v>
      </c>
      <c r="B18">
        <v>1267</v>
      </c>
      <c r="C18" t="s">
        <v>893</v>
      </c>
      <c r="D18">
        <v>58</v>
      </c>
      <c r="E18">
        <v>4</v>
      </c>
      <c r="F18">
        <v>35</v>
      </c>
      <c r="G18">
        <v>39</v>
      </c>
      <c r="H18">
        <v>100</v>
      </c>
      <c r="I18">
        <v>100</v>
      </c>
      <c r="J18">
        <v>100</v>
      </c>
      <c r="K18">
        <v>100</v>
      </c>
      <c r="L18">
        <v>0.21</v>
      </c>
      <c r="M18">
        <v>100</v>
      </c>
      <c r="N18" t="s">
        <v>2051</v>
      </c>
      <c r="O18" t="s">
        <v>894</v>
      </c>
      <c r="P18">
        <v>14</v>
      </c>
      <c r="Q18">
        <v>3</v>
      </c>
      <c r="R18">
        <v>1000000000</v>
      </c>
      <c r="S18">
        <v>75</v>
      </c>
      <c r="T18" t="s">
        <v>893</v>
      </c>
      <c r="U18">
        <v>58</v>
      </c>
      <c r="V18">
        <v>4</v>
      </c>
      <c r="W18">
        <v>35</v>
      </c>
      <c r="X18">
        <v>50</v>
      </c>
      <c r="Y18">
        <v>210</v>
      </c>
      <c r="Z18">
        <v>210</v>
      </c>
      <c r="AA18">
        <v>100</v>
      </c>
      <c r="AB18">
        <v>0.21</v>
      </c>
      <c r="AC18">
        <v>50</v>
      </c>
      <c r="AD18">
        <v>45</v>
      </c>
      <c r="AE18">
        <v>58</v>
      </c>
      <c r="AF18">
        <v>10</v>
      </c>
      <c r="AG18">
        <v>1</v>
      </c>
      <c r="AH18" t="s">
        <v>2051</v>
      </c>
      <c r="AI18">
        <v>2</v>
      </c>
      <c r="AJ18" t="s">
        <v>2051</v>
      </c>
      <c r="AK18">
        <v>2</v>
      </c>
      <c r="AL18" t="s">
        <v>2051</v>
      </c>
      <c r="AM18" t="s">
        <v>2051</v>
      </c>
      <c r="AN18" t="s">
        <v>2051</v>
      </c>
      <c r="AO18" t="s">
        <v>2051</v>
      </c>
      <c r="AP18" t="s">
        <v>2051</v>
      </c>
      <c r="AQ18" t="s">
        <v>2051</v>
      </c>
      <c r="AR18" t="s">
        <v>2051</v>
      </c>
      <c r="AS18" t="s">
        <v>2051</v>
      </c>
      <c r="AT18" t="s">
        <v>2051</v>
      </c>
      <c r="AU18" t="s">
        <v>2051</v>
      </c>
      <c r="AV18" t="s">
        <v>2051</v>
      </c>
      <c r="AW18" t="s">
        <v>2051</v>
      </c>
      <c r="AX18" t="s">
        <v>2051</v>
      </c>
      <c r="AY18" t="s">
        <v>2051</v>
      </c>
      <c r="AZ18" t="s">
        <v>2051</v>
      </c>
    </row>
    <row r="19" spans="1:52" x14ac:dyDescent="0.2">
      <c r="A19" t="s">
        <v>898</v>
      </c>
      <c r="B19">
        <v>1553</v>
      </c>
      <c r="C19" t="s">
        <v>893</v>
      </c>
      <c r="D19">
        <v>58</v>
      </c>
      <c r="E19">
        <v>1</v>
      </c>
      <c r="F19">
        <v>1000000000</v>
      </c>
      <c r="G19">
        <v>1000000000</v>
      </c>
      <c r="H19">
        <v>1000000000</v>
      </c>
      <c r="I19">
        <v>1000000000</v>
      </c>
      <c r="J19">
        <v>1000000000</v>
      </c>
      <c r="K19">
        <v>1000000000</v>
      </c>
      <c r="L19">
        <v>1000000000</v>
      </c>
      <c r="M19">
        <v>1000000000</v>
      </c>
      <c r="N19" t="s">
        <v>2051</v>
      </c>
      <c r="O19" t="s">
        <v>894</v>
      </c>
      <c r="P19">
        <v>14</v>
      </c>
      <c r="Q19">
        <v>5</v>
      </c>
      <c r="R19">
        <v>1000000000</v>
      </c>
      <c r="S19">
        <v>1000000000</v>
      </c>
      <c r="T19" t="s">
        <v>893</v>
      </c>
      <c r="U19">
        <v>58</v>
      </c>
      <c r="V19">
        <v>1000000000</v>
      </c>
      <c r="W19">
        <v>1000000000</v>
      </c>
      <c r="X19">
        <v>1000000000</v>
      </c>
      <c r="Y19">
        <v>1000000000</v>
      </c>
      <c r="Z19">
        <v>1000000000</v>
      </c>
      <c r="AA19">
        <v>1000000000</v>
      </c>
      <c r="AB19">
        <v>1000000000</v>
      </c>
      <c r="AC19">
        <v>1000000000</v>
      </c>
      <c r="AD19">
        <v>1000000000</v>
      </c>
      <c r="AE19">
        <v>1000000000</v>
      </c>
      <c r="AF19">
        <v>1</v>
      </c>
      <c r="AG19" t="s">
        <v>2051</v>
      </c>
      <c r="AH19" t="s">
        <v>2051</v>
      </c>
      <c r="AI19">
        <v>2</v>
      </c>
      <c r="AJ19" t="s">
        <v>2051</v>
      </c>
      <c r="AK19">
        <v>2</v>
      </c>
      <c r="AL19" t="s">
        <v>2051</v>
      </c>
      <c r="AM19" t="s">
        <v>2051</v>
      </c>
      <c r="AN19" t="s">
        <v>2051</v>
      </c>
      <c r="AO19" t="s">
        <v>2051</v>
      </c>
      <c r="AP19" t="s">
        <v>2051</v>
      </c>
      <c r="AQ19" t="s">
        <v>2051</v>
      </c>
      <c r="AR19" t="s">
        <v>2051</v>
      </c>
      <c r="AS19" t="s">
        <v>2051</v>
      </c>
      <c r="AT19" t="s">
        <v>2051</v>
      </c>
      <c r="AU19" t="s">
        <v>2051</v>
      </c>
      <c r="AV19" t="s">
        <v>2051</v>
      </c>
      <c r="AW19" t="s">
        <v>2051</v>
      </c>
      <c r="AX19" t="s">
        <v>2051</v>
      </c>
      <c r="AY19" t="s">
        <v>2051</v>
      </c>
      <c r="AZ19" t="s">
        <v>2051</v>
      </c>
    </row>
    <row r="20" spans="1:52" x14ac:dyDescent="0.2">
      <c r="A20" t="s">
        <v>594</v>
      </c>
      <c r="B20">
        <v>1564</v>
      </c>
      <c r="C20" t="s">
        <v>893</v>
      </c>
      <c r="D20">
        <v>58</v>
      </c>
      <c r="E20">
        <v>1.5</v>
      </c>
      <c r="F20">
        <v>6.5</v>
      </c>
      <c r="G20">
        <v>180</v>
      </c>
      <c r="H20">
        <v>900</v>
      </c>
      <c r="I20">
        <v>1000000000</v>
      </c>
      <c r="J20">
        <v>1000000000</v>
      </c>
      <c r="K20">
        <v>450</v>
      </c>
      <c r="L20">
        <v>9.2999999999999999E-2</v>
      </c>
      <c r="M20">
        <v>1000000000</v>
      </c>
      <c r="N20" t="s">
        <v>2051</v>
      </c>
      <c r="O20" t="s">
        <v>894</v>
      </c>
      <c r="P20">
        <v>14</v>
      </c>
      <c r="Q20">
        <v>2.5</v>
      </c>
      <c r="R20">
        <v>1000000000</v>
      </c>
      <c r="S20">
        <v>1000000000</v>
      </c>
      <c r="T20" t="s">
        <v>893</v>
      </c>
      <c r="U20">
        <v>58</v>
      </c>
      <c r="V20">
        <v>1.5</v>
      </c>
      <c r="W20">
        <v>6.5</v>
      </c>
      <c r="X20">
        <v>1000000000</v>
      </c>
      <c r="Y20">
        <v>1000000000</v>
      </c>
      <c r="Z20">
        <v>1000000000</v>
      </c>
      <c r="AA20">
        <v>450</v>
      </c>
      <c r="AB20">
        <v>9.2999999999999999E-2</v>
      </c>
      <c r="AC20">
        <v>6.5</v>
      </c>
      <c r="AD20">
        <v>1000000000</v>
      </c>
      <c r="AE20">
        <v>900</v>
      </c>
      <c r="AF20">
        <v>4</v>
      </c>
      <c r="AG20">
        <v>0.6</v>
      </c>
      <c r="AH20" t="s">
        <v>2051</v>
      </c>
      <c r="AI20">
        <v>2</v>
      </c>
      <c r="AJ20" t="s">
        <v>2051</v>
      </c>
      <c r="AK20">
        <v>2</v>
      </c>
      <c r="AL20" t="s">
        <v>2051</v>
      </c>
      <c r="AM20" t="s">
        <v>2051</v>
      </c>
      <c r="AN20" t="s">
        <v>2051</v>
      </c>
      <c r="AO20" t="s">
        <v>2051</v>
      </c>
      <c r="AP20" t="s">
        <v>2051</v>
      </c>
      <c r="AQ20" t="s">
        <v>2051</v>
      </c>
      <c r="AR20" t="s">
        <v>2051</v>
      </c>
      <c r="AS20" t="s">
        <v>2051</v>
      </c>
      <c r="AT20" t="s">
        <v>2051</v>
      </c>
      <c r="AU20" t="s">
        <v>2051</v>
      </c>
      <c r="AV20" t="s">
        <v>2051</v>
      </c>
      <c r="AW20" t="s">
        <v>2051</v>
      </c>
      <c r="AX20" t="s">
        <v>2051</v>
      </c>
      <c r="AY20" t="s">
        <v>2051</v>
      </c>
      <c r="AZ20" t="s">
        <v>2051</v>
      </c>
    </row>
    <row r="21" spans="1:52" x14ac:dyDescent="0.2">
      <c r="A21" t="s">
        <v>595</v>
      </c>
      <c r="B21">
        <v>1642</v>
      </c>
      <c r="C21" t="s">
        <v>893</v>
      </c>
      <c r="D21">
        <v>58</v>
      </c>
      <c r="E21">
        <v>10</v>
      </c>
      <c r="F21">
        <v>80</v>
      </c>
      <c r="G21">
        <v>97</v>
      </c>
      <c r="H21">
        <v>250</v>
      </c>
      <c r="I21">
        <v>1000000000</v>
      </c>
      <c r="J21">
        <v>1000000000</v>
      </c>
      <c r="K21">
        <v>146</v>
      </c>
      <c r="L21">
        <v>1.9</v>
      </c>
      <c r="M21">
        <v>1000000000</v>
      </c>
      <c r="N21" t="s">
        <v>2051</v>
      </c>
      <c r="O21" t="s">
        <v>894</v>
      </c>
      <c r="P21">
        <v>14</v>
      </c>
      <c r="Q21">
        <v>2</v>
      </c>
      <c r="R21">
        <v>1000000000</v>
      </c>
      <c r="S21">
        <v>1000000000</v>
      </c>
      <c r="T21" t="s">
        <v>893</v>
      </c>
      <c r="U21">
        <v>58</v>
      </c>
      <c r="V21">
        <v>10</v>
      </c>
      <c r="W21">
        <v>80</v>
      </c>
      <c r="X21">
        <v>1000000000</v>
      </c>
      <c r="Y21">
        <v>1000000000</v>
      </c>
      <c r="Z21">
        <v>1000000000</v>
      </c>
      <c r="AA21">
        <v>146</v>
      </c>
      <c r="AB21">
        <v>1.9</v>
      </c>
      <c r="AC21">
        <v>80</v>
      </c>
      <c r="AD21">
        <v>1000000000</v>
      </c>
      <c r="AE21">
        <v>250</v>
      </c>
      <c r="AF21">
        <v>12</v>
      </c>
      <c r="AG21">
        <v>1.2</v>
      </c>
      <c r="AH21" t="s">
        <v>2051</v>
      </c>
      <c r="AI21">
        <v>2</v>
      </c>
      <c r="AJ21" t="s">
        <v>2051</v>
      </c>
      <c r="AK21">
        <v>2</v>
      </c>
      <c r="AL21" t="s">
        <v>2051</v>
      </c>
      <c r="AM21" t="s">
        <v>2051</v>
      </c>
      <c r="AN21" t="s">
        <v>2051</v>
      </c>
      <c r="AO21" t="s">
        <v>2051</v>
      </c>
      <c r="AP21" t="s">
        <v>2051</v>
      </c>
      <c r="AQ21" t="s">
        <v>2051</v>
      </c>
      <c r="AR21" t="s">
        <v>2051</v>
      </c>
      <c r="AS21" t="s">
        <v>2051</v>
      </c>
      <c r="AT21" t="s">
        <v>2051</v>
      </c>
      <c r="AU21" t="s">
        <v>2051</v>
      </c>
      <c r="AV21" t="s">
        <v>2051</v>
      </c>
      <c r="AW21" t="s">
        <v>2051</v>
      </c>
      <c r="AX21" t="s">
        <v>2051</v>
      </c>
      <c r="AY21" t="s">
        <v>2051</v>
      </c>
      <c r="AZ21" t="s">
        <v>2051</v>
      </c>
    </row>
    <row r="22" spans="1:52" x14ac:dyDescent="0.2">
      <c r="A22" t="s">
        <v>9</v>
      </c>
      <c r="B22">
        <v>1693</v>
      </c>
      <c r="C22" t="s">
        <v>893</v>
      </c>
      <c r="D22">
        <v>58</v>
      </c>
      <c r="E22">
        <v>20</v>
      </c>
      <c r="F22">
        <v>140</v>
      </c>
      <c r="G22">
        <v>200</v>
      </c>
      <c r="H22">
        <v>720</v>
      </c>
      <c r="I22">
        <v>720</v>
      </c>
      <c r="J22">
        <v>720</v>
      </c>
      <c r="K22">
        <v>430</v>
      </c>
      <c r="L22">
        <v>2.1</v>
      </c>
      <c r="M22">
        <v>720</v>
      </c>
      <c r="N22" t="s">
        <v>2051</v>
      </c>
      <c r="O22" t="s">
        <v>894</v>
      </c>
      <c r="P22">
        <v>14</v>
      </c>
      <c r="Q22">
        <v>10</v>
      </c>
      <c r="R22">
        <v>1000000000</v>
      </c>
      <c r="S22">
        <v>800</v>
      </c>
      <c r="T22" t="s">
        <v>893</v>
      </c>
      <c r="U22">
        <v>58</v>
      </c>
      <c r="V22">
        <v>20</v>
      </c>
      <c r="W22">
        <v>140</v>
      </c>
      <c r="X22">
        <v>563</v>
      </c>
      <c r="Y22">
        <v>2000</v>
      </c>
      <c r="Z22">
        <v>2000</v>
      </c>
      <c r="AA22">
        <v>430</v>
      </c>
      <c r="AB22">
        <v>2.1</v>
      </c>
      <c r="AC22">
        <v>563</v>
      </c>
      <c r="AD22">
        <v>365</v>
      </c>
      <c r="AE22">
        <v>720</v>
      </c>
      <c r="AF22">
        <v>50</v>
      </c>
      <c r="AG22">
        <v>3</v>
      </c>
      <c r="AH22">
        <v>1.5</v>
      </c>
      <c r="AI22">
        <v>2</v>
      </c>
      <c r="AJ22" t="s">
        <v>2051</v>
      </c>
      <c r="AK22">
        <v>2</v>
      </c>
      <c r="AL22" t="s">
        <v>2051</v>
      </c>
      <c r="AM22" t="s">
        <v>2051</v>
      </c>
      <c r="AN22" t="s">
        <v>2051</v>
      </c>
      <c r="AO22" t="s">
        <v>2051</v>
      </c>
      <c r="AP22" t="s">
        <v>2051</v>
      </c>
      <c r="AQ22" t="s">
        <v>2051</v>
      </c>
      <c r="AR22" t="s">
        <v>2051</v>
      </c>
      <c r="AS22" t="s">
        <v>2051</v>
      </c>
      <c r="AT22" t="s">
        <v>2051</v>
      </c>
      <c r="AU22" t="s">
        <v>2051</v>
      </c>
      <c r="AV22" t="s">
        <v>2051</v>
      </c>
      <c r="AW22" t="s">
        <v>2051</v>
      </c>
      <c r="AX22" t="s">
        <v>2051</v>
      </c>
      <c r="AY22" t="s">
        <v>2051</v>
      </c>
      <c r="AZ22" t="s">
        <v>2051</v>
      </c>
    </row>
    <row r="23" spans="1:52" x14ac:dyDescent="0.2">
      <c r="A23" t="s">
        <v>10</v>
      </c>
      <c r="B23">
        <v>1259</v>
      </c>
      <c r="C23" t="s">
        <v>893</v>
      </c>
      <c r="D23">
        <v>58</v>
      </c>
      <c r="E23">
        <v>0.05</v>
      </c>
      <c r="F23">
        <v>1000000000</v>
      </c>
      <c r="G23">
        <v>1000000000</v>
      </c>
      <c r="H23">
        <v>1000000000</v>
      </c>
      <c r="I23">
        <v>1000000000</v>
      </c>
      <c r="J23">
        <v>1000000000</v>
      </c>
      <c r="K23">
        <v>1000000000</v>
      </c>
      <c r="L23">
        <v>1000000000</v>
      </c>
      <c r="M23">
        <v>1000000000</v>
      </c>
      <c r="N23" t="s">
        <v>2051</v>
      </c>
      <c r="O23" t="s">
        <v>894</v>
      </c>
      <c r="P23">
        <v>14</v>
      </c>
      <c r="Q23">
        <v>0.02</v>
      </c>
      <c r="R23">
        <v>1000000000</v>
      </c>
      <c r="S23">
        <v>70</v>
      </c>
      <c r="T23" t="s">
        <v>893</v>
      </c>
      <c r="U23">
        <v>58</v>
      </c>
      <c r="V23">
        <v>0.05</v>
      </c>
      <c r="W23">
        <v>1000000000</v>
      </c>
      <c r="X23">
        <v>1000000000</v>
      </c>
      <c r="Y23">
        <v>1000000000</v>
      </c>
      <c r="Z23">
        <v>1000000000</v>
      </c>
      <c r="AA23">
        <v>1000000000</v>
      </c>
      <c r="AB23">
        <v>1000000000</v>
      </c>
      <c r="AC23">
        <v>1000000000</v>
      </c>
      <c r="AD23">
        <v>1000000000</v>
      </c>
      <c r="AE23">
        <v>1000000000</v>
      </c>
      <c r="AF23" t="s">
        <v>2051</v>
      </c>
      <c r="AG23" t="s">
        <v>2051</v>
      </c>
      <c r="AH23">
        <v>1</v>
      </c>
      <c r="AI23">
        <v>10</v>
      </c>
      <c r="AJ23">
        <v>30</v>
      </c>
      <c r="AK23" t="s">
        <v>2051</v>
      </c>
      <c r="AL23" t="s">
        <v>2051</v>
      </c>
      <c r="AM23" t="s">
        <v>2051</v>
      </c>
      <c r="AN23" t="s">
        <v>2051</v>
      </c>
      <c r="AO23" t="s">
        <v>2051</v>
      </c>
      <c r="AP23" t="s">
        <v>2051</v>
      </c>
      <c r="AQ23" t="s">
        <v>2051</v>
      </c>
      <c r="AR23" t="s">
        <v>2051</v>
      </c>
      <c r="AS23" t="s">
        <v>2051</v>
      </c>
      <c r="AT23" t="s">
        <v>2051</v>
      </c>
      <c r="AU23" t="s">
        <v>2051</v>
      </c>
      <c r="AV23" t="s">
        <v>2051</v>
      </c>
      <c r="AW23" t="s">
        <v>2051</v>
      </c>
      <c r="AX23" t="s">
        <v>2051</v>
      </c>
      <c r="AY23" t="s">
        <v>2051</v>
      </c>
      <c r="AZ23" t="s">
        <v>2051</v>
      </c>
    </row>
    <row r="24" spans="1:52" x14ac:dyDescent="0.2">
      <c r="A24" t="s">
        <v>11</v>
      </c>
      <c r="B24">
        <v>299</v>
      </c>
      <c r="C24" t="s">
        <v>893</v>
      </c>
      <c r="D24">
        <v>58</v>
      </c>
      <c r="E24">
        <v>0.05</v>
      </c>
      <c r="F24">
        <v>1000000000</v>
      </c>
      <c r="G24">
        <v>1000000000</v>
      </c>
      <c r="H24">
        <v>1000000000</v>
      </c>
      <c r="I24">
        <v>1000000000</v>
      </c>
      <c r="J24">
        <v>1000000000</v>
      </c>
      <c r="K24">
        <v>1000000000</v>
      </c>
      <c r="L24">
        <v>1000000000</v>
      </c>
      <c r="M24">
        <v>1000000000</v>
      </c>
      <c r="N24" t="s">
        <v>2051</v>
      </c>
      <c r="O24" t="s">
        <v>894</v>
      </c>
      <c r="P24">
        <v>14</v>
      </c>
      <c r="Q24">
        <v>0.01</v>
      </c>
      <c r="R24">
        <v>1000000000</v>
      </c>
      <c r="S24">
        <v>5</v>
      </c>
      <c r="T24" t="s">
        <v>893</v>
      </c>
      <c r="U24">
        <v>58</v>
      </c>
      <c r="V24">
        <v>0.05</v>
      </c>
      <c r="W24">
        <v>1000000000</v>
      </c>
      <c r="X24">
        <v>1000000000</v>
      </c>
      <c r="Y24">
        <v>1000000000</v>
      </c>
      <c r="Z24">
        <v>1000000000</v>
      </c>
      <c r="AA24">
        <v>1000000000</v>
      </c>
      <c r="AB24">
        <v>1000000000</v>
      </c>
      <c r="AC24">
        <v>1000000000</v>
      </c>
      <c r="AD24">
        <v>1000000000</v>
      </c>
      <c r="AE24">
        <v>1000000000</v>
      </c>
      <c r="AF24" t="s">
        <v>2051</v>
      </c>
      <c r="AG24" t="s">
        <v>2051</v>
      </c>
      <c r="AH24">
        <v>1</v>
      </c>
      <c r="AI24">
        <v>10</v>
      </c>
      <c r="AJ24">
        <v>30</v>
      </c>
      <c r="AK24" t="s">
        <v>2051</v>
      </c>
      <c r="AL24" t="s">
        <v>2051</v>
      </c>
      <c r="AM24" t="s">
        <v>2051</v>
      </c>
      <c r="AN24" t="s">
        <v>2051</v>
      </c>
      <c r="AO24" t="s">
        <v>2051</v>
      </c>
      <c r="AP24" t="s">
        <v>2051</v>
      </c>
      <c r="AQ24" t="s">
        <v>2051</v>
      </c>
      <c r="AR24" t="s">
        <v>2051</v>
      </c>
      <c r="AS24" t="s">
        <v>2051</v>
      </c>
      <c r="AT24" t="s">
        <v>2051</v>
      </c>
      <c r="AU24" t="s">
        <v>2051</v>
      </c>
      <c r="AV24" t="s">
        <v>2051</v>
      </c>
      <c r="AW24" t="s">
        <v>2051</v>
      </c>
      <c r="AX24" t="s">
        <v>2051</v>
      </c>
      <c r="AY24" t="s">
        <v>2051</v>
      </c>
      <c r="AZ24" t="s">
        <v>2051</v>
      </c>
    </row>
    <row r="25" spans="1:52" x14ac:dyDescent="0.2">
      <c r="A25" t="s">
        <v>12</v>
      </c>
      <c r="B25">
        <v>746</v>
      </c>
      <c r="C25" t="s">
        <v>893</v>
      </c>
      <c r="D25">
        <v>58</v>
      </c>
      <c r="E25">
        <v>0.05</v>
      </c>
      <c r="F25">
        <v>1000000000</v>
      </c>
      <c r="G25">
        <v>1000000000</v>
      </c>
      <c r="H25">
        <v>1000000000</v>
      </c>
      <c r="I25">
        <v>1000000000</v>
      </c>
      <c r="J25">
        <v>1000000000</v>
      </c>
      <c r="K25">
        <v>1000000000</v>
      </c>
      <c r="L25">
        <v>1000000000</v>
      </c>
      <c r="M25">
        <v>1000000000</v>
      </c>
      <c r="N25" t="s">
        <v>2051</v>
      </c>
      <c r="O25" t="s">
        <v>894</v>
      </c>
      <c r="P25">
        <v>14</v>
      </c>
      <c r="Q25">
        <v>0.01</v>
      </c>
      <c r="R25">
        <v>1000000000</v>
      </c>
      <c r="S25">
        <v>5</v>
      </c>
      <c r="T25" t="s">
        <v>893</v>
      </c>
      <c r="U25">
        <v>58</v>
      </c>
      <c r="V25">
        <v>0.05</v>
      </c>
      <c r="W25">
        <v>1000000000</v>
      </c>
      <c r="X25">
        <v>1000000000</v>
      </c>
      <c r="Y25">
        <v>1000000000</v>
      </c>
      <c r="Z25">
        <v>1000000000</v>
      </c>
      <c r="AA25">
        <v>1000000000</v>
      </c>
      <c r="AB25">
        <v>1000000000</v>
      </c>
      <c r="AC25">
        <v>1000000000</v>
      </c>
      <c r="AD25">
        <v>1000000000</v>
      </c>
      <c r="AE25">
        <v>1000000000</v>
      </c>
      <c r="AF25" t="s">
        <v>2051</v>
      </c>
      <c r="AG25" t="s">
        <v>2051</v>
      </c>
      <c r="AH25">
        <v>1</v>
      </c>
      <c r="AI25">
        <v>10</v>
      </c>
      <c r="AJ25">
        <v>30</v>
      </c>
      <c r="AK25" t="s">
        <v>2051</v>
      </c>
      <c r="AL25" t="s">
        <v>2051</v>
      </c>
      <c r="AM25" t="s">
        <v>2051</v>
      </c>
      <c r="AN25" t="s">
        <v>2051</v>
      </c>
      <c r="AO25" t="s">
        <v>2051</v>
      </c>
      <c r="AP25" t="s">
        <v>2051</v>
      </c>
      <c r="AQ25" t="s">
        <v>2051</v>
      </c>
      <c r="AR25" t="s">
        <v>2051</v>
      </c>
      <c r="AS25" t="s">
        <v>2051</v>
      </c>
      <c r="AT25" t="s">
        <v>2051</v>
      </c>
      <c r="AU25" t="s">
        <v>2051</v>
      </c>
      <c r="AV25" t="s">
        <v>2051</v>
      </c>
      <c r="AW25" t="s">
        <v>2051</v>
      </c>
      <c r="AX25" t="s">
        <v>2051</v>
      </c>
      <c r="AY25" t="s">
        <v>2051</v>
      </c>
      <c r="AZ25" t="s">
        <v>2051</v>
      </c>
    </row>
    <row r="26" spans="1:52" x14ac:dyDescent="0.2">
      <c r="A26" t="s">
        <v>13</v>
      </c>
      <c r="B26">
        <v>775</v>
      </c>
      <c r="C26" t="s">
        <v>893</v>
      </c>
      <c r="D26">
        <v>58</v>
      </c>
      <c r="E26">
        <v>0.05</v>
      </c>
      <c r="F26">
        <v>1000000000</v>
      </c>
      <c r="G26">
        <v>1000000000</v>
      </c>
      <c r="H26">
        <v>1000000000</v>
      </c>
      <c r="I26">
        <v>1000000000</v>
      </c>
      <c r="J26">
        <v>1000000000</v>
      </c>
      <c r="K26">
        <v>1000000000</v>
      </c>
      <c r="L26">
        <v>1000000000</v>
      </c>
      <c r="M26">
        <v>1000000000</v>
      </c>
      <c r="N26" t="s">
        <v>2051</v>
      </c>
      <c r="O26" t="s">
        <v>894</v>
      </c>
      <c r="P26">
        <v>14</v>
      </c>
      <c r="Q26">
        <v>0.01</v>
      </c>
      <c r="R26">
        <v>1000000000</v>
      </c>
      <c r="S26">
        <v>1</v>
      </c>
      <c r="T26" t="s">
        <v>893</v>
      </c>
      <c r="U26">
        <v>58</v>
      </c>
      <c r="V26">
        <v>0.05</v>
      </c>
      <c r="W26">
        <v>1000000000</v>
      </c>
      <c r="X26">
        <v>1000000000</v>
      </c>
      <c r="Y26">
        <v>1000000000</v>
      </c>
      <c r="Z26">
        <v>1000000000</v>
      </c>
      <c r="AA26">
        <v>1000000000</v>
      </c>
      <c r="AB26">
        <v>1000000000</v>
      </c>
      <c r="AC26">
        <v>1000000000</v>
      </c>
      <c r="AD26">
        <v>1000000000</v>
      </c>
      <c r="AE26">
        <v>1000000000</v>
      </c>
      <c r="AF26" t="s">
        <v>2051</v>
      </c>
      <c r="AG26" t="s">
        <v>2051</v>
      </c>
      <c r="AH26">
        <v>1</v>
      </c>
      <c r="AI26">
        <v>10</v>
      </c>
      <c r="AJ26">
        <v>30</v>
      </c>
      <c r="AK26" t="s">
        <v>2051</v>
      </c>
      <c r="AL26" t="s">
        <v>2051</v>
      </c>
      <c r="AM26" t="s">
        <v>2051</v>
      </c>
      <c r="AN26" t="s">
        <v>2051</v>
      </c>
      <c r="AO26" t="s">
        <v>2051</v>
      </c>
      <c r="AP26" t="s">
        <v>2051</v>
      </c>
      <c r="AQ26" t="s">
        <v>2051</v>
      </c>
      <c r="AR26" t="s">
        <v>2051</v>
      </c>
      <c r="AS26" t="s">
        <v>2051</v>
      </c>
      <c r="AT26" t="s">
        <v>2051</v>
      </c>
      <c r="AU26" t="s">
        <v>2051</v>
      </c>
      <c r="AV26" t="s">
        <v>2051</v>
      </c>
      <c r="AW26" t="s">
        <v>2051</v>
      </c>
      <c r="AX26" t="s">
        <v>2051</v>
      </c>
      <c r="AY26" t="s">
        <v>2051</v>
      </c>
      <c r="AZ26" t="s">
        <v>2051</v>
      </c>
    </row>
    <row r="27" spans="1:52" x14ac:dyDescent="0.2">
      <c r="A27" t="s">
        <v>14</v>
      </c>
      <c r="B27">
        <v>345</v>
      </c>
      <c r="C27" t="s">
        <v>893</v>
      </c>
      <c r="D27">
        <v>58</v>
      </c>
      <c r="E27">
        <v>0.05</v>
      </c>
      <c r="F27">
        <v>1000000000</v>
      </c>
      <c r="G27">
        <v>1000000000</v>
      </c>
      <c r="H27">
        <v>1000000000</v>
      </c>
      <c r="I27">
        <v>1000000000</v>
      </c>
      <c r="J27">
        <v>1000000000</v>
      </c>
      <c r="K27">
        <v>1000000000</v>
      </c>
      <c r="L27">
        <v>1000000000</v>
      </c>
      <c r="M27">
        <v>1000000000</v>
      </c>
      <c r="N27" t="s">
        <v>2051</v>
      </c>
      <c r="O27" t="s">
        <v>894</v>
      </c>
      <c r="P27">
        <v>14</v>
      </c>
      <c r="Q27">
        <v>0.01</v>
      </c>
      <c r="R27">
        <v>1000000000</v>
      </c>
      <c r="S27">
        <v>0.5</v>
      </c>
      <c r="T27" t="s">
        <v>893</v>
      </c>
      <c r="U27">
        <v>58</v>
      </c>
      <c r="V27">
        <v>0.05</v>
      </c>
      <c r="W27">
        <v>1000000000</v>
      </c>
      <c r="X27">
        <v>1000000000</v>
      </c>
      <c r="Y27">
        <v>1000000000</v>
      </c>
      <c r="Z27">
        <v>1000000000</v>
      </c>
      <c r="AA27">
        <v>1000000000</v>
      </c>
      <c r="AB27">
        <v>1000000000</v>
      </c>
      <c r="AC27">
        <v>1000000000</v>
      </c>
      <c r="AD27">
        <v>1000000000</v>
      </c>
      <c r="AE27">
        <v>1000000000</v>
      </c>
      <c r="AF27" t="s">
        <v>2051</v>
      </c>
      <c r="AG27" t="s">
        <v>2051</v>
      </c>
      <c r="AH27">
        <v>1</v>
      </c>
      <c r="AI27">
        <v>10</v>
      </c>
      <c r="AJ27">
        <v>30</v>
      </c>
      <c r="AK27" t="s">
        <v>2051</v>
      </c>
      <c r="AL27" t="s">
        <v>2051</v>
      </c>
      <c r="AM27" t="s">
        <v>2051</v>
      </c>
      <c r="AN27" t="s">
        <v>2051</v>
      </c>
      <c r="AO27" t="s">
        <v>2051</v>
      </c>
      <c r="AP27" t="s">
        <v>2051</v>
      </c>
      <c r="AQ27" t="s">
        <v>2051</v>
      </c>
      <c r="AR27" t="s">
        <v>2051</v>
      </c>
      <c r="AS27" t="s">
        <v>2051</v>
      </c>
      <c r="AT27" t="s">
        <v>2051</v>
      </c>
      <c r="AU27" t="s">
        <v>2051</v>
      </c>
      <c r="AV27" t="s">
        <v>2051</v>
      </c>
      <c r="AW27" t="s">
        <v>2051</v>
      </c>
      <c r="AX27" t="s">
        <v>2051</v>
      </c>
      <c r="AY27" t="s">
        <v>2051</v>
      </c>
      <c r="AZ27" t="s">
        <v>2051</v>
      </c>
    </row>
    <row r="28" spans="1:52" x14ac:dyDescent="0.2">
      <c r="A28" t="s">
        <v>15</v>
      </c>
      <c r="B28">
        <v>518</v>
      </c>
      <c r="C28" t="s">
        <v>893</v>
      </c>
      <c r="D28">
        <v>58</v>
      </c>
      <c r="E28">
        <v>0.05</v>
      </c>
      <c r="F28">
        <v>1000000000</v>
      </c>
      <c r="G28">
        <v>1000000000</v>
      </c>
      <c r="H28">
        <v>1000000000</v>
      </c>
      <c r="I28">
        <v>1000000000</v>
      </c>
      <c r="J28">
        <v>1000000000</v>
      </c>
      <c r="K28">
        <v>1000000000</v>
      </c>
      <c r="L28">
        <v>1000000000</v>
      </c>
      <c r="M28">
        <v>1000000000</v>
      </c>
      <c r="N28" t="s">
        <v>2051</v>
      </c>
      <c r="O28" t="s">
        <v>894</v>
      </c>
      <c r="P28">
        <v>14</v>
      </c>
      <c r="Q28">
        <v>0.01</v>
      </c>
      <c r="R28">
        <v>1000000000</v>
      </c>
      <c r="S28">
        <v>0.2</v>
      </c>
      <c r="T28" t="s">
        <v>893</v>
      </c>
      <c r="U28">
        <v>58</v>
      </c>
      <c r="V28">
        <v>0.05</v>
      </c>
      <c r="W28">
        <v>1000000000</v>
      </c>
      <c r="X28">
        <v>1000000000</v>
      </c>
      <c r="Y28">
        <v>1000000000</v>
      </c>
      <c r="Z28">
        <v>1000000000</v>
      </c>
      <c r="AA28">
        <v>1000000000</v>
      </c>
      <c r="AB28">
        <v>1000000000</v>
      </c>
      <c r="AC28">
        <v>1000000000</v>
      </c>
      <c r="AD28">
        <v>1000000000</v>
      </c>
      <c r="AE28">
        <v>1000000000</v>
      </c>
      <c r="AF28" t="s">
        <v>2051</v>
      </c>
      <c r="AG28" t="s">
        <v>2051</v>
      </c>
      <c r="AH28">
        <v>1</v>
      </c>
      <c r="AI28">
        <v>10</v>
      </c>
      <c r="AJ28">
        <v>30</v>
      </c>
      <c r="AK28" t="s">
        <v>2051</v>
      </c>
      <c r="AL28" t="s">
        <v>2051</v>
      </c>
      <c r="AM28" t="s">
        <v>2051</v>
      </c>
      <c r="AN28" t="s">
        <v>2051</v>
      </c>
      <c r="AO28" t="s">
        <v>2051</v>
      </c>
      <c r="AP28" t="s">
        <v>2051</v>
      </c>
      <c r="AQ28" t="s">
        <v>2051</v>
      </c>
      <c r="AR28" t="s">
        <v>2051</v>
      </c>
      <c r="AS28" t="s">
        <v>2051</v>
      </c>
      <c r="AT28" t="s">
        <v>2051</v>
      </c>
      <c r="AU28" t="s">
        <v>2051</v>
      </c>
      <c r="AV28" t="s">
        <v>2051</v>
      </c>
      <c r="AW28" t="s">
        <v>2051</v>
      </c>
      <c r="AX28" t="s">
        <v>2051</v>
      </c>
      <c r="AY28" t="s">
        <v>2051</v>
      </c>
      <c r="AZ28" t="s">
        <v>2051</v>
      </c>
    </row>
    <row r="29" spans="1:52" x14ac:dyDescent="0.2">
      <c r="A29" t="s">
        <v>16</v>
      </c>
      <c r="B29">
        <v>346</v>
      </c>
      <c r="C29" t="s">
        <v>893</v>
      </c>
      <c r="D29">
        <v>58</v>
      </c>
      <c r="E29">
        <v>0.05</v>
      </c>
      <c r="F29">
        <v>1000000000</v>
      </c>
      <c r="G29">
        <v>1000000000</v>
      </c>
      <c r="H29">
        <v>1000000000</v>
      </c>
      <c r="I29">
        <v>1000000000</v>
      </c>
      <c r="J29">
        <v>1000000000</v>
      </c>
      <c r="K29">
        <v>1000000000</v>
      </c>
      <c r="L29">
        <v>1000000000</v>
      </c>
      <c r="M29">
        <v>1000000000</v>
      </c>
      <c r="N29" t="s">
        <v>2051</v>
      </c>
      <c r="O29" t="s">
        <v>894</v>
      </c>
      <c r="P29">
        <v>14</v>
      </c>
      <c r="Q29">
        <v>0.01</v>
      </c>
      <c r="R29">
        <v>1000000000</v>
      </c>
      <c r="S29">
        <v>0.05</v>
      </c>
      <c r="T29" t="s">
        <v>893</v>
      </c>
      <c r="U29">
        <v>58</v>
      </c>
      <c r="V29">
        <v>0.05</v>
      </c>
      <c r="W29">
        <v>1000000000</v>
      </c>
      <c r="X29">
        <v>1000000000</v>
      </c>
      <c r="Y29">
        <v>1000000000</v>
      </c>
      <c r="Z29">
        <v>1000000000</v>
      </c>
      <c r="AA29">
        <v>1000000000</v>
      </c>
      <c r="AB29">
        <v>1000000000</v>
      </c>
      <c r="AC29">
        <v>1000000000</v>
      </c>
      <c r="AD29">
        <v>1000000000</v>
      </c>
      <c r="AE29">
        <v>1000000000</v>
      </c>
      <c r="AF29" t="s">
        <v>2051</v>
      </c>
      <c r="AG29" t="s">
        <v>2051</v>
      </c>
      <c r="AH29">
        <v>1</v>
      </c>
      <c r="AI29">
        <v>10</v>
      </c>
      <c r="AJ29">
        <v>30</v>
      </c>
      <c r="AK29" t="s">
        <v>2051</v>
      </c>
      <c r="AL29" t="s">
        <v>2051</v>
      </c>
      <c r="AM29" t="s">
        <v>2051</v>
      </c>
      <c r="AN29" t="s">
        <v>2051</v>
      </c>
      <c r="AO29" t="s">
        <v>2051</v>
      </c>
      <c r="AP29" t="s">
        <v>2051</v>
      </c>
      <c r="AQ29" t="s">
        <v>2051</v>
      </c>
      <c r="AR29" t="s">
        <v>2051</v>
      </c>
      <c r="AS29" t="s">
        <v>2051</v>
      </c>
      <c r="AT29" t="s">
        <v>2051</v>
      </c>
      <c r="AU29" t="s">
        <v>2051</v>
      </c>
      <c r="AV29" t="s">
        <v>2051</v>
      </c>
      <c r="AW29" t="s">
        <v>2051</v>
      </c>
      <c r="AX29" t="s">
        <v>2051</v>
      </c>
      <c r="AY29" t="s">
        <v>2051</v>
      </c>
      <c r="AZ29" t="s">
        <v>2051</v>
      </c>
    </row>
    <row r="30" spans="1:52" x14ac:dyDescent="0.2">
      <c r="A30" t="s">
        <v>17</v>
      </c>
      <c r="B30">
        <v>351</v>
      </c>
      <c r="C30" t="s">
        <v>893</v>
      </c>
      <c r="D30">
        <v>58</v>
      </c>
      <c r="E30">
        <v>0.05</v>
      </c>
      <c r="F30">
        <v>1000000000</v>
      </c>
      <c r="G30">
        <v>1000000000</v>
      </c>
      <c r="H30">
        <v>1000000000</v>
      </c>
      <c r="I30">
        <v>1000000000</v>
      </c>
      <c r="J30">
        <v>1000000000</v>
      </c>
      <c r="K30">
        <v>1000000000</v>
      </c>
      <c r="L30">
        <v>1000000000</v>
      </c>
      <c r="M30">
        <v>1000000000</v>
      </c>
      <c r="N30" t="s">
        <v>2051</v>
      </c>
      <c r="O30" t="s">
        <v>894</v>
      </c>
      <c r="P30">
        <v>14</v>
      </c>
      <c r="Q30">
        <v>0.01</v>
      </c>
      <c r="R30">
        <v>1000000000</v>
      </c>
      <c r="S30">
        <v>0.05</v>
      </c>
      <c r="T30" t="s">
        <v>893</v>
      </c>
      <c r="U30">
        <v>58</v>
      </c>
      <c r="V30">
        <v>0.05</v>
      </c>
      <c r="W30">
        <v>1000000000</v>
      </c>
      <c r="X30">
        <v>1000000000</v>
      </c>
      <c r="Y30">
        <v>1000000000</v>
      </c>
      <c r="Z30">
        <v>1000000000</v>
      </c>
      <c r="AA30">
        <v>1000000000</v>
      </c>
      <c r="AB30">
        <v>1000000000</v>
      </c>
      <c r="AC30">
        <v>1000000000</v>
      </c>
      <c r="AD30">
        <v>1000000000</v>
      </c>
      <c r="AE30">
        <v>1000000000</v>
      </c>
      <c r="AF30" t="s">
        <v>2051</v>
      </c>
      <c r="AG30" t="s">
        <v>2051</v>
      </c>
      <c r="AH30">
        <v>1</v>
      </c>
      <c r="AI30">
        <v>10</v>
      </c>
      <c r="AJ30">
        <v>30</v>
      </c>
      <c r="AK30" t="s">
        <v>2051</v>
      </c>
      <c r="AL30" t="s">
        <v>2051</v>
      </c>
      <c r="AM30" t="s">
        <v>2051</v>
      </c>
      <c r="AN30" t="s">
        <v>2051</v>
      </c>
      <c r="AO30" t="s">
        <v>2051</v>
      </c>
      <c r="AP30" t="s">
        <v>2051</v>
      </c>
      <c r="AQ30" t="s">
        <v>2051</v>
      </c>
      <c r="AR30" t="s">
        <v>2051</v>
      </c>
      <c r="AS30" t="s">
        <v>2051</v>
      </c>
      <c r="AT30" t="s">
        <v>2051</v>
      </c>
      <c r="AU30" t="s">
        <v>2051</v>
      </c>
      <c r="AV30" t="s">
        <v>2051</v>
      </c>
      <c r="AW30" t="s">
        <v>2051</v>
      </c>
      <c r="AX30" t="s">
        <v>2051</v>
      </c>
      <c r="AY30" t="s">
        <v>2051</v>
      </c>
      <c r="AZ30" t="s">
        <v>2051</v>
      </c>
    </row>
    <row r="31" spans="1:52" x14ac:dyDescent="0.2">
      <c r="A31" t="s">
        <v>18</v>
      </c>
      <c r="B31">
        <v>353</v>
      </c>
      <c r="C31" t="s">
        <v>893</v>
      </c>
      <c r="D31">
        <v>58</v>
      </c>
      <c r="E31">
        <v>0.05</v>
      </c>
      <c r="F31">
        <v>1000000000</v>
      </c>
      <c r="G31">
        <v>1000000000</v>
      </c>
      <c r="H31">
        <v>1000000000</v>
      </c>
      <c r="I31">
        <v>1000000000</v>
      </c>
      <c r="J31">
        <v>1000000000</v>
      </c>
      <c r="K31">
        <v>1000000000</v>
      </c>
      <c r="L31">
        <v>1000000000</v>
      </c>
      <c r="M31">
        <v>1000000000</v>
      </c>
      <c r="N31" t="s">
        <v>2051</v>
      </c>
      <c r="O31" t="s">
        <v>894</v>
      </c>
      <c r="P31">
        <v>14</v>
      </c>
      <c r="Q31">
        <v>0.01</v>
      </c>
      <c r="R31">
        <v>1000000000</v>
      </c>
      <c r="S31">
        <v>0.05</v>
      </c>
      <c r="T31" t="s">
        <v>893</v>
      </c>
      <c r="U31">
        <v>58</v>
      </c>
      <c r="V31">
        <v>0.05</v>
      </c>
      <c r="W31">
        <v>1000000000</v>
      </c>
      <c r="X31">
        <v>1000000000</v>
      </c>
      <c r="Y31">
        <v>1000000000</v>
      </c>
      <c r="Z31">
        <v>1000000000</v>
      </c>
      <c r="AA31">
        <v>1000000000</v>
      </c>
      <c r="AB31">
        <v>1000000000</v>
      </c>
      <c r="AC31">
        <v>1000000000</v>
      </c>
      <c r="AD31">
        <v>1000000000</v>
      </c>
      <c r="AE31">
        <v>1000000000</v>
      </c>
      <c r="AF31" t="s">
        <v>2051</v>
      </c>
      <c r="AG31" t="s">
        <v>2051</v>
      </c>
      <c r="AH31">
        <v>1</v>
      </c>
      <c r="AI31">
        <v>10</v>
      </c>
      <c r="AJ31">
        <v>30</v>
      </c>
      <c r="AK31" t="s">
        <v>2051</v>
      </c>
      <c r="AL31" t="s">
        <v>2051</v>
      </c>
      <c r="AM31" t="s">
        <v>2051</v>
      </c>
      <c r="AN31" t="s">
        <v>2051</v>
      </c>
      <c r="AO31" t="s">
        <v>2051</v>
      </c>
      <c r="AP31" t="s">
        <v>2051</v>
      </c>
      <c r="AQ31" t="s">
        <v>2051</v>
      </c>
      <c r="AR31" t="s">
        <v>2051</v>
      </c>
      <c r="AS31" t="s">
        <v>2051</v>
      </c>
      <c r="AT31" t="s">
        <v>2051</v>
      </c>
      <c r="AU31" t="s">
        <v>2051</v>
      </c>
      <c r="AV31" t="s">
        <v>2051</v>
      </c>
      <c r="AW31" t="s">
        <v>2051</v>
      </c>
      <c r="AX31" t="s">
        <v>2051</v>
      </c>
      <c r="AY31" t="s">
        <v>2051</v>
      </c>
      <c r="AZ31" t="s">
        <v>2051</v>
      </c>
    </row>
    <row r="32" spans="1:52" x14ac:dyDescent="0.2">
      <c r="A32" t="s">
        <v>19</v>
      </c>
      <c r="B32">
        <v>882</v>
      </c>
      <c r="C32" t="s">
        <v>893</v>
      </c>
      <c r="D32">
        <v>58</v>
      </c>
      <c r="E32">
        <v>0.05</v>
      </c>
      <c r="F32">
        <v>1000000000</v>
      </c>
      <c r="G32">
        <v>1000000000</v>
      </c>
      <c r="H32">
        <v>1000000000</v>
      </c>
      <c r="I32">
        <v>1000000000</v>
      </c>
      <c r="J32">
        <v>1000000000</v>
      </c>
      <c r="K32">
        <v>1000000000</v>
      </c>
      <c r="L32">
        <v>1000000000</v>
      </c>
      <c r="M32">
        <v>1000000000</v>
      </c>
      <c r="N32" t="s">
        <v>2051</v>
      </c>
      <c r="O32" t="s">
        <v>894</v>
      </c>
      <c r="P32">
        <v>14</v>
      </c>
      <c r="Q32">
        <v>0.01</v>
      </c>
      <c r="R32">
        <v>1000000000</v>
      </c>
      <c r="S32">
        <v>0.05</v>
      </c>
      <c r="T32" t="s">
        <v>893</v>
      </c>
      <c r="U32">
        <v>58</v>
      </c>
      <c r="V32">
        <v>0.05</v>
      </c>
      <c r="W32">
        <v>1000000000</v>
      </c>
      <c r="X32">
        <v>1000000000</v>
      </c>
      <c r="Y32">
        <v>1000000000</v>
      </c>
      <c r="Z32">
        <v>1000000000</v>
      </c>
      <c r="AA32">
        <v>1000000000</v>
      </c>
      <c r="AB32">
        <v>1000000000</v>
      </c>
      <c r="AC32">
        <v>1000000000</v>
      </c>
      <c r="AD32">
        <v>1000000000</v>
      </c>
      <c r="AE32">
        <v>1000000000</v>
      </c>
      <c r="AF32" t="s">
        <v>2051</v>
      </c>
      <c r="AG32" t="s">
        <v>2051</v>
      </c>
      <c r="AH32">
        <v>1</v>
      </c>
      <c r="AI32">
        <v>10</v>
      </c>
      <c r="AJ32">
        <v>30</v>
      </c>
      <c r="AK32" t="s">
        <v>2051</v>
      </c>
      <c r="AL32" t="s">
        <v>2051</v>
      </c>
      <c r="AM32" t="s">
        <v>2051</v>
      </c>
      <c r="AN32" t="s">
        <v>2051</v>
      </c>
      <c r="AO32" t="s">
        <v>2051</v>
      </c>
      <c r="AP32" t="s">
        <v>2051</v>
      </c>
      <c r="AQ32" t="s">
        <v>2051</v>
      </c>
      <c r="AR32" t="s">
        <v>2051</v>
      </c>
      <c r="AS32" t="s">
        <v>2051</v>
      </c>
      <c r="AT32" t="s">
        <v>2051</v>
      </c>
      <c r="AU32" t="s">
        <v>2051</v>
      </c>
      <c r="AV32" t="s">
        <v>2051</v>
      </c>
      <c r="AW32" t="s">
        <v>2051</v>
      </c>
      <c r="AX32" t="s">
        <v>2051</v>
      </c>
      <c r="AY32" t="s">
        <v>2051</v>
      </c>
      <c r="AZ32" t="s">
        <v>2051</v>
      </c>
    </row>
    <row r="33" spans="1:52" x14ac:dyDescent="0.2">
      <c r="A33" t="s">
        <v>162</v>
      </c>
      <c r="B33">
        <v>1352</v>
      </c>
      <c r="C33" t="s">
        <v>893</v>
      </c>
      <c r="D33">
        <v>58</v>
      </c>
      <c r="E33">
        <v>0.5</v>
      </c>
      <c r="F33">
        <v>1.5</v>
      </c>
      <c r="G33">
        <v>6.8</v>
      </c>
      <c r="H33">
        <v>40</v>
      </c>
      <c r="I33">
        <v>40</v>
      </c>
      <c r="J33">
        <v>40</v>
      </c>
      <c r="K33">
        <v>1000000000</v>
      </c>
      <c r="L33">
        <v>1000000000</v>
      </c>
      <c r="M33">
        <v>40</v>
      </c>
      <c r="N33" t="s">
        <v>2051</v>
      </c>
      <c r="O33" t="s">
        <v>894</v>
      </c>
      <c r="P33">
        <v>14</v>
      </c>
      <c r="Q33">
        <v>0.11</v>
      </c>
      <c r="R33">
        <v>1000000000</v>
      </c>
      <c r="S33">
        <v>1000000000</v>
      </c>
      <c r="T33" t="s">
        <v>893</v>
      </c>
      <c r="U33">
        <v>58</v>
      </c>
      <c r="V33">
        <v>0.5</v>
      </c>
      <c r="W33">
        <v>1.5</v>
      </c>
      <c r="X33">
        <v>9</v>
      </c>
      <c r="Y33">
        <v>40</v>
      </c>
      <c r="Z33">
        <v>40</v>
      </c>
      <c r="AA33">
        <v>1000000000</v>
      </c>
      <c r="AB33">
        <v>1000000000</v>
      </c>
      <c r="AC33">
        <v>9</v>
      </c>
      <c r="AD33">
        <v>8</v>
      </c>
      <c r="AE33">
        <v>40</v>
      </c>
      <c r="AF33" t="s">
        <v>2051</v>
      </c>
      <c r="AG33" t="s">
        <v>2051</v>
      </c>
      <c r="AH33">
        <v>1</v>
      </c>
      <c r="AI33">
        <v>10</v>
      </c>
      <c r="AJ33">
        <v>30</v>
      </c>
      <c r="AK33" t="s">
        <v>2051</v>
      </c>
      <c r="AL33" t="s">
        <v>2051</v>
      </c>
      <c r="AM33" t="s">
        <v>2051</v>
      </c>
      <c r="AN33" t="s">
        <v>2051</v>
      </c>
      <c r="AO33" t="s">
        <v>2051</v>
      </c>
      <c r="AP33" t="s">
        <v>2051</v>
      </c>
      <c r="AQ33" t="s">
        <v>2051</v>
      </c>
      <c r="AR33" t="s">
        <v>2051</v>
      </c>
      <c r="AS33" t="s">
        <v>2051</v>
      </c>
      <c r="AT33" t="s">
        <v>2051</v>
      </c>
      <c r="AU33" t="s">
        <v>2051</v>
      </c>
      <c r="AV33" t="s">
        <v>2051</v>
      </c>
      <c r="AW33" t="s">
        <v>2051</v>
      </c>
      <c r="AX33" t="s">
        <v>2051</v>
      </c>
      <c r="AY33" t="s">
        <v>2051</v>
      </c>
      <c r="AZ33" t="s">
        <v>2051</v>
      </c>
    </row>
    <row r="34" spans="1:52" x14ac:dyDescent="0.2">
      <c r="A34" t="s">
        <v>20</v>
      </c>
      <c r="B34">
        <v>1381</v>
      </c>
      <c r="C34" t="s">
        <v>893</v>
      </c>
      <c r="D34">
        <v>58</v>
      </c>
      <c r="E34">
        <v>1E-3</v>
      </c>
      <c r="F34">
        <v>1000000000</v>
      </c>
      <c r="G34">
        <v>1000000000</v>
      </c>
      <c r="H34">
        <v>1000000000</v>
      </c>
      <c r="I34">
        <v>1000000000</v>
      </c>
      <c r="J34">
        <v>1000000000</v>
      </c>
      <c r="K34">
        <v>1000000000</v>
      </c>
      <c r="L34">
        <v>1000000000</v>
      </c>
      <c r="M34">
        <v>1000000000</v>
      </c>
      <c r="N34" t="s">
        <v>2051</v>
      </c>
      <c r="O34" t="s">
        <v>894</v>
      </c>
      <c r="P34">
        <v>14</v>
      </c>
      <c r="Q34">
        <v>6.0000000000000001E-3</v>
      </c>
      <c r="R34">
        <v>1000000000</v>
      </c>
      <c r="S34">
        <v>1000000000</v>
      </c>
      <c r="T34" t="s">
        <v>893</v>
      </c>
      <c r="U34">
        <v>58</v>
      </c>
      <c r="V34">
        <v>1E-3</v>
      </c>
      <c r="W34">
        <v>1.5E-3</v>
      </c>
      <c r="X34">
        <v>1.4E-2</v>
      </c>
      <c r="Y34">
        <v>1000000000</v>
      </c>
      <c r="Z34">
        <v>1000000000</v>
      </c>
      <c r="AA34">
        <v>1000000000</v>
      </c>
      <c r="AB34">
        <v>1000000000</v>
      </c>
      <c r="AC34">
        <v>1.4E-2</v>
      </c>
      <c r="AD34">
        <v>1000000000</v>
      </c>
      <c r="AE34">
        <v>1000000000</v>
      </c>
      <c r="AF34" t="s">
        <v>2051</v>
      </c>
      <c r="AG34" t="s">
        <v>2051</v>
      </c>
      <c r="AH34">
        <v>1</v>
      </c>
      <c r="AI34">
        <v>10</v>
      </c>
      <c r="AJ34">
        <v>30</v>
      </c>
      <c r="AK34" t="s">
        <v>2051</v>
      </c>
      <c r="AL34" t="s">
        <v>2051</v>
      </c>
      <c r="AM34" t="s">
        <v>2051</v>
      </c>
      <c r="AN34" t="s">
        <v>2051</v>
      </c>
      <c r="AO34" t="s">
        <v>2051</v>
      </c>
      <c r="AP34" t="s">
        <v>2051</v>
      </c>
      <c r="AQ34" t="s">
        <v>2051</v>
      </c>
      <c r="AR34" t="s">
        <v>2051</v>
      </c>
      <c r="AS34" t="s">
        <v>2051</v>
      </c>
      <c r="AT34" t="s">
        <v>2051</v>
      </c>
      <c r="AU34" t="s">
        <v>2051</v>
      </c>
      <c r="AV34" t="s">
        <v>2051</v>
      </c>
      <c r="AW34" t="s">
        <v>2051</v>
      </c>
      <c r="AX34" t="s">
        <v>2051</v>
      </c>
      <c r="AY34" t="s">
        <v>2051</v>
      </c>
      <c r="AZ34" t="s">
        <v>2051</v>
      </c>
    </row>
    <row r="35" spans="1:52" x14ac:dyDescent="0.2">
      <c r="A35" t="s">
        <v>21</v>
      </c>
      <c r="B35">
        <v>1382</v>
      </c>
      <c r="C35" t="s">
        <v>893</v>
      </c>
      <c r="D35">
        <v>58</v>
      </c>
      <c r="E35">
        <v>1E-3</v>
      </c>
      <c r="F35">
        <v>1000000000</v>
      </c>
      <c r="G35">
        <v>1000000000</v>
      </c>
      <c r="H35">
        <v>1000000000</v>
      </c>
      <c r="I35">
        <v>1000000000</v>
      </c>
      <c r="J35">
        <v>1000000000</v>
      </c>
      <c r="K35">
        <v>1000000000</v>
      </c>
      <c r="L35">
        <v>1000000000</v>
      </c>
      <c r="M35">
        <v>1000000000</v>
      </c>
      <c r="N35" t="s">
        <v>2051</v>
      </c>
      <c r="O35" t="s">
        <v>894</v>
      </c>
      <c r="P35">
        <v>14</v>
      </c>
      <c r="Q35">
        <v>6.0000000000000001E-3</v>
      </c>
      <c r="R35">
        <v>1000000000</v>
      </c>
      <c r="S35">
        <v>1000000000</v>
      </c>
      <c r="T35" t="s">
        <v>893</v>
      </c>
      <c r="U35">
        <v>58</v>
      </c>
      <c r="V35">
        <v>1E-3</v>
      </c>
      <c r="W35">
        <v>2E-3</v>
      </c>
      <c r="X35">
        <v>1.4999999999999999E-2</v>
      </c>
      <c r="Y35">
        <v>1000000000</v>
      </c>
      <c r="Z35">
        <v>1000000000</v>
      </c>
      <c r="AA35">
        <v>1000000000</v>
      </c>
      <c r="AB35">
        <v>1000000000</v>
      </c>
      <c r="AC35">
        <v>1.4999999999999999E-2</v>
      </c>
      <c r="AD35">
        <v>1000000000</v>
      </c>
      <c r="AE35">
        <v>1000000000</v>
      </c>
      <c r="AF35" t="s">
        <v>2051</v>
      </c>
      <c r="AG35" t="s">
        <v>2051</v>
      </c>
      <c r="AH35">
        <v>1</v>
      </c>
      <c r="AI35">
        <v>10</v>
      </c>
      <c r="AJ35">
        <v>30</v>
      </c>
      <c r="AK35" t="s">
        <v>2051</v>
      </c>
      <c r="AL35" t="s">
        <v>2051</v>
      </c>
      <c r="AM35" t="s">
        <v>2051</v>
      </c>
      <c r="AN35" t="s">
        <v>2051</v>
      </c>
      <c r="AO35" t="s">
        <v>2051</v>
      </c>
      <c r="AP35" t="s">
        <v>2051</v>
      </c>
      <c r="AQ35" t="s">
        <v>2051</v>
      </c>
      <c r="AR35" t="s">
        <v>2051</v>
      </c>
      <c r="AS35" t="s">
        <v>2051</v>
      </c>
      <c r="AT35" t="s">
        <v>2051</v>
      </c>
      <c r="AU35" t="s">
        <v>2051</v>
      </c>
      <c r="AV35" t="s">
        <v>2051</v>
      </c>
      <c r="AW35" t="s">
        <v>2051</v>
      </c>
      <c r="AX35" t="s">
        <v>2051</v>
      </c>
      <c r="AY35" t="s">
        <v>2051</v>
      </c>
      <c r="AZ35" t="s">
        <v>2051</v>
      </c>
    </row>
    <row r="36" spans="1:52" x14ac:dyDescent="0.2">
      <c r="A36" t="s">
        <v>22</v>
      </c>
      <c r="B36">
        <v>1372</v>
      </c>
      <c r="C36" t="s">
        <v>893</v>
      </c>
      <c r="D36">
        <v>58</v>
      </c>
      <c r="E36">
        <v>1E-3</v>
      </c>
      <c r="F36">
        <v>1000000000</v>
      </c>
      <c r="G36">
        <v>1000000000</v>
      </c>
      <c r="H36">
        <v>1000000000</v>
      </c>
      <c r="I36">
        <v>1000000000</v>
      </c>
      <c r="J36">
        <v>1000000000</v>
      </c>
      <c r="K36">
        <v>1000000000</v>
      </c>
      <c r="L36">
        <v>1000000000</v>
      </c>
      <c r="M36">
        <v>1000000000</v>
      </c>
      <c r="N36" t="s">
        <v>2051</v>
      </c>
      <c r="O36" t="s">
        <v>894</v>
      </c>
      <c r="P36">
        <v>14</v>
      </c>
      <c r="Q36">
        <v>6.0000000000000001E-3</v>
      </c>
      <c r="R36">
        <v>1000000000</v>
      </c>
      <c r="S36">
        <v>1000000000</v>
      </c>
      <c r="T36" t="s">
        <v>893</v>
      </c>
      <c r="U36">
        <v>58</v>
      </c>
      <c r="V36">
        <v>1E-3</v>
      </c>
      <c r="W36">
        <v>1.5E-3</v>
      </c>
      <c r="X36">
        <v>2.3E-2</v>
      </c>
      <c r="Y36">
        <v>1000000000</v>
      </c>
      <c r="Z36">
        <v>1000000000</v>
      </c>
      <c r="AA36">
        <v>1000000000</v>
      </c>
      <c r="AB36">
        <v>1000000000</v>
      </c>
      <c r="AC36">
        <v>2.3E-2</v>
      </c>
      <c r="AD36">
        <v>1000000000</v>
      </c>
      <c r="AE36">
        <v>1000000000</v>
      </c>
      <c r="AF36" t="s">
        <v>2051</v>
      </c>
      <c r="AG36" t="s">
        <v>2051</v>
      </c>
      <c r="AH36">
        <v>1</v>
      </c>
      <c r="AI36">
        <v>10</v>
      </c>
      <c r="AJ36">
        <v>30</v>
      </c>
      <c r="AK36" t="s">
        <v>2051</v>
      </c>
      <c r="AL36" t="s">
        <v>2051</v>
      </c>
      <c r="AM36" t="s">
        <v>2051</v>
      </c>
      <c r="AN36" t="s">
        <v>2051</v>
      </c>
      <c r="AO36" t="s">
        <v>2051</v>
      </c>
      <c r="AP36" t="s">
        <v>2051</v>
      </c>
      <c r="AQ36" t="s">
        <v>2051</v>
      </c>
      <c r="AR36" t="s">
        <v>2051</v>
      </c>
      <c r="AS36" t="s">
        <v>2051</v>
      </c>
      <c r="AT36" t="s">
        <v>2051</v>
      </c>
      <c r="AU36" t="s">
        <v>2051</v>
      </c>
      <c r="AV36" t="s">
        <v>2051</v>
      </c>
      <c r="AW36" t="s">
        <v>2051</v>
      </c>
      <c r="AX36" t="s">
        <v>2051</v>
      </c>
      <c r="AY36" t="s">
        <v>2051</v>
      </c>
      <c r="AZ36" t="s">
        <v>2051</v>
      </c>
    </row>
    <row r="37" spans="1:52" x14ac:dyDescent="0.2">
      <c r="A37" t="s">
        <v>23</v>
      </c>
      <c r="B37">
        <v>1374</v>
      </c>
      <c r="C37" t="s">
        <v>893</v>
      </c>
      <c r="D37">
        <v>58</v>
      </c>
      <c r="E37">
        <v>1E-3</v>
      </c>
      <c r="F37">
        <v>1000000000</v>
      </c>
      <c r="G37">
        <v>1000000000</v>
      </c>
      <c r="H37">
        <v>1000000000</v>
      </c>
      <c r="I37">
        <v>1000000000</v>
      </c>
      <c r="J37">
        <v>1000000000</v>
      </c>
      <c r="K37">
        <v>1000000000</v>
      </c>
      <c r="L37">
        <v>1000000000</v>
      </c>
      <c r="M37">
        <v>1000000000</v>
      </c>
      <c r="N37" t="s">
        <v>2051</v>
      </c>
      <c r="O37" t="s">
        <v>894</v>
      </c>
      <c r="P37">
        <v>14</v>
      </c>
      <c r="Q37">
        <v>6.0000000000000001E-3</v>
      </c>
      <c r="R37">
        <v>1000000000</v>
      </c>
      <c r="S37">
        <v>1000000000</v>
      </c>
      <c r="T37" t="s">
        <v>893</v>
      </c>
      <c r="U37">
        <v>58</v>
      </c>
      <c r="V37">
        <v>1E-3</v>
      </c>
      <c r="W37">
        <v>4.4999999999999997E-3</v>
      </c>
      <c r="X37">
        <v>1.6E-2</v>
      </c>
      <c r="Y37">
        <v>1000000000</v>
      </c>
      <c r="Z37">
        <v>1000000000</v>
      </c>
      <c r="AA37">
        <v>1000000000</v>
      </c>
      <c r="AB37">
        <v>1000000000</v>
      </c>
      <c r="AC37">
        <v>1.6E-2</v>
      </c>
      <c r="AD37">
        <v>1000000000</v>
      </c>
      <c r="AE37">
        <v>1000000000</v>
      </c>
      <c r="AF37" t="s">
        <v>2051</v>
      </c>
      <c r="AG37" t="s">
        <v>2051</v>
      </c>
      <c r="AH37">
        <v>1</v>
      </c>
      <c r="AI37">
        <v>10</v>
      </c>
      <c r="AJ37">
        <v>30</v>
      </c>
      <c r="AK37" t="s">
        <v>2051</v>
      </c>
      <c r="AL37" t="s">
        <v>2051</v>
      </c>
      <c r="AM37" t="s">
        <v>2051</v>
      </c>
      <c r="AN37" t="s">
        <v>2051</v>
      </c>
      <c r="AO37" t="s">
        <v>2051</v>
      </c>
      <c r="AP37" t="s">
        <v>2051</v>
      </c>
      <c r="AQ37" t="s">
        <v>2051</v>
      </c>
      <c r="AR37" t="s">
        <v>2051</v>
      </c>
      <c r="AS37" t="s">
        <v>2051</v>
      </c>
      <c r="AT37" t="s">
        <v>2051</v>
      </c>
      <c r="AU37" t="s">
        <v>2051</v>
      </c>
      <c r="AV37" t="s">
        <v>2051</v>
      </c>
      <c r="AW37" t="s">
        <v>2051</v>
      </c>
      <c r="AX37" t="s">
        <v>2051</v>
      </c>
      <c r="AY37" t="s">
        <v>2051</v>
      </c>
      <c r="AZ37" t="s">
        <v>2051</v>
      </c>
    </row>
    <row r="38" spans="1:52" x14ac:dyDescent="0.2">
      <c r="A38" t="s">
        <v>24</v>
      </c>
      <c r="B38">
        <v>1376</v>
      </c>
      <c r="C38" t="s">
        <v>893</v>
      </c>
      <c r="D38">
        <v>58</v>
      </c>
      <c r="E38">
        <v>1E-3</v>
      </c>
      <c r="F38">
        <v>1000000000</v>
      </c>
      <c r="G38">
        <v>1000000000</v>
      </c>
      <c r="H38">
        <v>1000000000</v>
      </c>
      <c r="I38">
        <v>1000000000</v>
      </c>
      <c r="J38">
        <v>1000000000</v>
      </c>
      <c r="K38">
        <v>1000000000</v>
      </c>
      <c r="L38">
        <v>1000000000</v>
      </c>
      <c r="M38">
        <v>1000000000</v>
      </c>
      <c r="N38" t="s">
        <v>2051</v>
      </c>
      <c r="O38" t="s">
        <v>894</v>
      </c>
      <c r="P38">
        <v>14</v>
      </c>
      <c r="Q38">
        <v>6.0000000000000001E-3</v>
      </c>
      <c r="R38">
        <v>1000000000</v>
      </c>
      <c r="S38">
        <v>1000000000</v>
      </c>
      <c r="T38" t="s">
        <v>893</v>
      </c>
      <c r="U38">
        <v>58</v>
      </c>
      <c r="V38">
        <v>1E-3</v>
      </c>
      <c r="W38">
        <v>4.0000000000000001E-3</v>
      </c>
      <c r="X38">
        <v>2.7E-2</v>
      </c>
      <c r="Y38">
        <v>1000000000</v>
      </c>
      <c r="Z38">
        <v>1000000000</v>
      </c>
      <c r="AA38">
        <v>1000000000</v>
      </c>
      <c r="AB38">
        <v>1000000000</v>
      </c>
      <c r="AC38">
        <v>2.7E-2</v>
      </c>
      <c r="AD38">
        <v>1000000000</v>
      </c>
      <c r="AE38">
        <v>1000000000</v>
      </c>
      <c r="AF38" t="s">
        <v>2051</v>
      </c>
      <c r="AG38" t="s">
        <v>2051</v>
      </c>
      <c r="AH38">
        <v>1</v>
      </c>
      <c r="AI38">
        <v>10</v>
      </c>
      <c r="AJ38">
        <v>30</v>
      </c>
      <c r="AK38" t="s">
        <v>2051</v>
      </c>
      <c r="AL38" t="s">
        <v>2051</v>
      </c>
      <c r="AM38" t="s">
        <v>2051</v>
      </c>
      <c r="AN38" t="s">
        <v>2051</v>
      </c>
      <c r="AO38" t="s">
        <v>2051</v>
      </c>
      <c r="AP38" t="s">
        <v>2051</v>
      </c>
      <c r="AQ38" t="s">
        <v>2051</v>
      </c>
      <c r="AR38" t="s">
        <v>2051</v>
      </c>
      <c r="AS38" t="s">
        <v>2051</v>
      </c>
      <c r="AT38" t="s">
        <v>2051</v>
      </c>
      <c r="AU38" t="s">
        <v>2051</v>
      </c>
      <c r="AV38" t="s">
        <v>2051</v>
      </c>
      <c r="AW38" t="s">
        <v>2051</v>
      </c>
      <c r="AX38" t="s">
        <v>2051</v>
      </c>
      <c r="AY38" t="s">
        <v>2051</v>
      </c>
      <c r="AZ38" t="s">
        <v>2051</v>
      </c>
    </row>
    <row r="39" spans="1:52" x14ac:dyDescent="0.2">
      <c r="A39" t="s">
        <v>25</v>
      </c>
      <c r="B39">
        <v>1377</v>
      </c>
      <c r="C39" t="s">
        <v>893</v>
      </c>
      <c r="D39">
        <v>58</v>
      </c>
      <c r="E39">
        <v>1E-3</v>
      </c>
      <c r="F39">
        <v>1000000000</v>
      </c>
      <c r="G39">
        <v>1000000000</v>
      </c>
      <c r="H39">
        <v>1000000000</v>
      </c>
      <c r="I39">
        <v>1000000000</v>
      </c>
      <c r="J39">
        <v>1000000000</v>
      </c>
      <c r="K39">
        <v>1000000000</v>
      </c>
      <c r="L39">
        <v>1000000000</v>
      </c>
      <c r="M39">
        <v>1000000000</v>
      </c>
      <c r="N39" t="s">
        <v>2051</v>
      </c>
      <c r="O39" t="s">
        <v>894</v>
      </c>
      <c r="P39">
        <v>14</v>
      </c>
      <c r="Q39">
        <v>6.0000000000000001E-3</v>
      </c>
      <c r="R39">
        <v>1000000000</v>
      </c>
      <c r="S39">
        <v>1000000000</v>
      </c>
      <c r="T39" t="s">
        <v>893</v>
      </c>
      <c r="U39">
        <v>58</v>
      </c>
      <c r="V39">
        <v>1E-3</v>
      </c>
      <c r="W39">
        <v>3.5000000000000001E-3</v>
      </c>
      <c r="X39">
        <v>3.3000000000000002E-2</v>
      </c>
      <c r="Y39">
        <v>1000000000</v>
      </c>
      <c r="Z39">
        <v>1000000000</v>
      </c>
      <c r="AA39">
        <v>1000000000</v>
      </c>
      <c r="AB39">
        <v>1000000000</v>
      </c>
      <c r="AC39">
        <v>3.3000000000000002E-2</v>
      </c>
      <c r="AD39">
        <v>1000000000</v>
      </c>
      <c r="AE39">
        <v>1000000000</v>
      </c>
      <c r="AF39" t="s">
        <v>2051</v>
      </c>
      <c r="AG39" t="s">
        <v>2051</v>
      </c>
      <c r="AH39">
        <v>1</v>
      </c>
      <c r="AI39">
        <v>10</v>
      </c>
      <c r="AJ39">
        <v>30</v>
      </c>
      <c r="AK39" t="s">
        <v>2051</v>
      </c>
      <c r="AL39" t="s">
        <v>2051</v>
      </c>
      <c r="AM39" t="s">
        <v>2051</v>
      </c>
      <c r="AN39" t="s">
        <v>2051</v>
      </c>
      <c r="AO39" t="s">
        <v>2051</v>
      </c>
      <c r="AP39" t="s">
        <v>2051</v>
      </c>
      <c r="AQ39" t="s">
        <v>2051</v>
      </c>
      <c r="AR39" t="s">
        <v>2051</v>
      </c>
      <c r="AS39" t="s">
        <v>2051</v>
      </c>
      <c r="AT39" t="s">
        <v>2051</v>
      </c>
      <c r="AU39" t="s">
        <v>2051</v>
      </c>
      <c r="AV39" t="s">
        <v>2051</v>
      </c>
      <c r="AW39" t="s">
        <v>2051</v>
      </c>
      <c r="AX39" t="s">
        <v>2051</v>
      </c>
      <c r="AY39" t="s">
        <v>2051</v>
      </c>
      <c r="AZ39" t="s">
        <v>2051</v>
      </c>
    </row>
    <row r="40" spans="1:52" x14ac:dyDescent="0.2">
      <c r="A40" t="s">
        <v>26</v>
      </c>
      <c r="B40">
        <v>1380</v>
      </c>
      <c r="C40" t="s">
        <v>893</v>
      </c>
      <c r="D40">
        <v>58</v>
      </c>
      <c r="E40">
        <v>1E-3</v>
      </c>
      <c r="F40">
        <v>1000000000</v>
      </c>
      <c r="G40">
        <v>1000000000</v>
      </c>
      <c r="H40">
        <v>1000000000</v>
      </c>
      <c r="I40">
        <v>1000000000</v>
      </c>
      <c r="J40">
        <v>1000000000</v>
      </c>
      <c r="K40">
        <v>1000000000</v>
      </c>
      <c r="L40">
        <v>1000000000</v>
      </c>
      <c r="M40">
        <v>1000000000</v>
      </c>
      <c r="N40" t="s">
        <v>2051</v>
      </c>
      <c r="O40" t="s">
        <v>894</v>
      </c>
      <c r="P40">
        <v>14</v>
      </c>
      <c r="Q40">
        <v>6.0000000000000001E-3</v>
      </c>
      <c r="R40">
        <v>1000000000</v>
      </c>
      <c r="S40">
        <v>1000000000</v>
      </c>
      <c r="T40" t="s">
        <v>893</v>
      </c>
      <c r="U40">
        <v>58</v>
      </c>
      <c r="V40">
        <v>1E-3</v>
      </c>
      <c r="W40">
        <v>2.5000000000000001E-3</v>
      </c>
      <c r="X40">
        <v>1.7999999999999999E-2</v>
      </c>
      <c r="Y40">
        <v>1000000000</v>
      </c>
      <c r="Z40">
        <v>1000000000</v>
      </c>
      <c r="AA40">
        <v>1000000000</v>
      </c>
      <c r="AB40">
        <v>1000000000</v>
      </c>
      <c r="AC40">
        <v>1.7999999999999999E-2</v>
      </c>
      <c r="AD40">
        <v>1000000000</v>
      </c>
      <c r="AE40">
        <v>1000000000</v>
      </c>
      <c r="AF40" t="s">
        <v>2051</v>
      </c>
      <c r="AG40" t="s">
        <v>2051</v>
      </c>
      <c r="AH40">
        <v>1</v>
      </c>
      <c r="AI40">
        <v>10</v>
      </c>
      <c r="AJ40">
        <v>30</v>
      </c>
      <c r="AK40" t="s">
        <v>2051</v>
      </c>
      <c r="AL40" t="s">
        <v>2051</v>
      </c>
      <c r="AM40" t="s">
        <v>2051</v>
      </c>
      <c r="AN40" t="s">
        <v>2051</v>
      </c>
      <c r="AO40" t="s">
        <v>2051</v>
      </c>
      <c r="AP40" t="s">
        <v>2051</v>
      </c>
      <c r="AQ40" t="s">
        <v>2051</v>
      </c>
      <c r="AR40" t="s">
        <v>2051</v>
      </c>
      <c r="AS40" t="s">
        <v>2051</v>
      </c>
      <c r="AT40" t="s">
        <v>2051</v>
      </c>
      <c r="AU40" t="s">
        <v>2051</v>
      </c>
      <c r="AV40" t="s">
        <v>2051</v>
      </c>
      <c r="AW40" t="s">
        <v>2051</v>
      </c>
      <c r="AX40" t="s">
        <v>2051</v>
      </c>
      <c r="AY40" t="s">
        <v>2051</v>
      </c>
      <c r="AZ40" t="s">
        <v>2051</v>
      </c>
    </row>
    <row r="41" spans="1:52" x14ac:dyDescent="0.2">
      <c r="A41" t="s">
        <v>163</v>
      </c>
      <c r="B41">
        <v>1365</v>
      </c>
      <c r="C41" t="s">
        <v>893</v>
      </c>
      <c r="D41">
        <v>58</v>
      </c>
      <c r="E41">
        <v>7.0000000000000001E-3</v>
      </c>
      <c r="F41">
        <v>0.02</v>
      </c>
      <c r="G41">
        <v>0.04</v>
      </c>
      <c r="H41">
        <v>0.5</v>
      </c>
      <c r="I41">
        <v>1</v>
      </c>
      <c r="J41">
        <v>1</v>
      </c>
      <c r="K41">
        <v>1000000000</v>
      </c>
      <c r="L41">
        <v>1000000000</v>
      </c>
      <c r="M41">
        <v>1</v>
      </c>
      <c r="N41" t="s">
        <v>2051</v>
      </c>
      <c r="O41" t="s">
        <v>894</v>
      </c>
      <c r="P41">
        <v>14</v>
      </c>
      <c r="Q41">
        <v>4.2000000000000003E-2</v>
      </c>
      <c r="R41">
        <v>1000000000</v>
      </c>
      <c r="S41">
        <v>0.01</v>
      </c>
      <c r="T41" t="s">
        <v>893</v>
      </c>
      <c r="U41">
        <v>58</v>
      </c>
      <c r="V41">
        <v>7.0000000000000001E-3</v>
      </c>
      <c r="W41">
        <v>0.02</v>
      </c>
      <c r="X41">
        <v>0.13900000000000001</v>
      </c>
      <c r="Y41">
        <v>1</v>
      </c>
      <c r="Z41">
        <v>1</v>
      </c>
      <c r="AA41">
        <v>1000000000</v>
      </c>
      <c r="AB41">
        <v>1000000000</v>
      </c>
      <c r="AC41">
        <v>0.13900000000000001</v>
      </c>
      <c r="AD41">
        <v>0.1</v>
      </c>
      <c r="AE41">
        <v>0.24</v>
      </c>
      <c r="AF41" t="s">
        <v>2051</v>
      </c>
      <c r="AG41" t="s">
        <v>2051</v>
      </c>
      <c r="AH41">
        <v>1</v>
      </c>
      <c r="AI41">
        <v>2</v>
      </c>
      <c r="AJ41">
        <v>30</v>
      </c>
      <c r="AK41" t="s">
        <v>2051</v>
      </c>
      <c r="AL41" t="s">
        <v>2051</v>
      </c>
      <c r="AM41" t="s">
        <v>2051</v>
      </c>
      <c r="AN41" t="s">
        <v>2051</v>
      </c>
      <c r="AO41" t="s">
        <v>2051</v>
      </c>
      <c r="AP41" t="s">
        <v>2051</v>
      </c>
      <c r="AQ41" t="s">
        <v>2051</v>
      </c>
      <c r="AR41" t="s">
        <v>2051</v>
      </c>
      <c r="AS41" t="s">
        <v>2051</v>
      </c>
      <c r="AT41" t="s">
        <v>2051</v>
      </c>
      <c r="AU41" t="s">
        <v>2051</v>
      </c>
      <c r="AV41" t="s">
        <v>2051</v>
      </c>
      <c r="AW41" t="s">
        <v>2051</v>
      </c>
      <c r="AX41" t="s">
        <v>2051</v>
      </c>
      <c r="AY41" t="s">
        <v>2051</v>
      </c>
      <c r="AZ41" t="s">
        <v>2051</v>
      </c>
    </row>
    <row r="42" spans="1:52" x14ac:dyDescent="0.2">
      <c r="A42" t="s">
        <v>117</v>
      </c>
      <c r="B42">
        <v>342</v>
      </c>
      <c r="C42" t="s">
        <v>893</v>
      </c>
      <c r="D42">
        <v>58</v>
      </c>
      <c r="E42">
        <v>0.05</v>
      </c>
      <c r="F42">
        <v>0.2</v>
      </c>
      <c r="G42">
        <v>0.2</v>
      </c>
      <c r="H42">
        <v>1</v>
      </c>
      <c r="I42">
        <v>1.1000000000000001</v>
      </c>
      <c r="J42">
        <v>1.1000000000000001</v>
      </c>
      <c r="K42">
        <v>1000000000</v>
      </c>
      <c r="L42">
        <v>1000000000</v>
      </c>
      <c r="M42">
        <v>1.1000000000000001</v>
      </c>
      <c r="N42" t="s">
        <v>2051</v>
      </c>
      <c r="O42" t="s">
        <v>894</v>
      </c>
      <c r="P42">
        <v>14</v>
      </c>
      <c r="Q42">
        <v>0.2</v>
      </c>
      <c r="R42">
        <v>1000000000</v>
      </c>
      <c r="S42">
        <v>30</v>
      </c>
      <c r="T42" t="s">
        <v>893</v>
      </c>
      <c r="U42">
        <v>58</v>
      </c>
      <c r="V42">
        <v>1000000000</v>
      </c>
      <c r="W42">
        <v>0.2</v>
      </c>
      <c r="X42">
        <v>1000000000</v>
      </c>
      <c r="Y42">
        <v>1</v>
      </c>
      <c r="Z42">
        <v>1</v>
      </c>
      <c r="AA42">
        <v>1000000000</v>
      </c>
      <c r="AB42">
        <v>1000000000</v>
      </c>
      <c r="AC42">
        <v>0.2</v>
      </c>
      <c r="AD42">
        <v>1000000000</v>
      </c>
      <c r="AE42">
        <v>0.2</v>
      </c>
      <c r="AF42" t="s">
        <v>2051</v>
      </c>
      <c r="AG42" t="s">
        <v>2051</v>
      </c>
      <c r="AH42">
        <v>1</v>
      </c>
      <c r="AI42">
        <v>2</v>
      </c>
      <c r="AJ42">
        <v>30</v>
      </c>
      <c r="AK42" t="s">
        <v>2051</v>
      </c>
      <c r="AL42" t="s">
        <v>2051</v>
      </c>
      <c r="AM42" t="s">
        <v>2051</v>
      </c>
      <c r="AN42" t="s">
        <v>2051</v>
      </c>
      <c r="AO42" t="s">
        <v>2051</v>
      </c>
      <c r="AP42" t="s">
        <v>2051</v>
      </c>
      <c r="AQ42" t="s">
        <v>2051</v>
      </c>
      <c r="AR42" t="s">
        <v>2051</v>
      </c>
      <c r="AS42" t="s">
        <v>2051</v>
      </c>
      <c r="AT42" t="s">
        <v>2051</v>
      </c>
      <c r="AU42" t="s">
        <v>2051</v>
      </c>
      <c r="AV42" t="s">
        <v>2051</v>
      </c>
      <c r="AW42" t="s">
        <v>2051</v>
      </c>
      <c r="AX42" t="s">
        <v>2051</v>
      </c>
      <c r="AY42" t="s">
        <v>2051</v>
      </c>
      <c r="AZ42" t="s">
        <v>2051</v>
      </c>
    </row>
    <row r="43" spans="1:52" x14ac:dyDescent="0.2">
      <c r="A43" t="s">
        <v>118</v>
      </c>
      <c r="B43">
        <v>1568</v>
      </c>
      <c r="C43" t="s">
        <v>893</v>
      </c>
      <c r="D43">
        <v>58</v>
      </c>
      <c r="E43">
        <v>0.05</v>
      </c>
      <c r="F43">
        <v>0.2</v>
      </c>
      <c r="G43">
        <v>0.2</v>
      </c>
      <c r="H43">
        <v>1.25</v>
      </c>
      <c r="I43">
        <v>32</v>
      </c>
      <c r="J43">
        <v>32</v>
      </c>
      <c r="K43">
        <v>1000000000</v>
      </c>
      <c r="L43">
        <v>1000000000</v>
      </c>
      <c r="M43">
        <v>32</v>
      </c>
      <c r="N43" t="s">
        <v>2051</v>
      </c>
      <c r="O43" t="s">
        <v>894</v>
      </c>
      <c r="P43">
        <v>14</v>
      </c>
      <c r="Q43">
        <v>0.2</v>
      </c>
      <c r="R43">
        <v>1000000000</v>
      </c>
      <c r="S43">
        <v>1000</v>
      </c>
      <c r="T43" t="s">
        <v>893</v>
      </c>
      <c r="U43">
        <v>58</v>
      </c>
      <c r="V43">
        <v>1000000000</v>
      </c>
      <c r="W43">
        <v>0.2</v>
      </c>
      <c r="X43">
        <v>1000000000</v>
      </c>
      <c r="Y43">
        <v>130</v>
      </c>
      <c r="Z43">
        <v>130</v>
      </c>
      <c r="AA43">
        <v>1000000000</v>
      </c>
      <c r="AB43">
        <v>1000000000</v>
      </c>
      <c r="AC43">
        <v>0.2</v>
      </c>
      <c r="AD43">
        <v>1000000000</v>
      </c>
      <c r="AE43">
        <v>0.2</v>
      </c>
      <c r="AF43" t="s">
        <v>2051</v>
      </c>
      <c r="AG43" t="s">
        <v>2051</v>
      </c>
      <c r="AH43">
        <v>1</v>
      </c>
      <c r="AI43">
        <v>2</v>
      </c>
      <c r="AJ43">
        <v>30</v>
      </c>
      <c r="AK43" t="s">
        <v>2051</v>
      </c>
      <c r="AL43" t="s">
        <v>2051</v>
      </c>
      <c r="AM43" t="s">
        <v>2051</v>
      </c>
      <c r="AN43" t="s">
        <v>2051</v>
      </c>
      <c r="AO43" t="s">
        <v>2051</v>
      </c>
      <c r="AP43" t="s">
        <v>2051</v>
      </c>
      <c r="AQ43" t="s">
        <v>2051</v>
      </c>
      <c r="AR43" t="s">
        <v>2051</v>
      </c>
      <c r="AS43" t="s">
        <v>2051</v>
      </c>
      <c r="AT43" t="s">
        <v>2051</v>
      </c>
      <c r="AU43" t="s">
        <v>2051</v>
      </c>
      <c r="AV43" t="s">
        <v>2051</v>
      </c>
      <c r="AW43" t="s">
        <v>2051</v>
      </c>
      <c r="AX43" t="s">
        <v>2051</v>
      </c>
      <c r="AY43" t="s">
        <v>2051</v>
      </c>
      <c r="AZ43" t="s">
        <v>2051</v>
      </c>
    </row>
    <row r="44" spans="1:52" x14ac:dyDescent="0.2">
      <c r="A44" t="s">
        <v>119</v>
      </c>
      <c r="B44">
        <v>728</v>
      </c>
      <c r="C44" t="s">
        <v>893</v>
      </c>
      <c r="D44">
        <v>58</v>
      </c>
      <c r="E44">
        <v>0.05</v>
      </c>
      <c r="F44">
        <v>0.2</v>
      </c>
      <c r="G44">
        <v>0.2</v>
      </c>
      <c r="H44">
        <v>1.25</v>
      </c>
      <c r="I44">
        <v>110</v>
      </c>
      <c r="J44">
        <v>110</v>
      </c>
      <c r="K44">
        <v>1000000000</v>
      </c>
      <c r="L44">
        <v>1000000000</v>
      </c>
      <c r="M44">
        <v>110</v>
      </c>
      <c r="N44" t="s">
        <v>2051</v>
      </c>
      <c r="O44" t="s">
        <v>894</v>
      </c>
      <c r="P44">
        <v>14</v>
      </c>
      <c r="Q44">
        <v>0.2</v>
      </c>
      <c r="R44">
        <v>1000000000</v>
      </c>
      <c r="S44">
        <v>150</v>
      </c>
      <c r="T44" t="s">
        <v>893</v>
      </c>
      <c r="U44">
        <v>58</v>
      </c>
      <c r="V44">
        <v>1000000000</v>
      </c>
      <c r="W44">
        <v>0.2</v>
      </c>
      <c r="X44">
        <v>1000000000</v>
      </c>
      <c r="Y44">
        <v>50</v>
      </c>
      <c r="Z44">
        <v>50</v>
      </c>
      <c r="AA44">
        <v>1000000000</v>
      </c>
      <c r="AB44">
        <v>1000000000</v>
      </c>
      <c r="AC44">
        <v>0.2</v>
      </c>
      <c r="AD44">
        <v>1000000000</v>
      </c>
      <c r="AE44">
        <v>0.2</v>
      </c>
      <c r="AF44" t="s">
        <v>2051</v>
      </c>
      <c r="AG44" t="s">
        <v>2051</v>
      </c>
      <c r="AH44">
        <v>1</v>
      </c>
      <c r="AI44">
        <v>2</v>
      </c>
      <c r="AJ44">
        <v>30</v>
      </c>
      <c r="AK44" t="s">
        <v>2051</v>
      </c>
      <c r="AL44" t="s">
        <v>2051</v>
      </c>
      <c r="AM44" t="s">
        <v>2051</v>
      </c>
      <c r="AN44" t="s">
        <v>2051</v>
      </c>
      <c r="AO44" t="s">
        <v>2051</v>
      </c>
      <c r="AP44" t="s">
        <v>2051</v>
      </c>
      <c r="AQ44" t="s">
        <v>2051</v>
      </c>
      <c r="AR44" t="s">
        <v>2051</v>
      </c>
      <c r="AS44" t="s">
        <v>2051</v>
      </c>
      <c r="AT44" t="s">
        <v>2051</v>
      </c>
      <c r="AU44" t="s">
        <v>2051</v>
      </c>
      <c r="AV44" t="s">
        <v>2051</v>
      </c>
      <c r="AW44" t="s">
        <v>2051</v>
      </c>
      <c r="AX44" t="s">
        <v>2051</v>
      </c>
      <c r="AY44" t="s">
        <v>2051</v>
      </c>
      <c r="AZ44" t="s">
        <v>2051</v>
      </c>
    </row>
    <row r="45" spans="1:52" x14ac:dyDescent="0.2">
      <c r="A45" t="s">
        <v>164</v>
      </c>
      <c r="B45">
        <v>1686</v>
      </c>
      <c r="C45" t="s">
        <v>893</v>
      </c>
      <c r="D45">
        <v>58</v>
      </c>
      <c r="E45">
        <v>0.15</v>
      </c>
      <c r="F45">
        <v>0.45</v>
      </c>
      <c r="G45">
        <v>0.45</v>
      </c>
      <c r="H45">
        <v>1.25</v>
      </c>
      <c r="I45">
        <v>17</v>
      </c>
      <c r="J45">
        <v>17</v>
      </c>
      <c r="K45">
        <v>1000000000</v>
      </c>
      <c r="L45">
        <v>1000000000</v>
      </c>
      <c r="M45">
        <v>17</v>
      </c>
      <c r="N45" t="s">
        <v>2051</v>
      </c>
      <c r="O45" t="s">
        <v>894</v>
      </c>
      <c r="P45">
        <v>14</v>
      </c>
      <c r="Q45">
        <v>0.3</v>
      </c>
      <c r="R45">
        <v>1000000000</v>
      </c>
      <c r="S45">
        <v>70</v>
      </c>
      <c r="T45" t="s">
        <v>893</v>
      </c>
      <c r="U45">
        <v>58</v>
      </c>
      <c r="V45">
        <v>1000000000</v>
      </c>
      <c r="W45">
        <v>0.45</v>
      </c>
      <c r="X45">
        <v>1000000000</v>
      </c>
      <c r="Y45">
        <v>25</v>
      </c>
      <c r="Z45">
        <v>25</v>
      </c>
      <c r="AA45">
        <v>1000000000</v>
      </c>
      <c r="AB45">
        <v>1000000000</v>
      </c>
      <c r="AC45">
        <v>0.45</v>
      </c>
      <c r="AD45">
        <v>1000000000</v>
      </c>
      <c r="AE45">
        <v>0.45</v>
      </c>
      <c r="AF45" t="s">
        <v>2051</v>
      </c>
      <c r="AG45" t="s">
        <v>2051</v>
      </c>
      <c r="AH45">
        <v>1</v>
      </c>
      <c r="AI45">
        <v>2</v>
      </c>
      <c r="AJ45">
        <v>30</v>
      </c>
      <c r="AK45" t="s">
        <v>2051</v>
      </c>
      <c r="AL45" t="s">
        <v>2051</v>
      </c>
      <c r="AM45" t="s">
        <v>2051</v>
      </c>
      <c r="AN45" t="s">
        <v>2051</v>
      </c>
      <c r="AO45" t="s">
        <v>2051</v>
      </c>
      <c r="AP45" t="s">
        <v>2051</v>
      </c>
      <c r="AQ45" t="s">
        <v>2051</v>
      </c>
      <c r="AR45" t="s">
        <v>2051</v>
      </c>
      <c r="AS45" t="s">
        <v>2051</v>
      </c>
      <c r="AT45" t="s">
        <v>2051</v>
      </c>
      <c r="AU45" t="s">
        <v>2051</v>
      </c>
      <c r="AV45" t="s">
        <v>2051</v>
      </c>
      <c r="AW45" t="s">
        <v>2051</v>
      </c>
      <c r="AX45" t="s">
        <v>2051</v>
      </c>
      <c r="AY45" t="s">
        <v>2051</v>
      </c>
      <c r="AZ45" t="s">
        <v>2051</v>
      </c>
    </row>
    <row r="46" spans="1:52" x14ac:dyDescent="0.2">
      <c r="A46" t="s">
        <v>820</v>
      </c>
      <c r="B46">
        <v>1503</v>
      </c>
      <c r="C46" t="s">
        <v>893</v>
      </c>
      <c r="D46">
        <v>58</v>
      </c>
      <c r="E46">
        <v>0.05</v>
      </c>
      <c r="F46">
        <v>0.25</v>
      </c>
      <c r="G46">
        <v>0.25</v>
      </c>
      <c r="H46">
        <v>2.5</v>
      </c>
      <c r="I46">
        <v>86</v>
      </c>
      <c r="J46">
        <v>86</v>
      </c>
      <c r="K46">
        <v>1000000000</v>
      </c>
      <c r="L46">
        <v>1000000000</v>
      </c>
      <c r="M46">
        <v>86</v>
      </c>
      <c r="N46" t="s">
        <v>2051</v>
      </c>
      <c r="O46" t="s">
        <v>894</v>
      </c>
      <c r="P46">
        <v>14</v>
      </c>
      <c r="Q46">
        <v>0.2</v>
      </c>
      <c r="R46">
        <v>1000000000</v>
      </c>
      <c r="S46">
        <v>300</v>
      </c>
      <c r="T46" t="s">
        <v>893</v>
      </c>
      <c r="U46">
        <v>58</v>
      </c>
      <c r="V46">
        <v>1000000000</v>
      </c>
      <c r="W46">
        <v>0.25</v>
      </c>
      <c r="X46">
        <v>1000000000</v>
      </c>
      <c r="Y46">
        <v>100</v>
      </c>
      <c r="Z46">
        <v>100</v>
      </c>
      <c r="AA46">
        <v>1000000000</v>
      </c>
      <c r="AB46">
        <v>1000000000</v>
      </c>
      <c r="AC46">
        <v>0.25</v>
      </c>
      <c r="AD46">
        <v>1000000000</v>
      </c>
      <c r="AE46">
        <v>0.25</v>
      </c>
      <c r="AF46" t="s">
        <v>2051</v>
      </c>
      <c r="AG46" t="s">
        <v>2051</v>
      </c>
      <c r="AH46">
        <v>1</v>
      </c>
      <c r="AI46">
        <v>2</v>
      </c>
      <c r="AJ46">
        <v>30</v>
      </c>
      <c r="AK46" t="s">
        <v>2051</v>
      </c>
      <c r="AL46" t="s">
        <v>2051</v>
      </c>
      <c r="AM46" t="s">
        <v>2051</v>
      </c>
      <c r="AN46" t="s">
        <v>2051</v>
      </c>
      <c r="AO46" t="s">
        <v>2051</v>
      </c>
      <c r="AP46" t="s">
        <v>2051</v>
      </c>
      <c r="AQ46" t="s">
        <v>2051</v>
      </c>
      <c r="AR46" t="s">
        <v>2051</v>
      </c>
      <c r="AS46" t="s">
        <v>2051</v>
      </c>
      <c r="AT46" t="s">
        <v>2051</v>
      </c>
      <c r="AU46" t="s">
        <v>2051</v>
      </c>
      <c r="AV46" t="s">
        <v>2051</v>
      </c>
      <c r="AW46" t="s">
        <v>2051</v>
      </c>
      <c r="AX46" t="s">
        <v>2051</v>
      </c>
      <c r="AY46" t="s">
        <v>2051</v>
      </c>
      <c r="AZ46" t="s">
        <v>2051</v>
      </c>
    </row>
    <row r="47" spans="1:52" x14ac:dyDescent="0.2">
      <c r="A47" t="s">
        <v>564</v>
      </c>
      <c r="B47">
        <v>29</v>
      </c>
      <c r="C47" t="s">
        <v>893</v>
      </c>
      <c r="D47">
        <v>58</v>
      </c>
      <c r="E47">
        <v>0.1</v>
      </c>
      <c r="F47">
        <v>0.45</v>
      </c>
      <c r="G47">
        <v>0.45</v>
      </c>
      <c r="H47">
        <v>0.45</v>
      </c>
      <c r="I47">
        <v>1000000000</v>
      </c>
      <c r="J47">
        <v>1000000000</v>
      </c>
      <c r="K47">
        <v>1000000000</v>
      </c>
      <c r="L47">
        <v>1000000000</v>
      </c>
      <c r="M47">
        <v>1000000000</v>
      </c>
      <c r="N47" t="s">
        <v>2051</v>
      </c>
      <c r="O47" t="s">
        <v>894</v>
      </c>
      <c r="P47">
        <v>14</v>
      </c>
      <c r="Q47">
        <v>1000000000</v>
      </c>
      <c r="R47">
        <v>1000000000</v>
      </c>
      <c r="S47">
        <v>1000000000</v>
      </c>
      <c r="T47" t="s">
        <v>893</v>
      </c>
      <c r="U47">
        <v>58</v>
      </c>
      <c r="V47">
        <v>1000000000</v>
      </c>
      <c r="W47">
        <v>0.45</v>
      </c>
      <c r="X47">
        <v>1000000000</v>
      </c>
      <c r="Y47">
        <v>1000000000</v>
      </c>
      <c r="Z47">
        <v>1000000000</v>
      </c>
      <c r="AA47">
        <v>1000000000</v>
      </c>
      <c r="AB47">
        <v>1000000000</v>
      </c>
      <c r="AC47">
        <v>0.45</v>
      </c>
      <c r="AD47">
        <v>1000000000</v>
      </c>
      <c r="AE47">
        <v>0.45</v>
      </c>
      <c r="AF47" t="s">
        <v>2051</v>
      </c>
      <c r="AG47" t="s">
        <v>2051</v>
      </c>
      <c r="AH47">
        <v>1</v>
      </c>
      <c r="AI47">
        <v>2</v>
      </c>
      <c r="AJ47">
        <v>30</v>
      </c>
      <c r="AK47" t="s">
        <v>2051</v>
      </c>
      <c r="AL47" t="s">
        <v>2051</v>
      </c>
      <c r="AM47" t="s">
        <v>2051</v>
      </c>
      <c r="AN47" t="s">
        <v>2051</v>
      </c>
      <c r="AO47" t="s">
        <v>2051</v>
      </c>
      <c r="AP47" t="s">
        <v>2051</v>
      </c>
      <c r="AQ47" t="s">
        <v>2051</v>
      </c>
      <c r="AR47" t="s">
        <v>2051</v>
      </c>
      <c r="AS47" t="s">
        <v>2051</v>
      </c>
      <c r="AT47" t="s">
        <v>2051</v>
      </c>
      <c r="AU47" t="s">
        <v>2051</v>
      </c>
      <c r="AV47" t="s">
        <v>2051</v>
      </c>
      <c r="AW47" t="s">
        <v>2051</v>
      </c>
      <c r="AX47" t="s">
        <v>2051</v>
      </c>
      <c r="AY47" t="s">
        <v>2051</v>
      </c>
      <c r="AZ47" t="s">
        <v>2051</v>
      </c>
    </row>
    <row r="48" spans="1:52" x14ac:dyDescent="0.2">
      <c r="A48" t="s">
        <v>542</v>
      </c>
      <c r="B48">
        <v>1654</v>
      </c>
      <c r="C48" t="s">
        <v>893</v>
      </c>
      <c r="D48">
        <v>58</v>
      </c>
      <c r="E48">
        <v>0.05</v>
      </c>
      <c r="F48">
        <v>0.1</v>
      </c>
      <c r="G48">
        <v>0.1</v>
      </c>
      <c r="H48">
        <v>0.1</v>
      </c>
      <c r="I48">
        <v>0.1</v>
      </c>
      <c r="J48">
        <v>0.1</v>
      </c>
      <c r="K48">
        <v>1000000000</v>
      </c>
      <c r="L48">
        <v>1000000000</v>
      </c>
      <c r="M48">
        <v>0.1</v>
      </c>
      <c r="N48" t="s">
        <v>2051</v>
      </c>
      <c r="O48" t="s">
        <v>894</v>
      </c>
      <c r="P48">
        <v>14</v>
      </c>
      <c r="Q48">
        <v>0.2</v>
      </c>
      <c r="R48">
        <v>1000000000</v>
      </c>
      <c r="S48">
        <v>5</v>
      </c>
      <c r="T48" t="s">
        <v>893</v>
      </c>
      <c r="U48">
        <v>58</v>
      </c>
      <c r="V48">
        <v>0.04</v>
      </c>
      <c r="W48">
        <v>0.1</v>
      </c>
      <c r="X48">
        <v>1000000000</v>
      </c>
      <c r="Y48">
        <v>0.1</v>
      </c>
      <c r="Z48">
        <v>0.1</v>
      </c>
      <c r="AA48">
        <v>1000000000</v>
      </c>
      <c r="AB48">
        <v>1000000000</v>
      </c>
      <c r="AC48">
        <v>0.1</v>
      </c>
      <c r="AD48">
        <v>1000000000</v>
      </c>
      <c r="AE48">
        <v>0.1</v>
      </c>
      <c r="AF48" t="s">
        <v>2051</v>
      </c>
      <c r="AG48" t="s">
        <v>2051</v>
      </c>
      <c r="AH48">
        <v>1</v>
      </c>
      <c r="AI48">
        <v>2</v>
      </c>
      <c r="AJ48">
        <v>30</v>
      </c>
      <c r="AK48" t="s">
        <v>2051</v>
      </c>
      <c r="AL48" t="s">
        <v>2051</v>
      </c>
      <c r="AM48" t="s">
        <v>2051</v>
      </c>
      <c r="AN48" t="s">
        <v>2051</v>
      </c>
      <c r="AO48" t="s">
        <v>2051</v>
      </c>
      <c r="AP48" t="s">
        <v>2051</v>
      </c>
      <c r="AQ48" t="s">
        <v>2051</v>
      </c>
      <c r="AR48" t="s">
        <v>2051</v>
      </c>
      <c r="AS48" t="s">
        <v>2051</v>
      </c>
      <c r="AT48" t="s">
        <v>2051</v>
      </c>
      <c r="AU48" t="s">
        <v>2051</v>
      </c>
      <c r="AV48" t="s">
        <v>2051</v>
      </c>
      <c r="AW48" t="s">
        <v>2051</v>
      </c>
      <c r="AX48" t="s">
        <v>2051</v>
      </c>
      <c r="AY48" t="s">
        <v>2051</v>
      </c>
      <c r="AZ48" t="s">
        <v>2051</v>
      </c>
    </row>
    <row r="49" spans="1:52" x14ac:dyDescent="0.2">
      <c r="A49" t="s">
        <v>543</v>
      </c>
      <c r="B49">
        <v>619</v>
      </c>
      <c r="C49" t="s">
        <v>893</v>
      </c>
      <c r="D49">
        <v>58</v>
      </c>
      <c r="E49">
        <v>0.05</v>
      </c>
      <c r="F49">
        <v>0.1</v>
      </c>
      <c r="G49">
        <v>0.1</v>
      </c>
      <c r="H49">
        <v>3.9</v>
      </c>
      <c r="I49">
        <v>3.9</v>
      </c>
      <c r="J49">
        <v>3.9</v>
      </c>
      <c r="K49">
        <v>1000000000</v>
      </c>
      <c r="L49">
        <v>1000000000</v>
      </c>
      <c r="M49">
        <v>3.9</v>
      </c>
      <c r="N49" t="s">
        <v>2051</v>
      </c>
      <c r="O49" t="s">
        <v>894</v>
      </c>
      <c r="P49">
        <v>14</v>
      </c>
      <c r="Q49">
        <v>0.2</v>
      </c>
      <c r="R49">
        <v>1000000000</v>
      </c>
      <c r="S49">
        <v>1000</v>
      </c>
      <c r="T49" t="s">
        <v>893</v>
      </c>
      <c r="U49">
        <v>58</v>
      </c>
      <c r="V49">
        <v>1000000000</v>
      </c>
      <c r="W49">
        <v>0.1</v>
      </c>
      <c r="X49">
        <v>1000000000</v>
      </c>
      <c r="Y49">
        <v>10</v>
      </c>
      <c r="Z49">
        <v>10</v>
      </c>
      <c r="AA49">
        <v>1000000000</v>
      </c>
      <c r="AB49">
        <v>1000000000</v>
      </c>
      <c r="AC49">
        <v>0.1</v>
      </c>
      <c r="AD49">
        <v>1000000000</v>
      </c>
      <c r="AE49">
        <v>0.1</v>
      </c>
      <c r="AF49" t="s">
        <v>2051</v>
      </c>
      <c r="AG49" t="s">
        <v>2051</v>
      </c>
      <c r="AH49">
        <v>1</v>
      </c>
      <c r="AI49">
        <v>2</v>
      </c>
      <c r="AJ49">
        <v>30</v>
      </c>
      <c r="AK49" t="s">
        <v>2051</v>
      </c>
      <c r="AL49" t="s">
        <v>2051</v>
      </c>
      <c r="AM49" t="s">
        <v>2051</v>
      </c>
      <c r="AN49" t="s">
        <v>2051</v>
      </c>
      <c r="AO49" t="s">
        <v>2051</v>
      </c>
      <c r="AP49" t="s">
        <v>2051</v>
      </c>
      <c r="AQ49" t="s">
        <v>2051</v>
      </c>
      <c r="AR49" t="s">
        <v>2051</v>
      </c>
      <c r="AS49" t="s">
        <v>2051</v>
      </c>
      <c r="AT49" t="s">
        <v>2051</v>
      </c>
      <c r="AU49" t="s">
        <v>2051</v>
      </c>
      <c r="AV49" t="s">
        <v>2051</v>
      </c>
      <c r="AW49" t="s">
        <v>2051</v>
      </c>
      <c r="AX49" t="s">
        <v>2051</v>
      </c>
      <c r="AY49" t="s">
        <v>2051</v>
      </c>
      <c r="AZ49" t="s">
        <v>2051</v>
      </c>
    </row>
    <row r="50" spans="1:52" x14ac:dyDescent="0.2">
      <c r="A50" t="s">
        <v>541</v>
      </c>
      <c r="B50">
        <v>8</v>
      </c>
      <c r="C50" t="s">
        <v>893</v>
      </c>
      <c r="D50">
        <v>58</v>
      </c>
      <c r="E50">
        <v>0.1</v>
      </c>
      <c r="F50">
        <v>0.2</v>
      </c>
      <c r="G50">
        <v>0.2</v>
      </c>
      <c r="H50">
        <v>0.2</v>
      </c>
      <c r="I50">
        <v>15</v>
      </c>
      <c r="J50">
        <v>15</v>
      </c>
      <c r="K50">
        <v>1000000000</v>
      </c>
      <c r="L50">
        <v>1000000000</v>
      </c>
      <c r="M50">
        <v>15</v>
      </c>
      <c r="N50" t="s">
        <v>2051</v>
      </c>
      <c r="O50" t="s">
        <v>894</v>
      </c>
      <c r="P50">
        <v>14</v>
      </c>
      <c r="Q50">
        <v>0.2</v>
      </c>
      <c r="R50">
        <v>1000000000</v>
      </c>
      <c r="S50">
        <v>900</v>
      </c>
      <c r="T50" t="s">
        <v>893</v>
      </c>
      <c r="U50">
        <v>58</v>
      </c>
      <c r="V50">
        <v>1000000000</v>
      </c>
      <c r="W50">
        <v>0.2</v>
      </c>
      <c r="X50">
        <v>1000000000</v>
      </c>
      <c r="Y50">
        <v>15</v>
      </c>
      <c r="Z50">
        <v>15</v>
      </c>
      <c r="AA50">
        <v>1000000000</v>
      </c>
      <c r="AB50">
        <v>1000000000</v>
      </c>
      <c r="AC50">
        <v>0.2</v>
      </c>
      <c r="AD50">
        <v>1000000000</v>
      </c>
      <c r="AE50">
        <v>0.2</v>
      </c>
      <c r="AF50" t="s">
        <v>2051</v>
      </c>
      <c r="AG50" t="s">
        <v>2051</v>
      </c>
      <c r="AH50">
        <v>1</v>
      </c>
      <c r="AI50">
        <v>2</v>
      </c>
      <c r="AJ50">
        <v>30</v>
      </c>
      <c r="AK50" t="s">
        <v>2051</v>
      </c>
      <c r="AL50" t="s">
        <v>2051</v>
      </c>
      <c r="AM50" t="s">
        <v>2051</v>
      </c>
      <c r="AN50" t="s">
        <v>2051</v>
      </c>
      <c r="AO50" t="s">
        <v>2051</v>
      </c>
      <c r="AP50" t="s">
        <v>2051</v>
      </c>
      <c r="AQ50" t="s">
        <v>2051</v>
      </c>
      <c r="AR50" t="s">
        <v>2051</v>
      </c>
      <c r="AS50" t="s">
        <v>2051</v>
      </c>
      <c r="AT50" t="s">
        <v>2051</v>
      </c>
      <c r="AU50" t="s">
        <v>2051</v>
      </c>
      <c r="AV50" t="s">
        <v>2051</v>
      </c>
      <c r="AW50" t="s">
        <v>2051</v>
      </c>
      <c r="AX50" t="s">
        <v>2051</v>
      </c>
      <c r="AY50" t="s">
        <v>2051</v>
      </c>
      <c r="AZ50" t="s">
        <v>2051</v>
      </c>
    </row>
    <row r="51" spans="1:52" x14ac:dyDescent="0.2">
      <c r="A51" t="s">
        <v>544</v>
      </c>
      <c r="B51">
        <v>36</v>
      </c>
      <c r="C51" t="s">
        <v>893</v>
      </c>
      <c r="D51">
        <v>58</v>
      </c>
      <c r="E51">
        <v>0.1</v>
      </c>
      <c r="F51">
        <v>0.2</v>
      </c>
      <c r="G51">
        <v>0.2</v>
      </c>
      <c r="H51">
        <v>4</v>
      </c>
      <c r="I51">
        <v>6.4</v>
      </c>
      <c r="J51">
        <v>6.4</v>
      </c>
      <c r="K51">
        <v>1000000000</v>
      </c>
      <c r="L51">
        <v>1000000000</v>
      </c>
      <c r="M51">
        <v>6.4</v>
      </c>
      <c r="N51" t="s">
        <v>2051</v>
      </c>
      <c r="O51" t="s">
        <v>894</v>
      </c>
      <c r="P51">
        <v>14</v>
      </c>
      <c r="Q51">
        <v>0.2</v>
      </c>
      <c r="R51">
        <v>1000000000</v>
      </c>
      <c r="S51">
        <v>400</v>
      </c>
      <c r="T51" t="s">
        <v>893</v>
      </c>
      <c r="U51">
        <v>58</v>
      </c>
      <c r="V51">
        <v>1000000000</v>
      </c>
      <c r="W51">
        <v>0.2</v>
      </c>
      <c r="X51">
        <v>1000000000</v>
      </c>
      <c r="Y51">
        <v>4</v>
      </c>
      <c r="Z51">
        <v>4</v>
      </c>
      <c r="AA51">
        <v>1000000000</v>
      </c>
      <c r="AB51">
        <v>1000000000</v>
      </c>
      <c r="AC51">
        <v>0.2</v>
      </c>
      <c r="AD51">
        <v>1000000000</v>
      </c>
      <c r="AE51">
        <v>0.2</v>
      </c>
      <c r="AF51" t="s">
        <v>2051</v>
      </c>
      <c r="AG51" t="s">
        <v>2051</v>
      </c>
      <c r="AH51">
        <v>1</v>
      </c>
      <c r="AI51">
        <v>2</v>
      </c>
      <c r="AJ51">
        <v>30</v>
      </c>
      <c r="AK51" t="s">
        <v>2051</v>
      </c>
      <c r="AL51" t="s">
        <v>2051</v>
      </c>
      <c r="AM51" t="s">
        <v>2051</v>
      </c>
      <c r="AN51" t="s">
        <v>2051</v>
      </c>
      <c r="AO51" t="s">
        <v>2051</v>
      </c>
      <c r="AP51" t="s">
        <v>2051</v>
      </c>
      <c r="AQ51" t="s">
        <v>2051</v>
      </c>
      <c r="AR51" t="s">
        <v>2051</v>
      </c>
      <c r="AS51" t="s">
        <v>2051</v>
      </c>
      <c r="AT51" t="s">
        <v>2051</v>
      </c>
      <c r="AU51" t="s">
        <v>2051</v>
      </c>
      <c r="AV51" t="s">
        <v>2051</v>
      </c>
      <c r="AW51" t="s">
        <v>2051</v>
      </c>
      <c r="AX51" t="s">
        <v>2051</v>
      </c>
      <c r="AY51" t="s">
        <v>2051</v>
      </c>
      <c r="AZ51" t="s">
        <v>2051</v>
      </c>
    </row>
    <row r="52" spans="1:52" x14ac:dyDescent="0.2">
      <c r="A52" t="s">
        <v>545</v>
      </c>
      <c r="B52">
        <v>9</v>
      </c>
      <c r="C52" t="s">
        <v>893</v>
      </c>
      <c r="D52">
        <v>58</v>
      </c>
      <c r="E52">
        <v>0.1</v>
      </c>
      <c r="F52">
        <v>0.3</v>
      </c>
      <c r="G52">
        <v>0.3</v>
      </c>
      <c r="H52">
        <v>0.3</v>
      </c>
      <c r="I52">
        <v>0.3</v>
      </c>
      <c r="J52">
        <v>0.3</v>
      </c>
      <c r="K52">
        <v>1000000000</v>
      </c>
      <c r="L52">
        <v>1000000000</v>
      </c>
      <c r="M52">
        <v>0.3</v>
      </c>
      <c r="N52" t="s">
        <v>2051</v>
      </c>
      <c r="O52" t="s">
        <v>894</v>
      </c>
      <c r="P52">
        <v>14</v>
      </c>
      <c r="Q52">
        <v>0.1</v>
      </c>
      <c r="R52">
        <v>1000000000</v>
      </c>
      <c r="S52">
        <v>10</v>
      </c>
      <c r="T52" t="s">
        <v>893</v>
      </c>
      <c r="U52">
        <v>58</v>
      </c>
      <c r="V52">
        <v>1000000000</v>
      </c>
      <c r="W52">
        <v>0.3</v>
      </c>
      <c r="X52">
        <v>1000000000</v>
      </c>
      <c r="Y52">
        <v>0.3</v>
      </c>
      <c r="Z52">
        <v>0.3</v>
      </c>
      <c r="AA52">
        <v>1000000000</v>
      </c>
      <c r="AB52">
        <v>1000000000</v>
      </c>
      <c r="AC52">
        <v>0.3</v>
      </c>
      <c r="AD52">
        <v>1000000000</v>
      </c>
      <c r="AE52">
        <v>0.3</v>
      </c>
      <c r="AF52" t="s">
        <v>2051</v>
      </c>
      <c r="AG52" t="s">
        <v>2051</v>
      </c>
      <c r="AH52">
        <v>1</v>
      </c>
      <c r="AI52">
        <v>2</v>
      </c>
      <c r="AJ52">
        <v>30</v>
      </c>
      <c r="AK52" t="s">
        <v>2051</v>
      </c>
      <c r="AL52" t="s">
        <v>2051</v>
      </c>
      <c r="AM52" t="s">
        <v>2051</v>
      </c>
      <c r="AN52" t="s">
        <v>2051</v>
      </c>
      <c r="AO52" t="s">
        <v>2051</v>
      </c>
      <c r="AP52" t="s">
        <v>2051</v>
      </c>
      <c r="AQ52" t="s">
        <v>2051</v>
      </c>
      <c r="AR52" t="s">
        <v>2051</v>
      </c>
      <c r="AS52" t="s">
        <v>2051</v>
      </c>
      <c r="AT52" t="s">
        <v>2051</v>
      </c>
      <c r="AU52" t="s">
        <v>2051</v>
      </c>
      <c r="AV52" t="s">
        <v>2051</v>
      </c>
      <c r="AW52" t="s">
        <v>2051</v>
      </c>
      <c r="AX52" t="s">
        <v>2051</v>
      </c>
      <c r="AY52" t="s">
        <v>2051</v>
      </c>
      <c r="AZ52" t="s">
        <v>2051</v>
      </c>
    </row>
    <row r="53" spans="1:52" x14ac:dyDescent="0.2">
      <c r="A53" t="s">
        <v>548</v>
      </c>
      <c r="B53">
        <v>519</v>
      </c>
      <c r="C53" t="s">
        <v>893</v>
      </c>
      <c r="D53">
        <v>58</v>
      </c>
      <c r="E53">
        <v>0.2</v>
      </c>
      <c r="F53">
        <v>0.3</v>
      </c>
      <c r="G53">
        <v>0.3</v>
      </c>
      <c r="H53">
        <v>0.3</v>
      </c>
      <c r="I53">
        <v>1</v>
      </c>
      <c r="J53">
        <v>1</v>
      </c>
      <c r="K53">
        <v>1000000000</v>
      </c>
      <c r="L53">
        <v>1000000000</v>
      </c>
      <c r="M53">
        <v>1</v>
      </c>
      <c r="N53" t="s">
        <v>2051</v>
      </c>
      <c r="O53" t="s">
        <v>894</v>
      </c>
      <c r="P53">
        <v>14</v>
      </c>
      <c r="Q53">
        <v>0.2</v>
      </c>
      <c r="R53">
        <v>1000000000</v>
      </c>
      <c r="S53">
        <v>20</v>
      </c>
      <c r="T53" t="s">
        <v>893</v>
      </c>
      <c r="U53">
        <v>58</v>
      </c>
      <c r="V53">
        <v>1000000000</v>
      </c>
      <c r="W53">
        <v>0.3</v>
      </c>
      <c r="X53">
        <v>1000000000</v>
      </c>
      <c r="Y53">
        <v>1</v>
      </c>
      <c r="Z53">
        <v>1</v>
      </c>
      <c r="AA53">
        <v>1000000000</v>
      </c>
      <c r="AB53">
        <v>1000000000</v>
      </c>
      <c r="AC53">
        <v>0.3</v>
      </c>
      <c r="AD53">
        <v>1000000000</v>
      </c>
      <c r="AE53">
        <v>1000000000</v>
      </c>
      <c r="AF53" t="s">
        <v>2051</v>
      </c>
      <c r="AG53" t="s">
        <v>2051</v>
      </c>
      <c r="AH53">
        <v>1</v>
      </c>
      <c r="AI53">
        <v>2</v>
      </c>
      <c r="AJ53">
        <v>30</v>
      </c>
      <c r="AK53" t="s">
        <v>2051</v>
      </c>
      <c r="AL53" t="s">
        <v>2051</v>
      </c>
      <c r="AM53" t="s">
        <v>2051</v>
      </c>
      <c r="AN53" t="s">
        <v>2051</v>
      </c>
      <c r="AO53" t="s">
        <v>2051</v>
      </c>
      <c r="AP53" t="s">
        <v>2051</v>
      </c>
      <c r="AQ53" t="s">
        <v>2051</v>
      </c>
      <c r="AR53" t="s">
        <v>2051</v>
      </c>
      <c r="AS53" t="s">
        <v>2051</v>
      </c>
      <c r="AT53" t="s">
        <v>2051</v>
      </c>
      <c r="AU53" t="s">
        <v>2051</v>
      </c>
      <c r="AV53" t="s">
        <v>2051</v>
      </c>
      <c r="AW53" t="s">
        <v>2051</v>
      </c>
      <c r="AX53" t="s">
        <v>2051</v>
      </c>
      <c r="AY53" t="s">
        <v>2051</v>
      </c>
      <c r="AZ53" t="s">
        <v>2051</v>
      </c>
    </row>
    <row r="54" spans="1:52" x14ac:dyDescent="0.2">
      <c r="A54" t="s">
        <v>552</v>
      </c>
      <c r="B54">
        <v>4935</v>
      </c>
      <c r="C54" t="s">
        <v>893</v>
      </c>
      <c r="D54">
        <v>58</v>
      </c>
      <c r="E54">
        <v>0.15</v>
      </c>
      <c r="F54">
        <v>0.8</v>
      </c>
      <c r="G54">
        <v>0.8</v>
      </c>
      <c r="H54">
        <v>0.8</v>
      </c>
      <c r="I54">
        <v>2</v>
      </c>
      <c r="J54">
        <v>2</v>
      </c>
      <c r="K54">
        <v>1000000000</v>
      </c>
      <c r="L54">
        <v>1000000000</v>
      </c>
      <c r="M54">
        <v>2</v>
      </c>
      <c r="N54" t="s">
        <v>2051</v>
      </c>
      <c r="O54" t="s">
        <v>894</v>
      </c>
      <c r="P54">
        <v>14</v>
      </c>
      <c r="Q54">
        <v>0.6</v>
      </c>
      <c r="R54">
        <v>1000000000</v>
      </c>
      <c r="S54">
        <v>80</v>
      </c>
      <c r="T54" t="s">
        <v>893</v>
      </c>
      <c r="U54">
        <v>58</v>
      </c>
      <c r="V54">
        <v>1000000000</v>
      </c>
      <c r="W54">
        <v>0.8</v>
      </c>
      <c r="X54">
        <v>1000000000</v>
      </c>
      <c r="Y54">
        <v>2</v>
      </c>
      <c r="Z54">
        <v>2</v>
      </c>
      <c r="AA54">
        <v>1000000000</v>
      </c>
      <c r="AB54">
        <v>1000000000</v>
      </c>
      <c r="AC54">
        <v>0.8</v>
      </c>
      <c r="AD54">
        <v>1000000000</v>
      </c>
      <c r="AE54">
        <v>0.8</v>
      </c>
      <c r="AF54" t="s">
        <v>2051</v>
      </c>
      <c r="AG54" t="s">
        <v>2051</v>
      </c>
      <c r="AH54">
        <v>1</v>
      </c>
      <c r="AI54">
        <v>2</v>
      </c>
      <c r="AJ54">
        <v>30</v>
      </c>
      <c r="AK54" t="s">
        <v>2051</v>
      </c>
      <c r="AL54" t="s">
        <v>2051</v>
      </c>
      <c r="AM54" t="s">
        <v>2051</v>
      </c>
      <c r="AN54" t="s">
        <v>2051</v>
      </c>
      <c r="AO54" t="s">
        <v>2051</v>
      </c>
      <c r="AP54" t="s">
        <v>2051</v>
      </c>
      <c r="AQ54" t="s">
        <v>2051</v>
      </c>
      <c r="AR54" t="s">
        <v>2051</v>
      </c>
      <c r="AS54" t="s">
        <v>2051</v>
      </c>
      <c r="AT54" t="s">
        <v>2051</v>
      </c>
      <c r="AU54" t="s">
        <v>2051</v>
      </c>
      <c r="AV54" t="s">
        <v>2051</v>
      </c>
      <c r="AW54" t="s">
        <v>2051</v>
      </c>
      <c r="AX54" t="s">
        <v>2051</v>
      </c>
      <c r="AY54" t="s">
        <v>2051</v>
      </c>
      <c r="AZ54" t="s">
        <v>2051</v>
      </c>
    </row>
    <row r="55" spans="1:52" x14ac:dyDescent="0.2">
      <c r="A55" t="s">
        <v>553</v>
      </c>
      <c r="B55">
        <v>1711</v>
      </c>
      <c r="C55" t="s">
        <v>893</v>
      </c>
      <c r="D55">
        <v>58</v>
      </c>
      <c r="E55">
        <v>0.05</v>
      </c>
      <c r="F55">
        <v>0.25</v>
      </c>
      <c r="G55">
        <v>0.25</v>
      </c>
      <c r="H55">
        <v>3</v>
      </c>
      <c r="I55">
        <v>5.6</v>
      </c>
      <c r="J55">
        <v>5.6</v>
      </c>
      <c r="K55">
        <v>1000000000</v>
      </c>
      <c r="L55">
        <v>1000000000</v>
      </c>
      <c r="M55">
        <v>5.6</v>
      </c>
      <c r="N55" t="s">
        <v>2051</v>
      </c>
      <c r="O55" t="s">
        <v>894</v>
      </c>
      <c r="P55">
        <v>14</v>
      </c>
      <c r="Q55">
        <v>0.2</v>
      </c>
      <c r="R55">
        <v>1000000000</v>
      </c>
      <c r="S55">
        <v>400</v>
      </c>
      <c r="T55" t="s">
        <v>893</v>
      </c>
      <c r="U55">
        <v>58</v>
      </c>
      <c r="V55">
        <v>1000000000</v>
      </c>
      <c r="W55">
        <v>0.25</v>
      </c>
      <c r="X55">
        <v>1000000000</v>
      </c>
      <c r="Y55">
        <v>10</v>
      </c>
      <c r="Z55">
        <v>10</v>
      </c>
      <c r="AA55">
        <v>1000000000</v>
      </c>
      <c r="AB55">
        <v>1000000000</v>
      </c>
      <c r="AC55">
        <v>0.25</v>
      </c>
      <c r="AD55">
        <v>1000000000</v>
      </c>
      <c r="AE55">
        <v>0.25</v>
      </c>
      <c r="AF55" t="s">
        <v>2051</v>
      </c>
      <c r="AG55" t="s">
        <v>2051</v>
      </c>
      <c r="AH55">
        <v>1</v>
      </c>
      <c r="AI55">
        <v>2</v>
      </c>
      <c r="AJ55">
        <v>30</v>
      </c>
      <c r="AK55" t="s">
        <v>2051</v>
      </c>
      <c r="AL55" t="s">
        <v>2051</v>
      </c>
      <c r="AM55" t="s">
        <v>2051</v>
      </c>
      <c r="AN55" t="s">
        <v>2051</v>
      </c>
      <c r="AO55" t="s">
        <v>2051</v>
      </c>
      <c r="AP55" t="s">
        <v>2051</v>
      </c>
      <c r="AQ55" t="s">
        <v>2051</v>
      </c>
      <c r="AR55" t="s">
        <v>2051</v>
      </c>
      <c r="AS55" t="s">
        <v>2051</v>
      </c>
      <c r="AT55" t="s">
        <v>2051</v>
      </c>
      <c r="AU55" t="s">
        <v>2051</v>
      </c>
      <c r="AV55" t="s">
        <v>2051</v>
      </c>
      <c r="AW55" t="s">
        <v>2051</v>
      </c>
      <c r="AX55" t="s">
        <v>2051</v>
      </c>
      <c r="AY55" t="s">
        <v>2051</v>
      </c>
      <c r="AZ55" t="s">
        <v>2051</v>
      </c>
    </row>
    <row r="56" spans="1:52" x14ac:dyDescent="0.2">
      <c r="A56" t="s">
        <v>554</v>
      </c>
      <c r="B56">
        <v>4</v>
      </c>
      <c r="C56" t="s">
        <v>893</v>
      </c>
      <c r="D56">
        <v>58</v>
      </c>
      <c r="E56">
        <v>0.05</v>
      </c>
      <c r="F56">
        <v>0.25</v>
      </c>
      <c r="G56">
        <v>0.25</v>
      </c>
      <c r="H56">
        <v>0.25</v>
      </c>
      <c r="I56">
        <v>15</v>
      </c>
      <c r="J56">
        <v>15</v>
      </c>
      <c r="K56">
        <v>1000000000</v>
      </c>
      <c r="L56">
        <v>1000000000</v>
      </c>
      <c r="M56">
        <v>15</v>
      </c>
      <c r="N56" t="s">
        <v>2051</v>
      </c>
      <c r="O56" t="s">
        <v>894</v>
      </c>
      <c r="P56">
        <v>14</v>
      </c>
      <c r="Q56">
        <v>0.1</v>
      </c>
      <c r="R56">
        <v>1000000000</v>
      </c>
      <c r="S56">
        <v>300</v>
      </c>
      <c r="T56" t="s">
        <v>893</v>
      </c>
      <c r="U56">
        <v>58</v>
      </c>
      <c r="V56">
        <v>1000000000</v>
      </c>
      <c r="W56">
        <v>0.25</v>
      </c>
      <c r="X56">
        <v>1000000000</v>
      </c>
      <c r="Y56">
        <v>15</v>
      </c>
      <c r="Z56">
        <v>15</v>
      </c>
      <c r="AA56">
        <v>1000000000</v>
      </c>
      <c r="AB56">
        <v>1000000000</v>
      </c>
      <c r="AC56">
        <v>0.25</v>
      </c>
      <c r="AD56">
        <v>1000000000</v>
      </c>
      <c r="AE56">
        <v>0.25</v>
      </c>
      <c r="AF56" t="s">
        <v>2051</v>
      </c>
      <c r="AG56" t="s">
        <v>2051</v>
      </c>
      <c r="AH56">
        <v>1</v>
      </c>
      <c r="AI56">
        <v>2</v>
      </c>
      <c r="AJ56">
        <v>30</v>
      </c>
      <c r="AK56" t="s">
        <v>2051</v>
      </c>
      <c r="AL56" t="s">
        <v>2051</v>
      </c>
      <c r="AM56" t="s">
        <v>2051</v>
      </c>
      <c r="AN56" t="s">
        <v>2051</v>
      </c>
      <c r="AO56" t="s">
        <v>2051</v>
      </c>
      <c r="AP56" t="s">
        <v>2051</v>
      </c>
      <c r="AQ56" t="s">
        <v>2051</v>
      </c>
      <c r="AR56" t="s">
        <v>2051</v>
      </c>
      <c r="AS56" t="s">
        <v>2051</v>
      </c>
      <c r="AT56" t="s">
        <v>2051</v>
      </c>
      <c r="AU56" t="s">
        <v>2051</v>
      </c>
      <c r="AV56" t="s">
        <v>2051</v>
      </c>
      <c r="AW56" t="s">
        <v>2051</v>
      </c>
      <c r="AX56" t="s">
        <v>2051</v>
      </c>
      <c r="AY56" t="s">
        <v>2051</v>
      </c>
      <c r="AZ56" t="s">
        <v>2051</v>
      </c>
    </row>
    <row r="57" spans="1:52" x14ac:dyDescent="0.2">
      <c r="A57" t="s">
        <v>555</v>
      </c>
      <c r="B57">
        <v>6</v>
      </c>
      <c r="C57" t="s">
        <v>893</v>
      </c>
      <c r="D57">
        <v>58</v>
      </c>
      <c r="E57">
        <v>0.05</v>
      </c>
      <c r="F57">
        <v>0.3</v>
      </c>
      <c r="G57">
        <v>0.3</v>
      </c>
      <c r="H57">
        <v>0.3</v>
      </c>
      <c r="I57">
        <v>10</v>
      </c>
      <c r="J57">
        <v>10</v>
      </c>
      <c r="K57">
        <v>1000000000</v>
      </c>
      <c r="L57">
        <v>1000000000</v>
      </c>
      <c r="M57">
        <v>10</v>
      </c>
      <c r="N57" t="s">
        <v>2051</v>
      </c>
      <c r="O57" t="s">
        <v>894</v>
      </c>
      <c r="P57">
        <v>14</v>
      </c>
      <c r="Q57">
        <v>0.1</v>
      </c>
      <c r="R57">
        <v>1000000000</v>
      </c>
      <c r="S57">
        <v>130</v>
      </c>
      <c r="T57" t="s">
        <v>893</v>
      </c>
      <c r="U57">
        <v>58</v>
      </c>
      <c r="V57">
        <v>1000000000</v>
      </c>
      <c r="W57">
        <v>0.3</v>
      </c>
      <c r="X57">
        <v>1000000000</v>
      </c>
      <c r="Y57">
        <v>10</v>
      </c>
      <c r="Z57">
        <v>10</v>
      </c>
      <c r="AA57">
        <v>1000000000</v>
      </c>
      <c r="AB57">
        <v>1000000000</v>
      </c>
      <c r="AC57">
        <v>0.3</v>
      </c>
      <c r="AD57">
        <v>1000000000</v>
      </c>
      <c r="AE57">
        <v>0.3</v>
      </c>
      <c r="AF57" t="s">
        <v>2051</v>
      </c>
      <c r="AG57" t="s">
        <v>2051</v>
      </c>
      <c r="AH57">
        <v>1</v>
      </c>
      <c r="AI57">
        <v>2</v>
      </c>
      <c r="AJ57">
        <v>30</v>
      </c>
      <c r="AK57" t="s">
        <v>2051</v>
      </c>
      <c r="AL57" t="s">
        <v>2051</v>
      </c>
      <c r="AM57" t="s">
        <v>2051</v>
      </c>
      <c r="AN57" t="s">
        <v>2051</v>
      </c>
      <c r="AO57" t="s">
        <v>2051</v>
      </c>
      <c r="AP57" t="s">
        <v>2051</v>
      </c>
      <c r="AQ57" t="s">
        <v>2051</v>
      </c>
      <c r="AR57" t="s">
        <v>2051</v>
      </c>
      <c r="AS57" t="s">
        <v>2051</v>
      </c>
      <c r="AT57" t="s">
        <v>2051</v>
      </c>
      <c r="AU57" t="s">
        <v>2051</v>
      </c>
      <c r="AV57" t="s">
        <v>2051</v>
      </c>
      <c r="AW57" t="s">
        <v>2051</v>
      </c>
      <c r="AX57" t="s">
        <v>2051</v>
      </c>
      <c r="AY57" t="s">
        <v>2051</v>
      </c>
      <c r="AZ57" t="s">
        <v>2051</v>
      </c>
    </row>
    <row r="58" spans="1:52" x14ac:dyDescent="0.2">
      <c r="A58" t="s">
        <v>556</v>
      </c>
      <c r="B58">
        <v>1598</v>
      </c>
      <c r="C58" t="s">
        <v>893</v>
      </c>
      <c r="D58">
        <v>58</v>
      </c>
      <c r="E58">
        <v>0.05</v>
      </c>
      <c r="F58">
        <v>0.25</v>
      </c>
      <c r="G58">
        <v>0.25</v>
      </c>
      <c r="H58">
        <v>2.5</v>
      </c>
      <c r="I58">
        <v>2.5</v>
      </c>
      <c r="J58">
        <v>2.5</v>
      </c>
      <c r="K58">
        <v>1000000000</v>
      </c>
      <c r="L58">
        <v>1000000000</v>
      </c>
      <c r="M58">
        <v>2.5</v>
      </c>
      <c r="N58" t="s">
        <v>2051</v>
      </c>
      <c r="O58" t="s">
        <v>894</v>
      </c>
      <c r="P58">
        <v>14</v>
      </c>
      <c r="Q58">
        <v>0.2</v>
      </c>
      <c r="R58">
        <v>1000000000</v>
      </c>
      <c r="S58">
        <v>500</v>
      </c>
      <c r="T58" t="s">
        <v>893</v>
      </c>
      <c r="U58">
        <v>58</v>
      </c>
      <c r="V58">
        <v>1000000000</v>
      </c>
      <c r="W58">
        <v>0.25</v>
      </c>
      <c r="X58">
        <v>1000000000</v>
      </c>
      <c r="Y58">
        <v>60</v>
      </c>
      <c r="Z58">
        <v>60</v>
      </c>
      <c r="AA58">
        <v>1000000000</v>
      </c>
      <c r="AB58">
        <v>1000000000</v>
      </c>
      <c r="AC58">
        <v>0.25</v>
      </c>
      <c r="AD58">
        <v>1000000000</v>
      </c>
      <c r="AE58">
        <v>0.25</v>
      </c>
      <c r="AF58" t="s">
        <v>2051</v>
      </c>
      <c r="AG58" t="s">
        <v>2051</v>
      </c>
      <c r="AH58">
        <v>1</v>
      </c>
      <c r="AI58">
        <v>2</v>
      </c>
      <c r="AJ58">
        <v>30</v>
      </c>
      <c r="AK58" t="s">
        <v>2051</v>
      </c>
      <c r="AL58" t="s">
        <v>2051</v>
      </c>
      <c r="AM58" t="s">
        <v>2051</v>
      </c>
      <c r="AN58" t="s">
        <v>2051</v>
      </c>
      <c r="AO58" t="s">
        <v>2051</v>
      </c>
      <c r="AP58" t="s">
        <v>2051</v>
      </c>
      <c r="AQ58" t="s">
        <v>2051</v>
      </c>
      <c r="AR58" t="s">
        <v>2051</v>
      </c>
      <c r="AS58" t="s">
        <v>2051</v>
      </c>
      <c r="AT58" t="s">
        <v>2051</v>
      </c>
      <c r="AU58" t="s">
        <v>2051</v>
      </c>
      <c r="AV58" t="s">
        <v>2051</v>
      </c>
      <c r="AW58" t="s">
        <v>2051</v>
      </c>
      <c r="AX58" t="s">
        <v>2051</v>
      </c>
      <c r="AY58" t="s">
        <v>2051</v>
      </c>
      <c r="AZ58" t="s">
        <v>2051</v>
      </c>
    </row>
    <row r="59" spans="1:52" x14ac:dyDescent="0.2">
      <c r="A59" t="s">
        <v>557</v>
      </c>
      <c r="B59">
        <v>1538</v>
      </c>
      <c r="C59" t="s">
        <v>893</v>
      </c>
      <c r="D59">
        <v>58</v>
      </c>
      <c r="E59">
        <v>0.05</v>
      </c>
      <c r="F59">
        <v>0.3</v>
      </c>
      <c r="G59">
        <v>0.3</v>
      </c>
      <c r="H59">
        <v>0.7</v>
      </c>
      <c r="I59">
        <v>0.7</v>
      </c>
      <c r="J59">
        <v>0.7</v>
      </c>
      <c r="K59">
        <v>1000000000</v>
      </c>
      <c r="L59">
        <v>1000000000</v>
      </c>
      <c r="M59">
        <v>0.7</v>
      </c>
      <c r="N59" t="s">
        <v>2051</v>
      </c>
      <c r="O59" t="s">
        <v>894</v>
      </c>
      <c r="P59">
        <v>14</v>
      </c>
      <c r="Q59">
        <v>0.1</v>
      </c>
      <c r="R59">
        <v>1000000000</v>
      </c>
      <c r="S59">
        <v>10</v>
      </c>
      <c r="T59" t="s">
        <v>893</v>
      </c>
      <c r="U59">
        <v>58</v>
      </c>
      <c r="V59">
        <v>1000000000</v>
      </c>
      <c r="W59">
        <v>0.3</v>
      </c>
      <c r="X59">
        <v>1000000000</v>
      </c>
      <c r="Y59">
        <v>1</v>
      </c>
      <c r="Z59">
        <v>1</v>
      </c>
      <c r="AA59">
        <v>1000000000</v>
      </c>
      <c r="AB59">
        <v>1000000000</v>
      </c>
      <c r="AC59">
        <v>0.3</v>
      </c>
      <c r="AD59">
        <v>1000000000</v>
      </c>
      <c r="AE59">
        <v>0.3</v>
      </c>
      <c r="AF59" t="s">
        <v>2051</v>
      </c>
      <c r="AG59" t="s">
        <v>2051</v>
      </c>
      <c r="AH59">
        <v>1</v>
      </c>
      <c r="AI59">
        <v>2</v>
      </c>
      <c r="AJ59">
        <v>30</v>
      </c>
      <c r="AK59" t="s">
        <v>2051</v>
      </c>
      <c r="AL59" t="s">
        <v>2051</v>
      </c>
      <c r="AM59" t="s">
        <v>2051</v>
      </c>
      <c r="AN59" t="s">
        <v>2051</v>
      </c>
      <c r="AO59" t="s">
        <v>2051</v>
      </c>
      <c r="AP59" t="s">
        <v>2051</v>
      </c>
      <c r="AQ59" t="s">
        <v>2051</v>
      </c>
      <c r="AR59" t="s">
        <v>2051</v>
      </c>
      <c r="AS59" t="s">
        <v>2051</v>
      </c>
      <c r="AT59" t="s">
        <v>2051</v>
      </c>
      <c r="AU59" t="s">
        <v>2051</v>
      </c>
      <c r="AV59" t="s">
        <v>2051</v>
      </c>
      <c r="AW59" t="s">
        <v>2051</v>
      </c>
      <c r="AX59" t="s">
        <v>2051</v>
      </c>
      <c r="AY59" t="s">
        <v>2051</v>
      </c>
      <c r="AZ59" t="s">
        <v>2051</v>
      </c>
    </row>
    <row r="60" spans="1:52" x14ac:dyDescent="0.2">
      <c r="A60" t="s">
        <v>558</v>
      </c>
      <c r="B60">
        <v>1536</v>
      </c>
      <c r="C60" t="s">
        <v>893</v>
      </c>
      <c r="D60">
        <v>58</v>
      </c>
      <c r="E60">
        <v>0.05</v>
      </c>
      <c r="F60">
        <v>0.15</v>
      </c>
      <c r="G60">
        <v>0.15</v>
      </c>
      <c r="H60">
        <v>4</v>
      </c>
      <c r="I60">
        <v>8.8000000000000007</v>
      </c>
      <c r="J60">
        <v>8.8000000000000007</v>
      </c>
      <c r="K60">
        <v>1000000000</v>
      </c>
      <c r="L60">
        <v>1000000000</v>
      </c>
      <c r="M60">
        <v>8.8000000000000007</v>
      </c>
      <c r="N60" t="s">
        <v>2051</v>
      </c>
      <c r="O60" t="s">
        <v>894</v>
      </c>
      <c r="P60">
        <v>14</v>
      </c>
      <c r="Q60">
        <v>0.1</v>
      </c>
      <c r="R60">
        <v>1000000000</v>
      </c>
      <c r="S60">
        <v>40</v>
      </c>
      <c r="T60" t="s">
        <v>893</v>
      </c>
      <c r="U60">
        <v>58</v>
      </c>
      <c r="V60">
        <v>1000000000</v>
      </c>
      <c r="W60">
        <v>0.15</v>
      </c>
      <c r="X60">
        <v>1000000000</v>
      </c>
      <c r="Y60">
        <v>4</v>
      </c>
      <c r="Z60">
        <v>4</v>
      </c>
      <c r="AA60">
        <v>1000000000</v>
      </c>
      <c r="AB60">
        <v>1000000000</v>
      </c>
      <c r="AC60">
        <v>0.15</v>
      </c>
      <c r="AD60">
        <v>1000000000</v>
      </c>
      <c r="AE60">
        <v>0.15</v>
      </c>
      <c r="AF60" t="s">
        <v>2051</v>
      </c>
      <c r="AG60" t="s">
        <v>2051</v>
      </c>
      <c r="AH60">
        <v>1</v>
      </c>
      <c r="AI60">
        <v>2</v>
      </c>
      <c r="AJ60">
        <v>30</v>
      </c>
      <c r="AK60" t="s">
        <v>2051</v>
      </c>
      <c r="AL60" t="s">
        <v>2051</v>
      </c>
      <c r="AM60" t="s">
        <v>2051</v>
      </c>
      <c r="AN60" t="s">
        <v>2051</v>
      </c>
      <c r="AO60" t="s">
        <v>2051</v>
      </c>
      <c r="AP60" t="s">
        <v>2051</v>
      </c>
      <c r="AQ60" t="s">
        <v>2051</v>
      </c>
      <c r="AR60" t="s">
        <v>2051</v>
      </c>
      <c r="AS60" t="s">
        <v>2051</v>
      </c>
      <c r="AT60" t="s">
        <v>2051</v>
      </c>
      <c r="AU60" t="s">
        <v>2051</v>
      </c>
      <c r="AV60" t="s">
        <v>2051</v>
      </c>
      <c r="AW60" t="s">
        <v>2051</v>
      </c>
      <c r="AX60" t="s">
        <v>2051</v>
      </c>
      <c r="AY60" t="s">
        <v>2051</v>
      </c>
      <c r="AZ60" t="s">
        <v>2051</v>
      </c>
    </row>
    <row r="61" spans="1:52" x14ac:dyDescent="0.2">
      <c r="A61" t="s">
        <v>899</v>
      </c>
      <c r="B61">
        <v>1590</v>
      </c>
      <c r="C61" t="s">
        <v>893</v>
      </c>
      <c r="D61">
        <v>58</v>
      </c>
      <c r="E61">
        <v>0.1</v>
      </c>
      <c r="F61">
        <v>0.2</v>
      </c>
      <c r="G61">
        <v>0.2</v>
      </c>
      <c r="H61">
        <v>0.2</v>
      </c>
      <c r="I61">
        <v>75</v>
      </c>
      <c r="J61">
        <v>75</v>
      </c>
      <c r="K61">
        <v>1000000000</v>
      </c>
      <c r="L61">
        <v>1000000000</v>
      </c>
      <c r="M61">
        <v>75</v>
      </c>
      <c r="N61" t="s">
        <v>2051</v>
      </c>
      <c r="O61" t="s">
        <v>894</v>
      </c>
      <c r="P61">
        <v>14</v>
      </c>
      <c r="Q61">
        <v>0.2</v>
      </c>
      <c r="R61">
        <v>1000000000</v>
      </c>
      <c r="S61">
        <v>630</v>
      </c>
      <c r="T61" t="s">
        <v>893</v>
      </c>
      <c r="U61">
        <v>58</v>
      </c>
      <c r="V61">
        <v>1000000000</v>
      </c>
      <c r="W61">
        <v>0.2</v>
      </c>
      <c r="X61">
        <v>1000000000</v>
      </c>
      <c r="Y61">
        <v>75</v>
      </c>
      <c r="Z61">
        <v>75</v>
      </c>
      <c r="AA61">
        <v>1000000000</v>
      </c>
      <c r="AB61">
        <v>1000000000</v>
      </c>
      <c r="AC61">
        <v>0.2</v>
      </c>
      <c r="AD61">
        <v>1000000000</v>
      </c>
      <c r="AE61">
        <v>0.2</v>
      </c>
      <c r="AF61" t="s">
        <v>2051</v>
      </c>
      <c r="AG61" t="s">
        <v>2051</v>
      </c>
      <c r="AH61">
        <v>1</v>
      </c>
      <c r="AI61">
        <v>2</v>
      </c>
      <c r="AJ61">
        <v>30</v>
      </c>
      <c r="AK61" t="s">
        <v>2051</v>
      </c>
      <c r="AL61" t="s">
        <v>2051</v>
      </c>
      <c r="AM61" t="s">
        <v>2051</v>
      </c>
      <c r="AN61" t="s">
        <v>2051</v>
      </c>
      <c r="AO61" t="s">
        <v>2051</v>
      </c>
      <c r="AP61" t="s">
        <v>2051</v>
      </c>
      <c r="AQ61" t="s">
        <v>2051</v>
      </c>
      <c r="AR61" t="s">
        <v>2051</v>
      </c>
      <c r="AS61" t="s">
        <v>2051</v>
      </c>
      <c r="AT61" t="s">
        <v>2051</v>
      </c>
      <c r="AU61" t="s">
        <v>2051</v>
      </c>
      <c r="AV61" t="s">
        <v>2051</v>
      </c>
      <c r="AW61" t="s">
        <v>2051</v>
      </c>
      <c r="AX61" t="s">
        <v>2051</v>
      </c>
      <c r="AY61" t="s">
        <v>2051</v>
      </c>
      <c r="AZ61" t="s">
        <v>2051</v>
      </c>
    </row>
    <row r="62" spans="1:52" x14ac:dyDescent="0.2">
      <c r="A62" t="s">
        <v>631</v>
      </c>
      <c r="B62">
        <v>1246</v>
      </c>
      <c r="C62" t="s">
        <v>893</v>
      </c>
      <c r="D62">
        <v>58</v>
      </c>
      <c r="E62">
        <v>0.04</v>
      </c>
      <c r="F62">
        <v>0.2</v>
      </c>
      <c r="G62">
        <v>0.2</v>
      </c>
      <c r="H62">
        <v>5</v>
      </c>
      <c r="I62">
        <v>15</v>
      </c>
      <c r="J62">
        <v>15</v>
      </c>
      <c r="K62">
        <v>1000000000</v>
      </c>
      <c r="L62">
        <v>1000000000</v>
      </c>
      <c r="M62">
        <v>15</v>
      </c>
      <c r="N62" t="s">
        <v>2051</v>
      </c>
      <c r="O62" t="s">
        <v>894</v>
      </c>
      <c r="P62">
        <v>14</v>
      </c>
      <c r="Q62">
        <v>0.2</v>
      </c>
      <c r="R62">
        <v>1000000000</v>
      </c>
      <c r="S62">
        <v>180</v>
      </c>
      <c r="T62" t="s">
        <v>893</v>
      </c>
      <c r="U62">
        <v>58</v>
      </c>
      <c r="V62">
        <v>0.04</v>
      </c>
      <c r="W62">
        <v>0.2</v>
      </c>
      <c r="X62">
        <v>1000000000</v>
      </c>
      <c r="Y62">
        <v>1000000000</v>
      </c>
      <c r="Z62">
        <v>1000000000</v>
      </c>
      <c r="AA62">
        <v>1000000000</v>
      </c>
      <c r="AB62">
        <v>1000000000</v>
      </c>
      <c r="AC62">
        <v>0.2</v>
      </c>
      <c r="AD62">
        <v>1000000000</v>
      </c>
      <c r="AE62">
        <v>0.2</v>
      </c>
      <c r="AF62" t="s">
        <v>2051</v>
      </c>
      <c r="AG62" t="s">
        <v>2051</v>
      </c>
      <c r="AH62">
        <v>1</v>
      </c>
      <c r="AI62">
        <v>2</v>
      </c>
      <c r="AJ62">
        <v>30</v>
      </c>
      <c r="AK62" t="s">
        <v>2051</v>
      </c>
      <c r="AL62" t="s">
        <v>2051</v>
      </c>
      <c r="AM62" t="s">
        <v>2051</v>
      </c>
      <c r="AN62" t="s">
        <v>2051</v>
      </c>
      <c r="AO62" t="s">
        <v>2051</v>
      </c>
      <c r="AP62" t="s">
        <v>2051</v>
      </c>
      <c r="AQ62" t="s">
        <v>2051</v>
      </c>
      <c r="AR62" t="s">
        <v>2051</v>
      </c>
      <c r="AS62" t="s">
        <v>2051</v>
      </c>
      <c r="AT62" t="s">
        <v>2051</v>
      </c>
      <c r="AU62" t="s">
        <v>2051</v>
      </c>
      <c r="AV62" t="s">
        <v>2051</v>
      </c>
      <c r="AW62" t="s">
        <v>2051</v>
      </c>
      <c r="AX62" t="s">
        <v>2051</v>
      </c>
      <c r="AY62" t="s">
        <v>2051</v>
      </c>
      <c r="AZ62" t="s">
        <v>2051</v>
      </c>
    </row>
    <row r="63" spans="1:52" x14ac:dyDescent="0.2">
      <c r="A63" t="s">
        <v>821</v>
      </c>
      <c r="B63">
        <v>607</v>
      </c>
      <c r="C63" t="s">
        <v>893</v>
      </c>
      <c r="D63">
        <v>58</v>
      </c>
      <c r="E63">
        <v>0.3</v>
      </c>
      <c r="F63">
        <v>2</v>
      </c>
      <c r="G63">
        <v>2</v>
      </c>
      <c r="H63">
        <v>5</v>
      </c>
      <c r="I63">
        <v>19</v>
      </c>
      <c r="J63">
        <v>19</v>
      </c>
      <c r="K63">
        <v>1000000000</v>
      </c>
      <c r="L63">
        <v>1000000000</v>
      </c>
      <c r="M63">
        <v>19</v>
      </c>
      <c r="N63" t="s">
        <v>2051</v>
      </c>
      <c r="O63" t="s">
        <v>894</v>
      </c>
      <c r="P63">
        <v>14</v>
      </c>
      <c r="Q63">
        <v>0.6</v>
      </c>
      <c r="R63">
        <v>1000000000</v>
      </c>
      <c r="S63">
        <v>50</v>
      </c>
      <c r="T63" t="s">
        <v>893</v>
      </c>
      <c r="U63">
        <v>58</v>
      </c>
      <c r="V63">
        <v>0.03</v>
      </c>
      <c r="W63">
        <v>2</v>
      </c>
      <c r="X63">
        <v>1000000000</v>
      </c>
      <c r="Y63">
        <v>1000000000</v>
      </c>
      <c r="Z63">
        <v>1000000000</v>
      </c>
      <c r="AA63">
        <v>1000000000</v>
      </c>
      <c r="AB63">
        <v>1000000000</v>
      </c>
      <c r="AC63">
        <v>2</v>
      </c>
      <c r="AD63">
        <v>1000000000</v>
      </c>
      <c r="AE63">
        <v>2</v>
      </c>
      <c r="AF63" t="s">
        <v>2051</v>
      </c>
      <c r="AG63" t="s">
        <v>2051</v>
      </c>
      <c r="AH63">
        <v>1</v>
      </c>
      <c r="AI63">
        <v>2</v>
      </c>
      <c r="AJ63">
        <v>30</v>
      </c>
      <c r="AK63" t="s">
        <v>2051</v>
      </c>
      <c r="AL63" t="s">
        <v>2051</v>
      </c>
      <c r="AM63" t="s">
        <v>2051</v>
      </c>
      <c r="AN63" t="s">
        <v>2051</v>
      </c>
      <c r="AO63" t="s">
        <v>2051</v>
      </c>
      <c r="AP63" t="s">
        <v>2051</v>
      </c>
      <c r="AQ63" t="s">
        <v>2051</v>
      </c>
      <c r="AR63" t="s">
        <v>2051</v>
      </c>
      <c r="AS63" t="s">
        <v>2051</v>
      </c>
      <c r="AT63" t="s">
        <v>2051</v>
      </c>
      <c r="AU63" t="s">
        <v>2051</v>
      </c>
      <c r="AV63" t="s">
        <v>2051</v>
      </c>
      <c r="AW63" t="s">
        <v>2051</v>
      </c>
      <c r="AX63" t="s">
        <v>2051</v>
      </c>
      <c r="AY63" t="s">
        <v>2051</v>
      </c>
      <c r="AZ63" t="s">
        <v>2051</v>
      </c>
    </row>
    <row r="64" spans="1:52" x14ac:dyDescent="0.2">
      <c r="A64" t="s">
        <v>822</v>
      </c>
      <c r="B64">
        <v>1595</v>
      </c>
      <c r="C64" t="s">
        <v>893</v>
      </c>
      <c r="D64">
        <v>58</v>
      </c>
      <c r="E64">
        <v>3.0000000000000001E-3</v>
      </c>
      <c r="F64">
        <v>1.4999999999999999E-2</v>
      </c>
      <c r="G64">
        <v>1.4999999999999999E-2</v>
      </c>
      <c r="H64">
        <v>5</v>
      </c>
      <c r="I64">
        <v>11</v>
      </c>
      <c r="J64">
        <v>11</v>
      </c>
      <c r="K64">
        <v>1000000000</v>
      </c>
      <c r="L64">
        <v>1000000000</v>
      </c>
      <c r="M64">
        <v>11</v>
      </c>
      <c r="N64" t="s">
        <v>2051</v>
      </c>
      <c r="O64" t="s">
        <v>894</v>
      </c>
      <c r="P64">
        <v>14</v>
      </c>
      <c r="Q64">
        <v>0.03</v>
      </c>
      <c r="R64">
        <v>1000000000</v>
      </c>
      <c r="S64">
        <v>10</v>
      </c>
      <c r="T64" t="s">
        <v>893</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2051</v>
      </c>
      <c r="AG64" t="s">
        <v>2051</v>
      </c>
      <c r="AH64">
        <v>1</v>
      </c>
      <c r="AI64">
        <v>2</v>
      </c>
      <c r="AJ64">
        <v>30</v>
      </c>
      <c r="AK64" t="s">
        <v>2051</v>
      </c>
      <c r="AL64" t="s">
        <v>2051</v>
      </c>
      <c r="AM64" t="s">
        <v>2051</v>
      </c>
      <c r="AN64" t="s">
        <v>2051</v>
      </c>
      <c r="AO64" t="s">
        <v>2051</v>
      </c>
      <c r="AP64" t="s">
        <v>2051</v>
      </c>
      <c r="AQ64" t="s">
        <v>2051</v>
      </c>
      <c r="AR64" t="s">
        <v>2051</v>
      </c>
      <c r="AS64" t="s">
        <v>2051</v>
      </c>
      <c r="AT64" t="s">
        <v>2051</v>
      </c>
      <c r="AU64" t="s">
        <v>2051</v>
      </c>
      <c r="AV64" t="s">
        <v>2051</v>
      </c>
      <c r="AW64" t="s">
        <v>2051</v>
      </c>
      <c r="AX64" t="s">
        <v>2051</v>
      </c>
      <c r="AY64" t="s">
        <v>2051</v>
      </c>
      <c r="AZ64" t="s">
        <v>2051</v>
      </c>
    </row>
    <row r="65" spans="1:52" x14ac:dyDescent="0.2">
      <c r="A65" t="s">
        <v>823</v>
      </c>
      <c r="B65">
        <v>1533</v>
      </c>
      <c r="C65" t="s">
        <v>893</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2051</v>
      </c>
      <c r="O65" t="s">
        <v>894</v>
      </c>
      <c r="P65">
        <v>14</v>
      </c>
      <c r="Q65">
        <v>0.03</v>
      </c>
      <c r="R65">
        <v>1000000000</v>
      </c>
      <c r="S65">
        <v>2.5</v>
      </c>
      <c r="T65" t="s">
        <v>893</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2051</v>
      </c>
      <c r="AG65" t="s">
        <v>2051</v>
      </c>
      <c r="AH65">
        <v>1</v>
      </c>
      <c r="AI65">
        <v>2</v>
      </c>
      <c r="AJ65">
        <v>30</v>
      </c>
      <c r="AK65" t="s">
        <v>2051</v>
      </c>
      <c r="AL65" t="s">
        <v>2051</v>
      </c>
      <c r="AM65" t="s">
        <v>2051</v>
      </c>
      <c r="AN65" t="s">
        <v>2051</v>
      </c>
      <c r="AO65" t="s">
        <v>2051</v>
      </c>
      <c r="AP65" t="s">
        <v>2051</v>
      </c>
      <c r="AQ65" t="s">
        <v>2051</v>
      </c>
      <c r="AR65" t="s">
        <v>2051</v>
      </c>
      <c r="AS65" t="s">
        <v>2051</v>
      </c>
      <c r="AT65" t="s">
        <v>2051</v>
      </c>
      <c r="AU65" t="s">
        <v>2051</v>
      </c>
      <c r="AV65" t="s">
        <v>2051</v>
      </c>
      <c r="AW65" t="s">
        <v>2051</v>
      </c>
      <c r="AX65" t="s">
        <v>2051</v>
      </c>
      <c r="AY65" t="s">
        <v>2051</v>
      </c>
      <c r="AZ65" t="s">
        <v>2051</v>
      </c>
    </row>
    <row r="66" spans="1:52" x14ac:dyDescent="0.2">
      <c r="A66" t="s">
        <v>829</v>
      </c>
      <c r="B66">
        <v>1387</v>
      </c>
      <c r="C66" t="s">
        <v>893</v>
      </c>
      <c r="D66">
        <v>58</v>
      </c>
      <c r="E66">
        <v>1E-3</v>
      </c>
      <c r="F66">
        <v>2.5000000000000001E-3</v>
      </c>
      <c r="G66">
        <v>2.5000000000000001E-3</v>
      </c>
      <c r="H66">
        <v>5</v>
      </c>
      <c r="I66">
        <v>6.7</v>
      </c>
      <c r="J66">
        <v>6.7</v>
      </c>
      <c r="K66">
        <v>1000000000</v>
      </c>
      <c r="L66">
        <v>1000000000</v>
      </c>
      <c r="M66">
        <v>6.7</v>
      </c>
      <c r="N66" t="s">
        <v>2051</v>
      </c>
      <c r="O66" t="s">
        <v>894</v>
      </c>
      <c r="P66">
        <v>14</v>
      </c>
      <c r="Q66">
        <v>5.0000000000000001E-3</v>
      </c>
      <c r="R66">
        <v>1000000000</v>
      </c>
      <c r="S66">
        <v>1</v>
      </c>
      <c r="T66" t="s">
        <v>893</v>
      </c>
      <c r="U66">
        <v>58</v>
      </c>
      <c r="V66">
        <v>1E-3</v>
      </c>
      <c r="W66">
        <v>2.5000000000000001E-3</v>
      </c>
      <c r="X66">
        <v>7.0000000000000001E-3</v>
      </c>
      <c r="Y66">
        <v>1000000000</v>
      </c>
      <c r="Z66">
        <v>1000000000</v>
      </c>
      <c r="AA66">
        <v>1000000000</v>
      </c>
      <c r="AB66">
        <v>1000000000</v>
      </c>
      <c r="AC66">
        <v>7.0000000000000001E-3</v>
      </c>
      <c r="AD66">
        <v>1000000000</v>
      </c>
      <c r="AE66">
        <v>6.7</v>
      </c>
      <c r="AF66" t="s">
        <v>2051</v>
      </c>
      <c r="AG66" t="s">
        <v>2051</v>
      </c>
      <c r="AH66">
        <v>1</v>
      </c>
      <c r="AI66">
        <v>2</v>
      </c>
      <c r="AJ66">
        <v>30</v>
      </c>
      <c r="AK66" t="s">
        <v>2051</v>
      </c>
      <c r="AL66" t="s">
        <v>2051</v>
      </c>
      <c r="AM66" t="s">
        <v>2051</v>
      </c>
      <c r="AN66" t="s">
        <v>2051</v>
      </c>
      <c r="AO66" t="s">
        <v>2051</v>
      </c>
      <c r="AP66" t="s">
        <v>2051</v>
      </c>
      <c r="AQ66" t="s">
        <v>2051</v>
      </c>
      <c r="AR66" t="s">
        <v>2051</v>
      </c>
      <c r="AS66" t="s">
        <v>2051</v>
      </c>
      <c r="AT66" t="s">
        <v>2051</v>
      </c>
      <c r="AU66" t="s">
        <v>2051</v>
      </c>
      <c r="AV66" t="s">
        <v>2051</v>
      </c>
      <c r="AW66" t="s">
        <v>2051</v>
      </c>
      <c r="AX66" t="s">
        <v>2051</v>
      </c>
      <c r="AY66" t="s">
        <v>2051</v>
      </c>
      <c r="AZ66" t="s">
        <v>2051</v>
      </c>
    </row>
    <row r="67" spans="1:52" x14ac:dyDescent="0.2">
      <c r="A67" t="s">
        <v>91</v>
      </c>
      <c r="B67">
        <v>861</v>
      </c>
      <c r="C67" t="s">
        <v>893</v>
      </c>
      <c r="D67">
        <v>58</v>
      </c>
      <c r="E67">
        <v>1E-3</v>
      </c>
      <c r="F67">
        <v>8.5000000000000006E-3</v>
      </c>
      <c r="G67">
        <v>2.7E-2</v>
      </c>
      <c r="H67">
        <v>1.4</v>
      </c>
      <c r="I67">
        <v>2</v>
      </c>
      <c r="J67">
        <v>2</v>
      </c>
      <c r="K67">
        <v>1000000000</v>
      </c>
      <c r="L67">
        <v>1000000000</v>
      </c>
      <c r="M67">
        <v>2</v>
      </c>
      <c r="N67" t="s">
        <v>2051</v>
      </c>
      <c r="O67" t="s">
        <v>894</v>
      </c>
      <c r="P67">
        <v>14</v>
      </c>
      <c r="Q67">
        <v>5.0000000000000001E-3</v>
      </c>
      <c r="R67">
        <v>1000000000</v>
      </c>
      <c r="S67">
        <v>0.5</v>
      </c>
      <c r="T67" t="s">
        <v>893</v>
      </c>
      <c r="U67">
        <v>58</v>
      </c>
      <c r="V67">
        <v>1E-3</v>
      </c>
      <c r="W67">
        <v>8.5000000000000006E-3</v>
      </c>
      <c r="X67">
        <v>4.3999999999999997E-2</v>
      </c>
      <c r="Y67">
        <v>1000000000</v>
      </c>
      <c r="Z67">
        <v>1000000000</v>
      </c>
      <c r="AA67">
        <v>1000000000</v>
      </c>
      <c r="AB67">
        <v>1000000000</v>
      </c>
      <c r="AC67">
        <v>4.3999999999999997E-2</v>
      </c>
      <c r="AD67">
        <v>0.02</v>
      </c>
      <c r="AE67">
        <v>2</v>
      </c>
      <c r="AF67" t="s">
        <v>2051</v>
      </c>
      <c r="AG67" t="s">
        <v>2051</v>
      </c>
      <c r="AH67">
        <v>1</v>
      </c>
      <c r="AI67">
        <v>2</v>
      </c>
      <c r="AJ67">
        <v>30</v>
      </c>
      <c r="AK67" t="s">
        <v>2051</v>
      </c>
      <c r="AL67" t="s">
        <v>2051</v>
      </c>
      <c r="AM67" t="s">
        <v>2051</v>
      </c>
      <c r="AN67" t="s">
        <v>2051</v>
      </c>
      <c r="AO67" t="s">
        <v>2051</v>
      </c>
      <c r="AP67" t="s">
        <v>2051</v>
      </c>
      <c r="AQ67" t="s">
        <v>2051</v>
      </c>
      <c r="AR67" t="s">
        <v>2051</v>
      </c>
      <c r="AS67" t="s">
        <v>2051</v>
      </c>
      <c r="AT67" t="s">
        <v>2051</v>
      </c>
      <c r="AU67" t="s">
        <v>2051</v>
      </c>
      <c r="AV67" t="s">
        <v>2051</v>
      </c>
      <c r="AW67" t="s">
        <v>2051</v>
      </c>
      <c r="AX67" t="s">
        <v>2051</v>
      </c>
      <c r="AY67" t="s">
        <v>2051</v>
      </c>
      <c r="AZ67" t="s">
        <v>2051</v>
      </c>
    </row>
    <row r="68" spans="1:52" x14ac:dyDescent="0.2">
      <c r="A68" t="s">
        <v>900</v>
      </c>
      <c r="B68">
        <v>4318</v>
      </c>
      <c r="C68" t="s">
        <v>893</v>
      </c>
      <c r="D68">
        <v>58</v>
      </c>
      <c r="E68">
        <v>1000000000</v>
      </c>
      <c r="F68">
        <v>1000000000</v>
      </c>
      <c r="G68">
        <v>1000000000</v>
      </c>
      <c r="H68">
        <v>1000000000</v>
      </c>
      <c r="I68">
        <v>1000000000</v>
      </c>
      <c r="J68">
        <v>1000000000</v>
      </c>
      <c r="K68">
        <v>1000000000</v>
      </c>
      <c r="L68">
        <v>1000000000</v>
      </c>
      <c r="M68">
        <v>1000000000</v>
      </c>
      <c r="N68" t="s">
        <v>2051</v>
      </c>
      <c r="O68" t="s">
        <v>894</v>
      </c>
      <c r="P68">
        <v>14</v>
      </c>
      <c r="Q68">
        <v>1000000000</v>
      </c>
      <c r="R68">
        <v>1000000000</v>
      </c>
      <c r="S68">
        <v>1000000000</v>
      </c>
      <c r="T68" t="s">
        <v>893</v>
      </c>
      <c r="U68">
        <v>58</v>
      </c>
      <c r="V68">
        <v>1000000000</v>
      </c>
      <c r="W68">
        <v>2</v>
      </c>
      <c r="X68">
        <v>1000000000</v>
      </c>
      <c r="Y68">
        <v>30</v>
      </c>
      <c r="Z68">
        <v>30</v>
      </c>
      <c r="AA68">
        <v>1000000000</v>
      </c>
      <c r="AB68">
        <v>1000000000</v>
      </c>
      <c r="AC68">
        <v>2</v>
      </c>
      <c r="AD68">
        <v>1000000000</v>
      </c>
      <c r="AE68">
        <v>1000000000</v>
      </c>
      <c r="AF68" t="s">
        <v>2051</v>
      </c>
      <c r="AG68" t="s">
        <v>2051</v>
      </c>
      <c r="AH68">
        <v>1</v>
      </c>
      <c r="AI68">
        <v>2</v>
      </c>
      <c r="AJ68">
        <v>30</v>
      </c>
      <c r="AK68" t="s">
        <v>2051</v>
      </c>
      <c r="AL68" t="s">
        <v>2051</v>
      </c>
      <c r="AM68" t="s">
        <v>2051</v>
      </c>
      <c r="AN68" t="s">
        <v>2051</v>
      </c>
      <c r="AO68" t="s">
        <v>2051</v>
      </c>
      <c r="AP68" t="s">
        <v>2051</v>
      </c>
      <c r="AQ68" t="s">
        <v>2051</v>
      </c>
      <c r="AR68" t="s">
        <v>2051</v>
      </c>
      <c r="AS68" t="s">
        <v>2051</v>
      </c>
      <c r="AT68" t="s">
        <v>2051</v>
      </c>
      <c r="AU68" t="s">
        <v>2051</v>
      </c>
      <c r="AV68" t="s">
        <v>2051</v>
      </c>
      <c r="AW68" t="s">
        <v>2051</v>
      </c>
      <c r="AX68" t="s">
        <v>2051</v>
      </c>
      <c r="AY68" t="s">
        <v>2051</v>
      </c>
      <c r="AZ68" t="s">
        <v>2051</v>
      </c>
    </row>
    <row r="69" spans="1:52" x14ac:dyDescent="0.2">
      <c r="A69" t="s">
        <v>901</v>
      </c>
      <c r="B69">
        <v>1248</v>
      </c>
      <c r="C69" t="s">
        <v>893</v>
      </c>
      <c r="D69">
        <v>58</v>
      </c>
      <c r="E69">
        <v>1000000000</v>
      </c>
      <c r="F69">
        <v>4.4999999999999998E-2</v>
      </c>
      <c r="G69">
        <v>4.4999999999999998E-2</v>
      </c>
      <c r="H69">
        <v>5.4</v>
      </c>
      <c r="I69">
        <v>5.4</v>
      </c>
      <c r="J69">
        <v>5.4</v>
      </c>
      <c r="K69">
        <v>1000000000</v>
      </c>
      <c r="L69">
        <v>1000000000</v>
      </c>
      <c r="M69">
        <v>5.4</v>
      </c>
      <c r="N69" t="s">
        <v>2051</v>
      </c>
      <c r="O69" t="s">
        <v>894</v>
      </c>
      <c r="P69">
        <v>14</v>
      </c>
      <c r="Q69">
        <v>1000000000</v>
      </c>
      <c r="R69">
        <v>1000000000</v>
      </c>
      <c r="S69">
        <v>100</v>
      </c>
      <c r="T69" t="s">
        <v>893</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2051</v>
      </c>
      <c r="AG69" t="s">
        <v>2051</v>
      </c>
      <c r="AH69">
        <v>1</v>
      </c>
      <c r="AI69">
        <v>2</v>
      </c>
      <c r="AJ69">
        <v>30</v>
      </c>
      <c r="AK69" t="s">
        <v>2051</v>
      </c>
      <c r="AL69" t="s">
        <v>2051</v>
      </c>
      <c r="AM69" t="s">
        <v>2051</v>
      </c>
      <c r="AN69" t="s">
        <v>2051</v>
      </c>
      <c r="AO69" t="s">
        <v>2051</v>
      </c>
      <c r="AP69" t="s">
        <v>2051</v>
      </c>
      <c r="AQ69" t="s">
        <v>2051</v>
      </c>
      <c r="AR69" t="s">
        <v>2051</v>
      </c>
      <c r="AS69" t="s">
        <v>2051</v>
      </c>
      <c r="AT69" t="s">
        <v>2051</v>
      </c>
      <c r="AU69" t="s">
        <v>2051</v>
      </c>
      <c r="AV69" t="s">
        <v>2051</v>
      </c>
      <c r="AW69" t="s">
        <v>2051</v>
      </c>
      <c r="AX69" t="s">
        <v>2051</v>
      </c>
      <c r="AY69" t="s">
        <v>2051</v>
      </c>
      <c r="AZ69" t="s">
        <v>2051</v>
      </c>
    </row>
    <row r="70" spans="1:52" x14ac:dyDescent="0.2">
      <c r="A70" t="s">
        <v>824</v>
      </c>
      <c r="B70">
        <v>615</v>
      </c>
      <c r="C70" t="s">
        <v>893</v>
      </c>
      <c r="D70">
        <v>58</v>
      </c>
      <c r="E70">
        <v>1000000000</v>
      </c>
      <c r="F70">
        <v>0.2</v>
      </c>
      <c r="G70">
        <v>0.2</v>
      </c>
      <c r="H70">
        <v>6</v>
      </c>
      <c r="I70">
        <v>22</v>
      </c>
      <c r="J70">
        <v>22</v>
      </c>
      <c r="K70">
        <v>1000000000</v>
      </c>
      <c r="L70">
        <v>1000000000</v>
      </c>
      <c r="M70">
        <v>22</v>
      </c>
      <c r="N70" t="s">
        <v>2051</v>
      </c>
      <c r="O70" t="s">
        <v>894</v>
      </c>
      <c r="P70">
        <v>14</v>
      </c>
      <c r="Q70">
        <v>1000000000</v>
      </c>
      <c r="R70">
        <v>1000000000</v>
      </c>
      <c r="S70">
        <v>30</v>
      </c>
      <c r="T70" t="s">
        <v>893</v>
      </c>
      <c r="U70">
        <v>58</v>
      </c>
      <c r="V70">
        <v>1000000000</v>
      </c>
      <c r="W70">
        <v>0.2</v>
      </c>
      <c r="X70">
        <v>1000000000</v>
      </c>
      <c r="Y70">
        <v>1000000000</v>
      </c>
      <c r="Z70">
        <v>1000000000</v>
      </c>
      <c r="AA70">
        <v>1000000000</v>
      </c>
      <c r="AB70">
        <v>1000000000</v>
      </c>
      <c r="AC70">
        <v>0.2</v>
      </c>
      <c r="AD70">
        <v>1000000000</v>
      </c>
      <c r="AE70">
        <v>0.2</v>
      </c>
      <c r="AF70" t="s">
        <v>2051</v>
      </c>
      <c r="AG70" t="s">
        <v>2051</v>
      </c>
      <c r="AH70">
        <v>1</v>
      </c>
      <c r="AI70">
        <v>2</v>
      </c>
      <c r="AJ70">
        <v>30</v>
      </c>
      <c r="AK70" t="s">
        <v>2051</v>
      </c>
      <c r="AL70" t="s">
        <v>2051</v>
      </c>
      <c r="AM70" t="s">
        <v>2051</v>
      </c>
      <c r="AN70" t="s">
        <v>2051</v>
      </c>
      <c r="AO70" t="s">
        <v>2051</v>
      </c>
      <c r="AP70" t="s">
        <v>2051</v>
      </c>
      <c r="AQ70" t="s">
        <v>2051</v>
      </c>
      <c r="AR70" t="s">
        <v>2051</v>
      </c>
      <c r="AS70" t="s">
        <v>2051</v>
      </c>
      <c r="AT70" t="s">
        <v>2051</v>
      </c>
      <c r="AU70" t="s">
        <v>2051</v>
      </c>
      <c r="AV70" t="s">
        <v>2051</v>
      </c>
      <c r="AW70" t="s">
        <v>2051</v>
      </c>
      <c r="AX70" t="s">
        <v>2051</v>
      </c>
      <c r="AY70" t="s">
        <v>2051</v>
      </c>
      <c r="AZ70" t="s">
        <v>2051</v>
      </c>
    </row>
    <row r="71" spans="1:52" x14ac:dyDescent="0.2">
      <c r="A71" t="s">
        <v>825</v>
      </c>
      <c r="B71">
        <v>1600</v>
      </c>
      <c r="C71" t="s">
        <v>893</v>
      </c>
      <c r="D71">
        <v>58</v>
      </c>
      <c r="E71">
        <v>1000000000</v>
      </c>
      <c r="F71">
        <v>3.0000000000000001E-3</v>
      </c>
      <c r="G71">
        <v>3.0000000000000001E-3</v>
      </c>
      <c r="H71">
        <v>6</v>
      </c>
      <c r="I71">
        <v>22</v>
      </c>
      <c r="J71">
        <v>22</v>
      </c>
      <c r="K71">
        <v>1000000000</v>
      </c>
      <c r="L71">
        <v>1000000000</v>
      </c>
      <c r="M71">
        <v>22</v>
      </c>
      <c r="N71" t="s">
        <v>2051</v>
      </c>
      <c r="O71" t="s">
        <v>894</v>
      </c>
      <c r="P71">
        <v>14</v>
      </c>
      <c r="Q71">
        <v>1000000000</v>
      </c>
      <c r="R71">
        <v>1000000000</v>
      </c>
      <c r="S71">
        <v>10</v>
      </c>
      <c r="T71" t="s">
        <v>893</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2051</v>
      </c>
      <c r="AG71" t="s">
        <v>2051</v>
      </c>
      <c r="AH71">
        <v>1</v>
      </c>
      <c r="AI71">
        <v>2</v>
      </c>
      <c r="AJ71">
        <v>30</v>
      </c>
      <c r="AK71" t="s">
        <v>2051</v>
      </c>
      <c r="AL71" t="s">
        <v>2051</v>
      </c>
      <c r="AM71" t="s">
        <v>2051</v>
      </c>
      <c r="AN71" t="s">
        <v>2051</v>
      </c>
      <c r="AO71" t="s">
        <v>2051</v>
      </c>
      <c r="AP71" t="s">
        <v>2051</v>
      </c>
      <c r="AQ71" t="s">
        <v>2051</v>
      </c>
      <c r="AR71" t="s">
        <v>2051</v>
      </c>
      <c r="AS71" t="s">
        <v>2051</v>
      </c>
      <c r="AT71" t="s">
        <v>2051</v>
      </c>
      <c r="AU71" t="s">
        <v>2051</v>
      </c>
      <c r="AV71" t="s">
        <v>2051</v>
      </c>
      <c r="AW71" t="s">
        <v>2051</v>
      </c>
      <c r="AX71" t="s">
        <v>2051</v>
      </c>
      <c r="AY71" t="s">
        <v>2051</v>
      </c>
      <c r="AZ71" t="s">
        <v>2051</v>
      </c>
    </row>
    <row r="72" spans="1:52" x14ac:dyDescent="0.2">
      <c r="A72" t="s">
        <v>826</v>
      </c>
      <c r="B72">
        <v>1537</v>
      </c>
      <c r="C72" t="s">
        <v>893</v>
      </c>
      <c r="D72">
        <v>58</v>
      </c>
      <c r="E72">
        <v>1000000000</v>
      </c>
      <c r="F72">
        <v>1.4999999999999999E-2</v>
      </c>
      <c r="G72">
        <v>1</v>
      </c>
      <c r="H72">
        <v>6</v>
      </c>
      <c r="I72">
        <v>21</v>
      </c>
      <c r="J72">
        <v>21</v>
      </c>
      <c r="K72">
        <v>1000000000</v>
      </c>
      <c r="L72">
        <v>1000000000</v>
      </c>
      <c r="M72">
        <v>21</v>
      </c>
      <c r="N72" t="s">
        <v>2051</v>
      </c>
      <c r="O72" t="s">
        <v>894</v>
      </c>
      <c r="P72">
        <v>14</v>
      </c>
      <c r="Q72">
        <v>1000000000</v>
      </c>
      <c r="R72">
        <v>1000000000</v>
      </c>
      <c r="S72">
        <v>10</v>
      </c>
      <c r="T72" t="s">
        <v>893</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2051</v>
      </c>
      <c r="AG72" t="s">
        <v>2051</v>
      </c>
      <c r="AH72">
        <v>1</v>
      </c>
      <c r="AI72">
        <v>2</v>
      </c>
      <c r="AJ72">
        <v>30</v>
      </c>
      <c r="AK72" t="s">
        <v>2051</v>
      </c>
      <c r="AL72" t="s">
        <v>2051</v>
      </c>
      <c r="AM72" t="s">
        <v>2051</v>
      </c>
      <c r="AN72" t="s">
        <v>2051</v>
      </c>
      <c r="AO72" t="s">
        <v>2051</v>
      </c>
      <c r="AP72" t="s">
        <v>2051</v>
      </c>
      <c r="AQ72" t="s">
        <v>2051</v>
      </c>
      <c r="AR72" t="s">
        <v>2051</v>
      </c>
      <c r="AS72" t="s">
        <v>2051</v>
      </c>
      <c r="AT72" t="s">
        <v>2051</v>
      </c>
      <c r="AU72" t="s">
        <v>2051</v>
      </c>
      <c r="AV72" t="s">
        <v>2051</v>
      </c>
      <c r="AW72" t="s">
        <v>2051</v>
      </c>
      <c r="AX72" t="s">
        <v>2051</v>
      </c>
      <c r="AY72" t="s">
        <v>2051</v>
      </c>
      <c r="AZ72" t="s">
        <v>2051</v>
      </c>
    </row>
    <row r="73" spans="1:52" x14ac:dyDescent="0.2">
      <c r="A73" t="s">
        <v>641</v>
      </c>
      <c r="B73">
        <v>1390</v>
      </c>
      <c r="C73" t="s">
        <v>893</v>
      </c>
      <c r="D73">
        <v>58</v>
      </c>
      <c r="E73">
        <v>1000000000</v>
      </c>
      <c r="F73">
        <v>3.0000000000000001E-3</v>
      </c>
      <c r="G73">
        <v>1.4</v>
      </c>
      <c r="H73">
        <v>5</v>
      </c>
      <c r="I73">
        <v>12</v>
      </c>
      <c r="J73">
        <v>12</v>
      </c>
      <c r="K73">
        <v>1000000000</v>
      </c>
      <c r="L73">
        <v>1000000000</v>
      </c>
      <c r="M73">
        <v>12</v>
      </c>
      <c r="N73" t="s">
        <v>2051</v>
      </c>
      <c r="O73" t="s">
        <v>894</v>
      </c>
      <c r="P73">
        <v>14</v>
      </c>
      <c r="Q73">
        <v>1000000000</v>
      </c>
      <c r="R73">
        <v>1000000000</v>
      </c>
      <c r="S73">
        <v>3</v>
      </c>
      <c r="T73" t="s">
        <v>893</v>
      </c>
      <c r="U73">
        <v>58</v>
      </c>
      <c r="V73">
        <v>3.0000000000000001E-3</v>
      </c>
      <c r="W73">
        <v>3.0000000000000001E-3</v>
      </c>
      <c r="X73">
        <v>1.6E-2</v>
      </c>
      <c r="Y73">
        <v>5</v>
      </c>
      <c r="Z73">
        <v>5</v>
      </c>
      <c r="AA73">
        <v>1000000000</v>
      </c>
      <c r="AB73">
        <v>1000000000</v>
      </c>
      <c r="AC73">
        <v>1.6E-2</v>
      </c>
      <c r="AD73">
        <v>1000000000</v>
      </c>
      <c r="AE73">
        <v>12</v>
      </c>
      <c r="AF73" t="s">
        <v>2051</v>
      </c>
      <c r="AG73" t="s">
        <v>2051</v>
      </c>
      <c r="AH73">
        <v>1</v>
      </c>
      <c r="AI73">
        <v>2</v>
      </c>
      <c r="AJ73">
        <v>30</v>
      </c>
      <c r="AK73" t="s">
        <v>2051</v>
      </c>
      <c r="AL73" t="s">
        <v>2051</v>
      </c>
      <c r="AM73" t="s">
        <v>2051</v>
      </c>
      <c r="AN73" t="s">
        <v>2051</v>
      </c>
      <c r="AO73" t="s">
        <v>2051</v>
      </c>
      <c r="AP73" t="s">
        <v>2051</v>
      </c>
      <c r="AQ73" t="s">
        <v>2051</v>
      </c>
      <c r="AR73" t="s">
        <v>2051</v>
      </c>
      <c r="AS73" t="s">
        <v>2051</v>
      </c>
      <c r="AT73" t="s">
        <v>2051</v>
      </c>
      <c r="AU73" t="s">
        <v>2051</v>
      </c>
      <c r="AV73" t="s">
        <v>2051</v>
      </c>
      <c r="AW73" t="s">
        <v>2051</v>
      </c>
      <c r="AX73" t="s">
        <v>2051</v>
      </c>
      <c r="AY73" t="s">
        <v>2051</v>
      </c>
      <c r="AZ73" t="s">
        <v>2051</v>
      </c>
    </row>
    <row r="74" spans="1:52" x14ac:dyDescent="0.2">
      <c r="A74" t="s">
        <v>827</v>
      </c>
      <c r="B74">
        <v>482</v>
      </c>
      <c r="C74" t="s">
        <v>893</v>
      </c>
      <c r="D74">
        <v>58</v>
      </c>
      <c r="E74">
        <v>1000000000</v>
      </c>
      <c r="F74">
        <v>1000000000</v>
      </c>
      <c r="G74">
        <v>1000000000</v>
      </c>
      <c r="H74">
        <v>1000000000</v>
      </c>
      <c r="I74">
        <v>1000000000</v>
      </c>
      <c r="J74">
        <v>1000000000</v>
      </c>
      <c r="K74">
        <v>1000000000</v>
      </c>
      <c r="L74">
        <v>1000000000</v>
      </c>
      <c r="M74">
        <v>1000000000</v>
      </c>
      <c r="N74" t="s">
        <v>2051</v>
      </c>
      <c r="O74" t="s">
        <v>894</v>
      </c>
      <c r="P74">
        <v>14</v>
      </c>
      <c r="Q74">
        <v>1000000000</v>
      </c>
      <c r="R74">
        <v>1000000000</v>
      </c>
      <c r="S74">
        <v>1000000000</v>
      </c>
      <c r="T74" t="s">
        <v>893</v>
      </c>
      <c r="U74">
        <v>58</v>
      </c>
      <c r="V74">
        <v>1000000000</v>
      </c>
      <c r="W74">
        <v>0.2</v>
      </c>
      <c r="X74">
        <v>1000000000</v>
      </c>
      <c r="Y74">
        <v>10</v>
      </c>
      <c r="Z74">
        <v>10</v>
      </c>
      <c r="AA74">
        <v>1000000000</v>
      </c>
      <c r="AB74">
        <v>1000000000</v>
      </c>
      <c r="AC74">
        <v>0.2</v>
      </c>
      <c r="AD74">
        <v>1000000000</v>
      </c>
      <c r="AE74">
        <v>1000000000</v>
      </c>
      <c r="AF74" t="s">
        <v>2051</v>
      </c>
      <c r="AG74" t="s">
        <v>2051</v>
      </c>
      <c r="AH74">
        <v>1</v>
      </c>
      <c r="AI74">
        <v>2</v>
      </c>
      <c r="AJ74">
        <v>30</v>
      </c>
      <c r="AK74" t="s">
        <v>2051</v>
      </c>
      <c r="AL74" t="s">
        <v>2051</v>
      </c>
      <c r="AM74" t="s">
        <v>2051</v>
      </c>
      <c r="AN74" t="s">
        <v>2051</v>
      </c>
      <c r="AO74" t="s">
        <v>2051</v>
      </c>
      <c r="AP74" t="s">
        <v>2051</v>
      </c>
      <c r="AQ74" t="s">
        <v>2051</v>
      </c>
      <c r="AR74" t="s">
        <v>2051</v>
      </c>
      <c r="AS74" t="s">
        <v>2051</v>
      </c>
      <c r="AT74" t="s">
        <v>2051</v>
      </c>
      <c r="AU74" t="s">
        <v>2051</v>
      </c>
      <c r="AV74" t="s">
        <v>2051</v>
      </c>
      <c r="AW74" t="s">
        <v>2051</v>
      </c>
      <c r="AX74" t="s">
        <v>2051</v>
      </c>
      <c r="AY74" t="s">
        <v>2051</v>
      </c>
      <c r="AZ74" t="s">
        <v>2051</v>
      </c>
    </row>
    <row r="75" spans="1:52" x14ac:dyDescent="0.2">
      <c r="A75" t="s">
        <v>166</v>
      </c>
      <c r="B75">
        <v>554</v>
      </c>
      <c r="C75" t="s">
        <v>893</v>
      </c>
      <c r="D75">
        <v>58</v>
      </c>
      <c r="E75">
        <v>2E-3</v>
      </c>
      <c r="F75">
        <v>0.2</v>
      </c>
      <c r="G75">
        <v>0.2</v>
      </c>
      <c r="H75">
        <v>1</v>
      </c>
      <c r="I75">
        <v>1.7</v>
      </c>
      <c r="J75">
        <v>1.7</v>
      </c>
      <c r="K75">
        <v>1000000000</v>
      </c>
      <c r="L75">
        <v>1000000000</v>
      </c>
      <c r="M75">
        <v>1.7</v>
      </c>
      <c r="N75" t="s">
        <v>2051</v>
      </c>
      <c r="O75" t="s">
        <v>894</v>
      </c>
      <c r="P75">
        <v>14</v>
      </c>
      <c r="Q75">
        <v>0.02</v>
      </c>
      <c r="R75">
        <v>1000000000</v>
      </c>
      <c r="S75">
        <v>1000000000</v>
      </c>
      <c r="T75" t="s">
        <v>893</v>
      </c>
      <c r="U75">
        <v>58</v>
      </c>
      <c r="V75">
        <v>2E-3</v>
      </c>
      <c r="W75">
        <v>1000000000</v>
      </c>
      <c r="X75">
        <v>1000000000</v>
      </c>
      <c r="Y75">
        <v>1000000000</v>
      </c>
      <c r="Z75">
        <v>1000000000</v>
      </c>
      <c r="AA75">
        <v>1000000000</v>
      </c>
      <c r="AB75">
        <v>1000000000</v>
      </c>
      <c r="AC75">
        <v>1000000000</v>
      </c>
      <c r="AD75">
        <v>1000000000</v>
      </c>
      <c r="AE75">
        <v>1.7</v>
      </c>
      <c r="AF75" t="s">
        <v>2051</v>
      </c>
      <c r="AG75" t="s">
        <v>2051</v>
      </c>
      <c r="AH75">
        <v>1</v>
      </c>
      <c r="AI75">
        <v>2</v>
      </c>
      <c r="AJ75">
        <v>30</v>
      </c>
      <c r="AK75" t="s">
        <v>2051</v>
      </c>
      <c r="AL75" t="s">
        <v>2051</v>
      </c>
      <c r="AM75" t="s">
        <v>2051</v>
      </c>
      <c r="AN75" t="s">
        <v>2051</v>
      </c>
      <c r="AO75" t="s">
        <v>2051</v>
      </c>
      <c r="AP75" t="s">
        <v>2051</v>
      </c>
      <c r="AQ75" t="s">
        <v>2051</v>
      </c>
      <c r="AR75" t="s">
        <v>2051</v>
      </c>
      <c r="AS75" t="s">
        <v>2051</v>
      </c>
      <c r="AT75" t="s">
        <v>2051</v>
      </c>
      <c r="AU75" t="s">
        <v>2051</v>
      </c>
      <c r="AV75" t="s">
        <v>2051</v>
      </c>
      <c r="AW75" t="s">
        <v>2051</v>
      </c>
      <c r="AX75" t="s">
        <v>2051</v>
      </c>
      <c r="AY75" t="s">
        <v>2051</v>
      </c>
      <c r="AZ75" t="s">
        <v>2051</v>
      </c>
    </row>
    <row r="76" spans="1:52" x14ac:dyDescent="0.2">
      <c r="A76" t="s">
        <v>167</v>
      </c>
      <c r="B76">
        <v>552</v>
      </c>
      <c r="C76" t="s">
        <v>893</v>
      </c>
      <c r="D76">
        <v>58</v>
      </c>
      <c r="E76">
        <v>2E-3</v>
      </c>
      <c r="F76">
        <v>0.02</v>
      </c>
      <c r="G76">
        <v>0.84</v>
      </c>
      <c r="H76">
        <v>34</v>
      </c>
      <c r="I76">
        <v>34</v>
      </c>
      <c r="J76">
        <v>34</v>
      </c>
      <c r="K76">
        <v>1000000000</v>
      </c>
      <c r="L76">
        <v>1000000000</v>
      </c>
      <c r="M76">
        <v>34</v>
      </c>
      <c r="N76" t="s">
        <v>2051</v>
      </c>
      <c r="O76" t="s">
        <v>894</v>
      </c>
      <c r="P76">
        <v>14</v>
      </c>
      <c r="Q76">
        <v>0.02</v>
      </c>
      <c r="R76">
        <v>1000000000</v>
      </c>
      <c r="S76">
        <v>1000000000</v>
      </c>
      <c r="T76" t="s">
        <v>893</v>
      </c>
      <c r="U76">
        <v>58</v>
      </c>
      <c r="V76">
        <v>2E-3</v>
      </c>
      <c r="W76">
        <v>1000000000</v>
      </c>
      <c r="X76">
        <v>1000000000</v>
      </c>
      <c r="Y76">
        <v>1000000000</v>
      </c>
      <c r="Z76">
        <v>1000000000</v>
      </c>
      <c r="AA76">
        <v>1000000000</v>
      </c>
      <c r="AB76">
        <v>1000000000</v>
      </c>
      <c r="AC76">
        <v>1000000000</v>
      </c>
      <c r="AD76">
        <v>1000000000</v>
      </c>
      <c r="AE76">
        <v>34</v>
      </c>
      <c r="AF76" t="s">
        <v>2051</v>
      </c>
      <c r="AG76" t="s">
        <v>2051</v>
      </c>
      <c r="AH76">
        <v>1</v>
      </c>
      <c r="AI76">
        <v>2</v>
      </c>
      <c r="AJ76">
        <v>30</v>
      </c>
      <c r="AK76" t="s">
        <v>2051</v>
      </c>
      <c r="AL76" t="s">
        <v>2051</v>
      </c>
      <c r="AM76" t="s">
        <v>2051</v>
      </c>
      <c r="AN76" t="s">
        <v>2051</v>
      </c>
      <c r="AO76" t="s">
        <v>2051</v>
      </c>
      <c r="AP76" t="s">
        <v>2051</v>
      </c>
      <c r="AQ76" t="s">
        <v>2051</v>
      </c>
      <c r="AR76" t="s">
        <v>2051</v>
      </c>
      <c r="AS76" t="s">
        <v>2051</v>
      </c>
      <c r="AT76" t="s">
        <v>2051</v>
      </c>
      <c r="AU76" t="s">
        <v>2051</v>
      </c>
      <c r="AV76" t="s">
        <v>2051</v>
      </c>
      <c r="AW76" t="s">
        <v>2051</v>
      </c>
      <c r="AX76" t="s">
        <v>2051</v>
      </c>
      <c r="AY76" t="s">
        <v>2051</v>
      </c>
      <c r="AZ76" t="s">
        <v>2051</v>
      </c>
    </row>
    <row r="77" spans="1:52" x14ac:dyDescent="0.2">
      <c r="A77" t="s">
        <v>168</v>
      </c>
      <c r="B77">
        <v>553</v>
      </c>
      <c r="C77" t="s">
        <v>893</v>
      </c>
      <c r="D77">
        <v>58</v>
      </c>
      <c r="E77">
        <v>2E-3</v>
      </c>
      <c r="F77">
        <v>0.1</v>
      </c>
      <c r="G77">
        <v>0.13</v>
      </c>
      <c r="H77">
        <v>1.3</v>
      </c>
      <c r="I77">
        <v>2.2999999999999998</v>
      </c>
      <c r="J77">
        <v>2.2999999999999998</v>
      </c>
      <c r="K77">
        <v>1000000000</v>
      </c>
      <c r="L77">
        <v>1000000000</v>
      </c>
      <c r="M77">
        <v>2.2999999999999998</v>
      </c>
      <c r="N77" t="s">
        <v>2051</v>
      </c>
      <c r="O77" t="s">
        <v>894</v>
      </c>
      <c r="P77">
        <v>14</v>
      </c>
      <c r="Q77">
        <v>0.02</v>
      </c>
      <c r="R77">
        <v>1000000000</v>
      </c>
      <c r="S77">
        <v>1000000000</v>
      </c>
      <c r="T77" t="s">
        <v>893</v>
      </c>
      <c r="U77">
        <v>58</v>
      </c>
      <c r="V77">
        <v>2E-3</v>
      </c>
      <c r="W77">
        <v>1000000000</v>
      </c>
      <c r="X77">
        <v>1000000000</v>
      </c>
      <c r="Y77">
        <v>1000000000</v>
      </c>
      <c r="Z77">
        <v>1000000000</v>
      </c>
      <c r="AA77">
        <v>1000000000</v>
      </c>
      <c r="AB77">
        <v>1000000000</v>
      </c>
      <c r="AC77">
        <v>1000000000</v>
      </c>
      <c r="AD77">
        <v>1000000000</v>
      </c>
      <c r="AE77">
        <v>2.2999999999999998</v>
      </c>
      <c r="AF77" t="s">
        <v>2051</v>
      </c>
      <c r="AG77" t="s">
        <v>2051</v>
      </c>
      <c r="AH77">
        <v>1</v>
      </c>
      <c r="AI77">
        <v>2</v>
      </c>
      <c r="AJ77">
        <v>30</v>
      </c>
      <c r="AK77" t="s">
        <v>2051</v>
      </c>
      <c r="AL77" t="s">
        <v>2051</v>
      </c>
      <c r="AM77" t="s">
        <v>2051</v>
      </c>
      <c r="AN77" t="s">
        <v>2051</v>
      </c>
      <c r="AO77" t="s">
        <v>2051</v>
      </c>
      <c r="AP77" t="s">
        <v>2051</v>
      </c>
      <c r="AQ77" t="s">
        <v>2051</v>
      </c>
      <c r="AR77" t="s">
        <v>2051</v>
      </c>
      <c r="AS77" t="s">
        <v>2051</v>
      </c>
      <c r="AT77" t="s">
        <v>2051</v>
      </c>
      <c r="AU77" t="s">
        <v>2051</v>
      </c>
      <c r="AV77" t="s">
        <v>2051</v>
      </c>
      <c r="AW77" t="s">
        <v>2051</v>
      </c>
      <c r="AX77" t="s">
        <v>2051</v>
      </c>
      <c r="AY77" t="s">
        <v>2051</v>
      </c>
      <c r="AZ77" t="s">
        <v>2051</v>
      </c>
    </row>
    <row r="78" spans="1:52" x14ac:dyDescent="0.2">
      <c r="A78" t="s">
        <v>173</v>
      </c>
      <c r="B78">
        <v>555</v>
      </c>
      <c r="C78" t="s">
        <v>893</v>
      </c>
      <c r="D78">
        <v>58</v>
      </c>
      <c r="E78">
        <v>6.0000000000000001E-3</v>
      </c>
      <c r="F78">
        <v>1000000000</v>
      </c>
      <c r="G78">
        <v>1000000000</v>
      </c>
      <c r="H78">
        <v>1000000000</v>
      </c>
      <c r="I78">
        <v>1000000000</v>
      </c>
      <c r="J78">
        <v>1000000000</v>
      </c>
      <c r="K78">
        <v>1000000000</v>
      </c>
      <c r="L78">
        <v>1000000000</v>
      </c>
      <c r="M78">
        <v>1000000000</v>
      </c>
      <c r="N78" t="s">
        <v>2051</v>
      </c>
      <c r="O78" t="s">
        <v>894</v>
      </c>
      <c r="P78">
        <v>14</v>
      </c>
      <c r="Q78">
        <v>0.06</v>
      </c>
      <c r="R78">
        <v>1000000000</v>
      </c>
      <c r="S78">
        <v>0.01</v>
      </c>
      <c r="T78" t="s">
        <v>893</v>
      </c>
      <c r="U78">
        <v>58</v>
      </c>
      <c r="V78">
        <v>6.0000000000000001E-3</v>
      </c>
      <c r="W78">
        <v>0.3</v>
      </c>
      <c r="X78">
        <v>0.3</v>
      </c>
      <c r="Y78">
        <v>4</v>
      </c>
      <c r="Z78">
        <v>4</v>
      </c>
      <c r="AA78">
        <v>1000000000</v>
      </c>
      <c r="AB78">
        <v>1000000000</v>
      </c>
      <c r="AC78">
        <v>0.3</v>
      </c>
      <c r="AD78">
        <v>0.02</v>
      </c>
      <c r="AE78">
        <v>1000000000</v>
      </c>
      <c r="AF78" t="s">
        <v>2051</v>
      </c>
      <c r="AG78" t="s">
        <v>2051</v>
      </c>
      <c r="AH78">
        <v>1</v>
      </c>
      <c r="AI78">
        <v>2</v>
      </c>
      <c r="AJ78">
        <v>30</v>
      </c>
      <c r="AK78" t="s">
        <v>2051</v>
      </c>
      <c r="AL78" t="s">
        <v>2051</v>
      </c>
      <c r="AM78" t="s">
        <v>2051</v>
      </c>
      <c r="AN78" t="s">
        <v>2051</v>
      </c>
      <c r="AO78" t="s">
        <v>2051</v>
      </c>
      <c r="AP78" t="s">
        <v>2051</v>
      </c>
      <c r="AQ78" t="s">
        <v>2051</v>
      </c>
      <c r="AR78" t="s">
        <v>2051</v>
      </c>
      <c r="AS78" t="s">
        <v>2051</v>
      </c>
      <c r="AT78" t="s">
        <v>2051</v>
      </c>
      <c r="AU78" t="s">
        <v>2051</v>
      </c>
      <c r="AV78" t="s">
        <v>2051</v>
      </c>
      <c r="AW78" t="s">
        <v>2051</v>
      </c>
      <c r="AX78" t="s">
        <v>2051</v>
      </c>
      <c r="AY78" t="s">
        <v>2051</v>
      </c>
      <c r="AZ78" t="s">
        <v>2051</v>
      </c>
    </row>
    <row r="79" spans="1:52" x14ac:dyDescent="0.2">
      <c r="A79" t="s">
        <v>98</v>
      </c>
      <c r="B79">
        <v>268</v>
      </c>
      <c r="C79" t="s">
        <v>893</v>
      </c>
      <c r="D79">
        <v>58</v>
      </c>
      <c r="E79">
        <v>1E-3</v>
      </c>
      <c r="F79">
        <v>1000000000</v>
      </c>
      <c r="G79">
        <v>1000000000</v>
      </c>
      <c r="H79">
        <v>1000000000</v>
      </c>
      <c r="I79">
        <v>0.32</v>
      </c>
      <c r="J79">
        <v>0.32</v>
      </c>
      <c r="K79">
        <v>1000000000</v>
      </c>
      <c r="L79">
        <v>1000000000</v>
      </c>
      <c r="M79">
        <v>0.32</v>
      </c>
      <c r="N79" t="s">
        <v>2051</v>
      </c>
      <c r="O79" t="s">
        <v>894</v>
      </c>
      <c r="P79">
        <v>14</v>
      </c>
      <c r="Q79">
        <v>0.01</v>
      </c>
      <c r="R79">
        <v>1000000000</v>
      </c>
      <c r="S79">
        <v>1000000000</v>
      </c>
      <c r="T79" t="s">
        <v>893</v>
      </c>
      <c r="U79">
        <v>58</v>
      </c>
      <c r="V79">
        <v>1E-3</v>
      </c>
      <c r="W79">
        <v>8.0000000000000004E-4</v>
      </c>
      <c r="X79">
        <v>1.2999999999999999E-3</v>
      </c>
      <c r="Y79">
        <v>1000000000</v>
      </c>
      <c r="Z79">
        <v>1000000000</v>
      </c>
      <c r="AA79">
        <v>1000000000</v>
      </c>
      <c r="AB79">
        <v>1000000000</v>
      </c>
      <c r="AC79">
        <v>1.2999999999999999E-3</v>
      </c>
      <c r="AD79">
        <v>1000000000</v>
      </c>
      <c r="AE79">
        <v>0.32</v>
      </c>
      <c r="AF79" t="s">
        <v>2051</v>
      </c>
      <c r="AG79" t="s">
        <v>2051</v>
      </c>
      <c r="AH79">
        <v>1</v>
      </c>
      <c r="AI79">
        <v>2</v>
      </c>
      <c r="AJ79">
        <v>30</v>
      </c>
      <c r="AK79" t="s">
        <v>2051</v>
      </c>
      <c r="AL79" t="s">
        <v>2051</v>
      </c>
      <c r="AM79" t="s">
        <v>2051</v>
      </c>
      <c r="AN79" t="s">
        <v>2051</v>
      </c>
      <c r="AO79" t="s">
        <v>2051</v>
      </c>
      <c r="AP79" t="s">
        <v>2051</v>
      </c>
      <c r="AQ79" t="s">
        <v>2051</v>
      </c>
      <c r="AR79" t="s">
        <v>2051</v>
      </c>
      <c r="AS79" t="s">
        <v>2051</v>
      </c>
      <c r="AT79" t="s">
        <v>2051</v>
      </c>
      <c r="AU79" t="s">
        <v>2051</v>
      </c>
      <c r="AV79" t="s">
        <v>2051</v>
      </c>
      <c r="AW79" t="s">
        <v>2051</v>
      </c>
      <c r="AX79" t="s">
        <v>2051</v>
      </c>
      <c r="AY79" t="s">
        <v>2051</v>
      </c>
      <c r="AZ79" t="s">
        <v>2051</v>
      </c>
    </row>
    <row r="80" spans="1:52" x14ac:dyDescent="0.2">
      <c r="A80" t="s">
        <v>99</v>
      </c>
      <c r="B80">
        <v>633</v>
      </c>
      <c r="C80" t="s">
        <v>893</v>
      </c>
      <c r="D80">
        <v>58</v>
      </c>
      <c r="E80">
        <v>1E-3</v>
      </c>
      <c r="F80">
        <v>1000000000</v>
      </c>
      <c r="G80">
        <v>1000000000</v>
      </c>
      <c r="H80">
        <v>1000000000</v>
      </c>
      <c r="I80">
        <v>1000000000</v>
      </c>
      <c r="J80">
        <v>1000000000</v>
      </c>
      <c r="K80">
        <v>1000000000</v>
      </c>
      <c r="L80">
        <v>1000000000</v>
      </c>
      <c r="M80">
        <v>1000000000</v>
      </c>
      <c r="N80" t="s">
        <v>2051</v>
      </c>
      <c r="O80" t="s">
        <v>894</v>
      </c>
      <c r="P80">
        <v>14</v>
      </c>
      <c r="Q80">
        <v>0.01</v>
      </c>
      <c r="R80">
        <v>1000000000</v>
      </c>
      <c r="S80">
        <v>1000000000</v>
      </c>
      <c r="T80" t="s">
        <v>893</v>
      </c>
      <c r="U80">
        <v>58</v>
      </c>
      <c r="V80">
        <v>1E-3</v>
      </c>
      <c r="W80">
        <v>8.0000000000000002E-3</v>
      </c>
      <c r="X80">
        <v>8.0000000000000002E-3</v>
      </c>
      <c r="Y80">
        <v>1000000000</v>
      </c>
      <c r="Z80">
        <v>1000000000</v>
      </c>
      <c r="AA80">
        <v>1000000000</v>
      </c>
      <c r="AB80">
        <v>1000000000</v>
      </c>
      <c r="AC80">
        <v>8.0000000000000002E-3</v>
      </c>
      <c r="AD80">
        <v>1000000000</v>
      </c>
      <c r="AE80">
        <v>1000000000</v>
      </c>
      <c r="AF80" t="s">
        <v>2051</v>
      </c>
      <c r="AG80" t="s">
        <v>2051</v>
      </c>
      <c r="AH80">
        <v>1</v>
      </c>
      <c r="AI80">
        <v>2</v>
      </c>
      <c r="AJ80">
        <v>30</v>
      </c>
      <c r="AK80" t="s">
        <v>2051</v>
      </c>
      <c r="AL80" t="s">
        <v>2051</v>
      </c>
      <c r="AM80" t="s">
        <v>2051</v>
      </c>
      <c r="AN80" t="s">
        <v>2051</v>
      </c>
      <c r="AO80" t="s">
        <v>2051</v>
      </c>
      <c r="AP80" t="s">
        <v>2051</v>
      </c>
      <c r="AQ80" t="s">
        <v>2051</v>
      </c>
      <c r="AR80" t="s">
        <v>2051</v>
      </c>
      <c r="AS80" t="s">
        <v>2051</v>
      </c>
      <c r="AT80" t="s">
        <v>2051</v>
      </c>
      <c r="AU80" t="s">
        <v>2051</v>
      </c>
      <c r="AV80" t="s">
        <v>2051</v>
      </c>
      <c r="AW80" t="s">
        <v>2051</v>
      </c>
      <c r="AX80" t="s">
        <v>2051</v>
      </c>
      <c r="AY80" t="s">
        <v>2051</v>
      </c>
      <c r="AZ80" t="s">
        <v>2051</v>
      </c>
    </row>
    <row r="81" spans="1:52" x14ac:dyDescent="0.2">
      <c r="A81" t="s">
        <v>100</v>
      </c>
      <c r="B81">
        <v>704</v>
      </c>
      <c r="C81" t="s">
        <v>893</v>
      </c>
      <c r="D81">
        <v>58</v>
      </c>
      <c r="E81">
        <v>1E-3</v>
      </c>
      <c r="F81">
        <v>1000000000</v>
      </c>
      <c r="G81">
        <v>1000000000</v>
      </c>
      <c r="H81">
        <v>1000000000</v>
      </c>
      <c r="I81">
        <v>1000000000</v>
      </c>
      <c r="J81">
        <v>1000000000</v>
      </c>
      <c r="K81">
        <v>1000000000</v>
      </c>
      <c r="L81">
        <v>1000000000</v>
      </c>
      <c r="M81">
        <v>1000000000</v>
      </c>
      <c r="N81" t="s">
        <v>2051</v>
      </c>
      <c r="O81" t="s">
        <v>894</v>
      </c>
      <c r="P81">
        <v>14</v>
      </c>
      <c r="Q81">
        <v>0.01</v>
      </c>
      <c r="R81">
        <v>1000000000</v>
      </c>
      <c r="S81">
        <v>1000000000</v>
      </c>
      <c r="T81" t="s">
        <v>893</v>
      </c>
      <c r="U81">
        <v>58</v>
      </c>
      <c r="V81">
        <v>1E-3</v>
      </c>
      <c r="W81">
        <v>3.5000000000000001E-3</v>
      </c>
      <c r="X81">
        <v>3.5000000000000001E-3</v>
      </c>
      <c r="Y81">
        <v>1000000000</v>
      </c>
      <c r="Z81">
        <v>1000000000</v>
      </c>
      <c r="AA81">
        <v>1000000000</v>
      </c>
      <c r="AB81">
        <v>1000000000</v>
      </c>
      <c r="AC81">
        <v>3.5000000000000001E-3</v>
      </c>
      <c r="AD81">
        <v>1000000000</v>
      </c>
      <c r="AE81">
        <v>1000000000</v>
      </c>
      <c r="AF81" t="s">
        <v>2051</v>
      </c>
      <c r="AG81" t="s">
        <v>2051</v>
      </c>
      <c r="AH81">
        <v>1</v>
      </c>
      <c r="AI81">
        <v>2</v>
      </c>
      <c r="AJ81">
        <v>30</v>
      </c>
      <c r="AK81" t="s">
        <v>2051</v>
      </c>
      <c r="AL81" t="s">
        <v>2051</v>
      </c>
      <c r="AM81" t="s">
        <v>2051</v>
      </c>
      <c r="AN81" t="s">
        <v>2051</v>
      </c>
      <c r="AO81" t="s">
        <v>2051</v>
      </c>
      <c r="AP81" t="s">
        <v>2051</v>
      </c>
      <c r="AQ81" t="s">
        <v>2051</v>
      </c>
      <c r="AR81" t="s">
        <v>2051</v>
      </c>
      <c r="AS81" t="s">
        <v>2051</v>
      </c>
      <c r="AT81" t="s">
        <v>2051</v>
      </c>
      <c r="AU81" t="s">
        <v>2051</v>
      </c>
      <c r="AV81" t="s">
        <v>2051</v>
      </c>
      <c r="AW81" t="s">
        <v>2051</v>
      </c>
      <c r="AX81" t="s">
        <v>2051</v>
      </c>
      <c r="AY81" t="s">
        <v>2051</v>
      </c>
      <c r="AZ81" t="s">
        <v>2051</v>
      </c>
    </row>
    <row r="82" spans="1:52" x14ac:dyDescent="0.2">
      <c r="A82" t="s">
        <v>174</v>
      </c>
      <c r="B82">
        <v>689</v>
      </c>
      <c r="C82" t="s">
        <v>893</v>
      </c>
      <c r="D82">
        <v>58</v>
      </c>
      <c r="E82">
        <v>3.0000000000000001E-3</v>
      </c>
      <c r="F82">
        <v>1.4999999999999999E-2</v>
      </c>
      <c r="G82">
        <v>0.04</v>
      </c>
      <c r="H82">
        <v>0.14000000000000001</v>
      </c>
      <c r="I82">
        <v>4</v>
      </c>
      <c r="J82">
        <v>4</v>
      </c>
      <c r="K82">
        <v>1000000000</v>
      </c>
      <c r="L82">
        <v>1000000000</v>
      </c>
      <c r="M82">
        <v>4</v>
      </c>
      <c r="N82" t="s">
        <v>2051</v>
      </c>
      <c r="O82" t="s">
        <v>894</v>
      </c>
      <c r="P82">
        <v>14</v>
      </c>
      <c r="Q82">
        <v>0.03</v>
      </c>
      <c r="R82">
        <v>1000000000</v>
      </c>
      <c r="S82">
        <v>0.1</v>
      </c>
      <c r="T82" t="s">
        <v>893</v>
      </c>
      <c r="U82">
        <v>58</v>
      </c>
      <c r="V82">
        <v>3.0000000000000001E-3</v>
      </c>
      <c r="W82">
        <v>1.4999999999999999E-2</v>
      </c>
      <c r="X82">
        <v>1.4999999999999999E-2</v>
      </c>
      <c r="Y82">
        <v>4</v>
      </c>
      <c r="Z82">
        <v>4</v>
      </c>
      <c r="AA82">
        <v>1000000000</v>
      </c>
      <c r="AB82">
        <v>1000000000</v>
      </c>
      <c r="AC82">
        <v>1.4999999999999999E-2</v>
      </c>
      <c r="AD82">
        <v>1000000000</v>
      </c>
      <c r="AE82">
        <v>4</v>
      </c>
      <c r="AF82" t="s">
        <v>2051</v>
      </c>
      <c r="AG82" t="s">
        <v>2051</v>
      </c>
      <c r="AH82">
        <v>1</v>
      </c>
      <c r="AI82">
        <v>2</v>
      </c>
      <c r="AJ82">
        <v>30</v>
      </c>
      <c r="AK82" t="s">
        <v>2051</v>
      </c>
      <c r="AL82" t="s">
        <v>2051</v>
      </c>
      <c r="AM82" t="s">
        <v>2051</v>
      </c>
      <c r="AN82" t="s">
        <v>2051</v>
      </c>
      <c r="AO82" t="s">
        <v>2051</v>
      </c>
      <c r="AP82" t="s">
        <v>2051</v>
      </c>
      <c r="AQ82" t="s">
        <v>2051</v>
      </c>
      <c r="AR82" t="s">
        <v>2051</v>
      </c>
      <c r="AS82" t="s">
        <v>2051</v>
      </c>
      <c r="AT82" t="s">
        <v>2051</v>
      </c>
      <c r="AU82" t="s">
        <v>2051</v>
      </c>
      <c r="AV82" t="s">
        <v>2051</v>
      </c>
      <c r="AW82" t="s">
        <v>2051</v>
      </c>
      <c r="AX82" t="s">
        <v>2051</v>
      </c>
      <c r="AY82" t="s">
        <v>2051</v>
      </c>
      <c r="AZ82" t="s">
        <v>2051</v>
      </c>
    </row>
    <row r="83" spans="1:52" x14ac:dyDescent="0.2">
      <c r="A83" t="s">
        <v>101</v>
      </c>
      <c r="B83">
        <v>907</v>
      </c>
      <c r="C83" t="s">
        <v>893</v>
      </c>
      <c r="D83">
        <v>58</v>
      </c>
      <c r="E83">
        <v>1E-3</v>
      </c>
      <c r="F83">
        <v>1000000000</v>
      </c>
      <c r="G83">
        <v>1000000000</v>
      </c>
      <c r="H83">
        <v>1000000000</v>
      </c>
      <c r="I83">
        <v>1000000000</v>
      </c>
      <c r="J83">
        <v>1000000000</v>
      </c>
      <c r="K83">
        <v>1000000000</v>
      </c>
      <c r="L83">
        <v>1000000000</v>
      </c>
      <c r="M83">
        <v>1000000000</v>
      </c>
      <c r="N83" t="s">
        <v>2051</v>
      </c>
      <c r="O83" t="s">
        <v>894</v>
      </c>
      <c r="P83">
        <v>14</v>
      </c>
      <c r="Q83">
        <v>1000000000</v>
      </c>
      <c r="R83">
        <v>1000000000</v>
      </c>
      <c r="S83">
        <v>1000000000</v>
      </c>
      <c r="T83" t="s">
        <v>893</v>
      </c>
      <c r="U83">
        <v>58</v>
      </c>
      <c r="V83">
        <v>1E-3</v>
      </c>
      <c r="W83">
        <v>1E-3</v>
      </c>
      <c r="X83">
        <v>1000000000</v>
      </c>
      <c r="Y83">
        <v>1000000000</v>
      </c>
      <c r="Z83">
        <v>1000000000</v>
      </c>
      <c r="AA83">
        <v>1000000000</v>
      </c>
      <c r="AB83">
        <v>1000000000</v>
      </c>
      <c r="AC83">
        <v>1E-3</v>
      </c>
      <c r="AD83">
        <v>1000000000</v>
      </c>
      <c r="AE83">
        <v>1000000000</v>
      </c>
      <c r="AF83" t="s">
        <v>2051</v>
      </c>
      <c r="AG83" t="s">
        <v>2051</v>
      </c>
      <c r="AH83">
        <v>1</v>
      </c>
      <c r="AI83">
        <v>2</v>
      </c>
      <c r="AJ83">
        <v>30</v>
      </c>
      <c r="AK83" t="s">
        <v>2051</v>
      </c>
      <c r="AL83" t="s">
        <v>2051</v>
      </c>
      <c r="AM83" t="s">
        <v>2051</v>
      </c>
      <c r="AN83" t="s">
        <v>2051</v>
      </c>
      <c r="AO83" t="s">
        <v>2051</v>
      </c>
      <c r="AP83" t="s">
        <v>2051</v>
      </c>
      <c r="AQ83" t="s">
        <v>2051</v>
      </c>
      <c r="AR83" t="s">
        <v>2051</v>
      </c>
      <c r="AS83" t="s">
        <v>2051</v>
      </c>
      <c r="AT83" t="s">
        <v>2051</v>
      </c>
      <c r="AU83" t="s">
        <v>2051</v>
      </c>
      <c r="AV83" t="s">
        <v>2051</v>
      </c>
      <c r="AW83" t="s">
        <v>2051</v>
      </c>
      <c r="AX83" t="s">
        <v>2051</v>
      </c>
      <c r="AY83" t="s">
        <v>2051</v>
      </c>
      <c r="AZ83" t="s">
        <v>2051</v>
      </c>
    </row>
    <row r="84" spans="1:52" x14ac:dyDescent="0.2">
      <c r="A84" t="s">
        <v>102</v>
      </c>
      <c r="B84">
        <v>1521</v>
      </c>
      <c r="C84" t="s">
        <v>893</v>
      </c>
      <c r="D84">
        <v>58</v>
      </c>
      <c r="E84">
        <v>1E-3</v>
      </c>
      <c r="F84">
        <v>1000000000</v>
      </c>
      <c r="G84">
        <v>1000000000</v>
      </c>
      <c r="H84">
        <v>1000000000</v>
      </c>
      <c r="I84">
        <v>1000000000</v>
      </c>
      <c r="J84">
        <v>1000000000</v>
      </c>
      <c r="K84">
        <v>1000000000</v>
      </c>
      <c r="L84">
        <v>1000000000</v>
      </c>
      <c r="M84">
        <v>1000000000</v>
      </c>
      <c r="N84" t="s">
        <v>2051</v>
      </c>
      <c r="O84" t="s">
        <v>894</v>
      </c>
      <c r="P84">
        <v>14</v>
      </c>
      <c r="Q84">
        <v>1000000000</v>
      </c>
      <c r="R84">
        <v>1000000000</v>
      </c>
      <c r="S84">
        <v>1000000000</v>
      </c>
      <c r="T84" t="s">
        <v>893</v>
      </c>
      <c r="U84">
        <v>58</v>
      </c>
      <c r="V84">
        <v>1E-3</v>
      </c>
      <c r="W84">
        <v>5.0000000000000001E-4</v>
      </c>
      <c r="X84">
        <v>1000000000</v>
      </c>
      <c r="Y84">
        <v>1000000000</v>
      </c>
      <c r="Z84">
        <v>1000000000</v>
      </c>
      <c r="AA84">
        <v>1000000000</v>
      </c>
      <c r="AB84">
        <v>1000000000</v>
      </c>
      <c r="AC84">
        <v>5.0000000000000001E-4</v>
      </c>
      <c r="AD84">
        <v>1000000000</v>
      </c>
      <c r="AE84">
        <v>1000000000</v>
      </c>
      <c r="AF84" t="s">
        <v>2051</v>
      </c>
      <c r="AG84" t="s">
        <v>2051</v>
      </c>
      <c r="AH84">
        <v>1</v>
      </c>
      <c r="AI84">
        <v>2</v>
      </c>
      <c r="AJ84">
        <v>30</v>
      </c>
      <c r="AK84" t="s">
        <v>2051</v>
      </c>
      <c r="AL84" t="s">
        <v>2051</v>
      </c>
      <c r="AM84" t="s">
        <v>2051</v>
      </c>
      <c r="AN84" t="s">
        <v>2051</v>
      </c>
      <c r="AO84" t="s">
        <v>2051</v>
      </c>
      <c r="AP84" t="s">
        <v>2051</v>
      </c>
      <c r="AQ84" t="s">
        <v>2051</v>
      </c>
      <c r="AR84" t="s">
        <v>2051</v>
      </c>
      <c r="AS84" t="s">
        <v>2051</v>
      </c>
      <c r="AT84" t="s">
        <v>2051</v>
      </c>
      <c r="AU84" t="s">
        <v>2051</v>
      </c>
      <c r="AV84" t="s">
        <v>2051</v>
      </c>
      <c r="AW84" t="s">
        <v>2051</v>
      </c>
      <c r="AX84" t="s">
        <v>2051</v>
      </c>
      <c r="AY84" t="s">
        <v>2051</v>
      </c>
      <c r="AZ84" t="s">
        <v>2051</v>
      </c>
    </row>
    <row r="85" spans="1:52" x14ac:dyDescent="0.2">
      <c r="A85" t="s">
        <v>103</v>
      </c>
      <c r="B85">
        <v>271</v>
      </c>
      <c r="C85" t="s">
        <v>893</v>
      </c>
      <c r="D85">
        <v>58</v>
      </c>
      <c r="E85">
        <v>1E-3</v>
      </c>
      <c r="F85">
        <v>1E-3</v>
      </c>
      <c r="G85">
        <v>1E-3</v>
      </c>
      <c r="H85">
        <v>0.5</v>
      </c>
      <c r="I85">
        <v>17</v>
      </c>
      <c r="J85">
        <v>17</v>
      </c>
      <c r="K85">
        <v>1000000000</v>
      </c>
      <c r="L85">
        <v>1000000000</v>
      </c>
      <c r="M85">
        <v>17</v>
      </c>
      <c r="N85" t="s">
        <v>2051</v>
      </c>
      <c r="O85" t="s">
        <v>894</v>
      </c>
      <c r="P85">
        <v>14</v>
      </c>
      <c r="Q85">
        <v>0.01</v>
      </c>
      <c r="R85">
        <v>1000000000</v>
      </c>
      <c r="S85">
        <v>1000000000</v>
      </c>
      <c r="T85" t="s">
        <v>893</v>
      </c>
      <c r="U85">
        <v>58</v>
      </c>
      <c r="V85">
        <v>1E-3</v>
      </c>
      <c r="W85">
        <v>1E-3</v>
      </c>
      <c r="X85">
        <v>1.1999999999999999E-3</v>
      </c>
      <c r="Y85">
        <v>1000000000</v>
      </c>
      <c r="Z85">
        <v>1000000000</v>
      </c>
      <c r="AA85">
        <v>1000000000</v>
      </c>
      <c r="AB85">
        <v>1000000000</v>
      </c>
      <c r="AC85">
        <v>1.1999999999999999E-3</v>
      </c>
      <c r="AD85">
        <v>1000000000</v>
      </c>
      <c r="AE85">
        <v>17</v>
      </c>
      <c r="AF85" t="s">
        <v>2051</v>
      </c>
      <c r="AG85" t="s">
        <v>2051</v>
      </c>
      <c r="AH85">
        <v>1</v>
      </c>
      <c r="AI85">
        <v>2</v>
      </c>
      <c r="AJ85">
        <v>30</v>
      </c>
      <c r="AK85" t="s">
        <v>2051</v>
      </c>
      <c r="AL85" t="s">
        <v>2051</v>
      </c>
      <c r="AM85" t="s">
        <v>2051</v>
      </c>
      <c r="AN85" t="s">
        <v>2051</v>
      </c>
      <c r="AO85" t="s">
        <v>2051</v>
      </c>
      <c r="AP85" t="s">
        <v>2051</v>
      </c>
      <c r="AQ85" t="s">
        <v>2051</v>
      </c>
      <c r="AR85" t="s">
        <v>2051</v>
      </c>
      <c r="AS85" t="s">
        <v>2051</v>
      </c>
      <c r="AT85" t="s">
        <v>2051</v>
      </c>
      <c r="AU85" t="s">
        <v>2051</v>
      </c>
      <c r="AV85" t="s">
        <v>2051</v>
      </c>
      <c r="AW85" t="s">
        <v>2051</v>
      </c>
      <c r="AX85" t="s">
        <v>2051</v>
      </c>
      <c r="AY85" t="s">
        <v>2051</v>
      </c>
      <c r="AZ85" t="s">
        <v>2051</v>
      </c>
    </row>
    <row r="86" spans="1:52" x14ac:dyDescent="0.2">
      <c r="A86" t="s">
        <v>104</v>
      </c>
      <c r="B86">
        <v>366</v>
      </c>
      <c r="C86" t="s">
        <v>893</v>
      </c>
      <c r="D86">
        <v>58</v>
      </c>
      <c r="E86">
        <v>1E-3</v>
      </c>
      <c r="F86">
        <v>2E-3</v>
      </c>
      <c r="G86">
        <v>2E-3</v>
      </c>
      <c r="H86">
        <v>0.5</v>
      </c>
      <c r="I86">
        <v>1.6</v>
      </c>
      <c r="J86">
        <v>1.6</v>
      </c>
      <c r="K86">
        <v>1000000000</v>
      </c>
      <c r="L86">
        <v>1000000000</v>
      </c>
      <c r="M86">
        <v>1.6</v>
      </c>
      <c r="N86" t="s">
        <v>2051</v>
      </c>
      <c r="O86" t="s">
        <v>894</v>
      </c>
      <c r="P86">
        <v>14</v>
      </c>
      <c r="Q86">
        <v>8.0000000000000002E-3</v>
      </c>
      <c r="R86">
        <v>1000000000</v>
      </c>
      <c r="S86">
        <v>1000000000</v>
      </c>
      <c r="T86" t="s">
        <v>893</v>
      </c>
      <c r="U86">
        <v>58</v>
      </c>
      <c r="V86">
        <v>1E-3</v>
      </c>
      <c r="W86">
        <v>2E-3</v>
      </c>
      <c r="X86">
        <v>6.4999999999999997E-3</v>
      </c>
      <c r="Y86">
        <v>1000000000</v>
      </c>
      <c r="Z86">
        <v>1000000000</v>
      </c>
      <c r="AA86">
        <v>1000000000</v>
      </c>
      <c r="AB86">
        <v>1000000000</v>
      </c>
      <c r="AC86">
        <v>6.4999999999999997E-3</v>
      </c>
      <c r="AD86">
        <v>1000000000</v>
      </c>
      <c r="AE86">
        <v>1.6</v>
      </c>
      <c r="AF86" t="s">
        <v>2051</v>
      </c>
      <c r="AG86" t="s">
        <v>2051</v>
      </c>
      <c r="AH86">
        <v>1</v>
      </c>
      <c r="AI86">
        <v>2</v>
      </c>
      <c r="AJ86">
        <v>30</v>
      </c>
      <c r="AK86" t="s">
        <v>2051</v>
      </c>
      <c r="AL86" t="s">
        <v>2051</v>
      </c>
      <c r="AM86" t="s">
        <v>2051</v>
      </c>
      <c r="AN86" t="s">
        <v>2051</v>
      </c>
      <c r="AO86" t="s">
        <v>2051</v>
      </c>
      <c r="AP86" t="s">
        <v>2051</v>
      </c>
      <c r="AQ86" t="s">
        <v>2051</v>
      </c>
      <c r="AR86" t="s">
        <v>2051</v>
      </c>
      <c r="AS86" t="s">
        <v>2051</v>
      </c>
      <c r="AT86" t="s">
        <v>2051</v>
      </c>
      <c r="AU86" t="s">
        <v>2051</v>
      </c>
      <c r="AV86" t="s">
        <v>2051</v>
      </c>
      <c r="AW86" t="s">
        <v>2051</v>
      </c>
      <c r="AX86" t="s">
        <v>2051</v>
      </c>
      <c r="AY86" t="s">
        <v>2051</v>
      </c>
      <c r="AZ86" t="s">
        <v>2051</v>
      </c>
    </row>
    <row r="87" spans="1:52" x14ac:dyDescent="0.2">
      <c r="A87" t="s">
        <v>105</v>
      </c>
      <c r="B87">
        <v>816</v>
      </c>
      <c r="C87" t="s">
        <v>893</v>
      </c>
      <c r="D87">
        <v>58</v>
      </c>
      <c r="E87">
        <v>1E-3</v>
      </c>
      <c r="F87">
        <v>3.0000000000000001E-3</v>
      </c>
      <c r="G87">
        <v>0.04</v>
      </c>
      <c r="H87">
        <v>0.5</v>
      </c>
      <c r="I87">
        <v>1.2</v>
      </c>
      <c r="J87">
        <v>1.2</v>
      </c>
      <c r="K87">
        <v>1000000000</v>
      </c>
      <c r="L87">
        <v>1000000000</v>
      </c>
      <c r="M87">
        <v>1.2</v>
      </c>
      <c r="N87" t="s">
        <v>2051</v>
      </c>
      <c r="O87" t="s">
        <v>894</v>
      </c>
      <c r="P87">
        <v>14</v>
      </c>
      <c r="Q87">
        <v>8.9999999999999993E-3</v>
      </c>
      <c r="R87">
        <v>1000000000</v>
      </c>
      <c r="S87">
        <v>1000000000</v>
      </c>
      <c r="T87" t="s">
        <v>893</v>
      </c>
      <c r="U87">
        <v>58</v>
      </c>
      <c r="V87">
        <v>1E-3</v>
      </c>
      <c r="W87">
        <v>3.0000000000000001E-3</v>
      </c>
      <c r="X87">
        <v>3.0000000000000001E-3</v>
      </c>
      <c r="Y87">
        <v>1000000000</v>
      </c>
      <c r="Z87">
        <v>1000000000</v>
      </c>
      <c r="AA87">
        <v>1000000000</v>
      </c>
      <c r="AB87">
        <v>1000000000</v>
      </c>
      <c r="AC87">
        <v>3.0000000000000001E-3</v>
      </c>
      <c r="AD87">
        <v>1000000000</v>
      </c>
      <c r="AE87">
        <v>1.2</v>
      </c>
      <c r="AF87" t="s">
        <v>2051</v>
      </c>
      <c r="AG87" t="s">
        <v>2051</v>
      </c>
      <c r="AH87">
        <v>1</v>
      </c>
      <c r="AI87">
        <v>2</v>
      </c>
      <c r="AJ87">
        <v>30</v>
      </c>
      <c r="AK87" t="s">
        <v>2051</v>
      </c>
      <c r="AL87" t="s">
        <v>2051</v>
      </c>
      <c r="AM87" t="s">
        <v>2051</v>
      </c>
      <c r="AN87" t="s">
        <v>2051</v>
      </c>
      <c r="AO87" t="s">
        <v>2051</v>
      </c>
      <c r="AP87" t="s">
        <v>2051</v>
      </c>
      <c r="AQ87" t="s">
        <v>2051</v>
      </c>
      <c r="AR87" t="s">
        <v>2051</v>
      </c>
      <c r="AS87" t="s">
        <v>2051</v>
      </c>
      <c r="AT87" t="s">
        <v>2051</v>
      </c>
      <c r="AU87" t="s">
        <v>2051</v>
      </c>
      <c r="AV87" t="s">
        <v>2051</v>
      </c>
      <c r="AW87" t="s">
        <v>2051</v>
      </c>
      <c r="AX87" t="s">
        <v>2051</v>
      </c>
      <c r="AY87" t="s">
        <v>2051</v>
      </c>
      <c r="AZ87" t="s">
        <v>2051</v>
      </c>
    </row>
    <row r="88" spans="1:52" x14ac:dyDescent="0.2">
      <c r="A88" t="s">
        <v>106</v>
      </c>
      <c r="B88">
        <v>562</v>
      </c>
      <c r="C88" t="s">
        <v>893</v>
      </c>
      <c r="D88">
        <v>58</v>
      </c>
      <c r="E88">
        <v>1E-3</v>
      </c>
      <c r="F88">
        <v>1000000000</v>
      </c>
      <c r="G88">
        <v>1000000000</v>
      </c>
      <c r="H88">
        <v>1000000000</v>
      </c>
      <c r="I88">
        <v>1000000000</v>
      </c>
      <c r="J88">
        <v>1000000000</v>
      </c>
      <c r="K88">
        <v>1000000000</v>
      </c>
      <c r="L88">
        <v>1000000000</v>
      </c>
      <c r="M88">
        <v>1000000000</v>
      </c>
      <c r="N88" t="s">
        <v>2051</v>
      </c>
      <c r="O88" t="s">
        <v>894</v>
      </c>
      <c r="P88">
        <v>14</v>
      </c>
      <c r="Q88">
        <v>8.0000000000000002E-3</v>
      </c>
      <c r="R88">
        <v>1000000000</v>
      </c>
      <c r="S88">
        <v>1000000000</v>
      </c>
      <c r="T88" t="s">
        <v>893</v>
      </c>
      <c r="U88">
        <v>58</v>
      </c>
      <c r="V88">
        <v>1E-3</v>
      </c>
      <c r="W88">
        <v>1000000000</v>
      </c>
      <c r="X88">
        <v>1000000000</v>
      </c>
      <c r="Y88">
        <v>1000000000</v>
      </c>
      <c r="Z88">
        <v>1000000000</v>
      </c>
      <c r="AA88">
        <v>1000000000</v>
      </c>
      <c r="AB88">
        <v>1000000000</v>
      </c>
      <c r="AC88">
        <v>1000000000</v>
      </c>
      <c r="AD88">
        <v>1000000000</v>
      </c>
      <c r="AE88">
        <v>1000000000</v>
      </c>
      <c r="AF88" t="s">
        <v>2051</v>
      </c>
      <c r="AG88" t="s">
        <v>2051</v>
      </c>
      <c r="AH88">
        <v>1</v>
      </c>
      <c r="AI88">
        <v>2</v>
      </c>
      <c r="AJ88">
        <v>30</v>
      </c>
      <c r="AK88" t="s">
        <v>2051</v>
      </c>
      <c r="AL88" t="s">
        <v>2051</v>
      </c>
      <c r="AM88" t="s">
        <v>2051</v>
      </c>
      <c r="AN88" t="s">
        <v>2051</v>
      </c>
      <c r="AO88" t="s">
        <v>2051</v>
      </c>
      <c r="AP88" t="s">
        <v>2051</v>
      </c>
      <c r="AQ88" t="s">
        <v>2051</v>
      </c>
      <c r="AR88" t="s">
        <v>2051</v>
      </c>
      <c r="AS88" t="s">
        <v>2051</v>
      </c>
      <c r="AT88" t="s">
        <v>2051</v>
      </c>
      <c r="AU88" t="s">
        <v>2051</v>
      </c>
      <c r="AV88" t="s">
        <v>2051</v>
      </c>
      <c r="AW88" t="s">
        <v>2051</v>
      </c>
      <c r="AX88" t="s">
        <v>2051</v>
      </c>
      <c r="AY88" t="s">
        <v>2051</v>
      </c>
      <c r="AZ88" t="s">
        <v>2051</v>
      </c>
    </row>
    <row r="89" spans="1:52" x14ac:dyDescent="0.2">
      <c r="A89" t="s">
        <v>169</v>
      </c>
      <c r="B89">
        <v>849</v>
      </c>
      <c r="C89" t="s">
        <v>893</v>
      </c>
      <c r="D89">
        <v>58</v>
      </c>
      <c r="E89">
        <v>4.0000000000000001E-3</v>
      </c>
      <c r="F89">
        <v>1000000000</v>
      </c>
      <c r="G89">
        <v>1000000000</v>
      </c>
      <c r="H89">
        <v>1000000000</v>
      </c>
      <c r="I89">
        <v>1000000000</v>
      </c>
      <c r="J89">
        <v>1000000000</v>
      </c>
      <c r="K89">
        <v>1000000000</v>
      </c>
      <c r="L89">
        <v>1000000000</v>
      </c>
      <c r="M89">
        <v>1000000000</v>
      </c>
      <c r="N89" t="s">
        <v>2051</v>
      </c>
      <c r="O89" t="s">
        <v>894</v>
      </c>
      <c r="P89">
        <v>14</v>
      </c>
      <c r="Q89">
        <v>3.5000000000000003E-2</v>
      </c>
      <c r="R89">
        <v>1000000000</v>
      </c>
      <c r="S89">
        <v>1</v>
      </c>
      <c r="T89" t="s">
        <v>893</v>
      </c>
      <c r="U89">
        <v>58</v>
      </c>
      <c r="V89">
        <v>4.0000000000000001E-3</v>
      </c>
      <c r="W89">
        <v>0.01</v>
      </c>
      <c r="X89">
        <v>0.01</v>
      </c>
      <c r="Y89">
        <v>2</v>
      </c>
      <c r="Z89">
        <v>2</v>
      </c>
      <c r="AA89">
        <v>1000000000</v>
      </c>
      <c r="AB89">
        <v>1000000000</v>
      </c>
      <c r="AC89">
        <v>0.01</v>
      </c>
      <c r="AD89">
        <v>1000000000</v>
      </c>
      <c r="AE89">
        <v>1000000000</v>
      </c>
      <c r="AF89" t="s">
        <v>2051</v>
      </c>
      <c r="AG89" t="s">
        <v>2051</v>
      </c>
      <c r="AH89">
        <v>1</v>
      </c>
      <c r="AI89">
        <v>2</v>
      </c>
      <c r="AJ89">
        <v>30</v>
      </c>
      <c r="AK89" t="s">
        <v>2051</v>
      </c>
      <c r="AL89" t="s">
        <v>2051</v>
      </c>
      <c r="AM89" t="s">
        <v>2051</v>
      </c>
      <c r="AN89" t="s">
        <v>2051</v>
      </c>
      <c r="AO89" t="s">
        <v>2051</v>
      </c>
      <c r="AP89" t="s">
        <v>2051</v>
      </c>
      <c r="AQ89" t="s">
        <v>2051</v>
      </c>
      <c r="AR89" t="s">
        <v>2051</v>
      </c>
      <c r="AS89" t="s">
        <v>2051</v>
      </c>
      <c r="AT89" t="s">
        <v>2051</v>
      </c>
      <c r="AU89" t="s">
        <v>2051</v>
      </c>
      <c r="AV89" t="s">
        <v>2051</v>
      </c>
      <c r="AW89" t="s">
        <v>2051</v>
      </c>
      <c r="AX89" t="s">
        <v>2051</v>
      </c>
      <c r="AY89" t="s">
        <v>2051</v>
      </c>
      <c r="AZ89" t="s">
        <v>2051</v>
      </c>
    </row>
    <row r="90" spans="1:52" x14ac:dyDescent="0.2">
      <c r="A90" t="s">
        <v>107</v>
      </c>
      <c r="B90">
        <v>853</v>
      </c>
      <c r="C90" t="s">
        <v>893</v>
      </c>
      <c r="D90">
        <v>58</v>
      </c>
      <c r="E90">
        <v>1E-3</v>
      </c>
      <c r="F90">
        <v>6.9999999999999999E-4</v>
      </c>
      <c r="G90">
        <v>6.9999999999999999E-4</v>
      </c>
      <c r="H90">
        <v>0.1</v>
      </c>
      <c r="I90">
        <v>4</v>
      </c>
      <c r="J90">
        <v>4</v>
      </c>
      <c r="K90">
        <v>1000000000</v>
      </c>
      <c r="L90">
        <v>1000000000</v>
      </c>
      <c r="M90">
        <v>4</v>
      </c>
      <c r="N90" t="s">
        <v>2051</v>
      </c>
      <c r="O90" t="s">
        <v>894</v>
      </c>
      <c r="P90">
        <v>14</v>
      </c>
      <c r="Q90">
        <v>0.01</v>
      </c>
      <c r="R90">
        <v>1000000000</v>
      </c>
      <c r="S90">
        <v>3</v>
      </c>
      <c r="T90" t="s">
        <v>893</v>
      </c>
      <c r="U90">
        <v>58</v>
      </c>
      <c r="V90">
        <v>1E-3</v>
      </c>
      <c r="W90">
        <v>6.9999999999999999E-4</v>
      </c>
      <c r="X90">
        <v>4.0000000000000001E-3</v>
      </c>
      <c r="Y90">
        <v>4</v>
      </c>
      <c r="Z90">
        <v>4</v>
      </c>
      <c r="AA90">
        <v>1000000000</v>
      </c>
      <c r="AB90">
        <v>1000000000</v>
      </c>
      <c r="AC90">
        <v>4.0000000000000001E-3</v>
      </c>
      <c r="AD90">
        <v>1000000000</v>
      </c>
      <c r="AE90">
        <v>4</v>
      </c>
      <c r="AF90" t="s">
        <v>2051</v>
      </c>
      <c r="AG90" t="s">
        <v>2051</v>
      </c>
      <c r="AH90">
        <v>1</v>
      </c>
      <c r="AI90">
        <v>2</v>
      </c>
      <c r="AJ90">
        <v>30</v>
      </c>
      <c r="AK90" t="s">
        <v>2051</v>
      </c>
      <c r="AL90" t="s">
        <v>2051</v>
      </c>
      <c r="AM90" t="s">
        <v>2051</v>
      </c>
      <c r="AN90" t="s">
        <v>2051</v>
      </c>
      <c r="AO90" t="s">
        <v>2051</v>
      </c>
      <c r="AP90" t="s">
        <v>2051</v>
      </c>
      <c r="AQ90" t="s">
        <v>2051</v>
      </c>
      <c r="AR90" t="s">
        <v>2051</v>
      </c>
      <c r="AS90" t="s">
        <v>2051</v>
      </c>
      <c r="AT90" t="s">
        <v>2051</v>
      </c>
      <c r="AU90" t="s">
        <v>2051</v>
      </c>
      <c r="AV90" t="s">
        <v>2051</v>
      </c>
      <c r="AW90" t="s">
        <v>2051</v>
      </c>
      <c r="AX90" t="s">
        <v>2051</v>
      </c>
      <c r="AY90" t="s">
        <v>2051</v>
      </c>
      <c r="AZ90" t="s">
        <v>2051</v>
      </c>
    </row>
    <row r="91" spans="1:52" x14ac:dyDescent="0.2">
      <c r="A91" t="s">
        <v>170</v>
      </c>
      <c r="B91">
        <v>857</v>
      </c>
      <c r="C91" t="s">
        <v>893</v>
      </c>
      <c r="D91">
        <v>58</v>
      </c>
      <c r="E91">
        <v>2E-3</v>
      </c>
      <c r="F91">
        <v>2E-3</v>
      </c>
      <c r="G91">
        <v>2E-3</v>
      </c>
      <c r="H91">
        <v>0.1</v>
      </c>
      <c r="I91">
        <v>4</v>
      </c>
      <c r="J91">
        <v>4</v>
      </c>
      <c r="K91">
        <v>1000000000</v>
      </c>
      <c r="L91">
        <v>1000000000</v>
      </c>
      <c r="M91">
        <v>4</v>
      </c>
      <c r="N91" t="s">
        <v>2051</v>
      </c>
      <c r="O91" t="s">
        <v>894</v>
      </c>
      <c r="P91">
        <v>14</v>
      </c>
      <c r="Q91">
        <v>0.02</v>
      </c>
      <c r="R91">
        <v>1000000000</v>
      </c>
      <c r="S91">
        <v>3</v>
      </c>
      <c r="T91" t="s">
        <v>893</v>
      </c>
      <c r="U91">
        <v>58</v>
      </c>
      <c r="V91">
        <v>2E-3</v>
      </c>
      <c r="W91">
        <v>2E-3</v>
      </c>
      <c r="X91">
        <v>4.0000000000000001E-3</v>
      </c>
      <c r="Y91">
        <v>4</v>
      </c>
      <c r="Z91">
        <v>4</v>
      </c>
      <c r="AA91">
        <v>1000000000</v>
      </c>
      <c r="AB91">
        <v>1000000000</v>
      </c>
      <c r="AC91">
        <v>4.0000000000000001E-3</v>
      </c>
      <c r="AD91">
        <v>1000000000</v>
      </c>
      <c r="AE91">
        <v>4</v>
      </c>
      <c r="AF91" t="s">
        <v>2051</v>
      </c>
      <c r="AG91" t="s">
        <v>2051</v>
      </c>
      <c r="AH91">
        <v>1</v>
      </c>
      <c r="AI91">
        <v>2</v>
      </c>
      <c r="AJ91">
        <v>30</v>
      </c>
      <c r="AK91" t="s">
        <v>2051</v>
      </c>
      <c r="AL91" t="s">
        <v>2051</v>
      </c>
      <c r="AM91" t="s">
        <v>2051</v>
      </c>
      <c r="AN91" t="s">
        <v>2051</v>
      </c>
      <c r="AO91" t="s">
        <v>2051</v>
      </c>
      <c r="AP91" t="s">
        <v>2051</v>
      </c>
      <c r="AQ91" t="s">
        <v>2051</v>
      </c>
      <c r="AR91" t="s">
        <v>2051</v>
      </c>
      <c r="AS91" t="s">
        <v>2051</v>
      </c>
      <c r="AT91" t="s">
        <v>2051</v>
      </c>
      <c r="AU91" t="s">
        <v>2051</v>
      </c>
      <c r="AV91" t="s">
        <v>2051</v>
      </c>
      <c r="AW91" t="s">
        <v>2051</v>
      </c>
      <c r="AX91" t="s">
        <v>2051</v>
      </c>
      <c r="AY91" t="s">
        <v>2051</v>
      </c>
      <c r="AZ91" t="s">
        <v>2051</v>
      </c>
    </row>
    <row r="92" spans="1:52" x14ac:dyDescent="0.2">
      <c r="A92" t="s">
        <v>110</v>
      </c>
      <c r="B92">
        <v>269</v>
      </c>
      <c r="C92" t="s">
        <v>893</v>
      </c>
      <c r="D92">
        <v>58</v>
      </c>
      <c r="E92">
        <v>1E-3</v>
      </c>
      <c r="F92">
        <v>8.9999999999999998E-4</v>
      </c>
      <c r="G92">
        <v>8.9999999999999998E-4</v>
      </c>
      <c r="H92">
        <v>0.1</v>
      </c>
      <c r="I92">
        <v>4</v>
      </c>
      <c r="J92">
        <v>4</v>
      </c>
      <c r="K92">
        <v>1000000000</v>
      </c>
      <c r="L92">
        <v>1000000000</v>
      </c>
      <c r="M92">
        <v>4</v>
      </c>
      <c r="N92" t="s">
        <v>2051</v>
      </c>
      <c r="O92" t="s">
        <v>894</v>
      </c>
      <c r="P92">
        <v>14</v>
      </c>
      <c r="Q92">
        <v>0.01</v>
      </c>
      <c r="R92">
        <v>1000000000</v>
      </c>
      <c r="S92">
        <v>5</v>
      </c>
      <c r="T92" t="s">
        <v>893</v>
      </c>
      <c r="U92">
        <v>58</v>
      </c>
      <c r="V92">
        <v>1E-3</v>
      </c>
      <c r="W92">
        <v>8.9999999999999998E-4</v>
      </c>
      <c r="X92">
        <v>2.0999999999999999E-3</v>
      </c>
      <c r="Y92">
        <v>4</v>
      </c>
      <c r="Z92">
        <v>4</v>
      </c>
      <c r="AA92">
        <v>1000000000</v>
      </c>
      <c r="AB92">
        <v>1000000000</v>
      </c>
      <c r="AC92">
        <v>2.0999999999999999E-3</v>
      </c>
      <c r="AD92">
        <v>1000000000</v>
      </c>
      <c r="AE92">
        <v>4</v>
      </c>
      <c r="AF92" t="s">
        <v>2051</v>
      </c>
      <c r="AG92" t="s">
        <v>2051</v>
      </c>
      <c r="AH92">
        <v>1</v>
      </c>
      <c r="AI92">
        <v>2</v>
      </c>
      <c r="AJ92">
        <v>30</v>
      </c>
      <c r="AK92" t="s">
        <v>2051</v>
      </c>
      <c r="AL92" t="s">
        <v>2051</v>
      </c>
      <c r="AM92" t="s">
        <v>2051</v>
      </c>
      <c r="AN92" t="s">
        <v>2051</v>
      </c>
      <c r="AO92" t="s">
        <v>2051</v>
      </c>
      <c r="AP92" t="s">
        <v>2051</v>
      </c>
      <c r="AQ92" t="s">
        <v>2051</v>
      </c>
      <c r="AR92" t="s">
        <v>2051</v>
      </c>
      <c r="AS92" t="s">
        <v>2051</v>
      </c>
      <c r="AT92" t="s">
        <v>2051</v>
      </c>
      <c r="AU92" t="s">
        <v>2051</v>
      </c>
      <c r="AV92" t="s">
        <v>2051</v>
      </c>
      <c r="AW92" t="s">
        <v>2051</v>
      </c>
      <c r="AX92" t="s">
        <v>2051</v>
      </c>
      <c r="AY92" t="s">
        <v>2051</v>
      </c>
      <c r="AZ92" t="s">
        <v>2051</v>
      </c>
    </row>
    <row r="93" spans="1:52" x14ac:dyDescent="0.2">
      <c r="A93" t="s">
        <v>111</v>
      </c>
      <c r="B93">
        <v>2146</v>
      </c>
      <c r="C93" t="s">
        <v>893</v>
      </c>
      <c r="D93">
        <v>58</v>
      </c>
      <c r="E93">
        <v>1E-3</v>
      </c>
      <c r="F93">
        <v>3.0000000000000001E-3</v>
      </c>
      <c r="G93">
        <v>1000000000</v>
      </c>
      <c r="H93">
        <v>1000000000</v>
      </c>
      <c r="I93">
        <v>1000000000</v>
      </c>
      <c r="J93">
        <v>1000000000</v>
      </c>
      <c r="K93">
        <v>1000000000</v>
      </c>
      <c r="L93">
        <v>1000000000</v>
      </c>
      <c r="M93">
        <v>1000000000</v>
      </c>
      <c r="N93" t="s">
        <v>2051</v>
      </c>
      <c r="O93" t="s">
        <v>894</v>
      </c>
      <c r="P93">
        <v>14</v>
      </c>
      <c r="Q93">
        <v>1000000000</v>
      </c>
      <c r="R93">
        <v>1000000000</v>
      </c>
      <c r="S93">
        <v>1000000000</v>
      </c>
      <c r="T93" t="s">
        <v>893</v>
      </c>
      <c r="U93">
        <v>58</v>
      </c>
      <c r="V93">
        <v>1E-3</v>
      </c>
      <c r="W93">
        <v>3.0000000000000001E-3</v>
      </c>
      <c r="X93">
        <v>7.4999999999999997E-3</v>
      </c>
      <c r="Y93">
        <v>1000000000</v>
      </c>
      <c r="Z93">
        <v>1000000000</v>
      </c>
      <c r="AA93">
        <v>1000000000</v>
      </c>
      <c r="AB93">
        <v>1000000000</v>
      </c>
      <c r="AC93">
        <v>7.4999999999999997E-3</v>
      </c>
      <c r="AD93">
        <v>1000000000</v>
      </c>
      <c r="AE93">
        <v>1000000000</v>
      </c>
      <c r="AF93" t="s">
        <v>2051</v>
      </c>
      <c r="AG93" t="s">
        <v>2051</v>
      </c>
      <c r="AH93">
        <v>1</v>
      </c>
      <c r="AI93">
        <v>2</v>
      </c>
      <c r="AJ93">
        <v>30</v>
      </c>
      <c r="AK93" t="s">
        <v>2051</v>
      </c>
      <c r="AL93" t="s">
        <v>2051</v>
      </c>
      <c r="AM93" t="s">
        <v>2051</v>
      </c>
      <c r="AN93" t="s">
        <v>2051</v>
      </c>
      <c r="AO93" t="s">
        <v>2051</v>
      </c>
      <c r="AP93" t="s">
        <v>2051</v>
      </c>
      <c r="AQ93" t="s">
        <v>2051</v>
      </c>
      <c r="AR93" t="s">
        <v>2051</v>
      </c>
      <c r="AS93" t="s">
        <v>2051</v>
      </c>
      <c r="AT93" t="s">
        <v>2051</v>
      </c>
      <c r="AU93" t="s">
        <v>2051</v>
      </c>
      <c r="AV93" t="s">
        <v>2051</v>
      </c>
      <c r="AW93" t="s">
        <v>2051</v>
      </c>
      <c r="AX93" t="s">
        <v>2051</v>
      </c>
      <c r="AY93" t="s">
        <v>2051</v>
      </c>
      <c r="AZ93" t="s">
        <v>2051</v>
      </c>
    </row>
    <row r="94" spans="1:52" x14ac:dyDescent="0.2">
      <c r="A94" t="s">
        <v>171</v>
      </c>
      <c r="B94">
        <v>480</v>
      </c>
      <c r="C94" t="s">
        <v>893</v>
      </c>
      <c r="D94">
        <v>58</v>
      </c>
      <c r="E94">
        <v>2E-3</v>
      </c>
      <c r="F94">
        <v>2E-3</v>
      </c>
      <c r="G94">
        <v>2E-3</v>
      </c>
      <c r="H94">
        <v>0.1</v>
      </c>
      <c r="I94">
        <v>4</v>
      </c>
      <c r="J94">
        <v>4</v>
      </c>
      <c r="K94">
        <v>1000000000</v>
      </c>
      <c r="L94">
        <v>1000000000</v>
      </c>
      <c r="M94">
        <v>4</v>
      </c>
      <c r="N94" t="s">
        <v>2051</v>
      </c>
      <c r="O94" t="s">
        <v>894</v>
      </c>
      <c r="P94">
        <v>14</v>
      </c>
      <c r="Q94">
        <v>0.02</v>
      </c>
      <c r="R94">
        <v>1000000000</v>
      </c>
      <c r="S94">
        <v>0.2</v>
      </c>
      <c r="T94" t="s">
        <v>893</v>
      </c>
      <c r="U94">
        <v>58</v>
      </c>
      <c r="V94">
        <v>2E-3</v>
      </c>
      <c r="W94">
        <v>2E-3</v>
      </c>
      <c r="X94">
        <v>1000000000</v>
      </c>
      <c r="Y94">
        <v>4</v>
      </c>
      <c r="Z94">
        <v>4</v>
      </c>
      <c r="AA94">
        <v>1000000000</v>
      </c>
      <c r="AB94">
        <v>1000000000</v>
      </c>
      <c r="AC94">
        <v>2E-3</v>
      </c>
      <c r="AD94">
        <v>1000000000</v>
      </c>
      <c r="AE94">
        <v>4</v>
      </c>
      <c r="AF94" t="s">
        <v>2051</v>
      </c>
      <c r="AG94" t="s">
        <v>2051</v>
      </c>
      <c r="AH94">
        <v>1</v>
      </c>
      <c r="AI94">
        <v>2</v>
      </c>
      <c r="AJ94">
        <v>30</v>
      </c>
      <c r="AK94" t="s">
        <v>2051</v>
      </c>
      <c r="AL94" t="s">
        <v>2051</v>
      </c>
      <c r="AM94" t="s">
        <v>2051</v>
      </c>
      <c r="AN94" t="s">
        <v>2051</v>
      </c>
      <c r="AO94" t="s">
        <v>2051</v>
      </c>
      <c r="AP94" t="s">
        <v>2051</v>
      </c>
      <c r="AQ94" t="s">
        <v>2051</v>
      </c>
      <c r="AR94" t="s">
        <v>2051</v>
      </c>
      <c r="AS94" t="s">
        <v>2051</v>
      </c>
      <c r="AT94" t="s">
        <v>2051</v>
      </c>
      <c r="AU94" t="s">
        <v>2051</v>
      </c>
      <c r="AV94" t="s">
        <v>2051</v>
      </c>
      <c r="AW94" t="s">
        <v>2051</v>
      </c>
      <c r="AX94" t="s">
        <v>2051</v>
      </c>
      <c r="AY94" t="s">
        <v>2051</v>
      </c>
      <c r="AZ94" t="s">
        <v>2051</v>
      </c>
    </row>
    <row r="95" spans="1:52" x14ac:dyDescent="0.2">
      <c r="A95" t="s">
        <v>172</v>
      </c>
      <c r="B95">
        <v>2718</v>
      </c>
      <c r="C95" t="s">
        <v>893</v>
      </c>
      <c r="D95">
        <v>58</v>
      </c>
      <c r="E95">
        <v>1000000000</v>
      </c>
      <c r="F95">
        <v>0.4</v>
      </c>
      <c r="G95">
        <v>1000000000</v>
      </c>
      <c r="H95">
        <v>1000000000</v>
      </c>
      <c r="I95">
        <v>1000000000</v>
      </c>
      <c r="J95">
        <v>1000000000</v>
      </c>
      <c r="K95">
        <v>1000000000</v>
      </c>
      <c r="L95">
        <v>1000000000</v>
      </c>
      <c r="M95">
        <v>1000000000</v>
      </c>
      <c r="N95" t="s">
        <v>2051</v>
      </c>
      <c r="O95" t="s">
        <v>894</v>
      </c>
      <c r="P95">
        <v>14</v>
      </c>
      <c r="Q95">
        <v>1000000000</v>
      </c>
      <c r="R95">
        <v>1000000000</v>
      </c>
      <c r="S95">
        <v>1000000000</v>
      </c>
      <c r="T95" t="s">
        <v>893</v>
      </c>
      <c r="U95">
        <v>58</v>
      </c>
      <c r="V95">
        <v>1000000000</v>
      </c>
      <c r="W95">
        <v>0.4</v>
      </c>
      <c r="X95">
        <v>1000000000</v>
      </c>
      <c r="Y95">
        <v>1000000000</v>
      </c>
      <c r="Z95">
        <v>1000000000</v>
      </c>
      <c r="AA95">
        <v>1000000000</v>
      </c>
      <c r="AB95">
        <v>1000000000</v>
      </c>
      <c r="AC95">
        <v>0.4</v>
      </c>
      <c r="AD95">
        <v>1000000000</v>
      </c>
      <c r="AE95">
        <v>1000000000</v>
      </c>
      <c r="AF95" t="s">
        <v>2051</v>
      </c>
      <c r="AG95" t="s">
        <v>2051</v>
      </c>
      <c r="AH95">
        <v>1</v>
      </c>
      <c r="AI95">
        <v>2</v>
      </c>
      <c r="AJ95">
        <v>30</v>
      </c>
      <c r="AK95" t="s">
        <v>2051</v>
      </c>
      <c r="AL95" t="s">
        <v>2051</v>
      </c>
      <c r="AM95" t="s">
        <v>2051</v>
      </c>
      <c r="AN95" t="s">
        <v>2051</v>
      </c>
      <c r="AO95" t="s">
        <v>2051</v>
      </c>
      <c r="AP95" t="s">
        <v>2051</v>
      </c>
      <c r="AQ95" t="s">
        <v>2051</v>
      </c>
      <c r="AR95" t="s">
        <v>2051</v>
      </c>
      <c r="AS95" t="s">
        <v>2051</v>
      </c>
      <c r="AT95" t="s">
        <v>2051</v>
      </c>
      <c r="AU95" t="s">
        <v>2051</v>
      </c>
      <c r="AV95" t="s">
        <v>2051</v>
      </c>
      <c r="AW95" t="s">
        <v>2051</v>
      </c>
      <c r="AX95" t="s">
        <v>2051</v>
      </c>
      <c r="AY95" t="s">
        <v>2051</v>
      </c>
      <c r="AZ95" t="s">
        <v>2051</v>
      </c>
    </row>
    <row r="96" spans="1:52" x14ac:dyDescent="0.2">
      <c r="A96" t="s">
        <v>902</v>
      </c>
      <c r="B96">
        <v>328</v>
      </c>
      <c r="C96" t="s">
        <v>893</v>
      </c>
      <c r="D96">
        <v>58</v>
      </c>
      <c r="E96">
        <v>1000000000</v>
      </c>
      <c r="F96">
        <v>7.4999999999999997E-3</v>
      </c>
      <c r="G96">
        <v>7.4999999999999997E-3</v>
      </c>
      <c r="H96">
        <v>7.4999999999999997E-3</v>
      </c>
      <c r="I96">
        <v>1000000000</v>
      </c>
      <c r="J96">
        <v>1000000000</v>
      </c>
      <c r="K96">
        <v>1000000000</v>
      </c>
      <c r="L96">
        <v>1000000000</v>
      </c>
      <c r="M96">
        <v>1000000000</v>
      </c>
      <c r="N96" t="s">
        <v>2051</v>
      </c>
      <c r="O96" t="s">
        <v>894</v>
      </c>
      <c r="P96">
        <v>14</v>
      </c>
      <c r="Q96">
        <v>1000000000</v>
      </c>
      <c r="R96">
        <v>1000000000</v>
      </c>
      <c r="S96">
        <v>1000000000</v>
      </c>
      <c r="T96" t="s">
        <v>893</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2051</v>
      </c>
      <c r="AG96" t="s">
        <v>2051</v>
      </c>
      <c r="AH96">
        <v>1</v>
      </c>
      <c r="AI96">
        <v>2</v>
      </c>
      <c r="AJ96">
        <v>30</v>
      </c>
      <c r="AK96" t="s">
        <v>2051</v>
      </c>
      <c r="AL96" t="s">
        <v>2051</v>
      </c>
      <c r="AM96" t="s">
        <v>2051</v>
      </c>
      <c r="AN96" t="s">
        <v>2051</v>
      </c>
      <c r="AO96" t="s">
        <v>2051</v>
      </c>
      <c r="AP96" t="s">
        <v>2051</v>
      </c>
      <c r="AQ96" t="s">
        <v>2051</v>
      </c>
      <c r="AR96" t="s">
        <v>2051</v>
      </c>
      <c r="AS96" t="s">
        <v>2051</v>
      </c>
      <c r="AT96" t="s">
        <v>2051</v>
      </c>
      <c r="AU96" t="s">
        <v>2051</v>
      </c>
      <c r="AV96" t="s">
        <v>2051</v>
      </c>
      <c r="AW96" t="s">
        <v>2051</v>
      </c>
      <c r="AX96" t="s">
        <v>2051</v>
      </c>
      <c r="AY96" t="s">
        <v>2051</v>
      </c>
      <c r="AZ96" t="s">
        <v>2051</v>
      </c>
    </row>
    <row r="97" spans="1:52" x14ac:dyDescent="0.2">
      <c r="A97" t="s">
        <v>675</v>
      </c>
      <c r="B97">
        <v>325</v>
      </c>
      <c r="C97" t="s">
        <v>893</v>
      </c>
      <c r="D97">
        <v>58</v>
      </c>
      <c r="E97">
        <v>1000000000</v>
      </c>
      <c r="F97">
        <v>3.5000000000000003E-2</v>
      </c>
      <c r="G97">
        <v>3.5000000000000003E-2</v>
      </c>
      <c r="H97">
        <v>3.5000000000000003E-2</v>
      </c>
      <c r="I97">
        <v>0.71</v>
      </c>
      <c r="J97">
        <v>0.71</v>
      </c>
      <c r="K97">
        <v>1000000000</v>
      </c>
      <c r="L97">
        <v>1000000000</v>
      </c>
      <c r="M97">
        <v>0.71</v>
      </c>
      <c r="N97" t="s">
        <v>2051</v>
      </c>
      <c r="O97" t="s">
        <v>894</v>
      </c>
      <c r="P97">
        <v>14</v>
      </c>
      <c r="Q97">
        <v>1000000000</v>
      </c>
      <c r="R97">
        <v>1000000000</v>
      </c>
      <c r="S97">
        <v>150</v>
      </c>
      <c r="T97" t="s">
        <v>893</v>
      </c>
      <c r="U97">
        <v>58</v>
      </c>
      <c r="V97">
        <v>1000000000</v>
      </c>
      <c r="W97">
        <v>3.5000000000000003E-2</v>
      </c>
      <c r="X97">
        <v>1000000000</v>
      </c>
      <c r="Y97">
        <v>6</v>
      </c>
      <c r="Z97">
        <v>6</v>
      </c>
      <c r="AA97">
        <v>1000000000</v>
      </c>
      <c r="AB97">
        <v>1000000000</v>
      </c>
      <c r="AC97">
        <v>3.5000000000000003E-2</v>
      </c>
      <c r="AD97">
        <v>1000000000</v>
      </c>
      <c r="AE97">
        <v>3.5000000000000003E-2</v>
      </c>
      <c r="AF97" t="s">
        <v>2051</v>
      </c>
      <c r="AG97" t="s">
        <v>2051</v>
      </c>
      <c r="AH97">
        <v>1</v>
      </c>
      <c r="AI97">
        <v>2</v>
      </c>
      <c r="AJ97">
        <v>30</v>
      </c>
      <c r="AK97" t="s">
        <v>2051</v>
      </c>
      <c r="AL97" t="s">
        <v>2051</v>
      </c>
      <c r="AM97" t="s">
        <v>2051</v>
      </c>
      <c r="AN97" t="s">
        <v>2051</v>
      </c>
      <c r="AO97" t="s">
        <v>2051</v>
      </c>
      <c r="AP97" t="s">
        <v>2051</v>
      </c>
      <c r="AQ97" t="s">
        <v>2051</v>
      </c>
      <c r="AR97" t="s">
        <v>2051</v>
      </c>
      <c r="AS97" t="s">
        <v>2051</v>
      </c>
      <c r="AT97" t="s">
        <v>2051</v>
      </c>
      <c r="AU97" t="s">
        <v>2051</v>
      </c>
      <c r="AV97" t="s">
        <v>2051</v>
      </c>
      <c r="AW97" t="s">
        <v>2051</v>
      </c>
      <c r="AX97" t="s">
        <v>2051</v>
      </c>
      <c r="AY97" t="s">
        <v>2051</v>
      </c>
      <c r="AZ97" t="s">
        <v>2051</v>
      </c>
    </row>
    <row r="98" spans="1:52" x14ac:dyDescent="0.2">
      <c r="A98" t="s">
        <v>830</v>
      </c>
      <c r="B98">
        <v>458</v>
      </c>
      <c r="C98" t="s">
        <v>893</v>
      </c>
      <c r="D98">
        <v>58</v>
      </c>
      <c r="E98">
        <v>1000000000</v>
      </c>
      <c r="F98">
        <v>0.15</v>
      </c>
      <c r="G98">
        <v>0.15</v>
      </c>
      <c r="H98">
        <v>0.45</v>
      </c>
      <c r="I98">
        <v>0.45</v>
      </c>
      <c r="J98">
        <v>0.45</v>
      </c>
      <c r="K98">
        <v>1000000000</v>
      </c>
      <c r="L98">
        <v>1000000000</v>
      </c>
      <c r="M98">
        <v>0.45</v>
      </c>
      <c r="N98" t="s">
        <v>2051</v>
      </c>
      <c r="O98" t="s">
        <v>894</v>
      </c>
      <c r="P98">
        <v>14</v>
      </c>
      <c r="Q98">
        <v>1000000000</v>
      </c>
      <c r="R98">
        <v>1000000000</v>
      </c>
      <c r="S98">
        <v>60</v>
      </c>
      <c r="T98" t="s">
        <v>893</v>
      </c>
      <c r="U98">
        <v>58</v>
      </c>
      <c r="V98">
        <v>1000000000</v>
      </c>
      <c r="W98">
        <v>0.15</v>
      </c>
      <c r="X98">
        <v>1000000000</v>
      </c>
      <c r="Y98">
        <v>5</v>
      </c>
      <c r="Z98">
        <v>5</v>
      </c>
      <c r="AA98">
        <v>1000000000</v>
      </c>
      <c r="AB98">
        <v>1000000000</v>
      </c>
      <c r="AC98">
        <v>0.15</v>
      </c>
      <c r="AD98">
        <v>1000000000</v>
      </c>
      <c r="AE98">
        <v>0.15</v>
      </c>
      <c r="AF98" t="s">
        <v>2051</v>
      </c>
      <c r="AG98" t="s">
        <v>2051</v>
      </c>
      <c r="AH98">
        <v>1</v>
      </c>
      <c r="AI98">
        <v>2</v>
      </c>
      <c r="AJ98">
        <v>30</v>
      </c>
      <c r="AK98" t="s">
        <v>2051</v>
      </c>
      <c r="AL98" t="s">
        <v>2051</v>
      </c>
      <c r="AM98" t="s">
        <v>2051</v>
      </c>
      <c r="AN98" t="s">
        <v>2051</v>
      </c>
      <c r="AO98" t="s">
        <v>2051</v>
      </c>
      <c r="AP98" t="s">
        <v>2051</v>
      </c>
      <c r="AQ98" t="s">
        <v>2051</v>
      </c>
      <c r="AR98" t="s">
        <v>2051</v>
      </c>
      <c r="AS98" t="s">
        <v>2051</v>
      </c>
      <c r="AT98" t="s">
        <v>2051</v>
      </c>
      <c r="AU98" t="s">
        <v>2051</v>
      </c>
      <c r="AV98" t="s">
        <v>2051</v>
      </c>
      <c r="AW98" t="s">
        <v>2051</v>
      </c>
      <c r="AX98" t="s">
        <v>2051</v>
      </c>
      <c r="AY98" t="s">
        <v>2051</v>
      </c>
      <c r="AZ98" t="s">
        <v>2051</v>
      </c>
    </row>
    <row r="99" spans="1:52" x14ac:dyDescent="0.2">
      <c r="A99" t="s">
        <v>831</v>
      </c>
      <c r="B99">
        <v>462</v>
      </c>
      <c r="C99" t="s">
        <v>893</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2051</v>
      </c>
      <c r="O99" t="s">
        <v>894</v>
      </c>
      <c r="P99">
        <v>14</v>
      </c>
      <c r="Q99">
        <v>1000000000</v>
      </c>
      <c r="R99">
        <v>1000000000</v>
      </c>
      <c r="S99">
        <v>100</v>
      </c>
      <c r="T99" t="s">
        <v>893</v>
      </c>
      <c r="U99">
        <v>58</v>
      </c>
      <c r="V99">
        <v>1000000000</v>
      </c>
      <c r="W99">
        <v>1.7000000000000001E-2</v>
      </c>
      <c r="X99">
        <v>1000000000</v>
      </c>
      <c r="Y99">
        <v>2</v>
      </c>
      <c r="Z99">
        <v>2</v>
      </c>
      <c r="AA99">
        <v>1000000000</v>
      </c>
      <c r="AB99">
        <v>1000000000</v>
      </c>
      <c r="AC99">
        <v>1.7000000000000001E-2</v>
      </c>
      <c r="AD99">
        <v>1000000000</v>
      </c>
      <c r="AE99">
        <v>1.7000000000000001E-2</v>
      </c>
      <c r="AF99" t="s">
        <v>2051</v>
      </c>
      <c r="AG99" t="s">
        <v>2051</v>
      </c>
      <c r="AH99">
        <v>1</v>
      </c>
      <c r="AI99">
        <v>2</v>
      </c>
      <c r="AJ99">
        <v>30</v>
      </c>
      <c r="AK99" t="s">
        <v>2051</v>
      </c>
      <c r="AL99" t="s">
        <v>2051</v>
      </c>
      <c r="AM99" t="s">
        <v>2051</v>
      </c>
      <c r="AN99" t="s">
        <v>2051</v>
      </c>
      <c r="AO99" t="s">
        <v>2051</v>
      </c>
      <c r="AP99" t="s">
        <v>2051</v>
      </c>
      <c r="AQ99" t="s">
        <v>2051</v>
      </c>
      <c r="AR99" t="s">
        <v>2051</v>
      </c>
      <c r="AS99" t="s">
        <v>2051</v>
      </c>
      <c r="AT99" t="s">
        <v>2051</v>
      </c>
      <c r="AU99" t="s">
        <v>2051</v>
      </c>
      <c r="AV99" t="s">
        <v>2051</v>
      </c>
      <c r="AW99" t="s">
        <v>2051</v>
      </c>
      <c r="AX99" t="s">
        <v>2051</v>
      </c>
      <c r="AY99" t="s">
        <v>2051</v>
      </c>
      <c r="AZ99" t="s">
        <v>2051</v>
      </c>
    </row>
    <row r="100" spans="1:52" x14ac:dyDescent="0.2">
      <c r="A100" t="s">
        <v>832</v>
      </c>
      <c r="B100">
        <v>2253</v>
      </c>
      <c r="C100" t="s">
        <v>893</v>
      </c>
      <c r="D100">
        <v>58</v>
      </c>
      <c r="E100">
        <v>1000000000</v>
      </c>
      <c r="F100">
        <v>0.6</v>
      </c>
      <c r="G100">
        <v>0.6</v>
      </c>
      <c r="H100">
        <v>0.6</v>
      </c>
      <c r="I100">
        <v>1000000000</v>
      </c>
      <c r="J100">
        <v>1000000000</v>
      </c>
      <c r="K100">
        <v>1000000000</v>
      </c>
      <c r="L100">
        <v>1000000000</v>
      </c>
      <c r="M100">
        <v>1000000000</v>
      </c>
      <c r="N100" t="s">
        <v>2051</v>
      </c>
      <c r="O100" t="s">
        <v>894</v>
      </c>
      <c r="P100">
        <v>14</v>
      </c>
      <c r="Q100">
        <v>1000000000</v>
      </c>
      <c r="R100">
        <v>1000000000</v>
      </c>
      <c r="S100">
        <v>1000000000</v>
      </c>
      <c r="T100" t="s">
        <v>893</v>
      </c>
      <c r="U100">
        <v>58</v>
      </c>
      <c r="V100">
        <v>1000000000</v>
      </c>
      <c r="W100">
        <v>0.6</v>
      </c>
      <c r="X100">
        <v>1000000000</v>
      </c>
      <c r="Y100">
        <v>1000000000</v>
      </c>
      <c r="Z100">
        <v>1000000000</v>
      </c>
      <c r="AA100">
        <v>1000000000</v>
      </c>
      <c r="AB100">
        <v>1000000000</v>
      </c>
      <c r="AC100">
        <v>0.6</v>
      </c>
      <c r="AD100">
        <v>1000000000</v>
      </c>
      <c r="AE100">
        <v>0.06</v>
      </c>
      <c r="AF100" t="s">
        <v>2051</v>
      </c>
      <c r="AG100" t="s">
        <v>2051</v>
      </c>
      <c r="AH100">
        <v>1</v>
      </c>
      <c r="AI100">
        <v>2</v>
      </c>
      <c r="AJ100">
        <v>30</v>
      </c>
      <c r="AK100" t="s">
        <v>2051</v>
      </c>
      <c r="AL100" t="s">
        <v>2051</v>
      </c>
      <c r="AM100" t="s">
        <v>2051</v>
      </c>
      <c r="AN100" t="s">
        <v>2051</v>
      </c>
      <c r="AO100" t="s">
        <v>2051</v>
      </c>
      <c r="AP100" t="s">
        <v>2051</v>
      </c>
      <c r="AQ100" t="s">
        <v>2051</v>
      </c>
      <c r="AR100" t="s">
        <v>2051</v>
      </c>
      <c r="AS100" t="s">
        <v>2051</v>
      </c>
      <c r="AT100" t="s">
        <v>2051</v>
      </c>
      <c r="AU100" t="s">
        <v>2051</v>
      </c>
      <c r="AV100" t="s">
        <v>2051</v>
      </c>
      <c r="AW100" t="s">
        <v>2051</v>
      </c>
      <c r="AX100" t="s">
        <v>2051</v>
      </c>
      <c r="AY100" t="s">
        <v>2051</v>
      </c>
      <c r="AZ100" t="s">
        <v>2051</v>
      </c>
    </row>
    <row r="101" spans="1:52" x14ac:dyDescent="0.2">
      <c r="A101" t="s">
        <v>833</v>
      </c>
      <c r="B101">
        <v>2244</v>
      </c>
      <c r="C101" t="s">
        <v>893</v>
      </c>
      <c r="D101">
        <v>58</v>
      </c>
      <c r="E101">
        <v>1000000000</v>
      </c>
      <c r="F101">
        <v>0.09</v>
      </c>
      <c r="G101">
        <v>0.09</v>
      </c>
      <c r="H101">
        <v>0.5</v>
      </c>
      <c r="I101">
        <v>1000000000</v>
      </c>
      <c r="J101">
        <v>1000000000</v>
      </c>
      <c r="K101">
        <v>1000000000</v>
      </c>
      <c r="L101">
        <v>1000000000</v>
      </c>
      <c r="M101">
        <v>1000000000</v>
      </c>
      <c r="N101" t="s">
        <v>2051</v>
      </c>
      <c r="O101" t="s">
        <v>894</v>
      </c>
      <c r="P101">
        <v>14</v>
      </c>
      <c r="Q101">
        <v>1000000000</v>
      </c>
      <c r="R101">
        <v>1000000000</v>
      </c>
      <c r="S101">
        <v>1000000000</v>
      </c>
      <c r="T101" t="s">
        <v>893</v>
      </c>
      <c r="U101">
        <v>58</v>
      </c>
      <c r="V101">
        <v>1000000000</v>
      </c>
      <c r="W101">
        <v>0.09</v>
      </c>
      <c r="X101">
        <v>1000000000</v>
      </c>
      <c r="Y101">
        <v>1000000000</v>
      </c>
      <c r="Z101">
        <v>1000000000</v>
      </c>
      <c r="AA101">
        <v>1000000000</v>
      </c>
      <c r="AB101">
        <v>1000000000</v>
      </c>
      <c r="AC101">
        <v>0.09</v>
      </c>
      <c r="AD101">
        <v>1000000000</v>
      </c>
      <c r="AE101">
        <v>0.09</v>
      </c>
      <c r="AF101" t="s">
        <v>2051</v>
      </c>
      <c r="AG101" t="s">
        <v>2051</v>
      </c>
      <c r="AH101">
        <v>1</v>
      </c>
      <c r="AI101">
        <v>2</v>
      </c>
      <c r="AJ101">
        <v>30</v>
      </c>
      <c r="AK101" t="s">
        <v>2051</v>
      </c>
      <c r="AL101" t="s">
        <v>2051</v>
      </c>
      <c r="AM101" t="s">
        <v>2051</v>
      </c>
      <c r="AN101" t="s">
        <v>2051</v>
      </c>
      <c r="AO101" t="s">
        <v>2051</v>
      </c>
      <c r="AP101" t="s">
        <v>2051</v>
      </c>
      <c r="AQ101" t="s">
        <v>2051</v>
      </c>
      <c r="AR101" t="s">
        <v>2051</v>
      </c>
      <c r="AS101" t="s">
        <v>2051</v>
      </c>
      <c r="AT101" t="s">
        <v>2051</v>
      </c>
      <c r="AU101" t="s">
        <v>2051</v>
      </c>
      <c r="AV101" t="s">
        <v>2051</v>
      </c>
      <c r="AW101" t="s">
        <v>2051</v>
      </c>
      <c r="AX101" t="s">
        <v>2051</v>
      </c>
      <c r="AY101" t="s">
        <v>2051</v>
      </c>
      <c r="AZ101" t="s">
        <v>2051</v>
      </c>
    </row>
    <row r="102" spans="1:52" x14ac:dyDescent="0.2">
      <c r="A102" t="s">
        <v>834</v>
      </c>
      <c r="B102">
        <v>2583</v>
      </c>
      <c r="C102" t="s">
        <v>893</v>
      </c>
      <c r="D102">
        <v>58</v>
      </c>
      <c r="E102">
        <v>1000000000</v>
      </c>
      <c r="F102">
        <v>0.15</v>
      </c>
      <c r="G102">
        <v>0.5</v>
      </c>
      <c r="H102">
        <v>2.5</v>
      </c>
      <c r="I102">
        <v>2.5</v>
      </c>
      <c r="J102">
        <v>2.5</v>
      </c>
      <c r="K102">
        <v>1000000000</v>
      </c>
      <c r="L102">
        <v>1000000000</v>
      </c>
      <c r="M102">
        <v>2.5</v>
      </c>
      <c r="N102" t="s">
        <v>2051</v>
      </c>
      <c r="O102" t="s">
        <v>894</v>
      </c>
      <c r="P102">
        <v>14</v>
      </c>
      <c r="Q102">
        <v>1000000000</v>
      </c>
      <c r="R102">
        <v>1000000000</v>
      </c>
      <c r="S102">
        <v>0.7</v>
      </c>
      <c r="T102" t="s">
        <v>893</v>
      </c>
      <c r="U102">
        <v>58</v>
      </c>
      <c r="V102">
        <v>1000000000</v>
      </c>
      <c r="W102">
        <v>0.15</v>
      </c>
      <c r="X102">
        <v>1000000000</v>
      </c>
      <c r="Y102">
        <v>2.5</v>
      </c>
      <c r="Z102">
        <v>2.5</v>
      </c>
      <c r="AA102">
        <v>1000000000</v>
      </c>
      <c r="AB102">
        <v>1000000000</v>
      </c>
      <c r="AC102">
        <v>0.15</v>
      </c>
      <c r="AD102">
        <v>1000000000</v>
      </c>
      <c r="AE102">
        <v>0.15</v>
      </c>
      <c r="AF102" t="s">
        <v>2051</v>
      </c>
      <c r="AG102" t="s">
        <v>2051</v>
      </c>
      <c r="AH102">
        <v>1</v>
      </c>
      <c r="AI102">
        <v>2</v>
      </c>
      <c r="AJ102">
        <v>30</v>
      </c>
      <c r="AK102" t="s">
        <v>2051</v>
      </c>
      <c r="AL102" t="s">
        <v>2051</v>
      </c>
      <c r="AM102" t="s">
        <v>2051</v>
      </c>
      <c r="AN102" t="s">
        <v>2051</v>
      </c>
      <c r="AO102" t="s">
        <v>2051</v>
      </c>
      <c r="AP102" t="s">
        <v>2051</v>
      </c>
      <c r="AQ102" t="s">
        <v>2051</v>
      </c>
      <c r="AR102" t="s">
        <v>2051</v>
      </c>
      <c r="AS102" t="s">
        <v>2051</v>
      </c>
      <c r="AT102" t="s">
        <v>2051</v>
      </c>
      <c r="AU102" t="s">
        <v>2051</v>
      </c>
      <c r="AV102" t="s">
        <v>2051</v>
      </c>
      <c r="AW102" t="s">
        <v>2051</v>
      </c>
      <c r="AX102" t="s">
        <v>2051</v>
      </c>
      <c r="AY102" t="s">
        <v>2051</v>
      </c>
      <c r="AZ102" t="s">
        <v>2051</v>
      </c>
    </row>
    <row r="103" spans="1:52" x14ac:dyDescent="0.2">
      <c r="A103" t="s">
        <v>835</v>
      </c>
      <c r="B103">
        <v>1712</v>
      </c>
      <c r="C103" t="s">
        <v>893</v>
      </c>
      <c r="D103">
        <v>58</v>
      </c>
      <c r="E103">
        <v>1000000000</v>
      </c>
      <c r="F103">
        <v>6.5000000000000002E-2</v>
      </c>
      <c r="G103">
        <v>6.5000000000000002E-2</v>
      </c>
      <c r="H103">
        <v>6.5000000000000002E-2</v>
      </c>
      <c r="I103">
        <v>1000000000</v>
      </c>
      <c r="J103">
        <v>1000000000</v>
      </c>
      <c r="K103">
        <v>1000000000</v>
      </c>
      <c r="L103">
        <v>1000000000</v>
      </c>
      <c r="M103">
        <v>1000000000</v>
      </c>
      <c r="N103" t="s">
        <v>2051</v>
      </c>
      <c r="O103" t="s">
        <v>894</v>
      </c>
      <c r="P103">
        <v>14</v>
      </c>
      <c r="Q103">
        <v>1000000000</v>
      </c>
      <c r="R103">
        <v>1000000000</v>
      </c>
      <c r="S103">
        <v>1000000000</v>
      </c>
      <c r="T103" t="s">
        <v>893</v>
      </c>
      <c r="U103">
        <v>58</v>
      </c>
      <c r="V103">
        <v>4.0000000000000001E-3</v>
      </c>
      <c r="W103">
        <v>6.5000000000000002E-2</v>
      </c>
      <c r="X103">
        <v>0.25</v>
      </c>
      <c r="Y103">
        <v>1000000000</v>
      </c>
      <c r="Z103">
        <v>1000000000</v>
      </c>
      <c r="AA103">
        <v>1000000000</v>
      </c>
      <c r="AB103">
        <v>1000000000</v>
      </c>
      <c r="AC103">
        <v>0.25</v>
      </c>
      <c r="AD103">
        <v>0.115</v>
      </c>
      <c r="AE103">
        <v>6.5000000000000002E-2</v>
      </c>
      <c r="AF103" t="s">
        <v>2051</v>
      </c>
      <c r="AG103" t="s">
        <v>2051</v>
      </c>
      <c r="AH103">
        <v>1</v>
      </c>
      <c r="AI103">
        <v>2</v>
      </c>
      <c r="AJ103">
        <v>30</v>
      </c>
      <c r="AK103" t="s">
        <v>2051</v>
      </c>
      <c r="AL103" t="s">
        <v>2051</v>
      </c>
      <c r="AM103" t="s">
        <v>2051</v>
      </c>
      <c r="AN103" t="s">
        <v>2051</v>
      </c>
      <c r="AO103" t="s">
        <v>2051</v>
      </c>
      <c r="AP103" t="s">
        <v>2051</v>
      </c>
      <c r="AQ103" t="s">
        <v>2051</v>
      </c>
      <c r="AR103" t="s">
        <v>2051</v>
      </c>
      <c r="AS103" t="s">
        <v>2051</v>
      </c>
      <c r="AT103" t="s">
        <v>2051</v>
      </c>
      <c r="AU103" t="s">
        <v>2051</v>
      </c>
      <c r="AV103" t="s">
        <v>2051</v>
      </c>
      <c r="AW103" t="s">
        <v>2051</v>
      </c>
      <c r="AX103" t="s">
        <v>2051</v>
      </c>
      <c r="AY103" t="s">
        <v>2051</v>
      </c>
      <c r="AZ103" t="s">
        <v>2051</v>
      </c>
    </row>
    <row r="104" spans="1:52" x14ac:dyDescent="0.2">
      <c r="A104" t="s">
        <v>836</v>
      </c>
      <c r="B104">
        <v>4129</v>
      </c>
      <c r="C104" t="s">
        <v>893</v>
      </c>
      <c r="D104">
        <v>58</v>
      </c>
      <c r="E104">
        <v>1000000000</v>
      </c>
      <c r="F104">
        <v>0.55000000000000004</v>
      </c>
      <c r="G104">
        <v>0.55000000000000004</v>
      </c>
      <c r="H104">
        <v>0.55000000000000004</v>
      </c>
      <c r="I104">
        <v>4</v>
      </c>
      <c r="J104">
        <v>4</v>
      </c>
      <c r="K104">
        <v>1000000000</v>
      </c>
      <c r="L104">
        <v>1000000000</v>
      </c>
      <c r="M104">
        <v>4</v>
      </c>
      <c r="N104" t="s">
        <v>2051</v>
      </c>
      <c r="O104" t="s">
        <v>894</v>
      </c>
      <c r="P104">
        <v>14</v>
      </c>
      <c r="Q104">
        <v>1000000000</v>
      </c>
      <c r="R104">
        <v>1000000000</v>
      </c>
      <c r="S104">
        <v>50</v>
      </c>
      <c r="T104" t="s">
        <v>893</v>
      </c>
      <c r="U104">
        <v>58</v>
      </c>
      <c r="V104">
        <v>1000000000</v>
      </c>
      <c r="W104">
        <v>0.55000000000000004</v>
      </c>
      <c r="X104">
        <v>1000000000</v>
      </c>
      <c r="Y104">
        <v>4</v>
      </c>
      <c r="Z104">
        <v>4</v>
      </c>
      <c r="AA104">
        <v>1000000000</v>
      </c>
      <c r="AB104">
        <v>1000000000</v>
      </c>
      <c r="AC104">
        <v>0.55000000000000004</v>
      </c>
      <c r="AD104">
        <v>1000000000</v>
      </c>
      <c r="AE104">
        <v>0.55000000000000004</v>
      </c>
      <c r="AF104" t="s">
        <v>2051</v>
      </c>
      <c r="AG104" t="s">
        <v>2051</v>
      </c>
      <c r="AH104">
        <v>1</v>
      </c>
      <c r="AI104">
        <v>2</v>
      </c>
      <c r="AJ104">
        <v>30</v>
      </c>
      <c r="AK104" t="s">
        <v>2051</v>
      </c>
      <c r="AL104" t="s">
        <v>2051</v>
      </c>
      <c r="AM104" t="s">
        <v>2051</v>
      </c>
      <c r="AN104" t="s">
        <v>2051</v>
      </c>
      <c r="AO104" t="s">
        <v>2051</v>
      </c>
      <c r="AP104" t="s">
        <v>2051</v>
      </c>
      <c r="AQ104" t="s">
        <v>2051</v>
      </c>
      <c r="AR104" t="s">
        <v>2051</v>
      </c>
      <c r="AS104" t="s">
        <v>2051</v>
      </c>
      <c r="AT104" t="s">
        <v>2051</v>
      </c>
      <c r="AU104" t="s">
        <v>2051</v>
      </c>
      <c r="AV104" t="s">
        <v>2051</v>
      </c>
      <c r="AW104" t="s">
        <v>2051</v>
      </c>
      <c r="AX104" t="s">
        <v>2051</v>
      </c>
      <c r="AY104" t="s">
        <v>2051</v>
      </c>
      <c r="AZ104" t="s">
        <v>2051</v>
      </c>
    </row>
    <row r="105" spans="1:52" x14ac:dyDescent="0.2">
      <c r="A105" t="s">
        <v>685</v>
      </c>
      <c r="B105">
        <v>361</v>
      </c>
      <c r="C105" t="s">
        <v>893</v>
      </c>
      <c r="D105">
        <v>58</v>
      </c>
      <c r="E105">
        <v>1000000000</v>
      </c>
      <c r="F105">
        <v>7.0000000000000007E-2</v>
      </c>
      <c r="G105">
        <v>2.6</v>
      </c>
      <c r="H105">
        <v>48</v>
      </c>
      <c r="I105">
        <v>48</v>
      </c>
      <c r="J105">
        <v>48</v>
      </c>
      <c r="K105">
        <v>1000000000</v>
      </c>
      <c r="L105">
        <v>1000000000</v>
      </c>
      <c r="M105">
        <v>48</v>
      </c>
      <c r="N105" t="s">
        <v>2051</v>
      </c>
      <c r="O105" t="s">
        <v>894</v>
      </c>
      <c r="P105">
        <v>14</v>
      </c>
      <c r="Q105">
        <v>1000000000</v>
      </c>
      <c r="R105">
        <v>1000000000</v>
      </c>
      <c r="S105">
        <v>1000000000</v>
      </c>
      <c r="T105" t="s">
        <v>893</v>
      </c>
      <c r="U105">
        <v>58</v>
      </c>
      <c r="V105">
        <v>1000000000</v>
      </c>
      <c r="W105">
        <v>1000000000</v>
      </c>
      <c r="X105">
        <v>1000000000</v>
      </c>
      <c r="Y105">
        <v>1000000000</v>
      </c>
      <c r="Z105">
        <v>1000000000</v>
      </c>
      <c r="AA105">
        <v>1000000000</v>
      </c>
      <c r="AB105">
        <v>1000000000</v>
      </c>
      <c r="AC105">
        <v>1000000000</v>
      </c>
      <c r="AD105">
        <v>1000000000</v>
      </c>
      <c r="AE105">
        <v>7.0000000000000007E-2</v>
      </c>
      <c r="AF105" t="s">
        <v>2051</v>
      </c>
      <c r="AG105" t="s">
        <v>2051</v>
      </c>
      <c r="AH105">
        <v>1</v>
      </c>
      <c r="AI105">
        <v>2</v>
      </c>
      <c r="AJ105">
        <v>30</v>
      </c>
      <c r="AK105" t="s">
        <v>2051</v>
      </c>
      <c r="AL105" t="s">
        <v>2051</v>
      </c>
      <c r="AM105" t="s">
        <v>2051</v>
      </c>
      <c r="AN105" t="s">
        <v>2051</v>
      </c>
      <c r="AO105" t="s">
        <v>2051</v>
      </c>
      <c r="AP105" t="s">
        <v>2051</v>
      </c>
      <c r="AQ105" t="s">
        <v>2051</v>
      </c>
      <c r="AR105" t="s">
        <v>2051</v>
      </c>
      <c r="AS105" t="s">
        <v>2051</v>
      </c>
      <c r="AT105" t="s">
        <v>2051</v>
      </c>
      <c r="AU105" t="s">
        <v>2051</v>
      </c>
      <c r="AV105" t="s">
        <v>2051</v>
      </c>
      <c r="AW105" t="s">
        <v>2051</v>
      </c>
      <c r="AX105" t="s">
        <v>2051</v>
      </c>
      <c r="AY105" t="s">
        <v>2051</v>
      </c>
      <c r="AZ105" t="s">
        <v>2051</v>
      </c>
    </row>
    <row r="106" spans="1:52" x14ac:dyDescent="0.2">
      <c r="A106" t="s">
        <v>686</v>
      </c>
      <c r="B106">
        <v>382</v>
      </c>
      <c r="C106" t="s">
        <v>893</v>
      </c>
      <c r="D106">
        <v>58</v>
      </c>
      <c r="E106">
        <v>1000000000</v>
      </c>
      <c r="F106">
        <v>4.4999999999999998E-2</v>
      </c>
      <c r="G106">
        <v>8.3000000000000007</v>
      </c>
      <c r="H106">
        <v>60</v>
      </c>
      <c r="I106">
        <v>60</v>
      </c>
      <c r="J106">
        <v>60</v>
      </c>
      <c r="K106">
        <v>1000000000</v>
      </c>
      <c r="L106">
        <v>1000000000</v>
      </c>
      <c r="M106">
        <v>60</v>
      </c>
      <c r="N106" t="s">
        <v>2051</v>
      </c>
      <c r="O106" t="s">
        <v>894</v>
      </c>
      <c r="P106">
        <v>14</v>
      </c>
      <c r="Q106">
        <v>1000000000</v>
      </c>
      <c r="R106">
        <v>1000000000</v>
      </c>
      <c r="S106">
        <v>1000000000</v>
      </c>
      <c r="T106" t="s">
        <v>893</v>
      </c>
      <c r="U106">
        <v>58</v>
      </c>
      <c r="V106">
        <v>1000000000</v>
      </c>
      <c r="W106">
        <v>1000000000</v>
      </c>
      <c r="X106">
        <v>1000000000</v>
      </c>
      <c r="Y106">
        <v>1000000000</v>
      </c>
      <c r="Z106">
        <v>1000000000</v>
      </c>
      <c r="AA106">
        <v>1000000000</v>
      </c>
      <c r="AB106">
        <v>1000000000</v>
      </c>
      <c r="AC106">
        <v>1000000000</v>
      </c>
      <c r="AD106">
        <v>1000000000</v>
      </c>
      <c r="AE106">
        <v>4.4999999999999998E-2</v>
      </c>
      <c r="AF106" t="s">
        <v>2051</v>
      </c>
      <c r="AG106" t="s">
        <v>2051</v>
      </c>
      <c r="AH106">
        <v>1</v>
      </c>
      <c r="AI106">
        <v>2</v>
      </c>
      <c r="AJ106">
        <v>30</v>
      </c>
      <c r="AK106" t="s">
        <v>2051</v>
      </c>
      <c r="AL106" t="s">
        <v>2051</v>
      </c>
      <c r="AM106" t="s">
        <v>2051</v>
      </c>
      <c r="AN106" t="s">
        <v>2051</v>
      </c>
      <c r="AO106" t="s">
        <v>2051</v>
      </c>
      <c r="AP106" t="s">
        <v>2051</v>
      </c>
      <c r="AQ106" t="s">
        <v>2051</v>
      </c>
      <c r="AR106" t="s">
        <v>2051</v>
      </c>
      <c r="AS106" t="s">
        <v>2051</v>
      </c>
      <c r="AT106" t="s">
        <v>2051</v>
      </c>
      <c r="AU106" t="s">
        <v>2051</v>
      </c>
      <c r="AV106" t="s">
        <v>2051</v>
      </c>
      <c r="AW106" t="s">
        <v>2051</v>
      </c>
      <c r="AX106" t="s">
        <v>2051</v>
      </c>
      <c r="AY106" t="s">
        <v>2051</v>
      </c>
      <c r="AZ106" t="s">
        <v>2051</v>
      </c>
    </row>
    <row r="107" spans="1:52" x14ac:dyDescent="0.2">
      <c r="A107" t="s">
        <v>687</v>
      </c>
      <c r="B107">
        <v>642</v>
      </c>
      <c r="C107" t="s">
        <v>893</v>
      </c>
      <c r="D107">
        <v>58</v>
      </c>
      <c r="E107">
        <v>1000000000</v>
      </c>
      <c r="F107">
        <v>4.4999999999999998E-2</v>
      </c>
      <c r="G107">
        <v>5.3</v>
      </c>
      <c r="H107">
        <v>53</v>
      </c>
      <c r="I107">
        <v>53</v>
      </c>
      <c r="J107">
        <v>53</v>
      </c>
      <c r="K107">
        <v>1000000000</v>
      </c>
      <c r="L107">
        <v>1000000000</v>
      </c>
      <c r="M107">
        <v>53</v>
      </c>
      <c r="N107" t="s">
        <v>2051</v>
      </c>
      <c r="O107" t="s">
        <v>894</v>
      </c>
      <c r="P107">
        <v>14</v>
      </c>
      <c r="Q107">
        <v>1000000000</v>
      </c>
      <c r="R107">
        <v>1000000000</v>
      </c>
      <c r="S107">
        <v>1000000000</v>
      </c>
      <c r="T107" t="s">
        <v>893</v>
      </c>
      <c r="U107">
        <v>58</v>
      </c>
      <c r="V107">
        <v>1000000000</v>
      </c>
      <c r="W107">
        <v>1000000000</v>
      </c>
      <c r="X107">
        <v>1000000000</v>
      </c>
      <c r="Y107">
        <v>1000000000</v>
      </c>
      <c r="Z107">
        <v>1000000000</v>
      </c>
      <c r="AA107">
        <v>1000000000</v>
      </c>
      <c r="AB107">
        <v>1000000000</v>
      </c>
      <c r="AC107">
        <v>1000000000</v>
      </c>
      <c r="AD107">
        <v>1000000000</v>
      </c>
      <c r="AE107">
        <v>4.4999999999999998E-2</v>
      </c>
      <c r="AF107" t="s">
        <v>2051</v>
      </c>
      <c r="AG107" t="s">
        <v>2051</v>
      </c>
      <c r="AH107">
        <v>1</v>
      </c>
      <c r="AI107">
        <v>2</v>
      </c>
      <c r="AJ107">
        <v>30</v>
      </c>
      <c r="AK107" t="s">
        <v>2051</v>
      </c>
      <c r="AL107" t="s">
        <v>2051</v>
      </c>
      <c r="AM107" t="s">
        <v>2051</v>
      </c>
      <c r="AN107" t="s">
        <v>2051</v>
      </c>
      <c r="AO107" t="s">
        <v>2051</v>
      </c>
      <c r="AP107" t="s">
        <v>2051</v>
      </c>
      <c r="AQ107" t="s">
        <v>2051</v>
      </c>
      <c r="AR107" t="s">
        <v>2051</v>
      </c>
      <c r="AS107" t="s">
        <v>2051</v>
      </c>
      <c r="AT107" t="s">
        <v>2051</v>
      </c>
      <c r="AU107" t="s">
        <v>2051</v>
      </c>
      <c r="AV107" t="s">
        <v>2051</v>
      </c>
      <c r="AW107" t="s">
        <v>2051</v>
      </c>
      <c r="AX107" t="s">
        <v>2051</v>
      </c>
      <c r="AY107" t="s">
        <v>2051</v>
      </c>
      <c r="AZ107" t="s">
        <v>2051</v>
      </c>
    </row>
    <row r="108" spans="1:52" x14ac:dyDescent="0.2">
      <c r="A108" t="s">
        <v>688</v>
      </c>
      <c r="B108">
        <v>661</v>
      </c>
      <c r="C108" t="s">
        <v>893</v>
      </c>
      <c r="D108">
        <v>58</v>
      </c>
      <c r="E108">
        <v>1000000000</v>
      </c>
      <c r="F108">
        <v>4.4999999999999998E-2</v>
      </c>
      <c r="G108">
        <v>9.1999999999999993</v>
      </c>
      <c r="H108">
        <v>60</v>
      </c>
      <c r="I108">
        <v>82</v>
      </c>
      <c r="J108">
        <v>82</v>
      </c>
      <c r="K108">
        <v>1000000000</v>
      </c>
      <c r="L108">
        <v>1000000000</v>
      </c>
      <c r="M108">
        <v>82</v>
      </c>
      <c r="N108" t="s">
        <v>2051</v>
      </c>
      <c r="O108" t="s">
        <v>894</v>
      </c>
      <c r="P108">
        <v>14</v>
      </c>
      <c r="Q108">
        <v>1000000000</v>
      </c>
      <c r="R108">
        <v>1000000000</v>
      </c>
      <c r="S108">
        <v>1000000000</v>
      </c>
      <c r="T108" t="s">
        <v>893</v>
      </c>
      <c r="U108">
        <v>58</v>
      </c>
      <c r="V108">
        <v>1000000000</v>
      </c>
      <c r="W108">
        <v>1000000000</v>
      </c>
      <c r="X108">
        <v>1000000000</v>
      </c>
      <c r="Y108">
        <v>1000000000</v>
      </c>
      <c r="Z108">
        <v>1000000000</v>
      </c>
      <c r="AA108">
        <v>1000000000</v>
      </c>
      <c r="AB108">
        <v>1000000000</v>
      </c>
      <c r="AC108">
        <v>1000000000</v>
      </c>
      <c r="AD108">
        <v>1000000000</v>
      </c>
      <c r="AE108">
        <v>4.4999999999999998E-2</v>
      </c>
      <c r="AF108" t="s">
        <v>2051</v>
      </c>
      <c r="AG108" t="s">
        <v>2051</v>
      </c>
      <c r="AH108">
        <v>1</v>
      </c>
      <c r="AI108">
        <v>2</v>
      </c>
      <c r="AJ108">
        <v>30</v>
      </c>
      <c r="AK108" t="s">
        <v>2051</v>
      </c>
      <c r="AL108" t="s">
        <v>2051</v>
      </c>
      <c r="AM108" t="s">
        <v>2051</v>
      </c>
      <c r="AN108" t="s">
        <v>2051</v>
      </c>
      <c r="AO108" t="s">
        <v>2051</v>
      </c>
      <c r="AP108" t="s">
        <v>2051</v>
      </c>
      <c r="AQ108" t="s">
        <v>2051</v>
      </c>
      <c r="AR108" t="s">
        <v>2051</v>
      </c>
      <c r="AS108" t="s">
        <v>2051</v>
      </c>
      <c r="AT108" t="s">
        <v>2051</v>
      </c>
      <c r="AU108" t="s">
        <v>2051</v>
      </c>
      <c r="AV108" t="s">
        <v>2051</v>
      </c>
      <c r="AW108" t="s">
        <v>2051</v>
      </c>
      <c r="AX108" t="s">
        <v>2051</v>
      </c>
      <c r="AY108" t="s">
        <v>2051</v>
      </c>
      <c r="AZ108" t="s">
        <v>2051</v>
      </c>
    </row>
    <row r="109" spans="1:52" x14ac:dyDescent="0.2">
      <c r="A109" t="s">
        <v>837</v>
      </c>
      <c r="B109">
        <v>577</v>
      </c>
      <c r="C109" t="s">
        <v>893</v>
      </c>
      <c r="D109">
        <v>58</v>
      </c>
      <c r="E109">
        <v>1000000000</v>
      </c>
      <c r="F109">
        <v>4.4999999999999998E-2</v>
      </c>
      <c r="G109">
        <v>1.3</v>
      </c>
      <c r="H109">
        <v>17</v>
      </c>
      <c r="I109">
        <v>17</v>
      </c>
      <c r="J109">
        <v>17</v>
      </c>
      <c r="K109">
        <v>1000000000</v>
      </c>
      <c r="L109">
        <v>1000000000</v>
      </c>
      <c r="M109">
        <v>17</v>
      </c>
      <c r="N109" t="s">
        <v>2051</v>
      </c>
      <c r="O109" t="s">
        <v>894</v>
      </c>
      <c r="P109">
        <v>14</v>
      </c>
      <c r="Q109">
        <v>1000000000</v>
      </c>
      <c r="R109">
        <v>1000000000</v>
      </c>
      <c r="S109">
        <v>1000000000</v>
      </c>
      <c r="T109" t="s">
        <v>893</v>
      </c>
      <c r="U109">
        <v>58</v>
      </c>
      <c r="V109">
        <v>1000000000</v>
      </c>
      <c r="W109">
        <v>1000000000</v>
      </c>
      <c r="X109">
        <v>1000000000</v>
      </c>
      <c r="Y109">
        <v>1000000000</v>
      </c>
      <c r="Z109">
        <v>1000000000</v>
      </c>
      <c r="AA109">
        <v>1000000000</v>
      </c>
      <c r="AB109">
        <v>1000000000</v>
      </c>
      <c r="AC109">
        <v>1000000000</v>
      </c>
      <c r="AD109">
        <v>1000000000</v>
      </c>
      <c r="AE109">
        <v>4.4999999999999998E-2</v>
      </c>
      <c r="AF109" t="s">
        <v>2051</v>
      </c>
      <c r="AG109" t="s">
        <v>2051</v>
      </c>
      <c r="AH109">
        <v>1</v>
      </c>
      <c r="AI109">
        <v>2</v>
      </c>
      <c r="AJ109">
        <v>30</v>
      </c>
      <c r="AK109" t="s">
        <v>2051</v>
      </c>
      <c r="AL109" t="s">
        <v>2051</v>
      </c>
      <c r="AM109" t="s">
        <v>2051</v>
      </c>
      <c r="AN109" t="s">
        <v>2051</v>
      </c>
      <c r="AO109" t="s">
        <v>2051</v>
      </c>
      <c r="AP109" t="s">
        <v>2051</v>
      </c>
      <c r="AQ109" t="s">
        <v>2051</v>
      </c>
      <c r="AR109" t="s">
        <v>2051</v>
      </c>
      <c r="AS109" t="s">
        <v>2051</v>
      </c>
      <c r="AT109" t="s">
        <v>2051</v>
      </c>
      <c r="AU109" t="s">
        <v>2051</v>
      </c>
      <c r="AV109" t="s">
        <v>2051</v>
      </c>
      <c r="AW109" t="s">
        <v>2051</v>
      </c>
      <c r="AX109" t="s">
        <v>2051</v>
      </c>
      <c r="AY109" t="s">
        <v>2051</v>
      </c>
      <c r="AZ109" t="s">
        <v>2051</v>
      </c>
    </row>
    <row r="110" spans="1:52" x14ac:dyDescent="0.2">
      <c r="A110" t="s">
        <v>689</v>
      </c>
      <c r="B110">
        <v>600</v>
      </c>
      <c r="C110" t="s">
        <v>893</v>
      </c>
      <c r="D110">
        <v>58</v>
      </c>
      <c r="E110">
        <v>1000000000</v>
      </c>
      <c r="F110">
        <v>7.0000000000000007E-2</v>
      </c>
      <c r="G110">
        <v>5</v>
      </c>
      <c r="H110">
        <v>36</v>
      </c>
      <c r="I110">
        <v>36</v>
      </c>
      <c r="J110">
        <v>36</v>
      </c>
      <c r="K110">
        <v>1000000000</v>
      </c>
      <c r="L110">
        <v>1000000000</v>
      </c>
      <c r="M110">
        <v>36</v>
      </c>
      <c r="N110" t="s">
        <v>2051</v>
      </c>
      <c r="O110" t="s">
        <v>894</v>
      </c>
      <c r="P110">
        <v>14</v>
      </c>
      <c r="Q110">
        <v>1000000000</v>
      </c>
      <c r="R110">
        <v>1000000000</v>
      </c>
      <c r="S110">
        <v>1000000000</v>
      </c>
      <c r="T110" t="s">
        <v>893</v>
      </c>
      <c r="U110">
        <v>58</v>
      </c>
      <c r="V110">
        <v>1000000000</v>
      </c>
      <c r="W110">
        <v>1000000000</v>
      </c>
      <c r="X110">
        <v>1000000000</v>
      </c>
      <c r="Y110">
        <v>1000000000</v>
      </c>
      <c r="Z110">
        <v>1000000000</v>
      </c>
      <c r="AA110">
        <v>1000000000</v>
      </c>
      <c r="AB110">
        <v>1000000000</v>
      </c>
      <c r="AC110">
        <v>1000000000</v>
      </c>
      <c r="AD110">
        <v>1000000000</v>
      </c>
      <c r="AE110">
        <v>7.0000000000000007E-2</v>
      </c>
      <c r="AF110" t="s">
        <v>2051</v>
      </c>
      <c r="AG110" t="s">
        <v>2051</v>
      </c>
      <c r="AH110">
        <v>1</v>
      </c>
      <c r="AI110">
        <v>2</v>
      </c>
      <c r="AJ110">
        <v>30</v>
      </c>
      <c r="AK110" t="s">
        <v>2051</v>
      </c>
      <c r="AL110" t="s">
        <v>2051</v>
      </c>
      <c r="AM110" t="s">
        <v>2051</v>
      </c>
      <c r="AN110" t="s">
        <v>2051</v>
      </c>
      <c r="AO110" t="s">
        <v>2051</v>
      </c>
      <c r="AP110" t="s">
        <v>2051</v>
      </c>
      <c r="AQ110" t="s">
        <v>2051</v>
      </c>
      <c r="AR110" t="s">
        <v>2051</v>
      </c>
      <c r="AS110" t="s">
        <v>2051</v>
      </c>
      <c r="AT110" t="s">
        <v>2051</v>
      </c>
      <c r="AU110" t="s">
        <v>2051</v>
      </c>
      <c r="AV110" t="s">
        <v>2051</v>
      </c>
      <c r="AW110" t="s">
        <v>2051</v>
      </c>
      <c r="AX110" t="s">
        <v>2051</v>
      </c>
      <c r="AY110" t="s">
        <v>2051</v>
      </c>
      <c r="AZ110" t="s">
        <v>2051</v>
      </c>
    </row>
    <row r="111" spans="1:52" x14ac:dyDescent="0.2">
      <c r="A111" t="s">
        <v>838</v>
      </c>
      <c r="B111">
        <v>808</v>
      </c>
      <c r="C111" t="s">
        <v>893</v>
      </c>
      <c r="D111">
        <v>58</v>
      </c>
      <c r="E111">
        <v>1000000000</v>
      </c>
      <c r="F111">
        <v>1000000000</v>
      </c>
      <c r="G111">
        <v>1000000000</v>
      </c>
      <c r="H111">
        <v>1000000000</v>
      </c>
      <c r="I111">
        <v>1000000000</v>
      </c>
      <c r="J111">
        <v>1000000000</v>
      </c>
      <c r="K111">
        <v>1000000000</v>
      </c>
      <c r="L111">
        <v>1000000000</v>
      </c>
      <c r="M111">
        <v>36</v>
      </c>
      <c r="N111" t="s">
        <v>2051</v>
      </c>
      <c r="O111" t="s">
        <v>894</v>
      </c>
      <c r="P111">
        <v>14</v>
      </c>
      <c r="Q111">
        <v>1000000000</v>
      </c>
      <c r="R111">
        <v>1000000000</v>
      </c>
      <c r="S111">
        <v>5</v>
      </c>
      <c r="T111" t="s">
        <v>893</v>
      </c>
      <c r="U111">
        <v>58</v>
      </c>
      <c r="V111">
        <v>1000000000</v>
      </c>
      <c r="W111">
        <v>0.25</v>
      </c>
      <c r="X111">
        <v>1000000000</v>
      </c>
      <c r="Y111">
        <v>60</v>
      </c>
      <c r="Z111">
        <v>60</v>
      </c>
      <c r="AA111">
        <v>1000000000</v>
      </c>
      <c r="AB111">
        <v>1000000000</v>
      </c>
      <c r="AC111">
        <v>0.25</v>
      </c>
      <c r="AD111">
        <v>1000000000</v>
      </c>
      <c r="AE111">
        <v>1000000000</v>
      </c>
      <c r="AF111" t="s">
        <v>2051</v>
      </c>
      <c r="AG111" t="s">
        <v>2051</v>
      </c>
      <c r="AH111">
        <v>1</v>
      </c>
      <c r="AI111">
        <v>2</v>
      </c>
      <c r="AJ111">
        <v>30</v>
      </c>
      <c r="AK111" t="s">
        <v>2051</v>
      </c>
      <c r="AL111" t="s">
        <v>2051</v>
      </c>
      <c r="AM111" t="s">
        <v>2051</v>
      </c>
      <c r="AN111" t="s">
        <v>2051</v>
      </c>
      <c r="AO111" t="s">
        <v>2051</v>
      </c>
      <c r="AP111" t="s">
        <v>2051</v>
      </c>
      <c r="AQ111" t="s">
        <v>2051</v>
      </c>
      <c r="AR111" t="s">
        <v>2051</v>
      </c>
      <c r="AS111" t="s">
        <v>2051</v>
      </c>
      <c r="AT111" t="s">
        <v>2051</v>
      </c>
      <c r="AU111" t="s">
        <v>2051</v>
      </c>
      <c r="AV111" t="s">
        <v>2051</v>
      </c>
      <c r="AW111" t="s">
        <v>2051</v>
      </c>
      <c r="AX111" t="s">
        <v>2051</v>
      </c>
      <c r="AY111" t="s">
        <v>2051</v>
      </c>
      <c r="AZ111" t="s">
        <v>2051</v>
      </c>
    </row>
    <row r="112" spans="1:52" x14ac:dyDescent="0.2">
      <c r="A112" t="s">
        <v>31</v>
      </c>
      <c r="B112">
        <v>1200</v>
      </c>
      <c r="C112" t="s">
        <v>893</v>
      </c>
      <c r="D112">
        <v>58</v>
      </c>
      <c r="E112">
        <v>35</v>
      </c>
      <c r="F112">
        <v>190</v>
      </c>
      <c r="G112">
        <v>190</v>
      </c>
      <c r="H112">
        <v>500</v>
      </c>
      <c r="I112">
        <v>5000</v>
      </c>
      <c r="J112">
        <v>5000</v>
      </c>
      <c r="K112">
        <v>1000000000</v>
      </c>
      <c r="L112">
        <v>1000000000</v>
      </c>
      <c r="M112">
        <v>5000</v>
      </c>
      <c r="N112" t="s">
        <v>2051</v>
      </c>
      <c r="O112" t="s">
        <v>894</v>
      </c>
      <c r="P112">
        <v>14</v>
      </c>
      <c r="Q112">
        <v>50</v>
      </c>
      <c r="R112">
        <v>1000000000</v>
      </c>
      <c r="S112">
        <v>600</v>
      </c>
      <c r="T112" t="s">
        <v>893</v>
      </c>
      <c r="U112">
        <v>58</v>
      </c>
      <c r="V112">
        <v>35</v>
      </c>
      <c r="W112">
        <v>190</v>
      </c>
      <c r="X112">
        <v>1250</v>
      </c>
      <c r="Y112">
        <v>5000</v>
      </c>
      <c r="Z112">
        <v>5000</v>
      </c>
      <c r="AA112">
        <v>1000000000</v>
      </c>
      <c r="AB112">
        <v>1000000000</v>
      </c>
      <c r="AC112">
        <v>1250</v>
      </c>
      <c r="AD112">
        <v>1250</v>
      </c>
      <c r="AE112">
        <v>1250</v>
      </c>
      <c r="AF112" t="s">
        <v>2051</v>
      </c>
      <c r="AG112" t="s">
        <v>2051</v>
      </c>
      <c r="AH112">
        <v>1</v>
      </c>
      <c r="AI112">
        <v>2</v>
      </c>
      <c r="AJ112">
        <v>30</v>
      </c>
      <c r="AK112" t="s">
        <v>2051</v>
      </c>
      <c r="AL112" t="s">
        <v>2051</v>
      </c>
      <c r="AM112" t="s">
        <v>2051</v>
      </c>
      <c r="AN112" t="s">
        <v>2051</v>
      </c>
      <c r="AO112" t="s">
        <v>2051</v>
      </c>
      <c r="AP112" t="s">
        <v>2051</v>
      </c>
      <c r="AQ112" t="s">
        <v>2051</v>
      </c>
      <c r="AR112" t="s">
        <v>2051</v>
      </c>
      <c r="AS112" t="s">
        <v>2051</v>
      </c>
      <c r="AT112" t="s">
        <v>2051</v>
      </c>
      <c r="AU112" t="s">
        <v>2051</v>
      </c>
      <c r="AV112" t="s">
        <v>2051</v>
      </c>
      <c r="AW112" t="s">
        <v>2051</v>
      </c>
      <c r="AX112" t="s">
        <v>2051</v>
      </c>
      <c r="AY112" t="s">
        <v>2051</v>
      </c>
      <c r="AZ112" t="s">
        <v>2051</v>
      </c>
    </row>
    <row r="113" spans="1:52" x14ac:dyDescent="0.2">
      <c r="A113" t="s">
        <v>535</v>
      </c>
      <c r="B113">
        <v>732</v>
      </c>
      <c r="C113" t="s">
        <v>893</v>
      </c>
      <c r="D113">
        <v>58</v>
      </c>
      <c r="E113">
        <v>1000000000</v>
      </c>
      <c r="F113">
        <v>5</v>
      </c>
      <c r="G113">
        <v>5</v>
      </c>
      <c r="H113">
        <v>5</v>
      </c>
      <c r="I113">
        <v>1000000000</v>
      </c>
      <c r="J113">
        <v>1000000000</v>
      </c>
      <c r="K113">
        <v>1000000000</v>
      </c>
      <c r="L113">
        <v>1000000000</v>
      </c>
      <c r="M113">
        <v>100</v>
      </c>
      <c r="N113" t="s">
        <v>2051</v>
      </c>
      <c r="O113" t="s">
        <v>894</v>
      </c>
      <c r="P113">
        <v>14</v>
      </c>
      <c r="Q113">
        <v>1000000000</v>
      </c>
      <c r="R113">
        <v>1000000000</v>
      </c>
      <c r="S113">
        <v>1000000000</v>
      </c>
      <c r="T113" t="s">
        <v>893</v>
      </c>
      <c r="U113">
        <v>58</v>
      </c>
      <c r="V113">
        <v>1000000000</v>
      </c>
      <c r="W113">
        <v>5</v>
      </c>
      <c r="X113">
        <v>1000000000</v>
      </c>
      <c r="Y113">
        <v>1000000000</v>
      </c>
      <c r="Z113">
        <v>1000000000</v>
      </c>
      <c r="AA113">
        <v>1000000000</v>
      </c>
      <c r="AB113">
        <v>1000000000</v>
      </c>
      <c r="AC113">
        <v>5</v>
      </c>
      <c r="AD113">
        <v>1000000000</v>
      </c>
      <c r="AE113">
        <v>5</v>
      </c>
      <c r="AF113" t="s">
        <v>2051</v>
      </c>
      <c r="AG113" t="s">
        <v>2051</v>
      </c>
      <c r="AH113">
        <v>1</v>
      </c>
      <c r="AI113">
        <v>2</v>
      </c>
      <c r="AJ113">
        <v>30</v>
      </c>
      <c r="AK113" t="s">
        <v>2051</v>
      </c>
      <c r="AL113" t="s">
        <v>2051</v>
      </c>
      <c r="AM113" t="s">
        <v>2051</v>
      </c>
      <c r="AN113" t="s">
        <v>2051</v>
      </c>
      <c r="AO113" t="s">
        <v>2051</v>
      </c>
      <c r="AP113" t="s">
        <v>2051</v>
      </c>
      <c r="AQ113" t="s">
        <v>2051</v>
      </c>
      <c r="AR113" t="s">
        <v>2051</v>
      </c>
      <c r="AS113" t="s">
        <v>2051</v>
      </c>
      <c r="AT113" t="s">
        <v>2051</v>
      </c>
      <c r="AU113" t="s">
        <v>2051</v>
      </c>
      <c r="AV113" t="s">
        <v>2051</v>
      </c>
      <c r="AW113" t="s">
        <v>2051</v>
      </c>
      <c r="AX113" t="s">
        <v>2051</v>
      </c>
      <c r="AY113" t="s">
        <v>2051</v>
      </c>
      <c r="AZ113" t="s">
        <v>2051</v>
      </c>
    </row>
    <row r="114" spans="1:52" x14ac:dyDescent="0.2">
      <c r="A114" t="s">
        <v>839</v>
      </c>
      <c r="B114">
        <v>639</v>
      </c>
      <c r="C114" t="s">
        <v>893</v>
      </c>
      <c r="D114">
        <v>58</v>
      </c>
      <c r="E114">
        <v>1000000000</v>
      </c>
      <c r="F114">
        <v>8</v>
      </c>
      <c r="G114">
        <v>8</v>
      </c>
      <c r="H114">
        <v>8</v>
      </c>
      <c r="I114">
        <v>1000000000</v>
      </c>
      <c r="J114">
        <v>1000000000</v>
      </c>
      <c r="K114">
        <v>1000000000</v>
      </c>
      <c r="L114">
        <v>1000000000</v>
      </c>
      <c r="M114">
        <v>1000000000</v>
      </c>
      <c r="N114" t="s">
        <v>2051</v>
      </c>
      <c r="O114" t="s">
        <v>894</v>
      </c>
      <c r="P114">
        <v>14</v>
      </c>
      <c r="Q114">
        <v>1000000000</v>
      </c>
      <c r="R114">
        <v>1000000000</v>
      </c>
      <c r="S114">
        <v>1000000000</v>
      </c>
      <c r="T114" t="s">
        <v>893</v>
      </c>
      <c r="U114">
        <v>58</v>
      </c>
      <c r="V114">
        <v>1000000000</v>
      </c>
      <c r="W114">
        <v>8</v>
      </c>
      <c r="X114">
        <v>1000000000</v>
      </c>
      <c r="Y114">
        <v>1000000000</v>
      </c>
      <c r="Z114">
        <v>1000000000</v>
      </c>
      <c r="AA114">
        <v>1000000000</v>
      </c>
      <c r="AB114">
        <v>1000000000</v>
      </c>
      <c r="AC114">
        <v>8</v>
      </c>
      <c r="AD114">
        <v>1000000000</v>
      </c>
      <c r="AE114">
        <v>8</v>
      </c>
      <c r="AF114" t="s">
        <v>2051</v>
      </c>
      <c r="AG114" t="s">
        <v>2051</v>
      </c>
      <c r="AH114">
        <v>1</v>
      </c>
      <c r="AI114">
        <v>2</v>
      </c>
      <c r="AJ114">
        <v>30</v>
      </c>
      <c r="AK114" t="s">
        <v>2051</v>
      </c>
      <c r="AL114" t="s">
        <v>2051</v>
      </c>
      <c r="AM114" t="s">
        <v>2051</v>
      </c>
      <c r="AN114" t="s">
        <v>2051</v>
      </c>
      <c r="AO114" t="s">
        <v>2051</v>
      </c>
      <c r="AP114" t="s">
        <v>2051</v>
      </c>
      <c r="AQ114" t="s">
        <v>2051</v>
      </c>
      <c r="AR114" t="s">
        <v>2051</v>
      </c>
      <c r="AS114" t="s">
        <v>2051</v>
      </c>
      <c r="AT114" t="s">
        <v>2051</v>
      </c>
      <c r="AU114" t="s">
        <v>2051</v>
      </c>
      <c r="AV114" t="s">
        <v>2051</v>
      </c>
      <c r="AW114" t="s">
        <v>2051</v>
      </c>
      <c r="AX114" t="s">
        <v>2051</v>
      </c>
      <c r="AY114" t="s">
        <v>2051</v>
      </c>
      <c r="AZ114" t="s">
        <v>2051</v>
      </c>
    </row>
    <row r="115" spans="1:52" x14ac:dyDescent="0.2">
      <c r="A115" t="s">
        <v>565</v>
      </c>
      <c r="B115">
        <v>1434</v>
      </c>
      <c r="C115" t="s">
        <v>893</v>
      </c>
      <c r="D115">
        <v>58</v>
      </c>
      <c r="E115">
        <v>0.1</v>
      </c>
      <c r="F115">
        <v>0.45</v>
      </c>
      <c r="G115">
        <v>0.45</v>
      </c>
      <c r="H115">
        <v>0.45</v>
      </c>
      <c r="I115">
        <v>1000000000</v>
      </c>
      <c r="J115">
        <v>1000000000</v>
      </c>
      <c r="K115">
        <v>1000000000</v>
      </c>
      <c r="L115">
        <v>1000000000</v>
      </c>
      <c r="M115">
        <v>1000000000</v>
      </c>
      <c r="N115" t="s">
        <v>2051</v>
      </c>
      <c r="O115" t="s">
        <v>894</v>
      </c>
      <c r="P115">
        <v>14</v>
      </c>
      <c r="Q115">
        <v>1000000000</v>
      </c>
      <c r="R115">
        <v>1000000000</v>
      </c>
      <c r="S115">
        <v>1000000000</v>
      </c>
      <c r="T115" t="s">
        <v>893</v>
      </c>
      <c r="U115">
        <v>58</v>
      </c>
      <c r="V115">
        <v>1000000000</v>
      </c>
      <c r="W115">
        <v>0.45</v>
      </c>
      <c r="X115">
        <v>1000000000</v>
      </c>
      <c r="Y115">
        <v>1000000000</v>
      </c>
      <c r="Z115">
        <v>1000000000</v>
      </c>
      <c r="AA115">
        <v>1000000000</v>
      </c>
      <c r="AB115">
        <v>1000000000</v>
      </c>
      <c r="AC115">
        <v>0.45</v>
      </c>
      <c r="AD115">
        <v>1000000000</v>
      </c>
      <c r="AE115">
        <v>0.45</v>
      </c>
      <c r="AF115" t="s">
        <v>2051</v>
      </c>
      <c r="AG115" t="s">
        <v>2051</v>
      </c>
      <c r="AH115">
        <v>1</v>
      </c>
      <c r="AI115">
        <v>2</v>
      </c>
      <c r="AJ115">
        <v>30</v>
      </c>
      <c r="AK115" t="s">
        <v>2051</v>
      </c>
      <c r="AL115" t="s">
        <v>2051</v>
      </c>
      <c r="AM115" t="s">
        <v>2051</v>
      </c>
      <c r="AN115" t="s">
        <v>2051</v>
      </c>
      <c r="AO115" t="s">
        <v>2051</v>
      </c>
      <c r="AP115" t="s">
        <v>2051</v>
      </c>
      <c r="AQ115" t="s">
        <v>2051</v>
      </c>
      <c r="AR115" t="s">
        <v>2051</v>
      </c>
      <c r="AS115" t="s">
        <v>2051</v>
      </c>
      <c r="AT115" t="s">
        <v>2051</v>
      </c>
      <c r="AU115" t="s">
        <v>2051</v>
      </c>
      <c r="AV115" t="s">
        <v>2051</v>
      </c>
      <c r="AW115" t="s">
        <v>2051</v>
      </c>
      <c r="AX115" t="s">
        <v>2051</v>
      </c>
      <c r="AY115" t="s">
        <v>2051</v>
      </c>
      <c r="AZ115" t="s">
        <v>2051</v>
      </c>
    </row>
    <row r="116" spans="1:52" x14ac:dyDescent="0.2">
      <c r="A116" t="s">
        <v>566</v>
      </c>
      <c r="B116">
        <v>903</v>
      </c>
      <c r="C116" t="s">
        <v>893</v>
      </c>
      <c r="D116">
        <v>58</v>
      </c>
      <c r="E116">
        <v>0.1</v>
      </c>
      <c r="F116">
        <v>0.45</v>
      </c>
      <c r="G116">
        <v>0.45</v>
      </c>
      <c r="H116">
        <v>0.45</v>
      </c>
      <c r="I116">
        <v>1000000000</v>
      </c>
      <c r="J116">
        <v>1000000000</v>
      </c>
      <c r="K116">
        <v>1000000000</v>
      </c>
      <c r="L116">
        <v>1000000000</v>
      </c>
      <c r="M116">
        <v>1000000000</v>
      </c>
      <c r="N116" t="s">
        <v>2051</v>
      </c>
      <c r="O116" t="s">
        <v>894</v>
      </c>
      <c r="P116">
        <v>14</v>
      </c>
      <c r="Q116">
        <v>1000000000</v>
      </c>
      <c r="R116">
        <v>1000000000</v>
      </c>
      <c r="S116">
        <v>1000000000</v>
      </c>
      <c r="T116" t="s">
        <v>893</v>
      </c>
      <c r="U116">
        <v>58</v>
      </c>
      <c r="V116">
        <v>1000000000</v>
      </c>
      <c r="W116">
        <v>0.45</v>
      </c>
      <c r="X116">
        <v>1000000000</v>
      </c>
      <c r="Y116">
        <v>1000000000</v>
      </c>
      <c r="Z116">
        <v>1000000000</v>
      </c>
      <c r="AA116">
        <v>1000000000</v>
      </c>
      <c r="AB116">
        <v>1000000000</v>
      </c>
      <c r="AC116">
        <v>0.45</v>
      </c>
      <c r="AD116">
        <v>1000000000</v>
      </c>
      <c r="AE116">
        <v>0.45</v>
      </c>
      <c r="AF116" t="s">
        <v>2051</v>
      </c>
      <c r="AG116" t="s">
        <v>2051</v>
      </c>
      <c r="AH116">
        <v>1</v>
      </c>
      <c r="AI116">
        <v>2</v>
      </c>
      <c r="AJ116">
        <v>30</v>
      </c>
      <c r="AK116" t="s">
        <v>2051</v>
      </c>
      <c r="AL116" t="s">
        <v>2051</v>
      </c>
      <c r="AM116" t="s">
        <v>2051</v>
      </c>
      <c r="AN116" t="s">
        <v>2051</v>
      </c>
      <c r="AO116" t="s">
        <v>2051</v>
      </c>
      <c r="AP116" t="s">
        <v>2051</v>
      </c>
      <c r="AQ116" t="s">
        <v>2051</v>
      </c>
      <c r="AR116" t="s">
        <v>2051</v>
      </c>
      <c r="AS116" t="s">
        <v>2051</v>
      </c>
      <c r="AT116" t="s">
        <v>2051</v>
      </c>
      <c r="AU116" t="s">
        <v>2051</v>
      </c>
      <c r="AV116" t="s">
        <v>2051</v>
      </c>
      <c r="AW116" t="s">
        <v>2051</v>
      </c>
      <c r="AX116" t="s">
        <v>2051</v>
      </c>
      <c r="AY116" t="s">
        <v>2051</v>
      </c>
      <c r="AZ116" t="s">
        <v>2051</v>
      </c>
    </row>
    <row r="117" spans="1:52" x14ac:dyDescent="0.2">
      <c r="A117" t="s">
        <v>567</v>
      </c>
      <c r="B117">
        <v>45</v>
      </c>
      <c r="C117" t="s">
        <v>893</v>
      </c>
      <c r="D117">
        <v>58</v>
      </c>
      <c r="E117">
        <v>0.1</v>
      </c>
      <c r="F117">
        <v>0.45</v>
      </c>
      <c r="G117">
        <v>0.45</v>
      </c>
      <c r="H117">
        <v>0.45</v>
      </c>
      <c r="I117">
        <v>1000000000</v>
      </c>
      <c r="J117">
        <v>1000000000</v>
      </c>
      <c r="K117">
        <v>1000000000</v>
      </c>
      <c r="L117">
        <v>1000000000</v>
      </c>
      <c r="M117">
        <v>1000000000</v>
      </c>
      <c r="N117" t="s">
        <v>2051</v>
      </c>
      <c r="O117" t="s">
        <v>894</v>
      </c>
      <c r="P117">
        <v>14</v>
      </c>
      <c r="Q117">
        <v>1000000000</v>
      </c>
      <c r="R117">
        <v>1000000000</v>
      </c>
      <c r="S117">
        <v>1000000000</v>
      </c>
      <c r="T117" t="s">
        <v>893</v>
      </c>
      <c r="U117">
        <v>58</v>
      </c>
      <c r="V117">
        <v>1000000000</v>
      </c>
      <c r="W117">
        <v>0.45</v>
      </c>
      <c r="X117">
        <v>1000000000</v>
      </c>
      <c r="Y117">
        <v>1000000000</v>
      </c>
      <c r="Z117">
        <v>1000000000</v>
      </c>
      <c r="AA117">
        <v>1000000000</v>
      </c>
      <c r="AB117">
        <v>1000000000</v>
      </c>
      <c r="AC117">
        <v>0.45</v>
      </c>
      <c r="AD117">
        <v>1000000000</v>
      </c>
      <c r="AE117">
        <v>0.45</v>
      </c>
      <c r="AF117" t="s">
        <v>2051</v>
      </c>
      <c r="AG117" t="s">
        <v>2051</v>
      </c>
      <c r="AH117">
        <v>1</v>
      </c>
      <c r="AI117">
        <v>2</v>
      </c>
      <c r="AJ117">
        <v>30</v>
      </c>
      <c r="AK117" t="s">
        <v>2051</v>
      </c>
      <c r="AL117" t="s">
        <v>2051</v>
      </c>
      <c r="AM117" t="s">
        <v>2051</v>
      </c>
      <c r="AN117" t="s">
        <v>2051</v>
      </c>
      <c r="AO117" t="s">
        <v>2051</v>
      </c>
      <c r="AP117" t="s">
        <v>2051</v>
      </c>
      <c r="AQ117" t="s">
        <v>2051</v>
      </c>
      <c r="AR117" t="s">
        <v>2051</v>
      </c>
      <c r="AS117" t="s">
        <v>2051</v>
      </c>
      <c r="AT117" t="s">
        <v>2051</v>
      </c>
      <c r="AU117" t="s">
        <v>2051</v>
      </c>
      <c r="AV117" t="s">
        <v>2051</v>
      </c>
      <c r="AW117" t="s">
        <v>2051</v>
      </c>
      <c r="AX117" t="s">
        <v>2051</v>
      </c>
      <c r="AY117" t="s">
        <v>2051</v>
      </c>
      <c r="AZ117" t="s">
        <v>2051</v>
      </c>
    </row>
    <row r="118" spans="1:52" x14ac:dyDescent="0.2">
      <c r="A118" t="s">
        <v>568</v>
      </c>
      <c r="B118">
        <v>33</v>
      </c>
      <c r="C118" t="s">
        <v>893</v>
      </c>
      <c r="D118">
        <v>58</v>
      </c>
      <c r="E118">
        <v>0.1</v>
      </c>
      <c r="F118">
        <v>0.45</v>
      </c>
      <c r="G118">
        <v>0.45</v>
      </c>
      <c r="H118">
        <v>0.45</v>
      </c>
      <c r="I118">
        <v>1000000000</v>
      </c>
      <c r="J118">
        <v>1000000000</v>
      </c>
      <c r="K118">
        <v>1000000000</v>
      </c>
      <c r="L118">
        <v>1000000000</v>
      </c>
      <c r="M118">
        <v>1000000000</v>
      </c>
      <c r="N118" t="s">
        <v>2051</v>
      </c>
      <c r="O118" t="s">
        <v>894</v>
      </c>
      <c r="P118">
        <v>14</v>
      </c>
      <c r="Q118">
        <v>1000000000</v>
      </c>
      <c r="R118">
        <v>1000000000</v>
      </c>
      <c r="S118">
        <v>1000000000</v>
      </c>
      <c r="T118" t="s">
        <v>893</v>
      </c>
      <c r="U118">
        <v>58</v>
      </c>
      <c r="V118">
        <v>1000000000</v>
      </c>
      <c r="W118">
        <v>0.45</v>
      </c>
      <c r="X118">
        <v>1000000000</v>
      </c>
      <c r="Y118">
        <v>1000000000</v>
      </c>
      <c r="Z118">
        <v>1000000000</v>
      </c>
      <c r="AA118">
        <v>1000000000</v>
      </c>
      <c r="AB118">
        <v>1000000000</v>
      </c>
      <c r="AC118">
        <v>0.45</v>
      </c>
      <c r="AD118">
        <v>1000000000</v>
      </c>
      <c r="AE118">
        <v>0.45</v>
      </c>
      <c r="AF118" t="s">
        <v>2051</v>
      </c>
      <c r="AG118" t="s">
        <v>2051</v>
      </c>
      <c r="AH118">
        <v>1</v>
      </c>
      <c r="AI118">
        <v>2</v>
      </c>
      <c r="AJ118">
        <v>30</v>
      </c>
      <c r="AK118" t="s">
        <v>2051</v>
      </c>
      <c r="AL118" t="s">
        <v>2051</v>
      </c>
      <c r="AM118" t="s">
        <v>2051</v>
      </c>
      <c r="AN118" t="s">
        <v>2051</v>
      </c>
      <c r="AO118" t="s">
        <v>2051</v>
      </c>
      <c r="AP118" t="s">
        <v>2051</v>
      </c>
      <c r="AQ118" t="s">
        <v>2051</v>
      </c>
      <c r="AR118" t="s">
        <v>2051</v>
      </c>
      <c r="AS118" t="s">
        <v>2051</v>
      </c>
      <c r="AT118" t="s">
        <v>2051</v>
      </c>
      <c r="AU118" t="s">
        <v>2051</v>
      </c>
      <c r="AV118" t="s">
        <v>2051</v>
      </c>
      <c r="AW118" t="s">
        <v>2051</v>
      </c>
      <c r="AX118" t="s">
        <v>2051</v>
      </c>
      <c r="AY118" t="s">
        <v>2051</v>
      </c>
      <c r="AZ118" t="s">
        <v>2051</v>
      </c>
    </row>
    <row r="119" spans="1:52" x14ac:dyDescent="0.2">
      <c r="A119" t="s">
        <v>840</v>
      </c>
      <c r="B119">
        <v>154</v>
      </c>
      <c r="C119" t="s">
        <v>893</v>
      </c>
      <c r="D119">
        <v>58</v>
      </c>
      <c r="E119">
        <v>0.1</v>
      </c>
      <c r="F119">
        <v>0.45</v>
      </c>
      <c r="G119">
        <v>0.45</v>
      </c>
      <c r="H119">
        <v>0.45</v>
      </c>
      <c r="I119">
        <v>1000000000</v>
      </c>
      <c r="J119">
        <v>1000000000</v>
      </c>
      <c r="K119">
        <v>1000000000</v>
      </c>
      <c r="L119">
        <v>1000000000</v>
      </c>
      <c r="M119">
        <v>1000000000</v>
      </c>
      <c r="N119" t="s">
        <v>2051</v>
      </c>
      <c r="O119" t="s">
        <v>894</v>
      </c>
      <c r="P119">
        <v>14</v>
      </c>
      <c r="Q119">
        <v>1000000000</v>
      </c>
      <c r="R119">
        <v>1000000000</v>
      </c>
      <c r="S119">
        <v>1000000000</v>
      </c>
      <c r="T119" t="s">
        <v>893</v>
      </c>
      <c r="U119">
        <v>58</v>
      </c>
      <c r="V119">
        <v>1000000000</v>
      </c>
      <c r="W119">
        <v>0.45</v>
      </c>
      <c r="X119">
        <v>1000000000</v>
      </c>
      <c r="Y119">
        <v>1000000000</v>
      </c>
      <c r="Z119">
        <v>1000000000</v>
      </c>
      <c r="AA119">
        <v>1000000000</v>
      </c>
      <c r="AB119">
        <v>1000000000</v>
      </c>
      <c r="AC119">
        <v>0.45</v>
      </c>
      <c r="AD119">
        <v>1000000000</v>
      </c>
      <c r="AE119">
        <v>0.45</v>
      </c>
      <c r="AF119" t="s">
        <v>2051</v>
      </c>
      <c r="AG119" t="s">
        <v>2051</v>
      </c>
      <c r="AH119">
        <v>1</v>
      </c>
      <c r="AI119">
        <v>2</v>
      </c>
      <c r="AJ119">
        <v>30</v>
      </c>
      <c r="AK119" t="s">
        <v>2051</v>
      </c>
      <c r="AL119" t="s">
        <v>2051</v>
      </c>
      <c r="AM119" t="s">
        <v>2051</v>
      </c>
      <c r="AN119" t="s">
        <v>2051</v>
      </c>
      <c r="AO119" t="s">
        <v>2051</v>
      </c>
      <c r="AP119" t="s">
        <v>2051</v>
      </c>
      <c r="AQ119" t="s">
        <v>2051</v>
      </c>
      <c r="AR119" t="s">
        <v>2051</v>
      </c>
      <c r="AS119" t="s">
        <v>2051</v>
      </c>
      <c r="AT119" t="s">
        <v>2051</v>
      </c>
      <c r="AU119" t="s">
        <v>2051</v>
      </c>
      <c r="AV119" t="s">
        <v>2051</v>
      </c>
      <c r="AW119" t="s">
        <v>2051</v>
      </c>
      <c r="AX119" t="s">
        <v>2051</v>
      </c>
      <c r="AY119" t="s">
        <v>2051</v>
      </c>
      <c r="AZ119" t="s">
        <v>2051</v>
      </c>
    </row>
    <row r="120" spans="1:52" x14ac:dyDescent="0.2">
      <c r="A120" t="s">
        <v>841</v>
      </c>
      <c r="B120">
        <v>202</v>
      </c>
      <c r="C120" t="s">
        <v>893</v>
      </c>
      <c r="D120">
        <v>58</v>
      </c>
      <c r="E120">
        <v>0.1</v>
      </c>
      <c r="F120">
        <v>0.45</v>
      </c>
      <c r="G120">
        <v>0.45</v>
      </c>
      <c r="H120">
        <v>0.45</v>
      </c>
      <c r="I120">
        <v>1000000000</v>
      </c>
      <c r="J120">
        <v>1000000000</v>
      </c>
      <c r="K120">
        <v>1000000000</v>
      </c>
      <c r="L120">
        <v>1000000000</v>
      </c>
      <c r="M120">
        <v>1000000000</v>
      </c>
      <c r="N120" t="s">
        <v>2051</v>
      </c>
      <c r="O120" t="s">
        <v>894</v>
      </c>
      <c r="P120">
        <v>14</v>
      </c>
      <c r="Q120">
        <v>1000000000</v>
      </c>
      <c r="R120">
        <v>1000000000</v>
      </c>
      <c r="S120">
        <v>1000000000</v>
      </c>
      <c r="T120" t="s">
        <v>893</v>
      </c>
      <c r="U120">
        <v>58</v>
      </c>
      <c r="V120">
        <v>1000000000</v>
      </c>
      <c r="W120">
        <v>0.45</v>
      </c>
      <c r="X120">
        <v>1000000000</v>
      </c>
      <c r="Y120">
        <v>1000000000</v>
      </c>
      <c r="Z120">
        <v>1000000000</v>
      </c>
      <c r="AA120">
        <v>1000000000</v>
      </c>
      <c r="AB120">
        <v>1000000000</v>
      </c>
      <c r="AC120">
        <v>0.45</v>
      </c>
      <c r="AD120">
        <v>1000000000</v>
      </c>
      <c r="AE120">
        <v>0.45</v>
      </c>
      <c r="AF120" t="s">
        <v>2051</v>
      </c>
      <c r="AG120" t="s">
        <v>2051</v>
      </c>
      <c r="AH120">
        <v>1</v>
      </c>
      <c r="AI120">
        <v>2</v>
      </c>
      <c r="AJ120">
        <v>30</v>
      </c>
      <c r="AK120" t="s">
        <v>2051</v>
      </c>
      <c r="AL120" t="s">
        <v>2051</v>
      </c>
      <c r="AM120" t="s">
        <v>2051</v>
      </c>
      <c r="AN120" t="s">
        <v>2051</v>
      </c>
      <c r="AO120" t="s">
        <v>2051</v>
      </c>
      <c r="AP120" t="s">
        <v>2051</v>
      </c>
      <c r="AQ120" t="s">
        <v>2051</v>
      </c>
      <c r="AR120" t="s">
        <v>2051</v>
      </c>
      <c r="AS120" t="s">
        <v>2051</v>
      </c>
      <c r="AT120" t="s">
        <v>2051</v>
      </c>
      <c r="AU120" t="s">
        <v>2051</v>
      </c>
      <c r="AV120" t="s">
        <v>2051</v>
      </c>
      <c r="AW120" t="s">
        <v>2051</v>
      </c>
      <c r="AX120" t="s">
        <v>2051</v>
      </c>
      <c r="AY120" t="s">
        <v>2051</v>
      </c>
      <c r="AZ120" t="s">
        <v>2051</v>
      </c>
    </row>
    <row r="121" spans="1:52" x14ac:dyDescent="0.2">
      <c r="A121" t="s">
        <v>842</v>
      </c>
      <c r="B121">
        <v>232</v>
      </c>
      <c r="C121" t="s">
        <v>893</v>
      </c>
      <c r="D121">
        <v>58</v>
      </c>
      <c r="E121">
        <v>0.1</v>
      </c>
      <c r="F121">
        <v>0.45</v>
      </c>
      <c r="G121">
        <v>0.45</v>
      </c>
      <c r="H121">
        <v>0.45</v>
      </c>
      <c r="I121">
        <v>1000000000</v>
      </c>
      <c r="J121">
        <v>1000000000</v>
      </c>
      <c r="K121">
        <v>1000000000</v>
      </c>
      <c r="L121">
        <v>1000000000</v>
      </c>
      <c r="M121">
        <v>1000000000</v>
      </c>
      <c r="N121" t="s">
        <v>2051</v>
      </c>
      <c r="O121" t="s">
        <v>894</v>
      </c>
      <c r="P121">
        <v>14</v>
      </c>
      <c r="Q121">
        <v>1000000000</v>
      </c>
      <c r="R121">
        <v>1000000000</v>
      </c>
      <c r="S121">
        <v>1000000000</v>
      </c>
      <c r="T121" t="s">
        <v>893</v>
      </c>
      <c r="U121">
        <v>58</v>
      </c>
      <c r="V121">
        <v>1000000000</v>
      </c>
      <c r="W121">
        <v>0.45</v>
      </c>
      <c r="X121">
        <v>1000000000</v>
      </c>
      <c r="Y121">
        <v>1000000000</v>
      </c>
      <c r="Z121">
        <v>1000000000</v>
      </c>
      <c r="AA121">
        <v>1000000000</v>
      </c>
      <c r="AB121">
        <v>1000000000</v>
      </c>
      <c r="AC121">
        <v>0.45</v>
      </c>
      <c r="AD121">
        <v>1000000000</v>
      </c>
      <c r="AE121">
        <v>0.45</v>
      </c>
      <c r="AF121" t="s">
        <v>2051</v>
      </c>
      <c r="AG121" t="s">
        <v>2051</v>
      </c>
      <c r="AH121">
        <v>1</v>
      </c>
      <c r="AI121">
        <v>2</v>
      </c>
      <c r="AJ121">
        <v>30</v>
      </c>
      <c r="AK121" t="s">
        <v>2051</v>
      </c>
      <c r="AL121" t="s">
        <v>2051</v>
      </c>
      <c r="AM121" t="s">
        <v>2051</v>
      </c>
      <c r="AN121" t="s">
        <v>2051</v>
      </c>
      <c r="AO121" t="s">
        <v>2051</v>
      </c>
      <c r="AP121" t="s">
        <v>2051</v>
      </c>
      <c r="AQ121" t="s">
        <v>2051</v>
      </c>
      <c r="AR121" t="s">
        <v>2051</v>
      </c>
      <c r="AS121" t="s">
        <v>2051</v>
      </c>
      <c r="AT121" t="s">
        <v>2051</v>
      </c>
      <c r="AU121" t="s">
        <v>2051</v>
      </c>
      <c r="AV121" t="s">
        <v>2051</v>
      </c>
      <c r="AW121" t="s">
        <v>2051</v>
      </c>
      <c r="AX121" t="s">
        <v>2051</v>
      </c>
      <c r="AY121" t="s">
        <v>2051</v>
      </c>
      <c r="AZ121" t="s">
        <v>2051</v>
      </c>
    </row>
    <row r="122" spans="1:52" x14ac:dyDescent="0.2">
      <c r="A122" t="s">
        <v>599</v>
      </c>
      <c r="B122">
        <v>531</v>
      </c>
      <c r="C122" t="s">
        <v>893</v>
      </c>
      <c r="D122">
        <v>58</v>
      </c>
      <c r="E122">
        <v>1000000000</v>
      </c>
      <c r="F122">
        <v>0.3</v>
      </c>
      <c r="G122">
        <v>0.3</v>
      </c>
      <c r="H122">
        <v>5</v>
      </c>
      <c r="I122">
        <v>13</v>
      </c>
      <c r="J122">
        <v>13</v>
      </c>
      <c r="K122">
        <v>1000000000</v>
      </c>
      <c r="L122">
        <v>1000000000</v>
      </c>
      <c r="M122">
        <v>13</v>
      </c>
      <c r="N122" t="s">
        <v>2051</v>
      </c>
      <c r="O122" t="s">
        <v>894</v>
      </c>
      <c r="P122">
        <v>14</v>
      </c>
      <c r="Q122">
        <v>1000000000</v>
      </c>
      <c r="R122">
        <v>1000000000</v>
      </c>
      <c r="S122">
        <v>200</v>
      </c>
      <c r="T122" t="s">
        <v>893</v>
      </c>
      <c r="U122">
        <v>58</v>
      </c>
      <c r="V122">
        <v>1000000000</v>
      </c>
      <c r="W122">
        <v>0.3</v>
      </c>
      <c r="X122">
        <v>1000000000</v>
      </c>
      <c r="Y122">
        <v>5</v>
      </c>
      <c r="Z122">
        <v>5</v>
      </c>
      <c r="AA122">
        <v>1000000000</v>
      </c>
      <c r="AB122">
        <v>1000000000</v>
      </c>
      <c r="AC122">
        <v>0.3</v>
      </c>
      <c r="AD122">
        <v>1000000000</v>
      </c>
      <c r="AE122">
        <v>0.3</v>
      </c>
      <c r="AF122" t="s">
        <v>2051</v>
      </c>
      <c r="AG122" t="s">
        <v>2051</v>
      </c>
      <c r="AH122">
        <v>1</v>
      </c>
      <c r="AI122">
        <v>2</v>
      </c>
      <c r="AJ122">
        <v>30</v>
      </c>
      <c r="AK122" t="s">
        <v>2051</v>
      </c>
      <c r="AL122" t="s">
        <v>2051</v>
      </c>
      <c r="AM122" t="s">
        <v>2051</v>
      </c>
      <c r="AN122" t="s">
        <v>2051</v>
      </c>
      <c r="AO122" t="s">
        <v>2051</v>
      </c>
      <c r="AP122" t="s">
        <v>2051</v>
      </c>
      <c r="AQ122" t="s">
        <v>2051</v>
      </c>
      <c r="AR122" t="s">
        <v>2051</v>
      </c>
      <c r="AS122" t="s">
        <v>2051</v>
      </c>
      <c r="AT122" t="s">
        <v>2051</v>
      </c>
      <c r="AU122" t="s">
        <v>2051</v>
      </c>
      <c r="AV122" t="s">
        <v>2051</v>
      </c>
      <c r="AW122" t="s">
        <v>2051</v>
      </c>
      <c r="AX122" t="s">
        <v>2051</v>
      </c>
      <c r="AY122" t="s">
        <v>2051</v>
      </c>
      <c r="AZ122" t="s">
        <v>2051</v>
      </c>
    </row>
    <row r="123" spans="1:52" x14ac:dyDescent="0.2">
      <c r="A123" t="s">
        <v>600</v>
      </c>
      <c r="B123">
        <v>751</v>
      </c>
      <c r="C123" t="s">
        <v>893</v>
      </c>
      <c r="D123">
        <v>58</v>
      </c>
      <c r="E123">
        <v>1000000000</v>
      </c>
      <c r="F123">
        <v>0.25</v>
      </c>
      <c r="G123">
        <v>0.25</v>
      </c>
      <c r="H123">
        <v>1.25</v>
      </c>
      <c r="I123">
        <v>14</v>
      </c>
      <c r="J123">
        <v>14</v>
      </c>
      <c r="K123">
        <v>1000000000</v>
      </c>
      <c r="L123">
        <v>1000000000</v>
      </c>
      <c r="M123">
        <v>14</v>
      </c>
      <c r="N123" t="s">
        <v>2051</v>
      </c>
      <c r="O123" t="s">
        <v>894</v>
      </c>
      <c r="P123">
        <v>14</v>
      </c>
      <c r="Q123">
        <v>1000000000</v>
      </c>
      <c r="R123">
        <v>1000000000</v>
      </c>
      <c r="S123">
        <v>2000</v>
      </c>
      <c r="T123" t="s">
        <v>893</v>
      </c>
      <c r="U123">
        <v>58</v>
      </c>
      <c r="V123">
        <v>1000000000</v>
      </c>
      <c r="W123">
        <v>0.25</v>
      </c>
      <c r="X123">
        <v>1000000000</v>
      </c>
      <c r="Y123">
        <v>40</v>
      </c>
      <c r="Z123">
        <v>40</v>
      </c>
      <c r="AA123">
        <v>1000000000</v>
      </c>
      <c r="AB123">
        <v>1000000000</v>
      </c>
      <c r="AC123">
        <v>0.25</v>
      </c>
      <c r="AD123">
        <v>1000000000</v>
      </c>
      <c r="AE123">
        <v>0.25</v>
      </c>
      <c r="AF123" t="s">
        <v>2051</v>
      </c>
      <c r="AG123" t="s">
        <v>2051</v>
      </c>
      <c r="AH123">
        <v>1</v>
      </c>
      <c r="AI123">
        <v>2</v>
      </c>
      <c r="AJ123">
        <v>30</v>
      </c>
      <c r="AK123" t="s">
        <v>2051</v>
      </c>
      <c r="AL123" t="s">
        <v>2051</v>
      </c>
      <c r="AM123" t="s">
        <v>2051</v>
      </c>
      <c r="AN123" t="s">
        <v>2051</v>
      </c>
      <c r="AO123" t="s">
        <v>2051</v>
      </c>
      <c r="AP123" t="s">
        <v>2051</v>
      </c>
      <c r="AQ123" t="s">
        <v>2051</v>
      </c>
      <c r="AR123" t="s">
        <v>2051</v>
      </c>
      <c r="AS123" t="s">
        <v>2051</v>
      </c>
      <c r="AT123" t="s">
        <v>2051</v>
      </c>
      <c r="AU123" t="s">
        <v>2051</v>
      </c>
      <c r="AV123" t="s">
        <v>2051</v>
      </c>
      <c r="AW123" t="s">
        <v>2051</v>
      </c>
      <c r="AX123" t="s">
        <v>2051</v>
      </c>
      <c r="AY123" t="s">
        <v>2051</v>
      </c>
      <c r="AZ123" t="s">
        <v>2051</v>
      </c>
    </row>
    <row r="124" spans="1:52" x14ac:dyDescent="0.2">
      <c r="A124" t="s">
        <v>2182</v>
      </c>
      <c r="B124">
        <v>2159</v>
      </c>
      <c r="C124" t="s">
        <v>893</v>
      </c>
      <c r="D124">
        <v>58</v>
      </c>
      <c r="E124">
        <v>1000000000</v>
      </c>
      <c r="F124">
        <v>0.35</v>
      </c>
      <c r="G124">
        <v>0.35</v>
      </c>
      <c r="H124">
        <v>0.35</v>
      </c>
      <c r="I124">
        <v>1000000000</v>
      </c>
      <c r="J124">
        <v>1000000000</v>
      </c>
      <c r="K124">
        <v>1000000000</v>
      </c>
      <c r="L124">
        <v>1000000000</v>
      </c>
      <c r="M124">
        <v>1000000000</v>
      </c>
      <c r="N124" t="s">
        <v>2051</v>
      </c>
      <c r="O124" t="s">
        <v>894</v>
      </c>
      <c r="P124">
        <v>14</v>
      </c>
      <c r="Q124">
        <v>1000000000</v>
      </c>
      <c r="R124">
        <v>1000000000</v>
      </c>
      <c r="S124">
        <v>1000000000</v>
      </c>
      <c r="T124" t="s">
        <v>893</v>
      </c>
      <c r="U124">
        <v>58</v>
      </c>
      <c r="V124">
        <v>1000000000</v>
      </c>
      <c r="W124">
        <v>0.35</v>
      </c>
      <c r="X124">
        <v>1000000000</v>
      </c>
      <c r="Y124">
        <v>1000000000</v>
      </c>
      <c r="Z124">
        <v>1000000000</v>
      </c>
      <c r="AA124">
        <v>1000000000</v>
      </c>
      <c r="AB124">
        <v>1000000000</v>
      </c>
      <c r="AC124">
        <v>0.35</v>
      </c>
      <c r="AD124">
        <v>1000000000</v>
      </c>
      <c r="AE124">
        <v>0.35</v>
      </c>
      <c r="AF124" t="s">
        <v>2051</v>
      </c>
      <c r="AG124" t="s">
        <v>2051</v>
      </c>
      <c r="AH124">
        <v>1</v>
      </c>
      <c r="AI124">
        <v>2</v>
      </c>
      <c r="AJ124">
        <v>30</v>
      </c>
      <c r="AK124" t="s">
        <v>2051</v>
      </c>
      <c r="AL124" t="s">
        <v>2051</v>
      </c>
      <c r="AM124" t="s">
        <v>2051</v>
      </c>
      <c r="AN124" t="s">
        <v>2051</v>
      </c>
      <c r="AO124" t="s">
        <v>2051</v>
      </c>
      <c r="AP124" t="s">
        <v>2051</v>
      </c>
      <c r="AQ124" t="s">
        <v>2051</v>
      </c>
      <c r="AR124" t="s">
        <v>2051</v>
      </c>
      <c r="AS124" t="s">
        <v>2051</v>
      </c>
      <c r="AT124" t="s">
        <v>2051</v>
      </c>
      <c r="AU124" t="s">
        <v>2051</v>
      </c>
      <c r="AV124" t="s">
        <v>2051</v>
      </c>
      <c r="AW124" t="s">
        <v>2051</v>
      </c>
      <c r="AX124" t="s">
        <v>2051</v>
      </c>
      <c r="AY124" t="s">
        <v>2051</v>
      </c>
      <c r="AZ124" t="s">
        <v>2051</v>
      </c>
    </row>
    <row r="125" spans="1:52" x14ac:dyDescent="0.2">
      <c r="A125" t="s">
        <v>844</v>
      </c>
      <c r="B125">
        <v>2719</v>
      </c>
      <c r="C125" t="s">
        <v>893</v>
      </c>
      <c r="D125">
        <v>58</v>
      </c>
      <c r="E125">
        <v>1000000000</v>
      </c>
      <c r="F125">
        <v>2.5</v>
      </c>
      <c r="G125">
        <v>2.5</v>
      </c>
      <c r="H125">
        <v>2.5</v>
      </c>
      <c r="I125">
        <v>1000000000</v>
      </c>
      <c r="J125">
        <v>1000000000</v>
      </c>
      <c r="K125">
        <v>1000000000</v>
      </c>
      <c r="L125">
        <v>1000000000</v>
      </c>
      <c r="M125">
        <v>1000000000</v>
      </c>
      <c r="N125" t="s">
        <v>2051</v>
      </c>
      <c r="O125" t="s">
        <v>894</v>
      </c>
      <c r="P125">
        <v>14</v>
      </c>
      <c r="Q125">
        <v>1000000000</v>
      </c>
      <c r="R125">
        <v>1000000000</v>
      </c>
      <c r="S125">
        <v>1000000000</v>
      </c>
      <c r="T125" t="s">
        <v>893</v>
      </c>
      <c r="U125">
        <v>58</v>
      </c>
      <c r="V125">
        <v>1000000000</v>
      </c>
      <c r="W125">
        <v>2.5</v>
      </c>
      <c r="X125">
        <v>1000000000</v>
      </c>
      <c r="Y125">
        <v>1000000000</v>
      </c>
      <c r="Z125">
        <v>1000000000</v>
      </c>
      <c r="AA125">
        <v>1000000000</v>
      </c>
      <c r="AB125">
        <v>1000000000</v>
      </c>
      <c r="AC125">
        <v>2.5</v>
      </c>
      <c r="AD125">
        <v>1000000000</v>
      </c>
      <c r="AE125">
        <v>2.5</v>
      </c>
      <c r="AF125" t="s">
        <v>2051</v>
      </c>
      <c r="AG125" t="s">
        <v>2051</v>
      </c>
      <c r="AH125">
        <v>1</v>
      </c>
      <c r="AI125">
        <v>2</v>
      </c>
      <c r="AJ125">
        <v>30</v>
      </c>
      <c r="AK125" t="s">
        <v>2051</v>
      </c>
      <c r="AL125" t="s">
        <v>2051</v>
      </c>
      <c r="AM125" t="s">
        <v>2051</v>
      </c>
      <c r="AN125" t="s">
        <v>2051</v>
      </c>
      <c r="AO125" t="s">
        <v>2051</v>
      </c>
      <c r="AP125" t="s">
        <v>2051</v>
      </c>
      <c r="AQ125" t="s">
        <v>2051</v>
      </c>
      <c r="AR125" t="s">
        <v>2051</v>
      </c>
      <c r="AS125" t="s">
        <v>2051</v>
      </c>
      <c r="AT125" t="s">
        <v>2051</v>
      </c>
      <c r="AU125" t="s">
        <v>2051</v>
      </c>
      <c r="AV125" t="s">
        <v>2051</v>
      </c>
      <c r="AW125" t="s">
        <v>2051</v>
      </c>
      <c r="AX125" t="s">
        <v>2051</v>
      </c>
      <c r="AY125" t="s">
        <v>2051</v>
      </c>
      <c r="AZ125" t="s">
        <v>2051</v>
      </c>
    </row>
    <row r="126" spans="1:52" x14ac:dyDescent="0.2">
      <c r="A126" t="s">
        <v>845</v>
      </c>
      <c r="B126">
        <v>491</v>
      </c>
      <c r="C126" t="s">
        <v>893</v>
      </c>
      <c r="D126">
        <v>58</v>
      </c>
      <c r="E126">
        <v>1000000000</v>
      </c>
      <c r="F126">
        <v>7.0000000000000007E-2</v>
      </c>
      <c r="G126">
        <v>7.0000000000000007E-2</v>
      </c>
      <c r="H126">
        <v>10</v>
      </c>
      <c r="I126">
        <v>23</v>
      </c>
      <c r="J126">
        <v>23</v>
      </c>
      <c r="K126">
        <v>1000000000</v>
      </c>
      <c r="L126">
        <v>1000000000</v>
      </c>
      <c r="M126">
        <v>23</v>
      </c>
      <c r="N126" t="s">
        <v>2051</v>
      </c>
      <c r="O126" t="s">
        <v>894</v>
      </c>
      <c r="P126">
        <v>14</v>
      </c>
      <c r="Q126">
        <v>1000000000</v>
      </c>
      <c r="R126">
        <v>1000000000</v>
      </c>
      <c r="S126">
        <v>6</v>
      </c>
      <c r="T126" t="s">
        <v>893</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2051</v>
      </c>
      <c r="AG126" t="s">
        <v>2051</v>
      </c>
      <c r="AH126">
        <v>1</v>
      </c>
      <c r="AI126">
        <v>2</v>
      </c>
      <c r="AJ126">
        <v>30</v>
      </c>
      <c r="AK126" t="s">
        <v>2051</v>
      </c>
      <c r="AL126" t="s">
        <v>2051</v>
      </c>
      <c r="AM126" t="s">
        <v>2051</v>
      </c>
      <c r="AN126" t="s">
        <v>2051</v>
      </c>
      <c r="AO126" t="s">
        <v>2051</v>
      </c>
      <c r="AP126" t="s">
        <v>2051</v>
      </c>
      <c r="AQ126" t="s">
        <v>2051</v>
      </c>
      <c r="AR126" t="s">
        <v>2051</v>
      </c>
      <c r="AS126" t="s">
        <v>2051</v>
      </c>
      <c r="AT126" t="s">
        <v>2051</v>
      </c>
      <c r="AU126" t="s">
        <v>2051</v>
      </c>
      <c r="AV126" t="s">
        <v>2051</v>
      </c>
      <c r="AW126" t="s">
        <v>2051</v>
      </c>
      <c r="AX126" t="s">
        <v>2051</v>
      </c>
      <c r="AY126" t="s">
        <v>2051</v>
      </c>
      <c r="AZ126" t="s">
        <v>2051</v>
      </c>
    </row>
    <row r="127" spans="1:52" x14ac:dyDescent="0.2">
      <c r="A127" t="s">
        <v>521</v>
      </c>
      <c r="B127">
        <v>1163</v>
      </c>
      <c r="C127" t="s">
        <v>893</v>
      </c>
      <c r="D127">
        <v>58</v>
      </c>
      <c r="E127">
        <v>0.1</v>
      </c>
      <c r="F127">
        <v>0.2</v>
      </c>
      <c r="G127">
        <v>0.2</v>
      </c>
      <c r="H127">
        <v>0.2</v>
      </c>
      <c r="I127">
        <v>1000000000</v>
      </c>
      <c r="J127">
        <v>1000000000</v>
      </c>
      <c r="K127">
        <v>1000000000</v>
      </c>
      <c r="L127">
        <v>1000000000</v>
      </c>
      <c r="M127">
        <v>1000000000</v>
      </c>
      <c r="N127" t="s">
        <v>2051</v>
      </c>
      <c r="O127" t="s">
        <v>894</v>
      </c>
      <c r="P127">
        <v>14</v>
      </c>
      <c r="Q127">
        <v>1</v>
      </c>
      <c r="R127">
        <v>1000000000</v>
      </c>
      <c r="S127">
        <v>1000000000</v>
      </c>
      <c r="T127" t="s">
        <v>893</v>
      </c>
      <c r="U127">
        <v>58</v>
      </c>
      <c r="V127">
        <v>1000000000</v>
      </c>
      <c r="W127">
        <v>0.2</v>
      </c>
      <c r="X127">
        <v>1000000000</v>
      </c>
      <c r="Y127">
        <v>1000000000</v>
      </c>
      <c r="Z127">
        <v>1000000000</v>
      </c>
      <c r="AA127">
        <v>1000000000</v>
      </c>
      <c r="AB127">
        <v>1000000000</v>
      </c>
      <c r="AC127">
        <v>0.2</v>
      </c>
      <c r="AD127">
        <v>1000000000</v>
      </c>
      <c r="AE127">
        <v>0.2</v>
      </c>
      <c r="AF127" t="s">
        <v>2051</v>
      </c>
      <c r="AG127" t="s">
        <v>2051</v>
      </c>
      <c r="AH127">
        <v>1</v>
      </c>
      <c r="AI127">
        <v>2</v>
      </c>
      <c r="AJ127">
        <v>30</v>
      </c>
      <c r="AK127" t="s">
        <v>2051</v>
      </c>
      <c r="AL127" t="s">
        <v>2051</v>
      </c>
      <c r="AM127" t="s">
        <v>2051</v>
      </c>
      <c r="AN127" t="s">
        <v>2051</v>
      </c>
      <c r="AO127" t="s">
        <v>2051</v>
      </c>
      <c r="AP127" t="s">
        <v>2051</v>
      </c>
      <c r="AQ127" t="s">
        <v>2051</v>
      </c>
      <c r="AR127" t="s">
        <v>2051</v>
      </c>
      <c r="AS127" t="s">
        <v>2051</v>
      </c>
      <c r="AT127" t="s">
        <v>2051</v>
      </c>
      <c r="AU127" t="s">
        <v>2051</v>
      </c>
      <c r="AV127" t="s">
        <v>2051</v>
      </c>
      <c r="AW127" t="s">
        <v>2051</v>
      </c>
      <c r="AX127" t="s">
        <v>2051</v>
      </c>
      <c r="AY127" t="s">
        <v>2051</v>
      </c>
      <c r="AZ127" t="s">
        <v>2051</v>
      </c>
    </row>
    <row r="128" spans="1:52" x14ac:dyDescent="0.2">
      <c r="A128" t="s">
        <v>779</v>
      </c>
      <c r="B128">
        <v>1171</v>
      </c>
      <c r="C128" t="s">
        <v>893</v>
      </c>
      <c r="D128">
        <v>58</v>
      </c>
      <c r="E128">
        <v>1000000000</v>
      </c>
      <c r="F128">
        <v>2</v>
      </c>
      <c r="G128">
        <v>2</v>
      </c>
      <c r="H128">
        <v>2</v>
      </c>
      <c r="I128">
        <v>1000000000</v>
      </c>
      <c r="J128">
        <v>1000000000</v>
      </c>
      <c r="K128">
        <v>1000000000</v>
      </c>
      <c r="L128">
        <v>1000000000</v>
      </c>
      <c r="M128">
        <v>1000000000</v>
      </c>
      <c r="N128" t="s">
        <v>2051</v>
      </c>
      <c r="O128" t="s">
        <v>894</v>
      </c>
      <c r="P128">
        <v>14</v>
      </c>
      <c r="Q128">
        <v>1000000000</v>
      </c>
      <c r="R128">
        <v>1000000000</v>
      </c>
      <c r="S128">
        <v>1000000000</v>
      </c>
      <c r="T128" t="s">
        <v>893</v>
      </c>
      <c r="U128">
        <v>58</v>
      </c>
      <c r="V128">
        <v>1000000000</v>
      </c>
      <c r="W128">
        <v>2</v>
      </c>
      <c r="X128">
        <v>1000000000</v>
      </c>
      <c r="Y128">
        <v>1000000000</v>
      </c>
      <c r="Z128">
        <v>1000000000</v>
      </c>
      <c r="AA128">
        <v>1000000000</v>
      </c>
      <c r="AB128">
        <v>1000000000</v>
      </c>
      <c r="AC128">
        <v>2</v>
      </c>
      <c r="AD128">
        <v>1000000000</v>
      </c>
      <c r="AE128">
        <v>2</v>
      </c>
      <c r="AF128" t="s">
        <v>2051</v>
      </c>
      <c r="AG128" t="s">
        <v>2051</v>
      </c>
      <c r="AH128">
        <v>1</v>
      </c>
      <c r="AI128">
        <v>2</v>
      </c>
      <c r="AJ128">
        <v>30</v>
      </c>
      <c r="AK128" t="s">
        <v>2051</v>
      </c>
      <c r="AL128" t="s">
        <v>2051</v>
      </c>
      <c r="AM128" t="s">
        <v>2051</v>
      </c>
      <c r="AN128" t="s">
        <v>2051</v>
      </c>
      <c r="AO128" t="s">
        <v>2051</v>
      </c>
      <c r="AP128" t="s">
        <v>2051</v>
      </c>
      <c r="AQ128" t="s">
        <v>2051</v>
      </c>
      <c r="AR128" t="s">
        <v>2051</v>
      </c>
      <c r="AS128" t="s">
        <v>2051</v>
      </c>
      <c r="AT128" t="s">
        <v>2051</v>
      </c>
      <c r="AU128" t="s">
        <v>2051</v>
      </c>
      <c r="AV128" t="s">
        <v>2051</v>
      </c>
      <c r="AW128" t="s">
        <v>2051</v>
      </c>
      <c r="AX128" t="s">
        <v>2051</v>
      </c>
      <c r="AY128" t="s">
        <v>2051</v>
      </c>
      <c r="AZ128" t="s">
        <v>2051</v>
      </c>
    </row>
    <row r="129" spans="1:52" x14ac:dyDescent="0.2">
      <c r="A129" t="s">
        <v>846</v>
      </c>
      <c r="B129">
        <v>2561</v>
      </c>
      <c r="C129" t="s">
        <v>893</v>
      </c>
      <c r="D129">
        <v>58</v>
      </c>
      <c r="E129">
        <v>1000000000</v>
      </c>
      <c r="F129">
        <v>0.2</v>
      </c>
      <c r="G129">
        <v>0.2</v>
      </c>
      <c r="H129">
        <v>0.2</v>
      </c>
      <c r="I129">
        <v>50</v>
      </c>
      <c r="J129">
        <v>50</v>
      </c>
      <c r="K129">
        <v>1000000000</v>
      </c>
      <c r="L129">
        <v>1000000000</v>
      </c>
      <c r="M129">
        <v>50</v>
      </c>
      <c r="N129" t="s">
        <v>2051</v>
      </c>
      <c r="O129" t="s">
        <v>894</v>
      </c>
      <c r="P129">
        <v>14</v>
      </c>
      <c r="Q129">
        <v>1000000000</v>
      </c>
      <c r="R129">
        <v>1000000000</v>
      </c>
      <c r="S129">
        <v>30</v>
      </c>
      <c r="T129" t="s">
        <v>893</v>
      </c>
      <c r="U129">
        <v>58</v>
      </c>
      <c r="V129">
        <v>1000000000</v>
      </c>
      <c r="W129">
        <v>0.2</v>
      </c>
      <c r="X129">
        <v>1000000000</v>
      </c>
      <c r="Y129">
        <v>50</v>
      </c>
      <c r="Z129">
        <v>50</v>
      </c>
      <c r="AA129">
        <v>1000000000</v>
      </c>
      <c r="AB129">
        <v>1000000000</v>
      </c>
      <c r="AC129">
        <v>0.2</v>
      </c>
      <c r="AD129">
        <v>1000000000</v>
      </c>
      <c r="AE129">
        <v>0.2</v>
      </c>
      <c r="AF129" t="s">
        <v>2051</v>
      </c>
      <c r="AG129" t="s">
        <v>2051</v>
      </c>
      <c r="AH129">
        <v>1</v>
      </c>
      <c r="AI129">
        <v>2</v>
      </c>
      <c r="AJ129">
        <v>30</v>
      </c>
      <c r="AK129" t="s">
        <v>2051</v>
      </c>
      <c r="AL129" t="s">
        <v>2051</v>
      </c>
      <c r="AM129" t="s">
        <v>2051</v>
      </c>
      <c r="AN129" t="s">
        <v>2051</v>
      </c>
      <c r="AO129" t="s">
        <v>2051</v>
      </c>
      <c r="AP129" t="s">
        <v>2051</v>
      </c>
      <c r="AQ129" t="s">
        <v>2051</v>
      </c>
      <c r="AR129" t="s">
        <v>2051</v>
      </c>
      <c r="AS129" t="s">
        <v>2051</v>
      </c>
      <c r="AT129" t="s">
        <v>2051</v>
      </c>
      <c r="AU129" t="s">
        <v>2051</v>
      </c>
      <c r="AV129" t="s">
        <v>2051</v>
      </c>
      <c r="AW129" t="s">
        <v>2051</v>
      </c>
      <c r="AX129" t="s">
        <v>2051</v>
      </c>
      <c r="AY129" t="s">
        <v>2051</v>
      </c>
      <c r="AZ129" t="s">
        <v>2051</v>
      </c>
    </row>
    <row r="130" spans="1:52" x14ac:dyDescent="0.2">
      <c r="A130" t="s">
        <v>903</v>
      </c>
      <c r="B130">
        <v>1385</v>
      </c>
      <c r="C130" t="s">
        <v>893</v>
      </c>
      <c r="D130">
        <v>58</v>
      </c>
      <c r="E130">
        <v>1000000000</v>
      </c>
      <c r="F130">
        <v>0.15</v>
      </c>
      <c r="G130">
        <v>0.15</v>
      </c>
      <c r="H130">
        <v>0.15</v>
      </c>
      <c r="I130">
        <v>1000000000</v>
      </c>
      <c r="J130">
        <v>1000000000</v>
      </c>
      <c r="K130">
        <v>1000000000</v>
      </c>
      <c r="L130">
        <v>1000000000</v>
      </c>
      <c r="M130">
        <v>1000000000</v>
      </c>
      <c r="N130" t="s">
        <v>2051</v>
      </c>
      <c r="O130" t="s">
        <v>894</v>
      </c>
      <c r="P130">
        <v>14</v>
      </c>
      <c r="Q130">
        <v>1000000000</v>
      </c>
      <c r="R130">
        <v>1000000000</v>
      </c>
      <c r="S130">
        <v>1000000000</v>
      </c>
      <c r="T130" t="s">
        <v>893</v>
      </c>
      <c r="U130">
        <v>58</v>
      </c>
      <c r="V130">
        <v>1000000000</v>
      </c>
      <c r="W130">
        <v>0.15</v>
      </c>
      <c r="X130">
        <v>1000000000</v>
      </c>
      <c r="Y130">
        <v>1000000000</v>
      </c>
      <c r="Z130">
        <v>1000000000</v>
      </c>
      <c r="AA130">
        <v>1000000000</v>
      </c>
      <c r="AB130">
        <v>1000000000</v>
      </c>
      <c r="AC130">
        <v>0.15</v>
      </c>
      <c r="AD130">
        <v>1000000000</v>
      </c>
      <c r="AE130">
        <v>0.15</v>
      </c>
      <c r="AF130" t="s">
        <v>2051</v>
      </c>
      <c r="AG130" t="s">
        <v>2051</v>
      </c>
      <c r="AH130">
        <v>1</v>
      </c>
      <c r="AI130">
        <v>2</v>
      </c>
      <c r="AJ130">
        <v>30</v>
      </c>
      <c r="AK130" t="s">
        <v>2051</v>
      </c>
      <c r="AL130" t="s">
        <v>2051</v>
      </c>
      <c r="AM130" t="s">
        <v>2051</v>
      </c>
      <c r="AN130" t="s">
        <v>2051</v>
      </c>
      <c r="AO130" t="s">
        <v>2051</v>
      </c>
      <c r="AP130" t="s">
        <v>2051</v>
      </c>
      <c r="AQ130" t="s">
        <v>2051</v>
      </c>
      <c r="AR130" t="s">
        <v>2051</v>
      </c>
      <c r="AS130" t="s">
        <v>2051</v>
      </c>
      <c r="AT130" t="s">
        <v>2051</v>
      </c>
      <c r="AU130" t="s">
        <v>2051</v>
      </c>
      <c r="AV130" t="s">
        <v>2051</v>
      </c>
      <c r="AW130" t="s">
        <v>2051</v>
      </c>
      <c r="AX130" t="s">
        <v>2051</v>
      </c>
      <c r="AY130" t="s">
        <v>2051</v>
      </c>
      <c r="AZ130" t="s">
        <v>2051</v>
      </c>
    </row>
    <row r="131" spans="1:52" x14ac:dyDescent="0.2">
      <c r="A131" t="s">
        <v>848</v>
      </c>
      <c r="B131">
        <v>4417</v>
      </c>
      <c r="C131" t="s">
        <v>893</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2051</v>
      </c>
      <c r="O131" t="s">
        <v>894</v>
      </c>
      <c r="P131">
        <v>14</v>
      </c>
      <c r="Q131">
        <v>1000000000</v>
      </c>
      <c r="R131">
        <v>1000000000</v>
      </c>
      <c r="S131">
        <v>1000000000</v>
      </c>
      <c r="T131" t="s">
        <v>893</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2051</v>
      </c>
      <c r="AG131" t="s">
        <v>2051</v>
      </c>
      <c r="AH131">
        <v>1</v>
      </c>
      <c r="AI131">
        <v>2</v>
      </c>
      <c r="AJ131">
        <v>30</v>
      </c>
      <c r="AK131" t="s">
        <v>2051</v>
      </c>
      <c r="AL131" t="s">
        <v>2051</v>
      </c>
      <c r="AM131" t="s">
        <v>2051</v>
      </c>
      <c r="AN131" t="s">
        <v>2051</v>
      </c>
      <c r="AO131" t="s">
        <v>2051</v>
      </c>
      <c r="AP131" t="s">
        <v>2051</v>
      </c>
      <c r="AQ131" t="s">
        <v>2051</v>
      </c>
      <c r="AR131" t="s">
        <v>2051</v>
      </c>
      <c r="AS131" t="s">
        <v>2051</v>
      </c>
      <c r="AT131" t="s">
        <v>2051</v>
      </c>
      <c r="AU131" t="s">
        <v>2051</v>
      </c>
      <c r="AV131" t="s">
        <v>2051</v>
      </c>
      <c r="AW131" t="s">
        <v>2051</v>
      </c>
      <c r="AX131" t="s">
        <v>2051</v>
      </c>
      <c r="AY131" t="s">
        <v>2051</v>
      </c>
      <c r="AZ131" t="s">
        <v>2051</v>
      </c>
    </row>
    <row r="132" spans="1:52" x14ac:dyDescent="0.2">
      <c r="A132" t="s">
        <v>766</v>
      </c>
      <c r="B132">
        <v>1154</v>
      </c>
      <c r="C132" t="s">
        <v>893</v>
      </c>
      <c r="D132">
        <v>58</v>
      </c>
      <c r="E132">
        <v>1000000000</v>
      </c>
      <c r="F132">
        <v>3</v>
      </c>
      <c r="G132">
        <v>3</v>
      </c>
      <c r="H132">
        <v>3</v>
      </c>
      <c r="I132">
        <v>1000000000</v>
      </c>
      <c r="J132">
        <v>1000000000</v>
      </c>
      <c r="K132">
        <v>1000000000</v>
      </c>
      <c r="L132">
        <v>1000000000</v>
      </c>
      <c r="M132">
        <v>1000000000</v>
      </c>
      <c r="N132" t="s">
        <v>2051</v>
      </c>
      <c r="O132" t="s">
        <v>894</v>
      </c>
      <c r="P132">
        <v>14</v>
      </c>
      <c r="Q132">
        <v>1000000000</v>
      </c>
      <c r="R132">
        <v>1000000000</v>
      </c>
      <c r="S132">
        <v>1000000000</v>
      </c>
      <c r="T132" t="s">
        <v>893</v>
      </c>
      <c r="U132">
        <v>58</v>
      </c>
      <c r="V132">
        <v>1000000000</v>
      </c>
      <c r="W132">
        <v>3</v>
      </c>
      <c r="X132">
        <v>1000000000</v>
      </c>
      <c r="Y132">
        <v>1000000000</v>
      </c>
      <c r="Z132">
        <v>1000000000</v>
      </c>
      <c r="AA132">
        <v>1000000000</v>
      </c>
      <c r="AB132">
        <v>1000000000</v>
      </c>
      <c r="AC132">
        <v>3</v>
      </c>
      <c r="AD132">
        <v>1000000000</v>
      </c>
      <c r="AE132">
        <v>3</v>
      </c>
      <c r="AF132" t="s">
        <v>2051</v>
      </c>
      <c r="AG132" t="s">
        <v>2051</v>
      </c>
      <c r="AH132">
        <v>1</v>
      </c>
      <c r="AI132">
        <v>2</v>
      </c>
      <c r="AJ132">
        <v>30</v>
      </c>
      <c r="AK132" t="s">
        <v>2051</v>
      </c>
      <c r="AL132" t="s">
        <v>2051</v>
      </c>
      <c r="AM132" t="s">
        <v>2051</v>
      </c>
      <c r="AN132" t="s">
        <v>2051</v>
      </c>
      <c r="AO132" t="s">
        <v>2051</v>
      </c>
      <c r="AP132" t="s">
        <v>2051</v>
      </c>
      <c r="AQ132" t="s">
        <v>2051</v>
      </c>
      <c r="AR132" t="s">
        <v>2051</v>
      </c>
      <c r="AS132" t="s">
        <v>2051</v>
      </c>
      <c r="AT132" t="s">
        <v>2051</v>
      </c>
      <c r="AU132" t="s">
        <v>2051</v>
      </c>
      <c r="AV132" t="s">
        <v>2051</v>
      </c>
      <c r="AW132" t="s">
        <v>2051</v>
      </c>
      <c r="AX132" t="s">
        <v>2051</v>
      </c>
      <c r="AY132" t="s">
        <v>2051</v>
      </c>
      <c r="AZ132" t="s">
        <v>2051</v>
      </c>
    </row>
    <row r="133" spans="1:52" x14ac:dyDescent="0.2">
      <c r="A133" t="s">
        <v>769</v>
      </c>
      <c r="B133">
        <v>174</v>
      </c>
      <c r="C133" t="s">
        <v>893</v>
      </c>
      <c r="D133">
        <v>58</v>
      </c>
      <c r="E133">
        <v>1000000000</v>
      </c>
      <c r="F133">
        <v>0.75</v>
      </c>
      <c r="G133">
        <v>0.75</v>
      </c>
      <c r="H133">
        <v>0.75</v>
      </c>
      <c r="I133">
        <v>1000000000</v>
      </c>
      <c r="J133">
        <v>1000000000</v>
      </c>
      <c r="K133">
        <v>1000000000</v>
      </c>
      <c r="L133">
        <v>1000000000</v>
      </c>
      <c r="M133">
        <v>1000000000</v>
      </c>
      <c r="N133" t="s">
        <v>2051</v>
      </c>
      <c r="O133" t="s">
        <v>894</v>
      </c>
      <c r="P133">
        <v>14</v>
      </c>
      <c r="Q133">
        <v>1000000000</v>
      </c>
      <c r="R133">
        <v>1000000000</v>
      </c>
      <c r="S133">
        <v>1000000000</v>
      </c>
      <c r="T133" t="s">
        <v>893</v>
      </c>
      <c r="U133">
        <v>58</v>
      </c>
      <c r="V133">
        <v>1000000000</v>
      </c>
      <c r="W133">
        <v>0.75</v>
      </c>
      <c r="X133">
        <v>1000000000</v>
      </c>
      <c r="Y133">
        <v>1000000000</v>
      </c>
      <c r="Z133">
        <v>1000000000</v>
      </c>
      <c r="AA133">
        <v>1000000000</v>
      </c>
      <c r="AB133">
        <v>1000000000</v>
      </c>
      <c r="AC133">
        <v>0.75</v>
      </c>
      <c r="AD133">
        <v>1000000000</v>
      </c>
      <c r="AE133">
        <v>0.75</v>
      </c>
      <c r="AF133" t="s">
        <v>2051</v>
      </c>
      <c r="AG133" t="s">
        <v>2051</v>
      </c>
      <c r="AH133">
        <v>1</v>
      </c>
      <c r="AI133">
        <v>2</v>
      </c>
      <c r="AJ133">
        <v>30</v>
      </c>
      <c r="AK133" t="s">
        <v>2051</v>
      </c>
      <c r="AL133" t="s">
        <v>2051</v>
      </c>
      <c r="AM133" t="s">
        <v>2051</v>
      </c>
      <c r="AN133" t="s">
        <v>2051</v>
      </c>
      <c r="AO133" t="s">
        <v>2051</v>
      </c>
      <c r="AP133" t="s">
        <v>2051</v>
      </c>
      <c r="AQ133" t="s">
        <v>2051</v>
      </c>
      <c r="AR133" t="s">
        <v>2051</v>
      </c>
      <c r="AS133" t="s">
        <v>2051</v>
      </c>
      <c r="AT133" t="s">
        <v>2051</v>
      </c>
      <c r="AU133" t="s">
        <v>2051</v>
      </c>
      <c r="AV133" t="s">
        <v>2051</v>
      </c>
      <c r="AW133" t="s">
        <v>2051</v>
      </c>
      <c r="AX133" t="s">
        <v>2051</v>
      </c>
      <c r="AY133" t="s">
        <v>2051</v>
      </c>
      <c r="AZ133" t="s">
        <v>2051</v>
      </c>
    </row>
    <row r="134" spans="1:52" x14ac:dyDescent="0.2">
      <c r="A134" t="s">
        <v>770</v>
      </c>
      <c r="B134">
        <v>1516</v>
      </c>
      <c r="C134" t="s">
        <v>893</v>
      </c>
      <c r="D134">
        <v>58</v>
      </c>
      <c r="E134">
        <v>1000000000</v>
      </c>
      <c r="F134">
        <v>2</v>
      </c>
      <c r="G134">
        <v>2</v>
      </c>
      <c r="H134">
        <v>2</v>
      </c>
      <c r="I134">
        <v>1000000000</v>
      </c>
      <c r="J134">
        <v>1000000000</v>
      </c>
      <c r="K134">
        <v>1000000000</v>
      </c>
      <c r="L134">
        <v>1000000000</v>
      </c>
      <c r="M134">
        <v>1000000000</v>
      </c>
      <c r="N134" t="s">
        <v>2051</v>
      </c>
      <c r="O134" t="s">
        <v>894</v>
      </c>
      <c r="P134">
        <v>14</v>
      </c>
      <c r="Q134">
        <v>1000000000</v>
      </c>
      <c r="R134">
        <v>1000000000</v>
      </c>
      <c r="S134">
        <v>1000000000</v>
      </c>
      <c r="T134" t="s">
        <v>893</v>
      </c>
      <c r="U134">
        <v>58</v>
      </c>
      <c r="V134">
        <v>1000000000</v>
      </c>
      <c r="W134">
        <v>2</v>
      </c>
      <c r="X134">
        <v>1000000000</v>
      </c>
      <c r="Y134">
        <v>1000000000</v>
      </c>
      <c r="Z134">
        <v>1000000000</v>
      </c>
      <c r="AA134">
        <v>1000000000</v>
      </c>
      <c r="AB134">
        <v>1000000000</v>
      </c>
      <c r="AC134">
        <v>2</v>
      </c>
      <c r="AD134">
        <v>1000000000</v>
      </c>
      <c r="AE134">
        <v>2</v>
      </c>
      <c r="AF134" t="s">
        <v>2051</v>
      </c>
      <c r="AG134" t="s">
        <v>2051</v>
      </c>
      <c r="AH134">
        <v>1</v>
      </c>
      <c r="AI134">
        <v>2</v>
      </c>
      <c r="AJ134">
        <v>30</v>
      </c>
      <c r="AK134" t="s">
        <v>2051</v>
      </c>
      <c r="AL134" t="s">
        <v>2051</v>
      </c>
      <c r="AM134" t="s">
        <v>2051</v>
      </c>
      <c r="AN134" t="s">
        <v>2051</v>
      </c>
      <c r="AO134" t="s">
        <v>2051</v>
      </c>
      <c r="AP134" t="s">
        <v>2051</v>
      </c>
      <c r="AQ134" t="s">
        <v>2051</v>
      </c>
      <c r="AR134" t="s">
        <v>2051</v>
      </c>
      <c r="AS134" t="s">
        <v>2051</v>
      </c>
      <c r="AT134" t="s">
        <v>2051</v>
      </c>
      <c r="AU134" t="s">
        <v>2051</v>
      </c>
      <c r="AV134" t="s">
        <v>2051</v>
      </c>
      <c r="AW134" t="s">
        <v>2051</v>
      </c>
      <c r="AX134" t="s">
        <v>2051</v>
      </c>
      <c r="AY134" t="s">
        <v>2051</v>
      </c>
      <c r="AZ134" t="s">
        <v>2051</v>
      </c>
    </row>
    <row r="135" spans="1:52" x14ac:dyDescent="0.2">
      <c r="A135" t="s">
        <v>774</v>
      </c>
      <c r="B135">
        <v>725</v>
      </c>
      <c r="C135" t="s">
        <v>893</v>
      </c>
      <c r="D135">
        <v>58</v>
      </c>
      <c r="E135">
        <v>1000000000</v>
      </c>
      <c r="F135">
        <v>2</v>
      </c>
      <c r="G135">
        <v>2</v>
      </c>
      <c r="H135">
        <v>2</v>
      </c>
      <c r="I135">
        <v>1000000000</v>
      </c>
      <c r="J135">
        <v>1000000000</v>
      </c>
      <c r="K135">
        <v>1000000000</v>
      </c>
      <c r="L135">
        <v>1000000000</v>
      </c>
      <c r="M135">
        <v>1000000000</v>
      </c>
      <c r="N135" t="s">
        <v>2051</v>
      </c>
      <c r="O135" t="s">
        <v>894</v>
      </c>
      <c r="P135">
        <v>14</v>
      </c>
      <c r="Q135">
        <v>1000000000</v>
      </c>
      <c r="R135">
        <v>1000000000</v>
      </c>
      <c r="S135">
        <v>1000000000</v>
      </c>
      <c r="T135" t="s">
        <v>893</v>
      </c>
      <c r="U135">
        <v>58</v>
      </c>
      <c r="V135">
        <v>1000000000</v>
      </c>
      <c r="W135">
        <v>2</v>
      </c>
      <c r="X135">
        <v>1000000000</v>
      </c>
      <c r="Y135">
        <v>1000000000</v>
      </c>
      <c r="Z135">
        <v>1000000000</v>
      </c>
      <c r="AA135">
        <v>1000000000</v>
      </c>
      <c r="AB135">
        <v>1000000000</v>
      </c>
      <c r="AC135">
        <v>2</v>
      </c>
      <c r="AD135">
        <v>1000000000</v>
      </c>
      <c r="AE135">
        <v>2</v>
      </c>
      <c r="AF135" t="s">
        <v>2051</v>
      </c>
      <c r="AG135" t="s">
        <v>2051</v>
      </c>
      <c r="AH135">
        <v>1</v>
      </c>
      <c r="AI135">
        <v>2</v>
      </c>
      <c r="AJ135">
        <v>30</v>
      </c>
      <c r="AK135" t="s">
        <v>2051</v>
      </c>
      <c r="AL135" t="s">
        <v>2051</v>
      </c>
      <c r="AM135" t="s">
        <v>2051</v>
      </c>
      <c r="AN135" t="s">
        <v>2051</v>
      </c>
      <c r="AO135" t="s">
        <v>2051</v>
      </c>
      <c r="AP135" t="s">
        <v>2051</v>
      </c>
      <c r="AQ135" t="s">
        <v>2051</v>
      </c>
      <c r="AR135" t="s">
        <v>2051</v>
      </c>
      <c r="AS135" t="s">
        <v>2051</v>
      </c>
      <c r="AT135" t="s">
        <v>2051</v>
      </c>
      <c r="AU135" t="s">
        <v>2051</v>
      </c>
      <c r="AV135" t="s">
        <v>2051</v>
      </c>
      <c r="AW135" t="s">
        <v>2051</v>
      </c>
      <c r="AX135" t="s">
        <v>2051</v>
      </c>
      <c r="AY135" t="s">
        <v>2051</v>
      </c>
      <c r="AZ135" t="s">
        <v>2051</v>
      </c>
    </row>
    <row r="136" spans="1:52" x14ac:dyDescent="0.2">
      <c r="A136" t="s">
        <v>775</v>
      </c>
      <c r="B136">
        <v>412</v>
      </c>
      <c r="C136" t="s">
        <v>893</v>
      </c>
      <c r="D136">
        <v>58</v>
      </c>
      <c r="E136">
        <v>1000000000</v>
      </c>
      <c r="F136">
        <v>2</v>
      </c>
      <c r="G136">
        <v>2</v>
      </c>
      <c r="H136">
        <v>2</v>
      </c>
      <c r="I136">
        <v>1000000000</v>
      </c>
      <c r="J136">
        <v>1000000000</v>
      </c>
      <c r="K136">
        <v>1000000000</v>
      </c>
      <c r="L136">
        <v>1000000000</v>
      </c>
      <c r="M136">
        <v>1000000000</v>
      </c>
      <c r="N136" t="s">
        <v>2051</v>
      </c>
      <c r="O136" t="s">
        <v>894</v>
      </c>
      <c r="P136">
        <v>14</v>
      </c>
      <c r="Q136">
        <v>1000000000</v>
      </c>
      <c r="R136">
        <v>1000000000</v>
      </c>
      <c r="S136">
        <v>1000000000</v>
      </c>
      <c r="T136" t="s">
        <v>893</v>
      </c>
      <c r="U136">
        <v>58</v>
      </c>
      <c r="V136">
        <v>1000000000</v>
      </c>
      <c r="W136">
        <v>2</v>
      </c>
      <c r="X136">
        <v>1000000000</v>
      </c>
      <c r="Y136">
        <v>1000000000</v>
      </c>
      <c r="Z136">
        <v>1000000000</v>
      </c>
      <c r="AA136">
        <v>1000000000</v>
      </c>
      <c r="AB136">
        <v>1000000000</v>
      </c>
      <c r="AC136">
        <v>2</v>
      </c>
      <c r="AD136">
        <v>1000000000</v>
      </c>
      <c r="AE136">
        <v>2</v>
      </c>
      <c r="AF136" t="s">
        <v>2051</v>
      </c>
      <c r="AG136" t="s">
        <v>2051</v>
      </c>
      <c r="AH136">
        <v>1</v>
      </c>
      <c r="AI136">
        <v>2</v>
      </c>
      <c r="AJ136">
        <v>30</v>
      </c>
      <c r="AK136" t="s">
        <v>2051</v>
      </c>
      <c r="AL136" t="s">
        <v>2051</v>
      </c>
      <c r="AM136" t="s">
        <v>2051</v>
      </c>
      <c r="AN136" t="s">
        <v>2051</v>
      </c>
      <c r="AO136" t="s">
        <v>2051</v>
      </c>
      <c r="AP136" t="s">
        <v>2051</v>
      </c>
      <c r="AQ136" t="s">
        <v>2051</v>
      </c>
      <c r="AR136" t="s">
        <v>2051</v>
      </c>
      <c r="AS136" t="s">
        <v>2051</v>
      </c>
      <c r="AT136" t="s">
        <v>2051</v>
      </c>
      <c r="AU136" t="s">
        <v>2051</v>
      </c>
      <c r="AV136" t="s">
        <v>2051</v>
      </c>
      <c r="AW136" t="s">
        <v>2051</v>
      </c>
      <c r="AX136" t="s">
        <v>2051</v>
      </c>
      <c r="AY136" t="s">
        <v>2051</v>
      </c>
      <c r="AZ136" t="s">
        <v>2051</v>
      </c>
    </row>
    <row r="137" spans="1:52" x14ac:dyDescent="0.2">
      <c r="A137" t="s">
        <v>57</v>
      </c>
      <c r="B137">
        <v>508</v>
      </c>
      <c r="C137" t="s">
        <v>893</v>
      </c>
      <c r="D137">
        <v>58</v>
      </c>
      <c r="E137">
        <v>150</v>
      </c>
      <c r="F137">
        <v>39</v>
      </c>
      <c r="G137">
        <v>200</v>
      </c>
      <c r="H137">
        <v>200</v>
      </c>
      <c r="I137">
        <v>1000000000</v>
      </c>
      <c r="J137">
        <v>1000000000</v>
      </c>
      <c r="K137">
        <v>1000000000</v>
      </c>
      <c r="L137">
        <v>1000000000</v>
      </c>
      <c r="M137">
        <v>1000000000</v>
      </c>
      <c r="N137" t="s">
        <v>2051</v>
      </c>
      <c r="O137" t="s">
        <v>894</v>
      </c>
      <c r="P137">
        <v>14</v>
      </c>
      <c r="Q137">
        <v>50000</v>
      </c>
      <c r="R137">
        <v>1000000000</v>
      </c>
      <c r="S137">
        <v>1000000000</v>
      </c>
      <c r="T137" t="s">
        <v>893</v>
      </c>
      <c r="U137">
        <v>58</v>
      </c>
      <c r="V137">
        <v>150</v>
      </c>
      <c r="W137">
        <v>1000000000</v>
      </c>
      <c r="X137">
        <v>1000000000</v>
      </c>
      <c r="Y137">
        <v>1000000000</v>
      </c>
      <c r="Z137">
        <v>1000000000</v>
      </c>
      <c r="AA137">
        <v>1000000000</v>
      </c>
      <c r="AB137">
        <v>1000000000</v>
      </c>
      <c r="AC137">
        <v>1000000000</v>
      </c>
      <c r="AD137">
        <v>1000000000</v>
      </c>
      <c r="AE137">
        <v>1000000000</v>
      </c>
      <c r="AF137">
        <v>1</v>
      </c>
      <c r="AG137" t="s">
        <v>2051</v>
      </c>
      <c r="AH137" t="s">
        <v>2051</v>
      </c>
      <c r="AI137" t="s">
        <v>2051</v>
      </c>
      <c r="AJ137">
        <v>100</v>
      </c>
      <c r="AK137" t="s">
        <v>2051</v>
      </c>
      <c r="AL137" t="s">
        <v>2053</v>
      </c>
      <c r="AM137" t="s">
        <v>2051</v>
      </c>
      <c r="AN137" t="s">
        <v>2054</v>
      </c>
      <c r="AO137" t="s">
        <v>2051</v>
      </c>
      <c r="AP137" t="s">
        <v>2051</v>
      </c>
      <c r="AQ137" t="s">
        <v>2051</v>
      </c>
      <c r="AR137" t="s">
        <v>2051</v>
      </c>
      <c r="AS137" t="s">
        <v>2051</v>
      </c>
      <c r="AT137" t="s">
        <v>2051</v>
      </c>
      <c r="AU137" t="s">
        <v>2051</v>
      </c>
      <c r="AV137" t="s">
        <v>2051</v>
      </c>
      <c r="AW137" t="s">
        <v>2051</v>
      </c>
      <c r="AX137" t="s">
        <v>2051</v>
      </c>
      <c r="AY137" t="s">
        <v>2051</v>
      </c>
      <c r="AZ137" t="s">
        <v>2051</v>
      </c>
    </row>
    <row r="138" spans="1:52" x14ac:dyDescent="0.2">
      <c r="A138" t="s">
        <v>849</v>
      </c>
      <c r="B138">
        <v>537</v>
      </c>
      <c r="C138" t="s">
        <v>893</v>
      </c>
      <c r="D138">
        <v>58</v>
      </c>
      <c r="E138">
        <v>2</v>
      </c>
      <c r="F138">
        <v>3</v>
      </c>
      <c r="G138">
        <v>3</v>
      </c>
      <c r="H138">
        <v>20</v>
      </c>
      <c r="I138">
        <v>20</v>
      </c>
      <c r="J138">
        <v>20</v>
      </c>
      <c r="K138">
        <v>1000000000</v>
      </c>
      <c r="L138">
        <v>1000000000</v>
      </c>
      <c r="M138">
        <v>20</v>
      </c>
      <c r="N138" t="s">
        <v>2051</v>
      </c>
      <c r="O138" t="s">
        <v>894</v>
      </c>
      <c r="P138">
        <v>14</v>
      </c>
      <c r="Q138">
        <v>3</v>
      </c>
      <c r="R138">
        <v>1000000000</v>
      </c>
      <c r="S138">
        <v>1500</v>
      </c>
      <c r="T138" t="s">
        <v>893</v>
      </c>
      <c r="U138">
        <v>58</v>
      </c>
      <c r="V138">
        <v>2</v>
      </c>
      <c r="W138">
        <v>3</v>
      </c>
      <c r="X138">
        <v>1000000000</v>
      </c>
      <c r="Y138">
        <v>20</v>
      </c>
      <c r="Z138">
        <v>20</v>
      </c>
      <c r="AA138">
        <v>1000000000</v>
      </c>
      <c r="AB138">
        <v>1000000000</v>
      </c>
      <c r="AC138">
        <v>3</v>
      </c>
      <c r="AD138">
        <v>1000000000</v>
      </c>
      <c r="AE138">
        <v>3</v>
      </c>
      <c r="AF138">
        <v>1</v>
      </c>
      <c r="AG138" t="s">
        <v>2051</v>
      </c>
      <c r="AH138" t="s">
        <v>2051</v>
      </c>
      <c r="AI138" t="s">
        <v>2051</v>
      </c>
      <c r="AJ138">
        <v>100</v>
      </c>
      <c r="AK138" t="s">
        <v>2051</v>
      </c>
      <c r="AL138" t="s">
        <v>2051</v>
      </c>
      <c r="AM138" t="s">
        <v>2051</v>
      </c>
      <c r="AN138" t="s">
        <v>2051</v>
      </c>
      <c r="AO138" t="s">
        <v>2051</v>
      </c>
      <c r="AP138" t="s">
        <v>2051</v>
      </c>
      <c r="AQ138" t="s">
        <v>2051</v>
      </c>
      <c r="AR138" t="s">
        <v>2051</v>
      </c>
      <c r="AS138" t="s">
        <v>2051</v>
      </c>
      <c r="AT138" t="s">
        <v>2051</v>
      </c>
      <c r="AU138" t="s">
        <v>2051</v>
      </c>
      <c r="AV138" t="s">
        <v>2051</v>
      </c>
      <c r="AW138" t="s">
        <v>2051</v>
      </c>
      <c r="AX138" t="s">
        <v>2051</v>
      </c>
      <c r="AY138" t="s">
        <v>2051</v>
      </c>
      <c r="AZ138" t="s">
        <v>2051</v>
      </c>
    </row>
    <row r="139" spans="1:52" x14ac:dyDescent="0.2">
      <c r="A139" t="s">
        <v>850</v>
      </c>
      <c r="B139">
        <v>2595</v>
      </c>
      <c r="C139" t="s">
        <v>893</v>
      </c>
      <c r="D139">
        <v>58</v>
      </c>
      <c r="E139">
        <v>1000000000</v>
      </c>
      <c r="F139">
        <v>5.5</v>
      </c>
      <c r="G139">
        <v>5.5</v>
      </c>
      <c r="H139">
        <v>50</v>
      </c>
      <c r="I139">
        <v>50</v>
      </c>
      <c r="J139">
        <v>50</v>
      </c>
      <c r="K139">
        <v>1000000000</v>
      </c>
      <c r="L139">
        <v>1000000000</v>
      </c>
      <c r="M139">
        <v>50</v>
      </c>
      <c r="N139" t="s">
        <v>2051</v>
      </c>
      <c r="O139" t="s">
        <v>894</v>
      </c>
      <c r="P139">
        <v>14</v>
      </c>
      <c r="Q139">
        <v>1000000000</v>
      </c>
      <c r="R139">
        <v>1000000000</v>
      </c>
      <c r="S139">
        <v>1500</v>
      </c>
      <c r="T139" t="s">
        <v>893</v>
      </c>
      <c r="U139">
        <v>58</v>
      </c>
      <c r="V139">
        <v>1000000000</v>
      </c>
      <c r="W139">
        <v>5.5</v>
      </c>
      <c r="X139">
        <v>1000000000</v>
      </c>
      <c r="Y139">
        <v>50</v>
      </c>
      <c r="Z139">
        <v>50</v>
      </c>
      <c r="AA139">
        <v>1000000000</v>
      </c>
      <c r="AB139">
        <v>1000000000</v>
      </c>
      <c r="AC139">
        <v>5.5</v>
      </c>
      <c r="AD139">
        <v>1000000000</v>
      </c>
      <c r="AE139">
        <v>5.5</v>
      </c>
      <c r="AF139">
        <v>1</v>
      </c>
      <c r="AG139" t="s">
        <v>2051</v>
      </c>
      <c r="AH139" t="s">
        <v>2051</v>
      </c>
      <c r="AI139" t="s">
        <v>2051</v>
      </c>
      <c r="AJ139">
        <v>100</v>
      </c>
      <c r="AK139" t="s">
        <v>2051</v>
      </c>
      <c r="AL139" t="s">
        <v>2051</v>
      </c>
      <c r="AM139" t="s">
        <v>2051</v>
      </c>
      <c r="AN139" t="s">
        <v>2051</v>
      </c>
      <c r="AO139" t="s">
        <v>2051</v>
      </c>
      <c r="AP139" t="s">
        <v>2051</v>
      </c>
      <c r="AQ139" t="s">
        <v>2051</v>
      </c>
      <c r="AR139" t="s">
        <v>2051</v>
      </c>
      <c r="AS139" t="s">
        <v>2051</v>
      </c>
      <c r="AT139" t="s">
        <v>2051</v>
      </c>
      <c r="AU139" t="s">
        <v>2051</v>
      </c>
      <c r="AV139" t="s">
        <v>2051</v>
      </c>
      <c r="AW139" t="s">
        <v>2051</v>
      </c>
      <c r="AX139" t="s">
        <v>2051</v>
      </c>
      <c r="AY139" t="s">
        <v>2051</v>
      </c>
      <c r="AZ139" t="s">
        <v>2051</v>
      </c>
    </row>
    <row r="140" spans="1:52" x14ac:dyDescent="0.2">
      <c r="A140" t="s">
        <v>851</v>
      </c>
      <c r="B140">
        <v>1556</v>
      </c>
      <c r="C140" t="s">
        <v>893</v>
      </c>
      <c r="D140">
        <v>58</v>
      </c>
      <c r="E140">
        <v>1000000000</v>
      </c>
      <c r="F140">
        <v>6</v>
      </c>
      <c r="G140">
        <v>6</v>
      </c>
      <c r="H140">
        <v>20</v>
      </c>
      <c r="I140">
        <v>20</v>
      </c>
      <c r="J140">
        <v>20</v>
      </c>
      <c r="K140">
        <v>1000000000</v>
      </c>
      <c r="L140">
        <v>1000000000</v>
      </c>
      <c r="M140">
        <v>20</v>
      </c>
      <c r="N140" t="s">
        <v>2051</v>
      </c>
      <c r="O140" t="s">
        <v>894</v>
      </c>
      <c r="P140">
        <v>14</v>
      </c>
      <c r="Q140">
        <v>1000000000</v>
      </c>
      <c r="R140">
        <v>1000000000</v>
      </c>
      <c r="S140">
        <v>1500</v>
      </c>
      <c r="T140" t="s">
        <v>893</v>
      </c>
      <c r="U140">
        <v>58</v>
      </c>
      <c r="V140">
        <v>1000000000</v>
      </c>
      <c r="W140">
        <v>6</v>
      </c>
      <c r="X140">
        <v>1000000000</v>
      </c>
      <c r="Y140">
        <v>20</v>
      </c>
      <c r="Z140">
        <v>20</v>
      </c>
      <c r="AA140">
        <v>1000000000</v>
      </c>
      <c r="AB140">
        <v>1000000000</v>
      </c>
      <c r="AC140">
        <v>6</v>
      </c>
      <c r="AD140">
        <v>1000000000</v>
      </c>
      <c r="AE140">
        <v>6</v>
      </c>
      <c r="AF140">
        <v>1</v>
      </c>
      <c r="AG140" t="s">
        <v>2051</v>
      </c>
      <c r="AH140" t="s">
        <v>2051</v>
      </c>
      <c r="AI140" t="s">
        <v>2051</v>
      </c>
      <c r="AJ140">
        <v>100</v>
      </c>
      <c r="AK140" t="s">
        <v>2051</v>
      </c>
      <c r="AL140" t="s">
        <v>2051</v>
      </c>
      <c r="AM140" t="s">
        <v>2051</v>
      </c>
      <c r="AN140" t="s">
        <v>2051</v>
      </c>
      <c r="AO140" t="s">
        <v>2051</v>
      </c>
      <c r="AP140" t="s">
        <v>2051</v>
      </c>
      <c r="AQ140" t="s">
        <v>2051</v>
      </c>
      <c r="AR140" t="s">
        <v>2051</v>
      </c>
      <c r="AS140" t="s">
        <v>2051</v>
      </c>
      <c r="AT140" t="s">
        <v>2051</v>
      </c>
      <c r="AU140" t="s">
        <v>2051</v>
      </c>
      <c r="AV140" t="s">
        <v>2051</v>
      </c>
      <c r="AW140" t="s">
        <v>2051</v>
      </c>
      <c r="AX140" t="s">
        <v>2051</v>
      </c>
      <c r="AY140" t="s">
        <v>2051</v>
      </c>
      <c r="AZ140" t="s">
        <v>2051</v>
      </c>
    </row>
    <row r="141" spans="1:52" x14ac:dyDescent="0.2">
      <c r="A141" t="s">
        <v>380</v>
      </c>
      <c r="B141">
        <v>4437</v>
      </c>
      <c r="C141" t="s">
        <v>893</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2051</v>
      </c>
      <c r="O141" t="s">
        <v>894</v>
      </c>
      <c r="P141">
        <v>14</v>
      </c>
      <c r="Q141">
        <v>1000000000</v>
      </c>
      <c r="R141">
        <v>1000000000</v>
      </c>
      <c r="S141">
        <v>1000000000</v>
      </c>
      <c r="T141" t="s">
        <v>893</v>
      </c>
      <c r="U141">
        <v>58</v>
      </c>
      <c r="V141">
        <v>1E-4</v>
      </c>
      <c r="W141">
        <v>1000000000</v>
      </c>
      <c r="X141">
        <v>1000000000</v>
      </c>
      <c r="Y141">
        <v>1000000000</v>
      </c>
      <c r="Z141">
        <v>1000000000</v>
      </c>
      <c r="AA141">
        <v>1000000000</v>
      </c>
      <c r="AB141">
        <v>1000000000</v>
      </c>
      <c r="AC141">
        <v>8.0000000000000004E-4</v>
      </c>
      <c r="AD141">
        <v>1000000000</v>
      </c>
      <c r="AE141">
        <v>1000000000</v>
      </c>
      <c r="AF141" t="s">
        <v>2051</v>
      </c>
      <c r="AG141" t="s">
        <v>2051</v>
      </c>
      <c r="AH141">
        <v>1</v>
      </c>
      <c r="AI141">
        <v>10</v>
      </c>
      <c r="AJ141">
        <v>30</v>
      </c>
      <c r="AK141" t="s">
        <v>2051</v>
      </c>
      <c r="AL141" t="s">
        <v>2055</v>
      </c>
      <c r="AM141" t="s">
        <v>2051</v>
      </c>
      <c r="AN141" t="s">
        <v>2056</v>
      </c>
      <c r="AO141" t="s">
        <v>2051</v>
      </c>
      <c r="AP141" t="s">
        <v>2051</v>
      </c>
      <c r="AQ141" t="s">
        <v>2051</v>
      </c>
      <c r="AR141" t="s">
        <v>2051</v>
      </c>
      <c r="AS141" t="s">
        <v>2051</v>
      </c>
      <c r="AT141" t="s">
        <v>2051</v>
      </c>
      <c r="AU141" t="s">
        <v>2051</v>
      </c>
      <c r="AV141" t="s">
        <v>2051</v>
      </c>
      <c r="AW141" t="s">
        <v>2051</v>
      </c>
      <c r="AX141" t="s">
        <v>2051</v>
      </c>
      <c r="AY141" t="s">
        <v>2051</v>
      </c>
      <c r="AZ141" t="s">
        <v>2051</v>
      </c>
    </row>
    <row r="142" spans="1:52" x14ac:dyDescent="0.2">
      <c r="A142" t="s">
        <v>381</v>
      </c>
      <c r="B142">
        <v>4448</v>
      </c>
      <c r="C142" t="s">
        <v>893</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2051</v>
      </c>
      <c r="O142" t="s">
        <v>894</v>
      </c>
      <c r="P142">
        <v>14</v>
      </c>
      <c r="Q142">
        <v>1000000000</v>
      </c>
      <c r="R142">
        <v>1000000000</v>
      </c>
      <c r="S142">
        <v>1000000000</v>
      </c>
      <c r="T142" t="s">
        <v>893</v>
      </c>
      <c r="U142">
        <v>58</v>
      </c>
      <c r="V142">
        <v>1E-4</v>
      </c>
      <c r="W142">
        <v>1000000000</v>
      </c>
      <c r="X142">
        <v>1000000000</v>
      </c>
      <c r="Y142">
        <v>1000000000</v>
      </c>
      <c r="Z142">
        <v>1000000000</v>
      </c>
      <c r="AA142">
        <v>1000000000</v>
      </c>
      <c r="AB142">
        <v>1000000000</v>
      </c>
      <c r="AC142">
        <v>8.0000000000000004E-4</v>
      </c>
      <c r="AD142">
        <v>1000000000</v>
      </c>
      <c r="AE142">
        <v>1000000000</v>
      </c>
      <c r="AF142" t="s">
        <v>2051</v>
      </c>
      <c r="AG142" t="s">
        <v>2051</v>
      </c>
      <c r="AH142">
        <v>1</v>
      </c>
      <c r="AI142">
        <v>10</v>
      </c>
      <c r="AJ142">
        <v>30</v>
      </c>
      <c r="AK142" t="s">
        <v>2051</v>
      </c>
      <c r="AL142" t="s">
        <v>2051</v>
      </c>
      <c r="AM142" t="s">
        <v>2051</v>
      </c>
      <c r="AN142" t="s">
        <v>2051</v>
      </c>
      <c r="AO142" t="s">
        <v>2051</v>
      </c>
      <c r="AP142" t="s">
        <v>2051</v>
      </c>
      <c r="AQ142" t="s">
        <v>2051</v>
      </c>
      <c r="AR142" t="s">
        <v>2051</v>
      </c>
      <c r="AS142" t="s">
        <v>2051</v>
      </c>
      <c r="AT142" t="s">
        <v>2051</v>
      </c>
      <c r="AU142" t="s">
        <v>2051</v>
      </c>
      <c r="AV142" t="s">
        <v>2051</v>
      </c>
      <c r="AW142" t="s">
        <v>2051</v>
      </c>
      <c r="AX142" t="s">
        <v>2051</v>
      </c>
      <c r="AY142" t="s">
        <v>2051</v>
      </c>
      <c r="AZ142" t="s">
        <v>2051</v>
      </c>
    </row>
    <row r="143" spans="1:52" x14ac:dyDescent="0.2">
      <c r="A143" t="s">
        <v>382</v>
      </c>
      <c r="B143">
        <v>4441</v>
      </c>
      <c r="C143" t="s">
        <v>893</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2051</v>
      </c>
      <c r="O143" t="s">
        <v>894</v>
      </c>
      <c r="P143">
        <v>14</v>
      </c>
      <c r="Q143">
        <v>1000000000</v>
      </c>
      <c r="R143">
        <v>1000000000</v>
      </c>
      <c r="S143">
        <v>1000000000</v>
      </c>
      <c r="T143" t="s">
        <v>893</v>
      </c>
      <c r="U143">
        <v>58</v>
      </c>
      <c r="V143">
        <v>1E-4</v>
      </c>
      <c r="W143">
        <v>1000000000</v>
      </c>
      <c r="X143">
        <v>1000000000</v>
      </c>
      <c r="Y143">
        <v>1000000000</v>
      </c>
      <c r="Z143">
        <v>1000000000</v>
      </c>
      <c r="AA143">
        <v>1000000000</v>
      </c>
      <c r="AB143">
        <v>1000000000</v>
      </c>
      <c r="AC143">
        <v>8.0000000000000004E-4</v>
      </c>
      <c r="AD143">
        <v>1000000000</v>
      </c>
      <c r="AE143">
        <v>1000000000</v>
      </c>
      <c r="AF143" t="s">
        <v>2051</v>
      </c>
      <c r="AG143" t="s">
        <v>2051</v>
      </c>
      <c r="AH143">
        <v>1</v>
      </c>
      <c r="AI143">
        <v>10</v>
      </c>
      <c r="AJ143">
        <v>30</v>
      </c>
      <c r="AK143" t="s">
        <v>2051</v>
      </c>
      <c r="AL143" t="s">
        <v>2051</v>
      </c>
      <c r="AM143" t="s">
        <v>2051</v>
      </c>
      <c r="AN143" t="s">
        <v>2051</v>
      </c>
      <c r="AO143" t="s">
        <v>2051</v>
      </c>
      <c r="AP143" t="s">
        <v>2051</v>
      </c>
      <c r="AQ143" t="s">
        <v>2051</v>
      </c>
      <c r="AR143" t="s">
        <v>2051</v>
      </c>
      <c r="AS143" t="s">
        <v>2051</v>
      </c>
      <c r="AT143" t="s">
        <v>2051</v>
      </c>
      <c r="AU143" t="s">
        <v>2051</v>
      </c>
      <c r="AV143" t="s">
        <v>2051</v>
      </c>
      <c r="AW143" t="s">
        <v>2051</v>
      </c>
      <c r="AX143" t="s">
        <v>2051</v>
      </c>
      <c r="AY143" t="s">
        <v>2051</v>
      </c>
      <c r="AZ143" t="s">
        <v>2051</v>
      </c>
    </row>
    <row r="144" spans="1:52" x14ac:dyDescent="0.2">
      <c r="A144" t="s">
        <v>383</v>
      </c>
      <c r="B144">
        <v>4440</v>
      </c>
      <c r="C144" t="s">
        <v>893</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2051</v>
      </c>
      <c r="O144" t="s">
        <v>894</v>
      </c>
      <c r="P144">
        <v>14</v>
      </c>
      <c r="Q144">
        <v>1000000000</v>
      </c>
      <c r="R144">
        <v>1000000000</v>
      </c>
      <c r="S144">
        <v>1000000000</v>
      </c>
      <c r="T144" t="s">
        <v>893</v>
      </c>
      <c r="U144">
        <v>58</v>
      </c>
      <c r="V144">
        <v>1E-4</v>
      </c>
      <c r="W144">
        <v>1000000000</v>
      </c>
      <c r="X144">
        <v>1000000000</v>
      </c>
      <c r="Y144">
        <v>1000000000</v>
      </c>
      <c r="Z144">
        <v>1000000000</v>
      </c>
      <c r="AA144">
        <v>1000000000</v>
      </c>
      <c r="AB144">
        <v>1000000000</v>
      </c>
      <c r="AC144">
        <v>8.0000000000000004E-4</v>
      </c>
      <c r="AD144">
        <v>1000000000</v>
      </c>
      <c r="AE144">
        <v>1000000000</v>
      </c>
      <c r="AF144" t="s">
        <v>2051</v>
      </c>
      <c r="AG144" t="s">
        <v>2051</v>
      </c>
      <c r="AH144">
        <v>1</v>
      </c>
      <c r="AI144">
        <v>10</v>
      </c>
      <c r="AJ144">
        <v>30</v>
      </c>
      <c r="AK144" t="s">
        <v>2051</v>
      </c>
      <c r="AL144" t="s">
        <v>2051</v>
      </c>
      <c r="AM144" t="s">
        <v>2051</v>
      </c>
      <c r="AN144" t="s">
        <v>2051</v>
      </c>
      <c r="AO144" t="s">
        <v>2051</v>
      </c>
      <c r="AP144" t="s">
        <v>2051</v>
      </c>
      <c r="AQ144" t="s">
        <v>2051</v>
      </c>
      <c r="AR144" t="s">
        <v>2051</v>
      </c>
      <c r="AS144" t="s">
        <v>2051</v>
      </c>
      <c r="AT144" t="s">
        <v>2051</v>
      </c>
      <c r="AU144" t="s">
        <v>2051</v>
      </c>
      <c r="AV144" t="s">
        <v>2051</v>
      </c>
      <c r="AW144" t="s">
        <v>2051</v>
      </c>
      <c r="AX144" t="s">
        <v>2051</v>
      </c>
      <c r="AY144" t="s">
        <v>2051</v>
      </c>
      <c r="AZ144" t="s">
        <v>2051</v>
      </c>
    </row>
    <row r="145" spans="1:52" x14ac:dyDescent="0.2">
      <c r="A145" t="s">
        <v>249</v>
      </c>
      <c r="B145">
        <v>4443</v>
      </c>
      <c r="C145" t="s">
        <v>893</v>
      </c>
      <c r="D145">
        <v>58</v>
      </c>
      <c r="E145">
        <v>1E-4</v>
      </c>
      <c r="F145">
        <v>1000000000</v>
      </c>
      <c r="G145">
        <v>1000000000</v>
      </c>
      <c r="H145">
        <v>1000000000</v>
      </c>
      <c r="I145">
        <v>1000000000</v>
      </c>
      <c r="J145">
        <v>1000000000</v>
      </c>
      <c r="K145">
        <v>1000000000</v>
      </c>
      <c r="L145">
        <v>1000000000</v>
      </c>
      <c r="N145" t="s">
        <v>2051</v>
      </c>
      <c r="O145" t="s">
        <v>894</v>
      </c>
      <c r="P145">
        <v>14</v>
      </c>
      <c r="Q145">
        <v>1000000000</v>
      </c>
      <c r="R145">
        <v>1000000000</v>
      </c>
      <c r="S145">
        <v>1000000000</v>
      </c>
      <c r="T145" t="s">
        <v>893</v>
      </c>
      <c r="U145">
        <v>58</v>
      </c>
      <c r="V145">
        <v>1E-4</v>
      </c>
      <c r="W145">
        <v>1000000000</v>
      </c>
      <c r="X145">
        <v>1000000000</v>
      </c>
      <c r="Y145">
        <v>1000000000</v>
      </c>
      <c r="Z145">
        <v>1000000000</v>
      </c>
      <c r="AA145">
        <v>1000000000</v>
      </c>
      <c r="AB145">
        <v>1000000000</v>
      </c>
      <c r="AC145">
        <v>1000000000</v>
      </c>
      <c r="AD145">
        <v>1000000000</v>
      </c>
      <c r="AE145">
        <v>1000000000</v>
      </c>
      <c r="AF145" t="s">
        <v>2051</v>
      </c>
      <c r="AG145" t="s">
        <v>2051</v>
      </c>
      <c r="AH145">
        <v>1</v>
      </c>
      <c r="AI145">
        <v>10</v>
      </c>
      <c r="AJ145">
        <v>30</v>
      </c>
      <c r="AK145" t="s">
        <v>2051</v>
      </c>
      <c r="AL145" t="s">
        <v>2051</v>
      </c>
      <c r="AM145" t="s">
        <v>2051</v>
      </c>
      <c r="AN145" t="s">
        <v>2051</v>
      </c>
      <c r="AO145" t="s">
        <v>2051</v>
      </c>
      <c r="AP145" t="s">
        <v>2051</v>
      </c>
      <c r="AQ145" t="s">
        <v>2051</v>
      </c>
      <c r="AR145" t="s">
        <v>2051</v>
      </c>
      <c r="AS145" t="s">
        <v>2051</v>
      </c>
      <c r="AT145" t="s">
        <v>2051</v>
      </c>
      <c r="AU145" t="s">
        <v>2051</v>
      </c>
      <c r="AV145" t="s">
        <v>2051</v>
      </c>
      <c r="AW145" t="s">
        <v>2051</v>
      </c>
      <c r="AX145" t="s">
        <v>2051</v>
      </c>
      <c r="AY145" t="s">
        <v>2051</v>
      </c>
      <c r="AZ145" t="s">
        <v>2051</v>
      </c>
    </row>
    <row r="146" spans="1:52" x14ac:dyDescent="0.2">
      <c r="A146" t="s">
        <v>250</v>
      </c>
      <c r="B146">
        <v>5577</v>
      </c>
      <c r="C146" t="s">
        <v>893</v>
      </c>
      <c r="D146">
        <v>58</v>
      </c>
      <c r="E146">
        <v>1E-4</v>
      </c>
      <c r="F146">
        <v>1000000000</v>
      </c>
      <c r="G146">
        <v>1000000000</v>
      </c>
      <c r="H146">
        <v>1000000000</v>
      </c>
      <c r="I146">
        <v>1000000000</v>
      </c>
      <c r="J146">
        <v>1000000000</v>
      </c>
      <c r="K146">
        <v>1000000000</v>
      </c>
      <c r="L146">
        <v>1000000000</v>
      </c>
      <c r="N146" t="s">
        <v>2051</v>
      </c>
      <c r="O146" t="s">
        <v>894</v>
      </c>
      <c r="P146">
        <v>14</v>
      </c>
      <c r="Q146">
        <v>1000000000</v>
      </c>
      <c r="R146">
        <v>1000000000</v>
      </c>
      <c r="S146">
        <v>1000000000</v>
      </c>
      <c r="T146" t="s">
        <v>893</v>
      </c>
      <c r="U146">
        <v>58</v>
      </c>
      <c r="V146">
        <v>1E-4</v>
      </c>
      <c r="W146">
        <v>1000000000</v>
      </c>
      <c r="X146">
        <v>1000000000</v>
      </c>
      <c r="Y146">
        <v>1000000000</v>
      </c>
      <c r="Z146">
        <v>1000000000</v>
      </c>
      <c r="AA146">
        <v>1000000000</v>
      </c>
      <c r="AB146">
        <v>1000000000</v>
      </c>
      <c r="AC146">
        <v>1000000000</v>
      </c>
      <c r="AD146">
        <v>1000000000</v>
      </c>
      <c r="AE146">
        <v>1000000000</v>
      </c>
      <c r="AF146" t="s">
        <v>2051</v>
      </c>
      <c r="AG146" t="s">
        <v>2051</v>
      </c>
      <c r="AH146">
        <v>1</v>
      </c>
      <c r="AI146">
        <v>10</v>
      </c>
      <c r="AJ146">
        <v>30</v>
      </c>
      <c r="AK146" t="s">
        <v>2051</v>
      </c>
      <c r="AL146" t="s">
        <v>2051</v>
      </c>
      <c r="AM146" t="s">
        <v>2051</v>
      </c>
      <c r="AN146" t="s">
        <v>2051</v>
      </c>
      <c r="AO146" t="s">
        <v>2051</v>
      </c>
      <c r="AP146" t="s">
        <v>2051</v>
      </c>
      <c r="AQ146" t="s">
        <v>2051</v>
      </c>
      <c r="AR146" t="s">
        <v>2051</v>
      </c>
      <c r="AS146" t="s">
        <v>2051</v>
      </c>
      <c r="AT146" t="s">
        <v>2051</v>
      </c>
      <c r="AU146" t="s">
        <v>2051</v>
      </c>
      <c r="AV146" t="s">
        <v>2051</v>
      </c>
      <c r="AW146" t="s">
        <v>2051</v>
      </c>
      <c r="AX146" t="s">
        <v>2051</v>
      </c>
      <c r="AY146" t="s">
        <v>2051</v>
      </c>
      <c r="AZ146" t="s">
        <v>2051</v>
      </c>
    </row>
    <row r="147" spans="1:52" x14ac:dyDescent="0.2">
      <c r="A147" t="s">
        <v>251</v>
      </c>
      <c r="B147">
        <v>6039</v>
      </c>
      <c r="C147" t="s">
        <v>893</v>
      </c>
      <c r="D147">
        <v>58</v>
      </c>
      <c r="E147">
        <v>2.0000000000000001E-4</v>
      </c>
      <c r="F147">
        <v>1.9E-3</v>
      </c>
      <c r="G147">
        <v>7.0000000000000001E-3</v>
      </c>
      <c r="H147">
        <v>7.0000000000000001E-3</v>
      </c>
      <c r="I147">
        <v>0.06</v>
      </c>
      <c r="J147">
        <v>0.06</v>
      </c>
      <c r="K147">
        <v>7.0000000000000001E-3</v>
      </c>
      <c r="L147">
        <v>1000000000</v>
      </c>
      <c r="M147">
        <v>0.06</v>
      </c>
      <c r="N147" t="s">
        <v>2051</v>
      </c>
      <c r="O147" t="s">
        <v>894</v>
      </c>
      <c r="P147">
        <v>14</v>
      </c>
      <c r="Q147">
        <v>1000000000</v>
      </c>
      <c r="R147">
        <v>1000000000</v>
      </c>
      <c r="S147">
        <v>8.6</v>
      </c>
      <c r="T147" t="s">
        <v>893</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2051</v>
      </c>
      <c r="AG147" t="s">
        <v>2051</v>
      </c>
      <c r="AH147">
        <v>1</v>
      </c>
      <c r="AI147">
        <v>10</v>
      </c>
      <c r="AJ147">
        <v>30</v>
      </c>
      <c r="AK147" t="s">
        <v>2051</v>
      </c>
      <c r="AL147" t="s">
        <v>2051</v>
      </c>
      <c r="AM147" t="s">
        <v>2051</v>
      </c>
      <c r="AN147" t="s">
        <v>2051</v>
      </c>
      <c r="AO147" t="s">
        <v>2051</v>
      </c>
      <c r="AP147" t="s">
        <v>2051</v>
      </c>
      <c r="AQ147" t="s">
        <v>2051</v>
      </c>
      <c r="AR147" t="s">
        <v>2051</v>
      </c>
      <c r="AS147" t="s">
        <v>2051</v>
      </c>
      <c r="AT147" t="s">
        <v>2051</v>
      </c>
      <c r="AU147" t="s">
        <v>2051</v>
      </c>
      <c r="AV147" t="s">
        <v>2051</v>
      </c>
      <c r="AW147" t="s">
        <v>2051</v>
      </c>
      <c r="AX147" t="s">
        <v>2051</v>
      </c>
      <c r="AY147" t="s">
        <v>2051</v>
      </c>
      <c r="AZ147" t="s">
        <v>2051</v>
      </c>
    </row>
    <row r="148" spans="1:52" x14ac:dyDescent="0.2">
      <c r="A148" t="s">
        <v>384</v>
      </c>
      <c r="B148">
        <v>4442</v>
      </c>
      <c r="C148" t="s">
        <v>893</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2051</v>
      </c>
      <c r="O148" t="s">
        <v>894</v>
      </c>
      <c r="P148">
        <v>14</v>
      </c>
      <c r="Q148">
        <v>1000000000</v>
      </c>
      <c r="R148">
        <v>1000000000</v>
      </c>
      <c r="S148">
        <v>1000000000</v>
      </c>
      <c r="T148" t="s">
        <v>893</v>
      </c>
      <c r="U148">
        <v>58</v>
      </c>
      <c r="V148">
        <v>1E-4</v>
      </c>
      <c r="W148">
        <v>1000000000</v>
      </c>
      <c r="X148">
        <v>1000000000</v>
      </c>
      <c r="Y148">
        <v>1000000000</v>
      </c>
      <c r="Z148">
        <v>1000000000</v>
      </c>
      <c r="AA148">
        <v>1000000000</v>
      </c>
      <c r="AB148">
        <v>1000000000</v>
      </c>
      <c r="AC148">
        <v>8.0000000000000004E-4</v>
      </c>
      <c r="AD148">
        <v>1000000000</v>
      </c>
      <c r="AE148">
        <v>1000000000</v>
      </c>
      <c r="AF148" t="s">
        <v>2051</v>
      </c>
      <c r="AG148" t="s">
        <v>2051</v>
      </c>
      <c r="AH148">
        <v>1</v>
      </c>
      <c r="AI148">
        <v>10</v>
      </c>
      <c r="AJ148">
        <v>30</v>
      </c>
      <c r="AK148" t="s">
        <v>2051</v>
      </c>
      <c r="AL148" t="s">
        <v>2051</v>
      </c>
      <c r="AM148" t="s">
        <v>2051</v>
      </c>
      <c r="AN148" t="s">
        <v>2051</v>
      </c>
      <c r="AO148" t="s">
        <v>2051</v>
      </c>
      <c r="AP148" t="s">
        <v>2051</v>
      </c>
      <c r="AQ148" t="s">
        <v>2051</v>
      </c>
      <c r="AR148" t="s">
        <v>2051</v>
      </c>
      <c r="AS148" t="s">
        <v>2051</v>
      </c>
      <c r="AT148" t="s">
        <v>2051</v>
      </c>
      <c r="AU148" t="s">
        <v>2051</v>
      </c>
      <c r="AV148" t="s">
        <v>2051</v>
      </c>
      <c r="AW148" t="s">
        <v>2051</v>
      </c>
      <c r="AX148" t="s">
        <v>2051</v>
      </c>
      <c r="AY148" t="s">
        <v>2051</v>
      </c>
      <c r="AZ148" t="s">
        <v>2051</v>
      </c>
    </row>
    <row r="149" spans="1:52" x14ac:dyDescent="0.2">
      <c r="A149" t="s">
        <v>385</v>
      </c>
      <c r="B149">
        <v>4438</v>
      </c>
      <c r="C149" t="s">
        <v>893</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2051</v>
      </c>
      <c r="O149" t="s">
        <v>894</v>
      </c>
      <c r="P149">
        <v>14</v>
      </c>
      <c r="Q149">
        <v>1000000000</v>
      </c>
      <c r="R149">
        <v>1000000000</v>
      </c>
      <c r="S149">
        <v>1000000000</v>
      </c>
      <c r="T149" t="s">
        <v>893</v>
      </c>
      <c r="U149">
        <v>58</v>
      </c>
      <c r="V149">
        <v>1E-4</v>
      </c>
      <c r="W149">
        <v>1000000000</v>
      </c>
      <c r="X149">
        <v>1000000000</v>
      </c>
      <c r="Y149">
        <v>1000000000</v>
      </c>
      <c r="Z149">
        <v>1000000000</v>
      </c>
      <c r="AA149">
        <v>1000000000</v>
      </c>
      <c r="AB149">
        <v>1000000000</v>
      </c>
      <c r="AC149">
        <v>8.0000000000000004E-4</v>
      </c>
      <c r="AD149">
        <v>1000000000</v>
      </c>
      <c r="AE149">
        <v>1000000000</v>
      </c>
      <c r="AF149" t="s">
        <v>2051</v>
      </c>
      <c r="AG149" t="s">
        <v>2051</v>
      </c>
      <c r="AH149">
        <v>1</v>
      </c>
      <c r="AI149">
        <v>10</v>
      </c>
      <c r="AJ149">
        <v>30</v>
      </c>
      <c r="AK149" t="s">
        <v>2051</v>
      </c>
      <c r="AL149" t="s">
        <v>2051</v>
      </c>
      <c r="AM149" t="s">
        <v>2051</v>
      </c>
      <c r="AN149" t="s">
        <v>2051</v>
      </c>
      <c r="AO149" t="s">
        <v>2051</v>
      </c>
      <c r="AP149" t="s">
        <v>2051</v>
      </c>
      <c r="AQ149" t="s">
        <v>2051</v>
      </c>
      <c r="AR149" t="s">
        <v>2051</v>
      </c>
      <c r="AS149" t="s">
        <v>2051</v>
      </c>
      <c r="AT149" t="s">
        <v>2051</v>
      </c>
      <c r="AU149" t="s">
        <v>2051</v>
      </c>
      <c r="AV149" t="s">
        <v>2051</v>
      </c>
      <c r="AW149" t="s">
        <v>2051</v>
      </c>
      <c r="AX149" t="s">
        <v>2051</v>
      </c>
      <c r="AY149" t="s">
        <v>2051</v>
      </c>
      <c r="AZ149" t="s">
        <v>2051</v>
      </c>
    </row>
    <row r="150" spans="1:52" x14ac:dyDescent="0.2">
      <c r="A150" t="s">
        <v>386</v>
      </c>
      <c r="B150">
        <v>4451</v>
      </c>
      <c r="C150" t="s">
        <v>893</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2051</v>
      </c>
      <c r="O150" t="s">
        <v>894</v>
      </c>
      <c r="P150">
        <v>14</v>
      </c>
      <c r="Q150">
        <v>1000000000</v>
      </c>
      <c r="R150">
        <v>1000000000</v>
      </c>
      <c r="S150">
        <v>1000000000</v>
      </c>
      <c r="T150" t="s">
        <v>893</v>
      </c>
      <c r="U150">
        <v>58</v>
      </c>
      <c r="V150">
        <v>1E-4</v>
      </c>
      <c r="W150">
        <v>1000000000</v>
      </c>
      <c r="X150">
        <v>1000000000</v>
      </c>
      <c r="Y150">
        <v>1000000000</v>
      </c>
      <c r="Z150">
        <v>1000000000</v>
      </c>
      <c r="AA150">
        <v>1000000000</v>
      </c>
      <c r="AB150">
        <v>1000000000</v>
      </c>
      <c r="AC150">
        <v>8.0000000000000004E-4</v>
      </c>
      <c r="AD150">
        <v>1000000000</v>
      </c>
      <c r="AE150">
        <v>1000000000</v>
      </c>
      <c r="AF150" t="s">
        <v>2051</v>
      </c>
      <c r="AG150" t="s">
        <v>2051</v>
      </c>
      <c r="AH150">
        <v>1</v>
      </c>
      <c r="AI150">
        <v>10</v>
      </c>
      <c r="AJ150">
        <v>30</v>
      </c>
      <c r="AK150" t="s">
        <v>2051</v>
      </c>
      <c r="AL150" t="s">
        <v>2051</v>
      </c>
      <c r="AM150" t="s">
        <v>2051</v>
      </c>
      <c r="AN150" t="s">
        <v>2051</v>
      </c>
      <c r="AO150" t="s">
        <v>2051</v>
      </c>
      <c r="AP150" t="s">
        <v>2051</v>
      </c>
      <c r="AQ150" t="s">
        <v>2051</v>
      </c>
      <c r="AR150" t="s">
        <v>2051</v>
      </c>
      <c r="AS150" t="s">
        <v>2051</v>
      </c>
      <c r="AT150" t="s">
        <v>2051</v>
      </c>
      <c r="AU150" t="s">
        <v>2051</v>
      </c>
      <c r="AV150" t="s">
        <v>2051</v>
      </c>
      <c r="AW150" t="s">
        <v>2051</v>
      </c>
      <c r="AX150" t="s">
        <v>2051</v>
      </c>
      <c r="AY150" t="s">
        <v>2051</v>
      </c>
      <c r="AZ150" t="s">
        <v>2051</v>
      </c>
    </row>
    <row r="151" spans="1:52" x14ac:dyDescent="0.2">
      <c r="A151" t="s">
        <v>387</v>
      </c>
      <c r="B151">
        <v>4439</v>
      </c>
      <c r="C151" t="s">
        <v>893</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2051</v>
      </c>
      <c r="O151" t="s">
        <v>894</v>
      </c>
      <c r="P151">
        <v>14</v>
      </c>
      <c r="Q151">
        <v>1000000000</v>
      </c>
      <c r="R151">
        <v>1000000000</v>
      </c>
      <c r="S151">
        <v>1000000000</v>
      </c>
      <c r="T151" t="s">
        <v>893</v>
      </c>
      <c r="U151">
        <v>58</v>
      </c>
      <c r="V151">
        <v>1E-4</v>
      </c>
      <c r="W151">
        <v>1000000000</v>
      </c>
      <c r="X151">
        <v>1000000000</v>
      </c>
      <c r="Y151">
        <v>1000000000</v>
      </c>
      <c r="Z151">
        <v>1000000000</v>
      </c>
      <c r="AA151">
        <v>1000000000</v>
      </c>
      <c r="AB151">
        <v>1000000000</v>
      </c>
      <c r="AC151">
        <v>8.0000000000000004E-4</v>
      </c>
      <c r="AD151">
        <v>1000000000</v>
      </c>
      <c r="AE151">
        <v>1000000000</v>
      </c>
      <c r="AF151" t="s">
        <v>2051</v>
      </c>
      <c r="AG151" t="s">
        <v>2051</v>
      </c>
      <c r="AH151">
        <v>1</v>
      </c>
      <c r="AI151">
        <v>10</v>
      </c>
      <c r="AJ151">
        <v>30</v>
      </c>
      <c r="AK151" t="s">
        <v>2051</v>
      </c>
      <c r="AL151" t="s">
        <v>2051</v>
      </c>
      <c r="AM151" t="s">
        <v>2051</v>
      </c>
      <c r="AN151" t="s">
        <v>2051</v>
      </c>
      <c r="AO151" t="s">
        <v>2051</v>
      </c>
      <c r="AP151" t="s">
        <v>2051</v>
      </c>
      <c r="AQ151" t="s">
        <v>2051</v>
      </c>
      <c r="AR151" t="s">
        <v>2051</v>
      </c>
      <c r="AS151" t="s">
        <v>2051</v>
      </c>
      <c r="AT151" t="s">
        <v>2051</v>
      </c>
      <c r="AU151" t="s">
        <v>2051</v>
      </c>
      <c r="AV151" t="s">
        <v>2051</v>
      </c>
      <c r="AW151" t="s">
        <v>2051</v>
      </c>
      <c r="AX151" t="s">
        <v>2051</v>
      </c>
      <c r="AY151" t="s">
        <v>2051</v>
      </c>
      <c r="AZ151" t="s">
        <v>2051</v>
      </c>
    </row>
    <row r="152" spans="1:52" x14ac:dyDescent="0.2">
      <c r="A152" t="s">
        <v>388</v>
      </c>
      <c r="B152">
        <v>4449</v>
      </c>
      <c r="C152" t="s">
        <v>893</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2051</v>
      </c>
      <c r="O152" t="s">
        <v>894</v>
      </c>
      <c r="P152">
        <v>14</v>
      </c>
      <c r="Q152">
        <v>1000000000</v>
      </c>
      <c r="R152">
        <v>1000000000</v>
      </c>
      <c r="S152">
        <v>1000000000</v>
      </c>
      <c r="T152" t="s">
        <v>893</v>
      </c>
      <c r="U152">
        <v>58</v>
      </c>
      <c r="V152">
        <v>1E-4</v>
      </c>
      <c r="W152">
        <v>1000000000</v>
      </c>
      <c r="X152">
        <v>1000000000</v>
      </c>
      <c r="Y152">
        <v>1000000000</v>
      </c>
      <c r="Z152">
        <v>1000000000</v>
      </c>
      <c r="AA152">
        <v>1000000000</v>
      </c>
      <c r="AB152">
        <v>1000000000</v>
      </c>
      <c r="AC152">
        <v>8.0000000000000004E-4</v>
      </c>
      <c r="AD152">
        <v>1000000000</v>
      </c>
      <c r="AE152">
        <v>1000000000</v>
      </c>
      <c r="AF152" t="s">
        <v>2051</v>
      </c>
      <c r="AG152" t="s">
        <v>2051</v>
      </c>
      <c r="AH152">
        <v>1</v>
      </c>
      <c r="AI152">
        <v>10</v>
      </c>
      <c r="AJ152">
        <v>30</v>
      </c>
      <c r="AK152" t="s">
        <v>2051</v>
      </c>
      <c r="AL152" t="s">
        <v>2051</v>
      </c>
      <c r="AM152" t="s">
        <v>2051</v>
      </c>
      <c r="AN152" t="s">
        <v>2051</v>
      </c>
      <c r="AO152" t="s">
        <v>2051</v>
      </c>
      <c r="AP152" t="s">
        <v>2051</v>
      </c>
      <c r="AQ152" t="s">
        <v>2051</v>
      </c>
      <c r="AR152" t="s">
        <v>2051</v>
      </c>
      <c r="AS152" t="s">
        <v>2051</v>
      </c>
      <c r="AT152" t="s">
        <v>2051</v>
      </c>
      <c r="AU152" t="s">
        <v>2051</v>
      </c>
      <c r="AV152" t="s">
        <v>2051</v>
      </c>
      <c r="AW152" t="s">
        <v>2051</v>
      </c>
      <c r="AX152" t="s">
        <v>2051</v>
      </c>
      <c r="AY152" t="s">
        <v>2051</v>
      </c>
      <c r="AZ152" t="s">
        <v>2051</v>
      </c>
    </row>
    <row r="153" spans="1:52" x14ac:dyDescent="0.2">
      <c r="A153" t="s">
        <v>389</v>
      </c>
      <c r="B153">
        <v>4450</v>
      </c>
      <c r="C153" t="s">
        <v>893</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2051</v>
      </c>
      <c r="O153" t="s">
        <v>894</v>
      </c>
      <c r="P153">
        <v>14</v>
      </c>
      <c r="Q153">
        <v>1000000000</v>
      </c>
      <c r="R153">
        <v>1000000000</v>
      </c>
      <c r="S153">
        <v>1000000000</v>
      </c>
      <c r="T153" t="s">
        <v>893</v>
      </c>
      <c r="U153">
        <v>58</v>
      </c>
      <c r="V153">
        <v>1E-4</v>
      </c>
      <c r="W153">
        <v>1000000000</v>
      </c>
      <c r="X153">
        <v>1000000000</v>
      </c>
      <c r="Y153">
        <v>1000000000</v>
      </c>
      <c r="Z153">
        <v>1000000000</v>
      </c>
      <c r="AA153">
        <v>1000000000</v>
      </c>
      <c r="AB153">
        <v>1000000000</v>
      </c>
      <c r="AC153">
        <v>8.0000000000000004E-4</v>
      </c>
      <c r="AD153">
        <v>1000000000</v>
      </c>
      <c r="AE153">
        <v>1000000000</v>
      </c>
      <c r="AF153" t="s">
        <v>2051</v>
      </c>
      <c r="AG153" t="s">
        <v>2051</v>
      </c>
      <c r="AH153">
        <v>1</v>
      </c>
      <c r="AI153">
        <v>10</v>
      </c>
      <c r="AJ153">
        <v>30</v>
      </c>
      <c r="AK153" t="s">
        <v>2051</v>
      </c>
      <c r="AL153" t="s">
        <v>2051</v>
      </c>
      <c r="AM153" t="s">
        <v>2051</v>
      </c>
      <c r="AN153" t="s">
        <v>2051</v>
      </c>
      <c r="AO153" t="s">
        <v>2051</v>
      </c>
      <c r="AP153" t="s">
        <v>2051</v>
      </c>
      <c r="AQ153" t="s">
        <v>2051</v>
      </c>
      <c r="AR153" t="s">
        <v>2051</v>
      </c>
      <c r="AS153" t="s">
        <v>2051</v>
      </c>
      <c r="AT153" t="s">
        <v>2051</v>
      </c>
      <c r="AU153" t="s">
        <v>2051</v>
      </c>
      <c r="AV153" t="s">
        <v>2051</v>
      </c>
      <c r="AW153" t="s">
        <v>2051</v>
      </c>
      <c r="AX153" t="s">
        <v>2051</v>
      </c>
      <c r="AY153" t="s">
        <v>2051</v>
      </c>
      <c r="AZ153" t="s">
        <v>2051</v>
      </c>
    </row>
    <row r="154" spans="1:52" x14ac:dyDescent="0.2">
      <c r="A154" t="s">
        <v>390</v>
      </c>
      <c r="B154">
        <v>5735</v>
      </c>
      <c r="C154" t="s">
        <v>893</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2051</v>
      </c>
      <c r="O154" t="s">
        <v>894</v>
      </c>
      <c r="P154">
        <v>14</v>
      </c>
      <c r="Q154">
        <v>1000000000</v>
      </c>
      <c r="R154">
        <v>1000000000</v>
      </c>
      <c r="S154">
        <v>1000000000</v>
      </c>
      <c r="T154" t="s">
        <v>893</v>
      </c>
      <c r="U154">
        <v>58</v>
      </c>
      <c r="V154">
        <v>1E-4</v>
      </c>
      <c r="W154">
        <v>1000000000</v>
      </c>
      <c r="X154">
        <v>1000000000</v>
      </c>
      <c r="Y154">
        <v>1000000000</v>
      </c>
      <c r="Z154">
        <v>1000000000</v>
      </c>
      <c r="AA154">
        <v>1000000000</v>
      </c>
      <c r="AB154">
        <v>1000000000</v>
      </c>
      <c r="AC154">
        <v>8.0000000000000004E-4</v>
      </c>
      <c r="AD154">
        <v>1000000000</v>
      </c>
      <c r="AE154">
        <v>1000000000</v>
      </c>
      <c r="AF154" t="s">
        <v>2051</v>
      </c>
      <c r="AG154" t="s">
        <v>2051</v>
      </c>
      <c r="AH154">
        <v>1</v>
      </c>
      <c r="AI154">
        <v>10</v>
      </c>
      <c r="AJ154">
        <v>30</v>
      </c>
      <c r="AK154" t="s">
        <v>2051</v>
      </c>
      <c r="AL154" t="s">
        <v>2051</v>
      </c>
      <c r="AM154" t="s">
        <v>2051</v>
      </c>
      <c r="AN154" t="s">
        <v>2051</v>
      </c>
      <c r="AO154" t="s">
        <v>2051</v>
      </c>
      <c r="AP154" t="s">
        <v>2051</v>
      </c>
      <c r="AQ154" t="s">
        <v>2051</v>
      </c>
      <c r="AR154" t="s">
        <v>2051</v>
      </c>
      <c r="AS154" t="s">
        <v>2051</v>
      </c>
      <c r="AT154" t="s">
        <v>2051</v>
      </c>
      <c r="AU154" t="s">
        <v>2051</v>
      </c>
      <c r="AV154" t="s">
        <v>2051</v>
      </c>
      <c r="AW154" t="s">
        <v>2051</v>
      </c>
      <c r="AX154" t="s">
        <v>2051</v>
      </c>
      <c r="AY154" t="s">
        <v>2051</v>
      </c>
      <c r="AZ154" t="s">
        <v>2051</v>
      </c>
    </row>
    <row r="155" spans="1:52" x14ac:dyDescent="0.2">
      <c r="A155" t="s">
        <v>391</v>
      </c>
      <c r="B155">
        <v>5736</v>
      </c>
      <c r="C155" t="s">
        <v>893</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2051</v>
      </c>
      <c r="O155" t="s">
        <v>894</v>
      </c>
      <c r="P155">
        <v>14</v>
      </c>
      <c r="Q155">
        <v>1000000000</v>
      </c>
      <c r="R155">
        <v>1000000000</v>
      </c>
      <c r="S155">
        <v>1000000000</v>
      </c>
      <c r="T155" t="s">
        <v>893</v>
      </c>
      <c r="U155">
        <v>58</v>
      </c>
      <c r="V155">
        <v>1E-4</v>
      </c>
      <c r="W155">
        <v>1000000000</v>
      </c>
      <c r="X155">
        <v>1000000000</v>
      </c>
      <c r="Y155">
        <v>1000000000</v>
      </c>
      <c r="Z155">
        <v>1000000000</v>
      </c>
      <c r="AA155">
        <v>1000000000</v>
      </c>
      <c r="AB155">
        <v>1000000000</v>
      </c>
      <c r="AC155">
        <v>8.0000000000000004E-4</v>
      </c>
      <c r="AD155">
        <v>1000000000</v>
      </c>
      <c r="AE155">
        <v>1000000000</v>
      </c>
      <c r="AF155" t="s">
        <v>2051</v>
      </c>
      <c r="AG155" t="s">
        <v>2051</v>
      </c>
      <c r="AH155">
        <v>1</v>
      </c>
      <c r="AI155">
        <v>10</v>
      </c>
      <c r="AJ155">
        <v>30</v>
      </c>
      <c r="AK155" t="s">
        <v>2051</v>
      </c>
      <c r="AL155" t="s">
        <v>2051</v>
      </c>
      <c r="AM155" t="s">
        <v>2051</v>
      </c>
      <c r="AN155" t="s">
        <v>2051</v>
      </c>
      <c r="AO155" t="s">
        <v>2051</v>
      </c>
      <c r="AP155" t="s">
        <v>2051</v>
      </c>
      <c r="AQ155" t="s">
        <v>2051</v>
      </c>
      <c r="AR155" t="s">
        <v>2051</v>
      </c>
      <c r="AS155" t="s">
        <v>2051</v>
      </c>
      <c r="AT155" t="s">
        <v>2051</v>
      </c>
      <c r="AU155" t="s">
        <v>2051</v>
      </c>
      <c r="AV155" t="s">
        <v>2051</v>
      </c>
      <c r="AW155" t="s">
        <v>2051</v>
      </c>
      <c r="AX155" t="s">
        <v>2051</v>
      </c>
      <c r="AY155" t="s">
        <v>2051</v>
      </c>
      <c r="AZ155" t="s">
        <v>2051</v>
      </c>
    </row>
    <row r="156" spans="1:52" x14ac:dyDescent="0.2">
      <c r="A156" t="s">
        <v>392</v>
      </c>
      <c r="B156">
        <v>3895</v>
      </c>
      <c r="C156" t="s">
        <v>893</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2051</v>
      </c>
      <c r="O156" t="s">
        <v>894</v>
      </c>
      <c r="P156">
        <v>14</v>
      </c>
      <c r="Q156">
        <v>1000000000</v>
      </c>
      <c r="R156">
        <v>1000000000</v>
      </c>
      <c r="S156">
        <v>1000000000</v>
      </c>
      <c r="T156" t="s">
        <v>893</v>
      </c>
      <c r="U156">
        <v>58</v>
      </c>
      <c r="V156">
        <v>1E-4</v>
      </c>
      <c r="W156">
        <v>1000000000</v>
      </c>
      <c r="X156">
        <v>1000000000</v>
      </c>
      <c r="Y156">
        <v>1000000000</v>
      </c>
      <c r="Z156">
        <v>1000000000</v>
      </c>
      <c r="AA156">
        <v>1000000000</v>
      </c>
      <c r="AB156">
        <v>1000000000</v>
      </c>
      <c r="AC156">
        <v>8.0000000000000004E-4</v>
      </c>
      <c r="AD156">
        <v>1000000000</v>
      </c>
      <c r="AE156">
        <v>1000000000</v>
      </c>
      <c r="AF156" t="s">
        <v>2051</v>
      </c>
      <c r="AG156" t="s">
        <v>2051</v>
      </c>
      <c r="AH156">
        <v>1</v>
      </c>
      <c r="AI156">
        <v>10</v>
      </c>
      <c r="AJ156">
        <v>30</v>
      </c>
      <c r="AK156" t="s">
        <v>2051</v>
      </c>
      <c r="AL156" t="s">
        <v>2051</v>
      </c>
      <c r="AM156" t="s">
        <v>2051</v>
      </c>
      <c r="AN156" t="s">
        <v>2051</v>
      </c>
      <c r="AO156" t="s">
        <v>2051</v>
      </c>
      <c r="AP156" t="s">
        <v>2051</v>
      </c>
      <c r="AQ156" t="s">
        <v>2051</v>
      </c>
      <c r="AR156" t="s">
        <v>2051</v>
      </c>
      <c r="AS156" t="s">
        <v>2051</v>
      </c>
      <c r="AT156" t="s">
        <v>2051</v>
      </c>
      <c r="AU156" t="s">
        <v>2051</v>
      </c>
      <c r="AV156" t="s">
        <v>2051</v>
      </c>
      <c r="AW156" t="s">
        <v>2051</v>
      </c>
      <c r="AX156" t="s">
        <v>2051</v>
      </c>
      <c r="AY156" t="s">
        <v>2051</v>
      </c>
      <c r="AZ156" t="s">
        <v>2051</v>
      </c>
    </row>
    <row r="157" spans="1:52" x14ac:dyDescent="0.2">
      <c r="A157" t="s">
        <v>393</v>
      </c>
      <c r="B157">
        <v>5935</v>
      </c>
      <c r="C157" t="s">
        <v>893</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2051</v>
      </c>
      <c r="O157" t="s">
        <v>894</v>
      </c>
      <c r="P157">
        <v>14</v>
      </c>
      <c r="Q157">
        <v>1000000000</v>
      </c>
      <c r="R157">
        <v>1000000000</v>
      </c>
      <c r="S157">
        <v>1000000000</v>
      </c>
      <c r="T157" t="s">
        <v>893</v>
      </c>
      <c r="U157">
        <v>58</v>
      </c>
      <c r="V157">
        <v>1E-4</v>
      </c>
      <c r="W157">
        <v>1000000000</v>
      </c>
      <c r="X157">
        <v>1000000000</v>
      </c>
      <c r="Y157">
        <v>1000000000</v>
      </c>
      <c r="Z157">
        <v>1000000000</v>
      </c>
      <c r="AA157">
        <v>1000000000</v>
      </c>
      <c r="AB157">
        <v>1000000000</v>
      </c>
      <c r="AC157">
        <v>8.0000000000000004E-4</v>
      </c>
      <c r="AD157">
        <v>1000000000</v>
      </c>
      <c r="AE157">
        <v>1000000000</v>
      </c>
      <c r="AF157" t="s">
        <v>2051</v>
      </c>
      <c r="AG157" t="s">
        <v>2051</v>
      </c>
      <c r="AH157">
        <v>1</v>
      </c>
      <c r="AI157">
        <v>10</v>
      </c>
      <c r="AJ157">
        <v>30</v>
      </c>
      <c r="AK157" t="s">
        <v>2051</v>
      </c>
      <c r="AL157" t="s">
        <v>2051</v>
      </c>
      <c r="AM157" t="s">
        <v>2051</v>
      </c>
      <c r="AN157" t="s">
        <v>2051</v>
      </c>
      <c r="AO157" t="s">
        <v>2051</v>
      </c>
      <c r="AP157" t="s">
        <v>2051</v>
      </c>
      <c r="AQ157" t="s">
        <v>2051</v>
      </c>
      <c r="AR157" t="s">
        <v>2051</v>
      </c>
      <c r="AS157" t="s">
        <v>2051</v>
      </c>
      <c r="AT157" t="s">
        <v>2051</v>
      </c>
      <c r="AU157" t="s">
        <v>2051</v>
      </c>
      <c r="AV157" t="s">
        <v>2051</v>
      </c>
      <c r="AW157" t="s">
        <v>2051</v>
      </c>
      <c r="AX157" t="s">
        <v>2051</v>
      </c>
      <c r="AY157" t="s">
        <v>2051</v>
      </c>
      <c r="AZ157" t="s">
        <v>2051</v>
      </c>
    </row>
    <row r="158" spans="1:52" x14ac:dyDescent="0.2">
      <c r="A158" t="s">
        <v>394</v>
      </c>
      <c r="B158">
        <v>3932</v>
      </c>
      <c r="C158" t="s">
        <v>893</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2051</v>
      </c>
      <c r="O158" t="s">
        <v>894</v>
      </c>
      <c r="P158">
        <v>14</v>
      </c>
      <c r="Q158">
        <v>1000000000</v>
      </c>
      <c r="R158">
        <v>1000000000</v>
      </c>
      <c r="S158">
        <v>1000000000</v>
      </c>
      <c r="T158" t="s">
        <v>893</v>
      </c>
      <c r="U158">
        <v>58</v>
      </c>
      <c r="V158">
        <v>1E-4</v>
      </c>
      <c r="W158">
        <v>1000000000</v>
      </c>
      <c r="X158">
        <v>1000000000</v>
      </c>
      <c r="Y158">
        <v>1000000000</v>
      </c>
      <c r="Z158">
        <v>1000000000</v>
      </c>
      <c r="AA158">
        <v>1000000000</v>
      </c>
      <c r="AB158">
        <v>1000000000</v>
      </c>
      <c r="AC158">
        <v>8.0000000000000004E-4</v>
      </c>
      <c r="AD158">
        <v>1000000000</v>
      </c>
      <c r="AE158">
        <v>1000000000</v>
      </c>
      <c r="AF158" t="s">
        <v>2051</v>
      </c>
      <c r="AG158" t="s">
        <v>2051</v>
      </c>
      <c r="AH158">
        <v>1</v>
      </c>
      <c r="AI158">
        <v>10</v>
      </c>
      <c r="AJ158">
        <v>30</v>
      </c>
      <c r="AK158" t="s">
        <v>2051</v>
      </c>
      <c r="AL158" t="s">
        <v>2051</v>
      </c>
      <c r="AM158" t="s">
        <v>2051</v>
      </c>
      <c r="AN158" t="s">
        <v>2051</v>
      </c>
      <c r="AO158" t="s">
        <v>2051</v>
      </c>
      <c r="AP158" t="s">
        <v>2051</v>
      </c>
      <c r="AQ158" t="s">
        <v>2051</v>
      </c>
      <c r="AR158" t="s">
        <v>2051</v>
      </c>
      <c r="AS158" t="s">
        <v>2051</v>
      </c>
      <c r="AT158" t="s">
        <v>2051</v>
      </c>
      <c r="AU158" t="s">
        <v>2051</v>
      </c>
      <c r="AV158" t="s">
        <v>2051</v>
      </c>
      <c r="AW158" t="s">
        <v>2051</v>
      </c>
      <c r="AX158" t="s">
        <v>2051</v>
      </c>
      <c r="AY158" t="s">
        <v>2051</v>
      </c>
      <c r="AZ158" t="s">
        <v>2051</v>
      </c>
    </row>
    <row r="159" spans="1:52" x14ac:dyDescent="0.2">
      <c r="A159" t="s">
        <v>395</v>
      </c>
      <c r="B159">
        <v>3931</v>
      </c>
      <c r="C159" t="s">
        <v>893</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2051</v>
      </c>
      <c r="O159" t="s">
        <v>894</v>
      </c>
      <c r="P159">
        <v>14</v>
      </c>
      <c r="Q159">
        <v>1000000000</v>
      </c>
      <c r="R159">
        <v>1000000000</v>
      </c>
      <c r="S159">
        <v>1000000000</v>
      </c>
      <c r="T159" t="s">
        <v>893</v>
      </c>
      <c r="U159">
        <v>58</v>
      </c>
      <c r="V159">
        <v>1E-4</v>
      </c>
      <c r="W159">
        <v>1000000000</v>
      </c>
      <c r="X159">
        <v>1000000000</v>
      </c>
      <c r="Y159">
        <v>1000000000</v>
      </c>
      <c r="Z159">
        <v>1000000000</v>
      </c>
      <c r="AA159">
        <v>1000000000</v>
      </c>
      <c r="AB159">
        <v>1000000000</v>
      </c>
      <c r="AC159">
        <v>8.0000000000000004E-4</v>
      </c>
      <c r="AD159">
        <v>1000000000</v>
      </c>
      <c r="AE159">
        <v>1000000000</v>
      </c>
      <c r="AF159" t="s">
        <v>2051</v>
      </c>
      <c r="AG159" t="s">
        <v>2051</v>
      </c>
      <c r="AH159">
        <v>1</v>
      </c>
      <c r="AI159">
        <v>10</v>
      </c>
      <c r="AJ159">
        <v>30</v>
      </c>
      <c r="AK159" t="s">
        <v>2051</v>
      </c>
      <c r="AL159" t="s">
        <v>2051</v>
      </c>
      <c r="AM159" t="s">
        <v>2051</v>
      </c>
      <c r="AN159" t="s">
        <v>2051</v>
      </c>
      <c r="AO159" t="s">
        <v>2051</v>
      </c>
      <c r="AP159" t="s">
        <v>2051</v>
      </c>
      <c r="AQ159" t="s">
        <v>2051</v>
      </c>
      <c r="AR159" t="s">
        <v>2051</v>
      </c>
      <c r="AS159" t="s">
        <v>2051</v>
      </c>
      <c r="AT159" t="s">
        <v>2051</v>
      </c>
      <c r="AU159" t="s">
        <v>2051</v>
      </c>
      <c r="AV159" t="s">
        <v>2051</v>
      </c>
      <c r="AW159" t="s">
        <v>2051</v>
      </c>
      <c r="AX159" t="s">
        <v>2051</v>
      </c>
      <c r="AY159" t="s">
        <v>2051</v>
      </c>
      <c r="AZ159" t="s">
        <v>2051</v>
      </c>
    </row>
    <row r="160" spans="1:52" x14ac:dyDescent="0.2">
      <c r="A160" t="s">
        <v>235</v>
      </c>
      <c r="B160">
        <v>4445</v>
      </c>
      <c r="C160" t="s">
        <v>893</v>
      </c>
      <c r="D160">
        <v>58</v>
      </c>
      <c r="E160">
        <v>1E-4</v>
      </c>
      <c r="F160">
        <v>1000000000</v>
      </c>
      <c r="G160">
        <v>1000000000</v>
      </c>
      <c r="H160">
        <v>1000000000</v>
      </c>
      <c r="I160">
        <v>1000000000</v>
      </c>
      <c r="J160">
        <v>1000000000</v>
      </c>
      <c r="K160">
        <v>1000000000</v>
      </c>
      <c r="L160">
        <v>1000000000</v>
      </c>
      <c r="N160" t="s">
        <v>2051</v>
      </c>
      <c r="O160" t="s">
        <v>894</v>
      </c>
      <c r="P160">
        <v>14</v>
      </c>
      <c r="Q160">
        <v>1000000000</v>
      </c>
      <c r="R160">
        <v>1000000000</v>
      </c>
      <c r="S160">
        <v>1000000000</v>
      </c>
      <c r="T160" t="s">
        <v>893</v>
      </c>
      <c r="U160">
        <v>58</v>
      </c>
      <c r="V160">
        <v>1E-4</v>
      </c>
      <c r="W160">
        <v>1000000000</v>
      </c>
      <c r="X160">
        <v>1000000000</v>
      </c>
      <c r="Y160">
        <v>1000000000</v>
      </c>
      <c r="Z160">
        <v>1000000000</v>
      </c>
      <c r="AA160">
        <v>1000000000</v>
      </c>
      <c r="AB160">
        <v>1000000000</v>
      </c>
      <c r="AC160">
        <v>1000000000</v>
      </c>
      <c r="AD160">
        <v>1000000000</v>
      </c>
      <c r="AE160">
        <v>1000000000</v>
      </c>
      <c r="AF160" t="s">
        <v>2051</v>
      </c>
      <c r="AG160" t="s">
        <v>2051</v>
      </c>
      <c r="AH160">
        <v>1</v>
      </c>
      <c r="AI160">
        <v>10</v>
      </c>
      <c r="AJ160">
        <v>30</v>
      </c>
      <c r="AK160" t="s">
        <v>2051</v>
      </c>
      <c r="AL160" t="s">
        <v>2051</v>
      </c>
      <c r="AM160" t="s">
        <v>2051</v>
      </c>
      <c r="AN160" t="s">
        <v>2051</v>
      </c>
      <c r="AO160" t="s">
        <v>2051</v>
      </c>
      <c r="AP160" t="s">
        <v>2051</v>
      </c>
      <c r="AQ160" t="s">
        <v>2051</v>
      </c>
      <c r="AR160" t="s">
        <v>2051</v>
      </c>
      <c r="AS160" t="s">
        <v>2051</v>
      </c>
      <c r="AT160" t="s">
        <v>2051</v>
      </c>
      <c r="AU160" t="s">
        <v>2051</v>
      </c>
      <c r="AV160" t="s">
        <v>2051</v>
      </c>
      <c r="AW160" t="s">
        <v>2051</v>
      </c>
      <c r="AX160" t="s">
        <v>2051</v>
      </c>
      <c r="AY160" t="s">
        <v>2051</v>
      </c>
      <c r="AZ160" t="s">
        <v>2051</v>
      </c>
    </row>
    <row r="161" spans="1:52" x14ac:dyDescent="0.2">
      <c r="A161" t="s">
        <v>236</v>
      </c>
      <c r="B161">
        <v>5518</v>
      </c>
      <c r="C161" t="s">
        <v>893</v>
      </c>
      <c r="D161">
        <v>58</v>
      </c>
      <c r="E161">
        <v>1E-4</v>
      </c>
      <c r="F161">
        <v>1000000000</v>
      </c>
      <c r="G161">
        <v>1000000000</v>
      </c>
      <c r="H161">
        <v>1000000000</v>
      </c>
      <c r="I161">
        <v>1000000000</v>
      </c>
      <c r="J161">
        <v>1000000000</v>
      </c>
      <c r="K161">
        <v>1000000000</v>
      </c>
      <c r="L161">
        <v>1000000000</v>
      </c>
      <c r="N161" t="s">
        <v>2051</v>
      </c>
      <c r="O161" t="s">
        <v>894</v>
      </c>
      <c r="P161">
        <v>14</v>
      </c>
      <c r="Q161">
        <v>1000000000</v>
      </c>
      <c r="R161">
        <v>1000000000</v>
      </c>
      <c r="S161">
        <v>1000000000</v>
      </c>
      <c r="T161" t="s">
        <v>893</v>
      </c>
      <c r="U161">
        <v>58</v>
      </c>
      <c r="V161">
        <v>1E-4</v>
      </c>
      <c r="W161">
        <v>1000000000</v>
      </c>
      <c r="X161">
        <v>1000000000</v>
      </c>
      <c r="Y161">
        <v>1000000000</v>
      </c>
      <c r="Z161">
        <v>1000000000</v>
      </c>
      <c r="AA161">
        <v>1000000000</v>
      </c>
      <c r="AB161">
        <v>1000000000</v>
      </c>
      <c r="AC161">
        <v>1000000000</v>
      </c>
      <c r="AD161">
        <v>1000000000</v>
      </c>
      <c r="AE161">
        <v>1000000000</v>
      </c>
      <c r="AF161" t="s">
        <v>2051</v>
      </c>
      <c r="AG161" t="s">
        <v>2051</v>
      </c>
      <c r="AH161">
        <v>1</v>
      </c>
      <c r="AI161">
        <v>10</v>
      </c>
      <c r="AJ161">
        <v>30</v>
      </c>
      <c r="AK161" t="s">
        <v>2051</v>
      </c>
      <c r="AL161" t="s">
        <v>2051</v>
      </c>
      <c r="AM161" t="s">
        <v>2051</v>
      </c>
      <c r="AN161" t="s">
        <v>2051</v>
      </c>
      <c r="AO161" t="s">
        <v>2051</v>
      </c>
      <c r="AP161" t="s">
        <v>2051</v>
      </c>
      <c r="AQ161" t="s">
        <v>2051</v>
      </c>
      <c r="AR161" t="s">
        <v>2051</v>
      </c>
      <c r="AS161" t="s">
        <v>2051</v>
      </c>
      <c r="AT161" t="s">
        <v>2051</v>
      </c>
      <c r="AU161" t="s">
        <v>2051</v>
      </c>
      <c r="AV161" t="s">
        <v>2051</v>
      </c>
      <c r="AW161" t="s">
        <v>2051</v>
      </c>
      <c r="AX161" t="s">
        <v>2051</v>
      </c>
      <c r="AY161" t="s">
        <v>2051</v>
      </c>
      <c r="AZ161" t="s">
        <v>2051</v>
      </c>
    </row>
    <row r="162" spans="1:52" x14ac:dyDescent="0.2">
      <c r="A162" t="s">
        <v>240</v>
      </c>
      <c r="B162">
        <v>6040</v>
      </c>
      <c r="C162" t="s">
        <v>893</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2051</v>
      </c>
      <c r="O162" t="s">
        <v>894</v>
      </c>
      <c r="P162">
        <v>14</v>
      </c>
      <c r="Q162">
        <v>1000000000</v>
      </c>
      <c r="R162">
        <v>1000000000</v>
      </c>
      <c r="S162">
        <v>2.7</v>
      </c>
      <c r="T162" t="s">
        <v>893</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2051</v>
      </c>
      <c r="AG162" t="s">
        <v>2051</v>
      </c>
      <c r="AH162">
        <v>1</v>
      </c>
      <c r="AI162">
        <v>10</v>
      </c>
      <c r="AJ162">
        <v>30</v>
      </c>
      <c r="AK162" t="s">
        <v>2051</v>
      </c>
      <c r="AL162" t="s">
        <v>2051</v>
      </c>
      <c r="AM162" t="s">
        <v>2051</v>
      </c>
      <c r="AN162" t="s">
        <v>2051</v>
      </c>
      <c r="AO162" t="s">
        <v>2051</v>
      </c>
      <c r="AP162" t="s">
        <v>2051</v>
      </c>
      <c r="AQ162" t="s">
        <v>2051</v>
      </c>
      <c r="AR162" t="s">
        <v>2051</v>
      </c>
      <c r="AS162" t="s">
        <v>2051</v>
      </c>
      <c r="AT162" t="s">
        <v>2051</v>
      </c>
      <c r="AU162" t="s">
        <v>2051</v>
      </c>
      <c r="AV162" t="s">
        <v>2051</v>
      </c>
      <c r="AW162" t="s">
        <v>2051</v>
      </c>
      <c r="AX162" t="s">
        <v>2051</v>
      </c>
      <c r="AY162" t="s">
        <v>2051</v>
      </c>
      <c r="AZ162" t="s">
        <v>2051</v>
      </c>
    </row>
    <row r="163" spans="1:52" x14ac:dyDescent="0.2">
      <c r="A163" t="s">
        <v>396</v>
      </c>
      <c r="B163">
        <v>3898</v>
      </c>
      <c r="C163" t="s">
        <v>893</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2051</v>
      </c>
      <c r="O163" t="s">
        <v>894</v>
      </c>
      <c r="P163">
        <v>14</v>
      </c>
      <c r="Q163">
        <v>1000000000</v>
      </c>
      <c r="R163">
        <v>1000000000</v>
      </c>
      <c r="S163">
        <v>1000000000</v>
      </c>
      <c r="T163" t="s">
        <v>893</v>
      </c>
      <c r="U163">
        <v>58</v>
      </c>
      <c r="V163">
        <v>1E-4</v>
      </c>
      <c r="W163">
        <v>1000000000</v>
      </c>
      <c r="X163">
        <v>1000000000</v>
      </c>
      <c r="Y163">
        <v>1000000000</v>
      </c>
      <c r="Z163">
        <v>1000000000</v>
      </c>
      <c r="AA163">
        <v>1000000000</v>
      </c>
      <c r="AB163">
        <v>1000000000</v>
      </c>
      <c r="AC163">
        <v>8.0000000000000004E-4</v>
      </c>
      <c r="AD163">
        <v>1000000000</v>
      </c>
      <c r="AE163">
        <v>1000000000</v>
      </c>
      <c r="AF163" t="s">
        <v>2051</v>
      </c>
      <c r="AG163" t="s">
        <v>2051</v>
      </c>
      <c r="AH163">
        <v>1</v>
      </c>
      <c r="AI163">
        <v>10</v>
      </c>
      <c r="AJ163">
        <v>30</v>
      </c>
      <c r="AK163" t="s">
        <v>2051</v>
      </c>
      <c r="AL163" t="s">
        <v>2051</v>
      </c>
      <c r="AM163" t="s">
        <v>2051</v>
      </c>
      <c r="AN163" t="s">
        <v>2051</v>
      </c>
      <c r="AO163" t="s">
        <v>2051</v>
      </c>
      <c r="AP163" t="s">
        <v>2051</v>
      </c>
      <c r="AQ163" t="s">
        <v>2051</v>
      </c>
      <c r="AR163" t="s">
        <v>2051</v>
      </c>
      <c r="AS163" t="s">
        <v>2051</v>
      </c>
      <c r="AT163" t="s">
        <v>2051</v>
      </c>
      <c r="AU163" t="s">
        <v>2051</v>
      </c>
      <c r="AV163" t="s">
        <v>2051</v>
      </c>
      <c r="AW163" t="s">
        <v>2051</v>
      </c>
      <c r="AX163" t="s">
        <v>2051</v>
      </c>
      <c r="AY163" t="s">
        <v>2051</v>
      </c>
      <c r="AZ163" t="s">
        <v>2051</v>
      </c>
    </row>
    <row r="164" spans="1:52" x14ac:dyDescent="0.2">
      <c r="A164" t="s">
        <v>397</v>
      </c>
      <c r="B164">
        <v>5996</v>
      </c>
      <c r="C164" t="s">
        <v>893</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2051</v>
      </c>
      <c r="O164" t="s">
        <v>894</v>
      </c>
      <c r="P164">
        <v>14</v>
      </c>
      <c r="Q164">
        <v>1000000000</v>
      </c>
      <c r="R164">
        <v>1000000000</v>
      </c>
      <c r="S164">
        <v>1000000000</v>
      </c>
      <c r="T164" t="s">
        <v>893</v>
      </c>
      <c r="U164">
        <v>58</v>
      </c>
      <c r="V164">
        <v>1E-4</v>
      </c>
      <c r="W164">
        <v>1000000000</v>
      </c>
      <c r="X164">
        <v>1000000000</v>
      </c>
      <c r="Y164">
        <v>1000000000</v>
      </c>
      <c r="Z164">
        <v>1000000000</v>
      </c>
      <c r="AA164">
        <v>1000000000</v>
      </c>
      <c r="AB164">
        <v>1000000000</v>
      </c>
      <c r="AC164">
        <v>8.0000000000000004E-4</v>
      </c>
      <c r="AD164">
        <v>1000000000</v>
      </c>
      <c r="AE164">
        <v>1000000000</v>
      </c>
      <c r="AF164" t="s">
        <v>2051</v>
      </c>
      <c r="AG164" t="s">
        <v>2051</v>
      </c>
      <c r="AH164">
        <v>1</v>
      </c>
      <c r="AI164">
        <v>10</v>
      </c>
      <c r="AJ164">
        <v>30</v>
      </c>
      <c r="AK164" t="s">
        <v>2051</v>
      </c>
      <c r="AL164" t="s">
        <v>2051</v>
      </c>
      <c r="AM164" t="s">
        <v>2051</v>
      </c>
      <c r="AN164" t="s">
        <v>2051</v>
      </c>
      <c r="AO164" t="s">
        <v>2051</v>
      </c>
      <c r="AP164" t="s">
        <v>2051</v>
      </c>
      <c r="AQ164" t="s">
        <v>2051</v>
      </c>
      <c r="AR164" t="s">
        <v>2051</v>
      </c>
      <c r="AS164" t="s">
        <v>2051</v>
      </c>
      <c r="AT164" t="s">
        <v>2051</v>
      </c>
      <c r="AU164" t="s">
        <v>2051</v>
      </c>
      <c r="AV164" t="s">
        <v>2051</v>
      </c>
      <c r="AW164" t="s">
        <v>2051</v>
      </c>
      <c r="AX164" t="s">
        <v>2051</v>
      </c>
      <c r="AY164" t="s">
        <v>2051</v>
      </c>
      <c r="AZ164" t="s">
        <v>2051</v>
      </c>
    </row>
    <row r="165" spans="1:52" x14ac:dyDescent="0.2">
      <c r="A165" t="s">
        <v>398</v>
      </c>
      <c r="B165">
        <v>5517</v>
      </c>
      <c r="C165" t="s">
        <v>893</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2051</v>
      </c>
      <c r="O165" t="s">
        <v>894</v>
      </c>
      <c r="P165">
        <v>14</v>
      </c>
      <c r="Q165">
        <v>1000000000</v>
      </c>
      <c r="R165">
        <v>1000000000</v>
      </c>
      <c r="S165">
        <v>1000000000</v>
      </c>
      <c r="T165" t="s">
        <v>893</v>
      </c>
      <c r="U165">
        <v>58</v>
      </c>
      <c r="V165">
        <v>1E-4</v>
      </c>
      <c r="W165">
        <v>1000000000</v>
      </c>
      <c r="X165">
        <v>1000000000</v>
      </c>
      <c r="Y165">
        <v>1000000000</v>
      </c>
      <c r="Z165">
        <v>1000000000</v>
      </c>
      <c r="AA165">
        <v>1000000000</v>
      </c>
      <c r="AB165">
        <v>1000000000</v>
      </c>
      <c r="AC165">
        <v>8.0000000000000004E-4</v>
      </c>
      <c r="AD165">
        <v>1000000000</v>
      </c>
      <c r="AE165">
        <v>1000000000</v>
      </c>
      <c r="AF165" t="s">
        <v>2051</v>
      </c>
      <c r="AG165" t="s">
        <v>2051</v>
      </c>
      <c r="AH165">
        <v>1</v>
      </c>
      <c r="AI165">
        <v>10</v>
      </c>
      <c r="AJ165">
        <v>30</v>
      </c>
      <c r="AK165" t="s">
        <v>2051</v>
      </c>
      <c r="AL165" t="s">
        <v>2051</v>
      </c>
      <c r="AM165" t="s">
        <v>2051</v>
      </c>
      <c r="AN165" t="s">
        <v>2051</v>
      </c>
      <c r="AO165" t="s">
        <v>2051</v>
      </c>
      <c r="AP165" t="s">
        <v>2051</v>
      </c>
      <c r="AQ165" t="s">
        <v>2051</v>
      </c>
      <c r="AR165" t="s">
        <v>2051</v>
      </c>
      <c r="AS165" t="s">
        <v>2051</v>
      </c>
      <c r="AT165" t="s">
        <v>2051</v>
      </c>
      <c r="AU165" t="s">
        <v>2051</v>
      </c>
      <c r="AV165" t="s">
        <v>2051</v>
      </c>
      <c r="AW165" t="s">
        <v>2051</v>
      </c>
      <c r="AX165" t="s">
        <v>2051</v>
      </c>
      <c r="AY165" t="s">
        <v>2051</v>
      </c>
      <c r="AZ165" t="s">
        <v>2051</v>
      </c>
    </row>
    <row r="166" spans="1:52" x14ac:dyDescent="0.2">
      <c r="A166" t="s">
        <v>399</v>
      </c>
      <c r="B166">
        <v>5830</v>
      </c>
      <c r="C166" t="s">
        <v>893</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2051</v>
      </c>
      <c r="O166" t="s">
        <v>894</v>
      </c>
      <c r="P166">
        <v>14</v>
      </c>
      <c r="Q166">
        <v>1000000000</v>
      </c>
      <c r="R166">
        <v>1000000000</v>
      </c>
      <c r="S166">
        <v>1000000000</v>
      </c>
      <c r="T166" t="s">
        <v>893</v>
      </c>
      <c r="U166">
        <v>58</v>
      </c>
      <c r="V166">
        <v>1E-4</v>
      </c>
      <c r="W166">
        <v>1000000000</v>
      </c>
      <c r="X166">
        <v>1000000000</v>
      </c>
      <c r="Y166">
        <v>1000000000</v>
      </c>
      <c r="Z166">
        <v>1000000000</v>
      </c>
      <c r="AA166">
        <v>1000000000</v>
      </c>
      <c r="AB166">
        <v>1000000000</v>
      </c>
      <c r="AC166">
        <v>8.0000000000000004E-4</v>
      </c>
      <c r="AD166">
        <v>1000000000</v>
      </c>
      <c r="AE166">
        <v>1000000000</v>
      </c>
      <c r="AF166" t="s">
        <v>2051</v>
      </c>
      <c r="AG166" t="s">
        <v>2051</v>
      </c>
      <c r="AH166">
        <v>1</v>
      </c>
      <c r="AI166">
        <v>10</v>
      </c>
      <c r="AJ166">
        <v>30</v>
      </c>
      <c r="AK166" t="s">
        <v>2051</v>
      </c>
      <c r="AL166" t="s">
        <v>2051</v>
      </c>
      <c r="AM166" t="s">
        <v>2051</v>
      </c>
      <c r="AN166" t="s">
        <v>2051</v>
      </c>
      <c r="AO166" t="s">
        <v>2051</v>
      </c>
      <c r="AP166" t="s">
        <v>2051</v>
      </c>
      <c r="AQ166" t="s">
        <v>2051</v>
      </c>
      <c r="AR166" t="s">
        <v>2051</v>
      </c>
      <c r="AS166" t="s">
        <v>2051</v>
      </c>
      <c r="AT166" t="s">
        <v>2051</v>
      </c>
      <c r="AU166" t="s">
        <v>2051</v>
      </c>
      <c r="AV166" t="s">
        <v>2051</v>
      </c>
      <c r="AW166" t="s">
        <v>2051</v>
      </c>
      <c r="AX166" t="s">
        <v>2051</v>
      </c>
      <c r="AY166" t="s">
        <v>2051</v>
      </c>
      <c r="AZ166" t="s">
        <v>2051</v>
      </c>
    </row>
    <row r="167" spans="1:52" x14ac:dyDescent="0.2">
      <c r="A167" t="s">
        <v>400</v>
      </c>
      <c r="B167">
        <v>5831</v>
      </c>
      <c r="C167" t="s">
        <v>893</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2051</v>
      </c>
      <c r="O167" t="s">
        <v>894</v>
      </c>
      <c r="P167">
        <v>14</v>
      </c>
      <c r="Q167">
        <v>1000000000</v>
      </c>
      <c r="R167">
        <v>1000000000</v>
      </c>
      <c r="S167">
        <v>1000000000</v>
      </c>
      <c r="T167" t="s">
        <v>893</v>
      </c>
      <c r="U167">
        <v>58</v>
      </c>
      <c r="V167">
        <v>1E-4</v>
      </c>
      <c r="W167">
        <v>1000000000</v>
      </c>
      <c r="X167">
        <v>1000000000</v>
      </c>
      <c r="Y167">
        <v>1000000000</v>
      </c>
      <c r="Z167">
        <v>1000000000</v>
      </c>
      <c r="AA167">
        <v>1000000000</v>
      </c>
      <c r="AB167">
        <v>1000000000</v>
      </c>
      <c r="AC167">
        <v>8.0000000000000004E-4</v>
      </c>
      <c r="AD167">
        <v>1000000000</v>
      </c>
      <c r="AE167">
        <v>1000000000</v>
      </c>
      <c r="AF167" t="s">
        <v>2051</v>
      </c>
      <c r="AG167" t="s">
        <v>2051</v>
      </c>
      <c r="AH167">
        <v>1</v>
      </c>
      <c r="AI167">
        <v>10</v>
      </c>
      <c r="AJ167">
        <v>30</v>
      </c>
      <c r="AK167" t="s">
        <v>2051</v>
      </c>
      <c r="AL167" t="s">
        <v>2051</v>
      </c>
      <c r="AM167" t="s">
        <v>2051</v>
      </c>
      <c r="AN167" t="s">
        <v>2051</v>
      </c>
      <c r="AO167" t="s">
        <v>2051</v>
      </c>
      <c r="AP167" t="s">
        <v>2051</v>
      </c>
      <c r="AQ167" t="s">
        <v>2051</v>
      </c>
      <c r="AR167" t="s">
        <v>2051</v>
      </c>
      <c r="AS167" t="s">
        <v>2051</v>
      </c>
      <c r="AT167" t="s">
        <v>2051</v>
      </c>
      <c r="AU167" t="s">
        <v>2051</v>
      </c>
      <c r="AV167" t="s">
        <v>2051</v>
      </c>
      <c r="AW167" t="s">
        <v>2051</v>
      </c>
      <c r="AX167" t="s">
        <v>2051</v>
      </c>
      <c r="AY167" t="s">
        <v>2051</v>
      </c>
      <c r="AZ167" t="s">
        <v>2051</v>
      </c>
    </row>
    <row r="168" spans="1:52" x14ac:dyDescent="0.2">
      <c r="A168" t="s">
        <v>401</v>
      </c>
      <c r="B168">
        <v>5937</v>
      </c>
      <c r="C168" t="s">
        <v>893</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2051</v>
      </c>
      <c r="O168" t="s">
        <v>894</v>
      </c>
      <c r="P168">
        <v>14</v>
      </c>
      <c r="Q168">
        <v>1000000000</v>
      </c>
      <c r="R168">
        <v>1000000000</v>
      </c>
      <c r="S168">
        <v>1000000000</v>
      </c>
      <c r="T168" t="s">
        <v>893</v>
      </c>
      <c r="U168">
        <v>58</v>
      </c>
      <c r="V168">
        <v>1E-4</v>
      </c>
      <c r="W168">
        <v>1000000000</v>
      </c>
      <c r="X168">
        <v>1000000000</v>
      </c>
      <c r="Y168">
        <v>1000000000</v>
      </c>
      <c r="Z168">
        <v>1000000000</v>
      </c>
      <c r="AA168">
        <v>1000000000</v>
      </c>
      <c r="AB168">
        <v>1000000000</v>
      </c>
      <c r="AC168">
        <v>8.0000000000000004E-4</v>
      </c>
      <c r="AD168">
        <v>1000000000</v>
      </c>
      <c r="AE168">
        <v>1000000000</v>
      </c>
      <c r="AF168" t="s">
        <v>2051</v>
      </c>
      <c r="AG168" t="s">
        <v>2051</v>
      </c>
      <c r="AH168">
        <v>1</v>
      </c>
      <c r="AI168">
        <v>10</v>
      </c>
      <c r="AJ168">
        <v>30</v>
      </c>
      <c r="AK168" t="s">
        <v>2051</v>
      </c>
      <c r="AL168" t="s">
        <v>2051</v>
      </c>
      <c r="AM168" t="s">
        <v>2051</v>
      </c>
      <c r="AN168" t="s">
        <v>2051</v>
      </c>
      <c r="AO168" t="s">
        <v>2051</v>
      </c>
      <c r="AP168" t="s">
        <v>2051</v>
      </c>
      <c r="AQ168" t="s">
        <v>2051</v>
      </c>
      <c r="AR168" t="s">
        <v>2051</v>
      </c>
      <c r="AS168" t="s">
        <v>2051</v>
      </c>
      <c r="AT168" t="s">
        <v>2051</v>
      </c>
      <c r="AU168" t="s">
        <v>2051</v>
      </c>
      <c r="AV168" t="s">
        <v>2051</v>
      </c>
      <c r="AW168" t="s">
        <v>2051</v>
      </c>
      <c r="AX168" t="s">
        <v>2051</v>
      </c>
      <c r="AY168" t="s">
        <v>2051</v>
      </c>
      <c r="AZ168" t="s">
        <v>2051</v>
      </c>
    </row>
    <row r="169" spans="1:52" x14ac:dyDescent="0.2">
      <c r="A169" t="s">
        <v>402</v>
      </c>
      <c r="B169">
        <v>5744</v>
      </c>
      <c r="C169" t="s">
        <v>893</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2051</v>
      </c>
      <c r="O169" t="s">
        <v>894</v>
      </c>
      <c r="P169">
        <v>14</v>
      </c>
      <c r="Q169">
        <v>1000000000</v>
      </c>
      <c r="R169">
        <v>1000000000</v>
      </c>
      <c r="S169">
        <v>1000000000</v>
      </c>
      <c r="T169" t="s">
        <v>893</v>
      </c>
      <c r="U169">
        <v>58</v>
      </c>
      <c r="V169">
        <v>1E-4</v>
      </c>
      <c r="W169">
        <v>1000000000</v>
      </c>
      <c r="X169">
        <v>1000000000</v>
      </c>
      <c r="Y169">
        <v>1000000000</v>
      </c>
      <c r="Z169">
        <v>1000000000</v>
      </c>
      <c r="AA169">
        <v>1000000000</v>
      </c>
      <c r="AB169">
        <v>1000000000</v>
      </c>
      <c r="AC169">
        <v>8.0000000000000004E-4</v>
      </c>
      <c r="AD169">
        <v>1000000000</v>
      </c>
      <c r="AE169">
        <v>1000000000</v>
      </c>
      <c r="AF169" t="s">
        <v>2051</v>
      </c>
      <c r="AG169" t="s">
        <v>2051</v>
      </c>
      <c r="AH169">
        <v>1</v>
      </c>
      <c r="AI169">
        <v>10</v>
      </c>
      <c r="AJ169">
        <v>30</v>
      </c>
      <c r="AK169" t="s">
        <v>2051</v>
      </c>
      <c r="AL169" t="s">
        <v>2051</v>
      </c>
      <c r="AM169" t="s">
        <v>2051</v>
      </c>
      <c r="AN169" t="s">
        <v>2051</v>
      </c>
      <c r="AO169" t="s">
        <v>2051</v>
      </c>
      <c r="AP169" t="s">
        <v>2051</v>
      </c>
      <c r="AQ169" t="s">
        <v>2051</v>
      </c>
      <c r="AR169" t="s">
        <v>2051</v>
      </c>
      <c r="AS169" t="s">
        <v>2051</v>
      </c>
      <c r="AT169" t="s">
        <v>2051</v>
      </c>
      <c r="AU169" t="s">
        <v>2051</v>
      </c>
      <c r="AV169" t="s">
        <v>2051</v>
      </c>
      <c r="AW169" t="s">
        <v>2051</v>
      </c>
      <c r="AX169" t="s">
        <v>2051</v>
      </c>
      <c r="AY169" t="s">
        <v>2051</v>
      </c>
      <c r="AZ169" t="s">
        <v>2051</v>
      </c>
    </row>
    <row r="170" spans="1:52" x14ac:dyDescent="0.2">
      <c r="A170" t="s">
        <v>403</v>
      </c>
      <c r="B170">
        <v>4446</v>
      </c>
      <c r="C170" t="s">
        <v>893</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2051</v>
      </c>
      <c r="O170" t="s">
        <v>894</v>
      </c>
      <c r="P170">
        <v>14</v>
      </c>
      <c r="Q170">
        <v>1000000000</v>
      </c>
      <c r="R170">
        <v>1000000000</v>
      </c>
      <c r="S170">
        <v>1000000000</v>
      </c>
      <c r="T170" t="s">
        <v>893</v>
      </c>
      <c r="U170">
        <v>58</v>
      </c>
      <c r="V170">
        <v>1E-4</v>
      </c>
      <c r="W170">
        <v>1000000000</v>
      </c>
      <c r="X170">
        <v>1000000000</v>
      </c>
      <c r="Y170">
        <v>1000000000</v>
      </c>
      <c r="Z170">
        <v>1000000000</v>
      </c>
      <c r="AA170">
        <v>1000000000</v>
      </c>
      <c r="AB170">
        <v>1000000000</v>
      </c>
      <c r="AC170">
        <v>8.0000000000000004E-4</v>
      </c>
      <c r="AD170">
        <v>1000000000</v>
      </c>
      <c r="AE170">
        <v>1000000000</v>
      </c>
      <c r="AF170" t="s">
        <v>2051</v>
      </c>
      <c r="AG170" t="s">
        <v>2051</v>
      </c>
      <c r="AH170">
        <v>1</v>
      </c>
      <c r="AI170">
        <v>10</v>
      </c>
      <c r="AJ170">
        <v>30</v>
      </c>
      <c r="AK170" t="s">
        <v>2051</v>
      </c>
      <c r="AL170" t="s">
        <v>2051</v>
      </c>
      <c r="AM170" t="s">
        <v>2051</v>
      </c>
      <c r="AN170" t="s">
        <v>2051</v>
      </c>
      <c r="AO170" t="s">
        <v>2051</v>
      </c>
      <c r="AP170" t="s">
        <v>2051</v>
      </c>
      <c r="AQ170" t="s">
        <v>2051</v>
      </c>
      <c r="AR170" t="s">
        <v>2051</v>
      </c>
      <c r="AS170" t="s">
        <v>2051</v>
      </c>
      <c r="AT170" t="s">
        <v>2051</v>
      </c>
      <c r="AU170" t="s">
        <v>2051</v>
      </c>
      <c r="AV170" t="s">
        <v>2051</v>
      </c>
      <c r="AW170" t="s">
        <v>2051</v>
      </c>
      <c r="AX170" t="s">
        <v>2051</v>
      </c>
      <c r="AY170" t="s">
        <v>2051</v>
      </c>
      <c r="AZ170" t="s">
        <v>2051</v>
      </c>
    </row>
    <row r="171" spans="1:52" x14ac:dyDescent="0.2">
      <c r="A171" t="s">
        <v>404</v>
      </c>
      <c r="B171">
        <v>6001</v>
      </c>
      <c r="C171" t="s">
        <v>893</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2051</v>
      </c>
      <c r="O171" t="s">
        <v>894</v>
      </c>
      <c r="P171">
        <v>14</v>
      </c>
      <c r="Q171">
        <v>1000000000</v>
      </c>
      <c r="R171">
        <v>1000000000</v>
      </c>
      <c r="S171">
        <v>1000000000</v>
      </c>
      <c r="T171" t="s">
        <v>893</v>
      </c>
      <c r="U171">
        <v>58</v>
      </c>
      <c r="V171">
        <v>1E-4</v>
      </c>
      <c r="W171">
        <v>1000000000</v>
      </c>
      <c r="X171">
        <v>1000000000</v>
      </c>
      <c r="Y171">
        <v>1000000000</v>
      </c>
      <c r="Z171">
        <v>1000000000</v>
      </c>
      <c r="AA171">
        <v>1000000000</v>
      </c>
      <c r="AB171">
        <v>1000000000</v>
      </c>
      <c r="AC171">
        <v>8.0000000000000004E-4</v>
      </c>
      <c r="AD171">
        <v>1000000000</v>
      </c>
      <c r="AE171">
        <v>1000000000</v>
      </c>
      <c r="AF171" t="s">
        <v>2051</v>
      </c>
      <c r="AG171" t="s">
        <v>2051</v>
      </c>
      <c r="AH171">
        <v>1</v>
      </c>
      <c r="AI171">
        <v>10</v>
      </c>
      <c r="AJ171">
        <v>30</v>
      </c>
      <c r="AK171" t="s">
        <v>2051</v>
      </c>
      <c r="AL171" t="s">
        <v>2051</v>
      </c>
      <c r="AM171" t="s">
        <v>2051</v>
      </c>
      <c r="AN171" t="s">
        <v>2051</v>
      </c>
      <c r="AO171" t="s">
        <v>2051</v>
      </c>
      <c r="AP171" t="s">
        <v>2051</v>
      </c>
      <c r="AQ171" t="s">
        <v>2051</v>
      </c>
      <c r="AR171" t="s">
        <v>2051</v>
      </c>
      <c r="AS171" t="s">
        <v>2051</v>
      </c>
      <c r="AT171" t="s">
        <v>2051</v>
      </c>
      <c r="AU171" t="s">
        <v>2051</v>
      </c>
      <c r="AV171" t="s">
        <v>2051</v>
      </c>
      <c r="AW171" t="s">
        <v>2051</v>
      </c>
      <c r="AX171" t="s">
        <v>2051</v>
      </c>
      <c r="AY171" t="s">
        <v>2051</v>
      </c>
      <c r="AZ171" t="s">
        <v>2051</v>
      </c>
    </row>
    <row r="172" spans="1:52" x14ac:dyDescent="0.2">
      <c r="A172" t="s">
        <v>405</v>
      </c>
      <c r="B172">
        <v>5998</v>
      </c>
      <c r="C172" t="s">
        <v>893</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2051</v>
      </c>
      <c r="O172" t="s">
        <v>894</v>
      </c>
      <c r="P172">
        <v>14</v>
      </c>
      <c r="Q172">
        <v>1000000000</v>
      </c>
      <c r="R172">
        <v>1000000000</v>
      </c>
      <c r="S172">
        <v>1000000000</v>
      </c>
      <c r="T172" t="s">
        <v>893</v>
      </c>
      <c r="U172">
        <v>58</v>
      </c>
      <c r="V172">
        <v>1E-4</v>
      </c>
      <c r="W172">
        <v>1000000000</v>
      </c>
      <c r="X172">
        <v>1000000000</v>
      </c>
      <c r="Y172">
        <v>1000000000</v>
      </c>
      <c r="Z172">
        <v>1000000000</v>
      </c>
      <c r="AA172">
        <v>1000000000</v>
      </c>
      <c r="AB172">
        <v>1000000000</v>
      </c>
      <c r="AC172">
        <v>8.0000000000000004E-4</v>
      </c>
      <c r="AD172">
        <v>1000000000</v>
      </c>
      <c r="AE172">
        <v>1000000000</v>
      </c>
      <c r="AF172" t="s">
        <v>2051</v>
      </c>
      <c r="AG172" t="s">
        <v>2051</v>
      </c>
      <c r="AH172">
        <v>1</v>
      </c>
      <c r="AI172">
        <v>10</v>
      </c>
      <c r="AJ172">
        <v>30</v>
      </c>
      <c r="AK172" t="s">
        <v>2051</v>
      </c>
      <c r="AL172" t="s">
        <v>2051</v>
      </c>
      <c r="AM172" t="s">
        <v>2051</v>
      </c>
      <c r="AN172" t="s">
        <v>2051</v>
      </c>
      <c r="AO172" t="s">
        <v>2051</v>
      </c>
      <c r="AP172" t="s">
        <v>2051</v>
      </c>
      <c r="AQ172" t="s">
        <v>2051</v>
      </c>
      <c r="AR172" t="s">
        <v>2051</v>
      </c>
      <c r="AS172" t="s">
        <v>2051</v>
      </c>
      <c r="AT172" t="s">
        <v>2051</v>
      </c>
      <c r="AU172" t="s">
        <v>2051</v>
      </c>
      <c r="AV172" t="s">
        <v>2051</v>
      </c>
      <c r="AW172" t="s">
        <v>2051</v>
      </c>
      <c r="AX172" t="s">
        <v>2051</v>
      </c>
      <c r="AY172" t="s">
        <v>2051</v>
      </c>
      <c r="AZ172" t="s">
        <v>2051</v>
      </c>
    </row>
    <row r="173" spans="1:52" x14ac:dyDescent="0.2">
      <c r="A173" t="s">
        <v>406</v>
      </c>
      <c r="B173">
        <v>5741</v>
      </c>
      <c r="C173" t="s">
        <v>893</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2051</v>
      </c>
      <c r="O173" t="s">
        <v>894</v>
      </c>
      <c r="P173">
        <v>14</v>
      </c>
      <c r="Q173">
        <v>1000000000</v>
      </c>
      <c r="R173">
        <v>1000000000</v>
      </c>
      <c r="S173">
        <v>60</v>
      </c>
      <c r="T173" t="s">
        <v>893</v>
      </c>
      <c r="U173">
        <v>58</v>
      </c>
      <c r="V173">
        <v>1E-4</v>
      </c>
      <c r="W173">
        <v>1000000000</v>
      </c>
      <c r="X173">
        <v>1000000000</v>
      </c>
      <c r="Y173">
        <v>1000000000</v>
      </c>
      <c r="Z173">
        <v>1000000000</v>
      </c>
      <c r="AA173">
        <v>1000000000</v>
      </c>
      <c r="AB173">
        <v>1000000000</v>
      </c>
      <c r="AC173">
        <v>8.0000000000000004E-4</v>
      </c>
      <c r="AD173">
        <v>1000000000</v>
      </c>
      <c r="AE173">
        <v>1000000000</v>
      </c>
      <c r="AF173" t="s">
        <v>2051</v>
      </c>
      <c r="AG173" t="s">
        <v>2051</v>
      </c>
      <c r="AH173">
        <v>1</v>
      </c>
      <c r="AI173">
        <v>10</v>
      </c>
      <c r="AJ173">
        <v>30</v>
      </c>
      <c r="AK173" t="s">
        <v>2051</v>
      </c>
      <c r="AL173" t="s">
        <v>2051</v>
      </c>
      <c r="AM173" t="s">
        <v>2051</v>
      </c>
      <c r="AN173" t="s">
        <v>2051</v>
      </c>
      <c r="AO173" t="s">
        <v>2051</v>
      </c>
      <c r="AP173" t="s">
        <v>2051</v>
      </c>
      <c r="AQ173" t="s">
        <v>2051</v>
      </c>
      <c r="AR173" t="s">
        <v>2051</v>
      </c>
      <c r="AS173" t="s">
        <v>2051</v>
      </c>
      <c r="AT173" t="s">
        <v>2051</v>
      </c>
      <c r="AU173" t="s">
        <v>2051</v>
      </c>
      <c r="AV173" t="s">
        <v>2051</v>
      </c>
      <c r="AW173" t="s">
        <v>2051</v>
      </c>
      <c r="AX173" t="s">
        <v>2051</v>
      </c>
      <c r="AY173" t="s">
        <v>2051</v>
      </c>
      <c r="AZ173" t="s">
        <v>2051</v>
      </c>
    </row>
    <row r="174" spans="1:52" x14ac:dyDescent="0.2">
      <c r="A174" t="s">
        <v>787</v>
      </c>
      <c r="B174">
        <v>90001</v>
      </c>
      <c r="C174" t="s">
        <v>893</v>
      </c>
      <c r="D174">
        <v>58</v>
      </c>
      <c r="E174">
        <v>1000000000</v>
      </c>
      <c r="F174">
        <v>1000000000</v>
      </c>
      <c r="G174">
        <v>1000000000</v>
      </c>
      <c r="H174">
        <v>1000000000</v>
      </c>
      <c r="I174">
        <v>1000000000</v>
      </c>
      <c r="J174">
        <v>1000000000</v>
      </c>
      <c r="K174">
        <v>1000000000</v>
      </c>
      <c r="L174">
        <v>1000000000</v>
      </c>
      <c r="M174">
        <v>1000000000</v>
      </c>
      <c r="N174" t="s">
        <v>2051</v>
      </c>
      <c r="O174" t="s">
        <v>894</v>
      </c>
      <c r="P174">
        <v>14</v>
      </c>
      <c r="Q174">
        <v>1000000000</v>
      </c>
      <c r="R174">
        <v>1000000000</v>
      </c>
      <c r="S174">
        <v>1000000000</v>
      </c>
      <c r="T174" t="s">
        <v>893</v>
      </c>
      <c r="U174">
        <v>58</v>
      </c>
      <c r="V174">
        <v>1000000000</v>
      </c>
      <c r="W174">
        <v>1000000000</v>
      </c>
      <c r="X174">
        <v>1000000000</v>
      </c>
      <c r="Y174">
        <v>1000000000</v>
      </c>
      <c r="Z174">
        <v>1000000000</v>
      </c>
      <c r="AA174">
        <v>1000000000</v>
      </c>
      <c r="AB174">
        <v>1000000000</v>
      </c>
      <c r="AC174">
        <v>1000000000</v>
      </c>
      <c r="AD174">
        <v>1000000000</v>
      </c>
      <c r="AE174">
        <v>1000000000</v>
      </c>
      <c r="AF174" t="s">
        <v>2051</v>
      </c>
      <c r="AG174" t="s">
        <v>2051</v>
      </c>
      <c r="AH174">
        <v>1</v>
      </c>
      <c r="AI174">
        <v>10</v>
      </c>
      <c r="AJ174">
        <v>30</v>
      </c>
      <c r="AK174" t="s">
        <v>2051</v>
      </c>
      <c r="AL174" t="s">
        <v>2051</v>
      </c>
      <c r="AM174" t="s">
        <v>2051</v>
      </c>
      <c r="AN174" t="s">
        <v>2051</v>
      </c>
      <c r="AO174" t="s">
        <v>2051</v>
      </c>
      <c r="AP174" t="s">
        <v>2051</v>
      </c>
      <c r="AQ174" t="s">
        <v>2051</v>
      </c>
      <c r="AR174" t="s">
        <v>2051</v>
      </c>
      <c r="AS174" t="s">
        <v>2051</v>
      </c>
      <c r="AT174" t="s">
        <v>2051</v>
      </c>
      <c r="AU174" t="s">
        <v>2051</v>
      </c>
      <c r="AV174" t="s">
        <v>2051</v>
      </c>
      <c r="AW174" t="s">
        <v>2051</v>
      </c>
      <c r="AX174" t="s">
        <v>2051</v>
      </c>
      <c r="AY174" t="s">
        <v>2051</v>
      </c>
      <c r="AZ174" t="s">
        <v>2051</v>
      </c>
    </row>
    <row r="175" spans="1:52" x14ac:dyDescent="0.2">
      <c r="A175" t="s">
        <v>267</v>
      </c>
      <c r="B175">
        <v>90002</v>
      </c>
      <c r="C175" t="s">
        <v>893</v>
      </c>
      <c r="D175">
        <v>58</v>
      </c>
      <c r="E175">
        <v>1000000000</v>
      </c>
      <c r="F175">
        <v>1000000000</v>
      </c>
      <c r="G175">
        <v>1000000000</v>
      </c>
      <c r="H175">
        <v>1000000000</v>
      </c>
      <c r="I175">
        <v>1000000000</v>
      </c>
      <c r="J175">
        <v>1000000000</v>
      </c>
      <c r="K175">
        <v>1000000000</v>
      </c>
      <c r="L175">
        <v>1000000000</v>
      </c>
      <c r="M175">
        <v>1000000000</v>
      </c>
      <c r="N175" t="s">
        <v>2051</v>
      </c>
      <c r="O175" t="s">
        <v>894</v>
      </c>
      <c r="P175">
        <v>14</v>
      </c>
      <c r="Q175">
        <v>1000000000</v>
      </c>
      <c r="R175">
        <v>1000000000</v>
      </c>
      <c r="S175">
        <v>1000000000</v>
      </c>
      <c r="T175" t="s">
        <v>893</v>
      </c>
      <c r="U175">
        <v>58</v>
      </c>
      <c r="V175">
        <v>1000000000</v>
      </c>
      <c r="W175">
        <v>1000000000</v>
      </c>
      <c r="X175">
        <v>1000000000</v>
      </c>
      <c r="Y175">
        <v>1000000000</v>
      </c>
      <c r="Z175">
        <v>1000000000</v>
      </c>
      <c r="AA175">
        <v>1000000000</v>
      </c>
      <c r="AB175">
        <v>1000000000</v>
      </c>
      <c r="AC175">
        <v>1000000000</v>
      </c>
      <c r="AD175">
        <v>1000000000</v>
      </c>
      <c r="AE175">
        <v>1000000000</v>
      </c>
      <c r="AF175" t="s">
        <v>2051</v>
      </c>
      <c r="AG175" t="s">
        <v>2051</v>
      </c>
      <c r="AH175">
        <v>1</v>
      </c>
      <c r="AI175">
        <v>10</v>
      </c>
      <c r="AJ175">
        <v>30</v>
      </c>
      <c r="AK175" t="s">
        <v>2051</v>
      </c>
      <c r="AL175" t="s">
        <v>2051</v>
      </c>
      <c r="AM175" t="s">
        <v>2051</v>
      </c>
      <c r="AN175" t="s">
        <v>2051</v>
      </c>
      <c r="AO175" t="s">
        <v>2051</v>
      </c>
      <c r="AP175" t="s">
        <v>2051</v>
      </c>
      <c r="AQ175" t="s">
        <v>2051</v>
      </c>
      <c r="AR175" t="s">
        <v>2051</v>
      </c>
      <c r="AS175" t="s">
        <v>2051</v>
      </c>
      <c r="AT175" t="s">
        <v>2051</v>
      </c>
      <c r="AU175" t="s">
        <v>2051</v>
      </c>
      <c r="AV175" t="s">
        <v>2051</v>
      </c>
      <c r="AW175" t="s">
        <v>2051</v>
      </c>
      <c r="AX175" t="s">
        <v>2051</v>
      </c>
      <c r="AY175" t="s">
        <v>2051</v>
      </c>
      <c r="AZ175" t="s">
        <v>2051</v>
      </c>
    </row>
    <row r="176" spans="1:52" x14ac:dyDescent="0.2">
      <c r="A176" t="s">
        <v>852</v>
      </c>
      <c r="B176">
        <v>313</v>
      </c>
      <c r="C176" t="s">
        <v>893</v>
      </c>
      <c r="D176">
        <v>58</v>
      </c>
      <c r="E176">
        <v>1000000000</v>
      </c>
      <c r="F176">
        <v>100</v>
      </c>
      <c r="G176">
        <v>100</v>
      </c>
      <c r="H176">
        <v>100</v>
      </c>
      <c r="I176">
        <v>100</v>
      </c>
      <c r="J176">
        <v>100</v>
      </c>
      <c r="K176">
        <v>1000000000</v>
      </c>
      <c r="L176">
        <v>1000000000</v>
      </c>
      <c r="M176">
        <v>100</v>
      </c>
      <c r="N176" t="s">
        <v>2051</v>
      </c>
      <c r="O176" t="s">
        <v>2051</v>
      </c>
      <c r="P176" t="s">
        <v>2051</v>
      </c>
      <c r="Q176">
        <v>1000000000</v>
      </c>
      <c r="R176">
        <v>1000000000</v>
      </c>
      <c r="S176">
        <v>1000000000</v>
      </c>
      <c r="T176" t="s">
        <v>893</v>
      </c>
      <c r="U176">
        <v>58</v>
      </c>
      <c r="V176">
        <v>1000000000</v>
      </c>
      <c r="W176">
        <v>1000000000</v>
      </c>
      <c r="X176">
        <v>100</v>
      </c>
      <c r="Y176">
        <v>100</v>
      </c>
      <c r="Z176">
        <v>100</v>
      </c>
      <c r="AA176">
        <v>1000000000</v>
      </c>
      <c r="AB176">
        <v>1000000000</v>
      </c>
      <c r="AC176">
        <v>100</v>
      </c>
      <c r="AD176">
        <v>100</v>
      </c>
      <c r="AE176">
        <v>100</v>
      </c>
      <c r="AF176">
        <v>1</v>
      </c>
      <c r="AG176" t="s">
        <v>2051</v>
      </c>
      <c r="AH176" t="s">
        <v>2051</v>
      </c>
      <c r="AI176" t="s">
        <v>2051</v>
      </c>
      <c r="AJ176">
        <v>100</v>
      </c>
      <c r="AK176" t="s">
        <v>2051</v>
      </c>
      <c r="AL176" t="s">
        <v>2051</v>
      </c>
      <c r="AM176" t="s">
        <v>2051</v>
      </c>
      <c r="AN176" t="s">
        <v>2051</v>
      </c>
      <c r="AO176" t="s">
        <v>2051</v>
      </c>
      <c r="AP176" t="s">
        <v>2051</v>
      </c>
      <c r="AQ176" t="s">
        <v>2051</v>
      </c>
      <c r="AR176" t="s">
        <v>2051</v>
      </c>
      <c r="AS176" t="s">
        <v>2051</v>
      </c>
      <c r="AT176" t="s">
        <v>2051</v>
      </c>
      <c r="AU176" t="s">
        <v>2051</v>
      </c>
      <c r="AV176" t="s">
        <v>2051</v>
      </c>
      <c r="AW176" t="s">
        <v>2051</v>
      </c>
      <c r="AX176" t="s">
        <v>2051</v>
      </c>
      <c r="AY176" t="s">
        <v>2051</v>
      </c>
      <c r="AZ176" t="s">
        <v>2051</v>
      </c>
    </row>
    <row r="177" spans="1:52" x14ac:dyDescent="0.2">
      <c r="A177" t="s">
        <v>853</v>
      </c>
      <c r="B177">
        <v>542</v>
      </c>
      <c r="C177" t="s">
        <v>893</v>
      </c>
      <c r="D177">
        <v>58</v>
      </c>
      <c r="E177">
        <v>1000000000</v>
      </c>
      <c r="F177">
        <v>2</v>
      </c>
      <c r="G177">
        <v>2</v>
      </c>
      <c r="H177">
        <v>150</v>
      </c>
      <c r="I177">
        <v>150</v>
      </c>
      <c r="J177">
        <v>150</v>
      </c>
      <c r="K177">
        <v>1000000000</v>
      </c>
      <c r="L177">
        <v>1000000000</v>
      </c>
      <c r="M177">
        <v>150</v>
      </c>
      <c r="N177" t="s">
        <v>2051</v>
      </c>
      <c r="O177" t="s">
        <v>894</v>
      </c>
      <c r="P177">
        <v>14</v>
      </c>
      <c r="Q177">
        <v>1000000000</v>
      </c>
      <c r="R177">
        <v>1000000000</v>
      </c>
      <c r="S177">
        <v>15000</v>
      </c>
      <c r="T177" t="s">
        <v>893</v>
      </c>
      <c r="U177">
        <v>58</v>
      </c>
      <c r="V177">
        <v>1000000000</v>
      </c>
      <c r="W177">
        <v>2</v>
      </c>
      <c r="X177">
        <v>1000000000</v>
      </c>
      <c r="Y177">
        <v>45</v>
      </c>
      <c r="Z177">
        <v>45</v>
      </c>
      <c r="AA177">
        <v>1000000000</v>
      </c>
      <c r="AB177">
        <v>1000000000</v>
      </c>
      <c r="AC177">
        <v>2</v>
      </c>
      <c r="AD177">
        <v>1000000000</v>
      </c>
      <c r="AE177">
        <v>2</v>
      </c>
      <c r="AF177" t="s">
        <v>2051</v>
      </c>
      <c r="AG177" t="s">
        <v>2051</v>
      </c>
      <c r="AH177">
        <v>1</v>
      </c>
      <c r="AI177">
        <v>2</v>
      </c>
      <c r="AJ177">
        <v>30</v>
      </c>
      <c r="AK177" t="s">
        <v>2051</v>
      </c>
      <c r="AL177" t="s">
        <v>2051</v>
      </c>
      <c r="AM177" t="s">
        <v>2051</v>
      </c>
      <c r="AN177" t="s">
        <v>2051</v>
      </c>
      <c r="AO177" t="s">
        <v>2051</v>
      </c>
      <c r="AP177" t="s">
        <v>2051</v>
      </c>
      <c r="AQ177" t="s">
        <v>2051</v>
      </c>
      <c r="AR177" t="s">
        <v>2051</v>
      </c>
      <c r="AS177" t="s">
        <v>2051</v>
      </c>
      <c r="AT177" t="s">
        <v>2051</v>
      </c>
      <c r="AU177" t="s">
        <v>2051</v>
      </c>
      <c r="AV177" t="s">
        <v>2051</v>
      </c>
      <c r="AW177" t="s">
        <v>2051</v>
      </c>
      <c r="AX177" t="s">
        <v>2051</v>
      </c>
      <c r="AY177" t="s">
        <v>2051</v>
      </c>
      <c r="AZ177" t="s">
        <v>2051</v>
      </c>
    </row>
    <row r="178" spans="1:52" x14ac:dyDescent="0.2">
      <c r="A178" t="s">
        <v>854</v>
      </c>
      <c r="B178">
        <v>1451</v>
      </c>
      <c r="C178" t="s">
        <v>893</v>
      </c>
      <c r="D178">
        <v>58</v>
      </c>
      <c r="E178">
        <v>1000000000</v>
      </c>
      <c r="F178">
        <v>0.15</v>
      </c>
      <c r="G178">
        <v>0.15</v>
      </c>
      <c r="H178">
        <v>1</v>
      </c>
      <c r="I178">
        <v>11</v>
      </c>
      <c r="J178">
        <v>11</v>
      </c>
      <c r="K178">
        <v>1000000000</v>
      </c>
      <c r="L178">
        <v>1000000000</v>
      </c>
      <c r="M178">
        <v>11</v>
      </c>
      <c r="N178" t="s">
        <v>2051</v>
      </c>
      <c r="O178" t="s">
        <v>894</v>
      </c>
      <c r="P178">
        <v>14</v>
      </c>
      <c r="Q178">
        <v>1000000000</v>
      </c>
      <c r="R178">
        <v>1000000000</v>
      </c>
      <c r="S178">
        <v>30</v>
      </c>
      <c r="T178" t="s">
        <v>893</v>
      </c>
      <c r="U178">
        <v>58</v>
      </c>
      <c r="V178">
        <v>1000000000</v>
      </c>
      <c r="W178">
        <v>0.15</v>
      </c>
      <c r="X178">
        <v>1000000000</v>
      </c>
      <c r="Y178">
        <v>0.5</v>
      </c>
      <c r="Z178">
        <v>0.5</v>
      </c>
      <c r="AA178">
        <v>1000000000</v>
      </c>
      <c r="AB178">
        <v>1000000000</v>
      </c>
      <c r="AC178">
        <v>0.15</v>
      </c>
      <c r="AD178">
        <v>1000000000</v>
      </c>
      <c r="AE178">
        <v>0.15</v>
      </c>
      <c r="AF178" t="s">
        <v>2051</v>
      </c>
      <c r="AG178" t="s">
        <v>2051</v>
      </c>
      <c r="AH178">
        <v>1</v>
      </c>
      <c r="AI178">
        <v>2</v>
      </c>
      <c r="AJ178">
        <v>30</v>
      </c>
      <c r="AK178" t="s">
        <v>2051</v>
      </c>
      <c r="AL178" t="s">
        <v>2051</v>
      </c>
      <c r="AM178" t="s">
        <v>2051</v>
      </c>
      <c r="AN178" t="s">
        <v>2051</v>
      </c>
      <c r="AO178" t="s">
        <v>2051</v>
      </c>
      <c r="AP178" t="s">
        <v>2051</v>
      </c>
      <c r="AQ178" t="s">
        <v>2051</v>
      </c>
      <c r="AR178" t="s">
        <v>2051</v>
      </c>
      <c r="AS178" t="s">
        <v>2051</v>
      </c>
      <c r="AT178" t="s">
        <v>2051</v>
      </c>
      <c r="AU178" t="s">
        <v>2051</v>
      </c>
      <c r="AV178" t="s">
        <v>2051</v>
      </c>
      <c r="AW178" t="s">
        <v>2051</v>
      </c>
      <c r="AX178" t="s">
        <v>2051</v>
      </c>
      <c r="AY178" t="s">
        <v>2051</v>
      </c>
      <c r="AZ178" t="s">
        <v>2051</v>
      </c>
    </row>
    <row r="179" spans="1:52" x14ac:dyDescent="0.2">
      <c r="A179" t="s">
        <v>855</v>
      </c>
      <c r="B179">
        <v>1544</v>
      </c>
      <c r="C179" t="s">
        <v>893</v>
      </c>
      <c r="D179">
        <v>58</v>
      </c>
      <c r="E179">
        <v>1000000000</v>
      </c>
      <c r="F179">
        <v>0.45</v>
      </c>
      <c r="G179">
        <v>0.45</v>
      </c>
      <c r="H179">
        <v>2</v>
      </c>
      <c r="I179">
        <v>7</v>
      </c>
      <c r="J179">
        <v>7</v>
      </c>
      <c r="K179">
        <v>1000000000</v>
      </c>
      <c r="L179">
        <v>1000000000</v>
      </c>
      <c r="M179">
        <v>7</v>
      </c>
      <c r="N179" t="s">
        <v>2051</v>
      </c>
      <c r="O179" t="s">
        <v>894</v>
      </c>
      <c r="P179">
        <v>14</v>
      </c>
      <c r="Q179">
        <v>1000000000</v>
      </c>
      <c r="R179">
        <v>1000000000</v>
      </c>
      <c r="S179">
        <v>300</v>
      </c>
      <c r="T179" t="s">
        <v>893</v>
      </c>
      <c r="U179">
        <v>58</v>
      </c>
      <c r="V179">
        <v>1000000000</v>
      </c>
      <c r="W179">
        <v>0.45</v>
      </c>
      <c r="X179">
        <v>1000000000</v>
      </c>
      <c r="Y179">
        <v>2</v>
      </c>
      <c r="Z179">
        <v>2</v>
      </c>
      <c r="AA179">
        <v>1000000000</v>
      </c>
      <c r="AB179">
        <v>1000000000</v>
      </c>
      <c r="AC179">
        <v>0.45</v>
      </c>
      <c r="AD179">
        <v>1000000000</v>
      </c>
      <c r="AE179">
        <v>0.45</v>
      </c>
      <c r="AF179" t="s">
        <v>2051</v>
      </c>
      <c r="AG179" t="s">
        <v>2051</v>
      </c>
      <c r="AH179">
        <v>1</v>
      </c>
      <c r="AI179">
        <v>2</v>
      </c>
      <c r="AJ179">
        <v>30</v>
      </c>
      <c r="AK179" t="s">
        <v>2051</v>
      </c>
      <c r="AL179" t="s">
        <v>2051</v>
      </c>
      <c r="AM179" t="s">
        <v>2051</v>
      </c>
      <c r="AN179" t="s">
        <v>2051</v>
      </c>
      <c r="AO179" t="s">
        <v>2051</v>
      </c>
      <c r="AP179" t="s">
        <v>2051</v>
      </c>
      <c r="AQ179" t="s">
        <v>2051</v>
      </c>
      <c r="AR179" t="s">
        <v>2051</v>
      </c>
      <c r="AS179" t="s">
        <v>2051</v>
      </c>
      <c r="AT179" t="s">
        <v>2051</v>
      </c>
      <c r="AU179" t="s">
        <v>2051</v>
      </c>
      <c r="AV179" t="s">
        <v>2051</v>
      </c>
      <c r="AW179" t="s">
        <v>2051</v>
      </c>
      <c r="AX179" t="s">
        <v>2051</v>
      </c>
      <c r="AY179" t="s">
        <v>2051</v>
      </c>
      <c r="AZ179" t="s">
        <v>2051</v>
      </c>
    </row>
    <row r="180" spans="1:52" x14ac:dyDescent="0.2">
      <c r="A180" t="s">
        <v>856</v>
      </c>
      <c r="B180">
        <v>1546</v>
      </c>
      <c r="C180" t="s">
        <v>893</v>
      </c>
      <c r="D180">
        <v>58</v>
      </c>
      <c r="E180">
        <v>1000000000</v>
      </c>
      <c r="F180">
        <v>1.5</v>
      </c>
      <c r="G180">
        <v>1.5</v>
      </c>
      <c r="H180">
        <v>8.8000000000000007</v>
      </c>
      <c r="I180">
        <v>8.8000000000000007</v>
      </c>
      <c r="J180">
        <v>8.8000000000000007</v>
      </c>
      <c r="K180">
        <v>1000000000</v>
      </c>
      <c r="L180">
        <v>1000000000</v>
      </c>
      <c r="M180">
        <v>8.8000000000000007</v>
      </c>
      <c r="N180" t="s">
        <v>2051</v>
      </c>
      <c r="O180" t="s">
        <v>894</v>
      </c>
      <c r="P180">
        <v>14</v>
      </c>
      <c r="Q180">
        <v>1000000000</v>
      </c>
      <c r="R180">
        <v>1000000000</v>
      </c>
      <c r="S180">
        <v>5000</v>
      </c>
      <c r="T180" t="s">
        <v>893</v>
      </c>
      <c r="U180">
        <v>58</v>
      </c>
      <c r="V180">
        <v>1000000000</v>
      </c>
      <c r="W180">
        <v>1.5</v>
      </c>
      <c r="X180">
        <v>1000000000</v>
      </c>
      <c r="Y180">
        <v>90</v>
      </c>
      <c r="Z180">
        <v>90</v>
      </c>
      <c r="AA180">
        <v>1000000000</v>
      </c>
      <c r="AB180">
        <v>1000000000</v>
      </c>
      <c r="AC180">
        <v>1.5</v>
      </c>
      <c r="AD180">
        <v>1000000000</v>
      </c>
      <c r="AE180">
        <v>1.5</v>
      </c>
      <c r="AF180" t="s">
        <v>2051</v>
      </c>
      <c r="AG180" t="s">
        <v>2051</v>
      </c>
      <c r="AH180">
        <v>1</v>
      </c>
      <c r="AI180">
        <v>2</v>
      </c>
      <c r="AJ180">
        <v>30</v>
      </c>
      <c r="AK180" t="s">
        <v>2051</v>
      </c>
      <c r="AL180" t="s">
        <v>2051</v>
      </c>
      <c r="AM180" t="s">
        <v>2051</v>
      </c>
      <c r="AN180" t="s">
        <v>2051</v>
      </c>
      <c r="AO180" t="s">
        <v>2051</v>
      </c>
      <c r="AP180" t="s">
        <v>2051</v>
      </c>
      <c r="AQ180" t="s">
        <v>2051</v>
      </c>
      <c r="AR180" t="s">
        <v>2051</v>
      </c>
      <c r="AS180" t="s">
        <v>2051</v>
      </c>
      <c r="AT180" t="s">
        <v>2051</v>
      </c>
      <c r="AU180" t="s">
        <v>2051</v>
      </c>
      <c r="AV180" t="s">
        <v>2051</v>
      </c>
      <c r="AW180" t="s">
        <v>2051</v>
      </c>
      <c r="AX180" t="s">
        <v>2051</v>
      </c>
      <c r="AY180" t="s">
        <v>2051</v>
      </c>
      <c r="AZ180" t="s">
        <v>2051</v>
      </c>
    </row>
    <row r="181" spans="1:52" x14ac:dyDescent="0.2">
      <c r="A181" t="s">
        <v>857</v>
      </c>
      <c r="B181">
        <v>254</v>
      </c>
      <c r="C181" t="s">
        <v>893</v>
      </c>
      <c r="D181">
        <v>58</v>
      </c>
      <c r="E181">
        <v>1000000000</v>
      </c>
      <c r="F181">
        <v>0.1</v>
      </c>
      <c r="G181">
        <v>0.1</v>
      </c>
      <c r="H181">
        <v>0.1</v>
      </c>
      <c r="I181">
        <v>1000000000</v>
      </c>
      <c r="J181">
        <v>1000000000</v>
      </c>
      <c r="K181">
        <v>1000000000</v>
      </c>
      <c r="L181">
        <v>1000000000</v>
      </c>
      <c r="M181">
        <v>1000000000</v>
      </c>
      <c r="N181" t="s">
        <v>2051</v>
      </c>
      <c r="O181" t="s">
        <v>894</v>
      </c>
      <c r="P181">
        <v>14</v>
      </c>
      <c r="Q181">
        <v>1000000000</v>
      </c>
      <c r="R181">
        <v>1000000000</v>
      </c>
      <c r="S181">
        <v>1000000000</v>
      </c>
      <c r="T181" t="s">
        <v>893</v>
      </c>
      <c r="U181">
        <v>58</v>
      </c>
      <c r="V181">
        <v>1000000000</v>
      </c>
      <c r="W181">
        <v>0.1</v>
      </c>
      <c r="X181">
        <v>1000000000</v>
      </c>
      <c r="Y181">
        <v>1000000000</v>
      </c>
      <c r="Z181">
        <v>1000000000</v>
      </c>
      <c r="AA181">
        <v>1000000000</v>
      </c>
      <c r="AB181">
        <v>1000000000</v>
      </c>
      <c r="AC181">
        <v>0.1</v>
      </c>
      <c r="AD181">
        <v>1000000000</v>
      </c>
      <c r="AE181">
        <v>0.1</v>
      </c>
      <c r="AF181" t="s">
        <v>2051</v>
      </c>
      <c r="AG181" t="s">
        <v>2051</v>
      </c>
      <c r="AH181">
        <v>1</v>
      </c>
      <c r="AI181">
        <v>2</v>
      </c>
      <c r="AJ181">
        <v>30</v>
      </c>
      <c r="AK181" t="s">
        <v>2051</v>
      </c>
      <c r="AL181" t="s">
        <v>2051</v>
      </c>
      <c r="AM181" t="s">
        <v>2051</v>
      </c>
      <c r="AN181" t="s">
        <v>2051</v>
      </c>
      <c r="AO181" t="s">
        <v>2051</v>
      </c>
      <c r="AP181" t="s">
        <v>2051</v>
      </c>
      <c r="AQ181" t="s">
        <v>2051</v>
      </c>
      <c r="AR181" t="s">
        <v>2051</v>
      </c>
      <c r="AS181" t="s">
        <v>2051</v>
      </c>
      <c r="AT181" t="s">
        <v>2051</v>
      </c>
      <c r="AU181" t="s">
        <v>2051</v>
      </c>
      <c r="AV181" t="s">
        <v>2051</v>
      </c>
      <c r="AW181" t="s">
        <v>2051</v>
      </c>
      <c r="AX181" t="s">
        <v>2051</v>
      </c>
      <c r="AY181" t="s">
        <v>2051</v>
      </c>
      <c r="AZ181" t="s">
        <v>2051</v>
      </c>
    </row>
    <row r="182" spans="1:52" x14ac:dyDescent="0.2">
      <c r="A182" t="s">
        <v>858</v>
      </c>
      <c r="B182">
        <v>785</v>
      </c>
      <c r="C182" t="s">
        <v>893</v>
      </c>
      <c r="D182">
        <v>58</v>
      </c>
      <c r="E182">
        <v>1000000000</v>
      </c>
      <c r="F182">
        <v>0.1</v>
      </c>
      <c r="G182">
        <v>0.1</v>
      </c>
      <c r="H182">
        <v>0.1</v>
      </c>
      <c r="I182">
        <v>1000000000</v>
      </c>
      <c r="J182">
        <v>1000000000</v>
      </c>
      <c r="K182">
        <v>1000000000</v>
      </c>
      <c r="L182">
        <v>1000000000</v>
      </c>
      <c r="M182">
        <v>1000000000</v>
      </c>
      <c r="N182" t="s">
        <v>2051</v>
      </c>
      <c r="O182" t="s">
        <v>894</v>
      </c>
      <c r="P182">
        <v>14</v>
      </c>
      <c r="Q182">
        <v>1000000000</v>
      </c>
      <c r="R182">
        <v>1000000000</v>
      </c>
      <c r="S182">
        <v>1000000000</v>
      </c>
      <c r="T182" t="s">
        <v>893</v>
      </c>
      <c r="U182">
        <v>58</v>
      </c>
      <c r="V182">
        <v>1000000000</v>
      </c>
      <c r="W182">
        <v>0.1</v>
      </c>
      <c r="X182">
        <v>1000000000</v>
      </c>
      <c r="Y182">
        <v>1000000000</v>
      </c>
      <c r="Z182">
        <v>1000000000</v>
      </c>
      <c r="AA182">
        <v>1000000000</v>
      </c>
      <c r="AB182">
        <v>1000000000</v>
      </c>
      <c r="AC182">
        <v>0.1</v>
      </c>
      <c r="AD182">
        <v>1000000000</v>
      </c>
      <c r="AE182">
        <v>0.1</v>
      </c>
      <c r="AF182" t="s">
        <v>2051</v>
      </c>
      <c r="AG182" t="s">
        <v>2051</v>
      </c>
      <c r="AH182">
        <v>1</v>
      </c>
      <c r="AI182">
        <v>2</v>
      </c>
      <c r="AJ182">
        <v>30</v>
      </c>
      <c r="AK182" t="s">
        <v>2051</v>
      </c>
      <c r="AL182" t="s">
        <v>2051</v>
      </c>
      <c r="AM182" t="s">
        <v>2051</v>
      </c>
      <c r="AN182" t="s">
        <v>2051</v>
      </c>
      <c r="AO182" t="s">
        <v>2051</v>
      </c>
      <c r="AP182" t="s">
        <v>2051</v>
      </c>
      <c r="AQ182" t="s">
        <v>2051</v>
      </c>
      <c r="AR182" t="s">
        <v>2051</v>
      </c>
      <c r="AS182" t="s">
        <v>2051</v>
      </c>
      <c r="AT182" t="s">
        <v>2051</v>
      </c>
      <c r="AU182" t="s">
        <v>2051</v>
      </c>
      <c r="AV182" t="s">
        <v>2051</v>
      </c>
      <c r="AW182" t="s">
        <v>2051</v>
      </c>
      <c r="AX182" t="s">
        <v>2051</v>
      </c>
      <c r="AY182" t="s">
        <v>2051</v>
      </c>
      <c r="AZ182" t="s">
        <v>2051</v>
      </c>
    </row>
    <row r="183" spans="1:52" x14ac:dyDescent="0.2">
      <c r="A183" t="s">
        <v>2051</v>
      </c>
      <c r="B183" t="s">
        <v>2051</v>
      </c>
      <c r="C183" t="s">
        <v>2051</v>
      </c>
      <c r="D183" t="s">
        <v>2051</v>
      </c>
      <c r="E183" t="s">
        <v>2051</v>
      </c>
      <c r="F183" t="s">
        <v>2051</v>
      </c>
      <c r="G183" t="s">
        <v>2051</v>
      </c>
      <c r="H183" t="s">
        <v>2051</v>
      </c>
      <c r="I183" t="s">
        <v>2051</v>
      </c>
      <c r="J183" t="s">
        <v>2051</v>
      </c>
      <c r="K183" t="s">
        <v>2051</v>
      </c>
      <c r="L183" t="s">
        <v>2051</v>
      </c>
      <c r="M183" t="s">
        <v>2051</v>
      </c>
      <c r="N183" t="s">
        <v>2051</v>
      </c>
      <c r="O183" t="s">
        <v>2051</v>
      </c>
      <c r="P183" t="s">
        <v>2051</v>
      </c>
      <c r="Q183" t="s">
        <v>2051</v>
      </c>
      <c r="R183" t="s">
        <v>2051</v>
      </c>
      <c r="S183" t="s">
        <v>2051</v>
      </c>
      <c r="T183" t="s">
        <v>2051</v>
      </c>
      <c r="U183" t="s">
        <v>2051</v>
      </c>
      <c r="V183" t="s">
        <v>2051</v>
      </c>
      <c r="W183" t="s">
        <v>2051</v>
      </c>
      <c r="X183" t="s">
        <v>2051</v>
      </c>
      <c r="Y183" t="s">
        <v>2051</v>
      </c>
      <c r="Z183" t="s">
        <v>2051</v>
      </c>
      <c r="AA183" t="s">
        <v>2051</v>
      </c>
      <c r="AB183" t="s">
        <v>2051</v>
      </c>
      <c r="AC183" t="s">
        <v>2051</v>
      </c>
      <c r="AD183" t="s">
        <v>2051</v>
      </c>
      <c r="AE183" t="s">
        <v>2051</v>
      </c>
      <c r="AF183" t="s">
        <v>2051</v>
      </c>
      <c r="AG183" t="s">
        <v>2051</v>
      </c>
      <c r="AH183" t="s">
        <v>2051</v>
      </c>
      <c r="AI183" t="s">
        <v>2051</v>
      </c>
      <c r="AJ183" t="s">
        <v>2051</v>
      </c>
      <c r="AK183" t="s">
        <v>2051</v>
      </c>
      <c r="AL183" t="s">
        <v>2051</v>
      </c>
      <c r="AM183" t="s">
        <v>2051</v>
      </c>
      <c r="AN183" t="s">
        <v>2051</v>
      </c>
      <c r="AO183" t="s">
        <v>2051</v>
      </c>
      <c r="AP183" t="s">
        <v>2051</v>
      </c>
      <c r="AQ183" t="s">
        <v>2051</v>
      </c>
      <c r="AR183" t="s">
        <v>2051</v>
      </c>
      <c r="AS183" t="s">
        <v>2051</v>
      </c>
      <c r="AT183" t="s">
        <v>2051</v>
      </c>
      <c r="AU183" t="s">
        <v>2051</v>
      </c>
      <c r="AV183" t="s">
        <v>2051</v>
      </c>
      <c r="AW183" t="s">
        <v>2051</v>
      </c>
      <c r="AX183" t="s">
        <v>2051</v>
      </c>
      <c r="AY183" t="s">
        <v>2051</v>
      </c>
      <c r="AZ183" t="s">
        <v>2051</v>
      </c>
    </row>
    <row r="184" spans="1:52" x14ac:dyDescent="0.2">
      <c r="A184" t="s">
        <v>2051</v>
      </c>
      <c r="B184" t="s">
        <v>2051</v>
      </c>
      <c r="C184" t="s">
        <v>2051</v>
      </c>
      <c r="D184" t="s">
        <v>2051</v>
      </c>
      <c r="E184" t="s">
        <v>2051</v>
      </c>
      <c r="F184" t="s">
        <v>2051</v>
      </c>
      <c r="G184" t="s">
        <v>2051</v>
      </c>
      <c r="H184" t="s">
        <v>2051</v>
      </c>
      <c r="I184" t="s">
        <v>2051</v>
      </c>
      <c r="J184" t="s">
        <v>2051</v>
      </c>
      <c r="K184" t="s">
        <v>2051</v>
      </c>
      <c r="L184" t="s">
        <v>2051</v>
      </c>
      <c r="M184" t="s">
        <v>2051</v>
      </c>
      <c r="N184" t="s">
        <v>2051</v>
      </c>
      <c r="O184" t="s">
        <v>2051</v>
      </c>
      <c r="P184" t="s">
        <v>2051</v>
      </c>
      <c r="Q184" t="s">
        <v>2051</v>
      </c>
      <c r="R184" t="s">
        <v>2051</v>
      </c>
      <c r="S184" t="s">
        <v>2051</v>
      </c>
      <c r="T184" t="s">
        <v>2051</v>
      </c>
      <c r="U184" t="s">
        <v>2051</v>
      </c>
      <c r="V184" t="s">
        <v>2051</v>
      </c>
      <c r="W184" t="s">
        <v>2051</v>
      </c>
      <c r="X184" t="s">
        <v>2051</v>
      </c>
      <c r="Y184" t="s">
        <v>2051</v>
      </c>
      <c r="Z184" t="s">
        <v>2051</v>
      </c>
      <c r="AA184" t="s">
        <v>2051</v>
      </c>
      <c r="AB184" t="s">
        <v>2051</v>
      </c>
      <c r="AC184" t="s">
        <v>2051</v>
      </c>
      <c r="AD184" t="s">
        <v>2051</v>
      </c>
      <c r="AE184" t="s">
        <v>2051</v>
      </c>
      <c r="AF184" t="s">
        <v>2051</v>
      </c>
      <c r="AG184" t="s">
        <v>2051</v>
      </c>
      <c r="AH184" t="s">
        <v>2051</v>
      </c>
      <c r="AI184" t="s">
        <v>2051</v>
      </c>
      <c r="AJ184" t="s">
        <v>2051</v>
      </c>
      <c r="AK184" t="s">
        <v>2051</v>
      </c>
      <c r="AL184" t="s">
        <v>2051</v>
      </c>
      <c r="AM184" t="s">
        <v>2051</v>
      </c>
      <c r="AN184" t="s">
        <v>2051</v>
      </c>
      <c r="AO184" t="s">
        <v>2051</v>
      </c>
      <c r="AP184" t="s">
        <v>2051</v>
      </c>
      <c r="AQ184" t="s">
        <v>2051</v>
      </c>
      <c r="AR184" t="s">
        <v>2051</v>
      </c>
      <c r="AS184" t="s">
        <v>2051</v>
      </c>
      <c r="AT184" t="s">
        <v>2051</v>
      </c>
      <c r="AU184" t="s">
        <v>2051</v>
      </c>
      <c r="AV184" t="s">
        <v>2051</v>
      </c>
      <c r="AW184" t="s">
        <v>2051</v>
      </c>
      <c r="AX184" t="s">
        <v>2051</v>
      </c>
      <c r="AY184" t="s">
        <v>2051</v>
      </c>
      <c r="AZ184" t="s">
        <v>2051</v>
      </c>
    </row>
    <row r="185" spans="1:52" x14ac:dyDescent="0.2">
      <c r="A185" t="s">
        <v>2051</v>
      </c>
      <c r="B185" t="s">
        <v>2051</v>
      </c>
      <c r="C185" t="s">
        <v>2051</v>
      </c>
      <c r="D185" t="s">
        <v>2051</v>
      </c>
      <c r="E185" t="s">
        <v>2051</v>
      </c>
      <c r="F185" t="s">
        <v>2051</v>
      </c>
      <c r="G185" t="s">
        <v>2051</v>
      </c>
      <c r="H185" t="s">
        <v>2051</v>
      </c>
      <c r="I185" t="s">
        <v>2051</v>
      </c>
      <c r="J185" t="s">
        <v>2051</v>
      </c>
      <c r="K185" t="s">
        <v>2051</v>
      </c>
      <c r="L185" t="s">
        <v>2051</v>
      </c>
      <c r="M185" t="s">
        <v>2051</v>
      </c>
      <c r="N185" t="s">
        <v>2051</v>
      </c>
      <c r="O185" t="s">
        <v>2051</v>
      </c>
      <c r="P185" t="s">
        <v>2051</v>
      </c>
      <c r="Q185" t="s">
        <v>2051</v>
      </c>
      <c r="R185" t="s">
        <v>2051</v>
      </c>
      <c r="S185" t="s">
        <v>2051</v>
      </c>
      <c r="T185" t="s">
        <v>2051</v>
      </c>
      <c r="U185" t="s">
        <v>2051</v>
      </c>
      <c r="V185" t="s">
        <v>2051</v>
      </c>
      <c r="W185" t="s">
        <v>2051</v>
      </c>
      <c r="X185" t="s">
        <v>2051</v>
      </c>
      <c r="Y185" t="s">
        <v>2051</v>
      </c>
      <c r="Z185" t="s">
        <v>2051</v>
      </c>
      <c r="AA185" t="s">
        <v>2051</v>
      </c>
      <c r="AB185" t="s">
        <v>2051</v>
      </c>
      <c r="AC185" t="s">
        <v>2051</v>
      </c>
      <c r="AD185" t="s">
        <v>2051</v>
      </c>
      <c r="AE185" t="s">
        <v>2051</v>
      </c>
      <c r="AF185" t="s">
        <v>2051</v>
      </c>
      <c r="AG185" t="s">
        <v>2051</v>
      </c>
      <c r="AH185" t="s">
        <v>2051</v>
      </c>
      <c r="AI185" t="s">
        <v>2051</v>
      </c>
      <c r="AJ185" t="s">
        <v>2051</v>
      </c>
      <c r="AK185" t="s">
        <v>2051</v>
      </c>
      <c r="AL185" t="s">
        <v>2051</v>
      </c>
      <c r="AM185" t="s">
        <v>2051</v>
      </c>
      <c r="AN185" t="s">
        <v>2051</v>
      </c>
      <c r="AO185" t="s">
        <v>2051</v>
      </c>
      <c r="AP185" t="s">
        <v>2051</v>
      </c>
      <c r="AQ185" t="s">
        <v>2051</v>
      </c>
      <c r="AR185" t="s">
        <v>2051</v>
      </c>
      <c r="AS185" t="s">
        <v>2051</v>
      </c>
      <c r="AT185" t="s">
        <v>2051</v>
      </c>
      <c r="AU185" t="s">
        <v>2051</v>
      </c>
      <c r="AV185" t="s">
        <v>2051</v>
      </c>
      <c r="AW185" t="s">
        <v>2051</v>
      </c>
      <c r="AX185" t="s">
        <v>2051</v>
      </c>
      <c r="AY185" t="s">
        <v>2051</v>
      </c>
      <c r="AZ185" t="s">
        <v>2051</v>
      </c>
    </row>
    <row r="186" spans="1:52" x14ac:dyDescent="0.2">
      <c r="A186" t="s">
        <v>2051</v>
      </c>
      <c r="B186" t="s">
        <v>2051</v>
      </c>
      <c r="C186" t="s">
        <v>2051</v>
      </c>
      <c r="D186" t="s">
        <v>2051</v>
      </c>
      <c r="E186" t="s">
        <v>2051</v>
      </c>
      <c r="F186" t="s">
        <v>2051</v>
      </c>
      <c r="G186" t="s">
        <v>2051</v>
      </c>
      <c r="H186" t="s">
        <v>2051</v>
      </c>
      <c r="I186" t="s">
        <v>2051</v>
      </c>
      <c r="J186" t="s">
        <v>2051</v>
      </c>
      <c r="K186" t="s">
        <v>2051</v>
      </c>
      <c r="L186" t="s">
        <v>2051</v>
      </c>
      <c r="M186" t="s">
        <v>2051</v>
      </c>
      <c r="N186" t="s">
        <v>2051</v>
      </c>
      <c r="O186" t="s">
        <v>2051</v>
      </c>
      <c r="P186" t="s">
        <v>2051</v>
      </c>
      <c r="Q186" t="s">
        <v>2051</v>
      </c>
      <c r="R186" t="s">
        <v>2051</v>
      </c>
      <c r="S186" t="s">
        <v>2051</v>
      </c>
      <c r="T186" t="s">
        <v>2051</v>
      </c>
      <c r="U186" t="s">
        <v>2051</v>
      </c>
      <c r="V186" t="s">
        <v>2051</v>
      </c>
      <c r="W186" t="s">
        <v>2051</v>
      </c>
      <c r="X186" t="s">
        <v>2051</v>
      </c>
      <c r="Y186" t="s">
        <v>2051</v>
      </c>
      <c r="Z186" t="s">
        <v>2051</v>
      </c>
      <c r="AA186" t="s">
        <v>2051</v>
      </c>
      <c r="AB186" t="s">
        <v>2051</v>
      </c>
      <c r="AC186" t="s">
        <v>2051</v>
      </c>
      <c r="AD186" t="s">
        <v>2051</v>
      </c>
      <c r="AE186" t="s">
        <v>2051</v>
      </c>
      <c r="AF186" t="s">
        <v>2051</v>
      </c>
      <c r="AG186" t="s">
        <v>2051</v>
      </c>
      <c r="AH186" t="s">
        <v>2051</v>
      </c>
      <c r="AI186" t="s">
        <v>2051</v>
      </c>
      <c r="AJ186" t="s">
        <v>2051</v>
      </c>
      <c r="AK186" t="s">
        <v>2051</v>
      </c>
      <c r="AL186" t="s">
        <v>2051</v>
      </c>
      <c r="AM186" t="s">
        <v>2051</v>
      </c>
      <c r="AN186" t="s">
        <v>2051</v>
      </c>
      <c r="AO186" t="s">
        <v>2051</v>
      </c>
      <c r="AP186" t="s">
        <v>2051</v>
      </c>
      <c r="AQ186" t="s">
        <v>2051</v>
      </c>
      <c r="AR186" t="s">
        <v>2051</v>
      </c>
      <c r="AS186" t="s">
        <v>2051</v>
      </c>
      <c r="AT186" t="s">
        <v>2051</v>
      </c>
      <c r="AU186" t="s">
        <v>2051</v>
      </c>
      <c r="AV186" t="s">
        <v>2051</v>
      </c>
      <c r="AW186" t="s">
        <v>2051</v>
      </c>
      <c r="AX186" t="s">
        <v>2051</v>
      </c>
      <c r="AY186" t="s">
        <v>2051</v>
      </c>
      <c r="AZ186" t="s">
        <v>2051</v>
      </c>
    </row>
    <row r="187" spans="1:52" x14ac:dyDescent="0.2">
      <c r="A187" t="s">
        <v>2051</v>
      </c>
      <c r="B187" t="s">
        <v>2051</v>
      </c>
      <c r="C187" t="s">
        <v>2051</v>
      </c>
      <c r="D187" t="s">
        <v>2051</v>
      </c>
      <c r="E187" t="s">
        <v>2051</v>
      </c>
      <c r="F187" t="s">
        <v>2051</v>
      </c>
      <c r="G187" t="s">
        <v>2051</v>
      </c>
      <c r="H187" t="s">
        <v>2051</v>
      </c>
      <c r="I187" t="s">
        <v>2051</v>
      </c>
      <c r="J187" t="s">
        <v>2051</v>
      </c>
      <c r="K187" t="s">
        <v>2051</v>
      </c>
      <c r="L187" t="s">
        <v>2051</v>
      </c>
      <c r="M187" t="s">
        <v>2051</v>
      </c>
      <c r="N187" t="s">
        <v>2051</v>
      </c>
      <c r="O187" t="s">
        <v>2051</v>
      </c>
      <c r="P187" t="s">
        <v>2051</v>
      </c>
      <c r="Q187" t="s">
        <v>2051</v>
      </c>
      <c r="R187" t="s">
        <v>2051</v>
      </c>
      <c r="S187" t="s">
        <v>2051</v>
      </c>
      <c r="T187" t="s">
        <v>2051</v>
      </c>
      <c r="U187" t="s">
        <v>2051</v>
      </c>
      <c r="V187" t="s">
        <v>2051</v>
      </c>
      <c r="W187" t="s">
        <v>2051</v>
      </c>
      <c r="X187" t="s">
        <v>2051</v>
      </c>
      <c r="Y187" t="s">
        <v>2051</v>
      </c>
      <c r="Z187" t="s">
        <v>2051</v>
      </c>
      <c r="AA187" t="s">
        <v>2051</v>
      </c>
      <c r="AB187" t="s">
        <v>2051</v>
      </c>
      <c r="AC187" t="s">
        <v>2051</v>
      </c>
      <c r="AD187" t="s">
        <v>2051</v>
      </c>
      <c r="AE187" t="s">
        <v>2051</v>
      </c>
      <c r="AF187" t="s">
        <v>2051</v>
      </c>
      <c r="AG187" t="s">
        <v>2051</v>
      </c>
      <c r="AH187" t="s">
        <v>2051</v>
      </c>
      <c r="AI187" t="s">
        <v>2051</v>
      </c>
      <c r="AJ187" t="s">
        <v>2051</v>
      </c>
      <c r="AK187" t="s">
        <v>2051</v>
      </c>
      <c r="AL187" t="s">
        <v>2051</v>
      </c>
      <c r="AM187" t="s">
        <v>2051</v>
      </c>
      <c r="AN187" t="s">
        <v>2051</v>
      </c>
      <c r="AO187" t="s">
        <v>2051</v>
      </c>
      <c r="AP187" t="s">
        <v>2051</v>
      </c>
      <c r="AQ187" t="s">
        <v>2051</v>
      </c>
      <c r="AR187" t="s">
        <v>2051</v>
      </c>
      <c r="AS187" t="s">
        <v>2051</v>
      </c>
      <c r="AT187" t="s">
        <v>2051</v>
      </c>
      <c r="AU187" t="s">
        <v>2051</v>
      </c>
      <c r="AV187" t="s">
        <v>2051</v>
      </c>
      <c r="AW187" t="s">
        <v>2051</v>
      </c>
      <c r="AX187" t="s">
        <v>2051</v>
      </c>
      <c r="AY187" t="s">
        <v>2051</v>
      </c>
      <c r="AZ187" t="s">
        <v>2051</v>
      </c>
    </row>
    <row r="188" spans="1:52" x14ac:dyDescent="0.2">
      <c r="A188" t="s">
        <v>2051</v>
      </c>
      <c r="B188" t="s">
        <v>2051</v>
      </c>
      <c r="C188" t="s">
        <v>2051</v>
      </c>
      <c r="D188" t="s">
        <v>2051</v>
      </c>
      <c r="E188" t="s">
        <v>2051</v>
      </c>
      <c r="F188" t="s">
        <v>2051</v>
      </c>
      <c r="G188" t="s">
        <v>2051</v>
      </c>
      <c r="H188" t="s">
        <v>2051</v>
      </c>
      <c r="I188" t="s">
        <v>2051</v>
      </c>
      <c r="J188" t="s">
        <v>2051</v>
      </c>
      <c r="K188" t="s">
        <v>2051</v>
      </c>
      <c r="L188" t="s">
        <v>2051</v>
      </c>
      <c r="M188" t="s">
        <v>2051</v>
      </c>
      <c r="N188" t="s">
        <v>2051</v>
      </c>
      <c r="O188" t="s">
        <v>2051</v>
      </c>
      <c r="P188" t="s">
        <v>2051</v>
      </c>
      <c r="Q188" t="s">
        <v>2051</v>
      </c>
      <c r="R188" t="s">
        <v>2051</v>
      </c>
      <c r="S188" t="s">
        <v>2051</v>
      </c>
      <c r="T188" t="s">
        <v>2051</v>
      </c>
      <c r="U188" t="s">
        <v>2051</v>
      </c>
      <c r="V188" t="s">
        <v>2051</v>
      </c>
      <c r="W188" t="s">
        <v>2051</v>
      </c>
      <c r="X188" t="s">
        <v>2051</v>
      </c>
      <c r="Y188" t="s">
        <v>2051</v>
      </c>
      <c r="Z188" t="s">
        <v>2051</v>
      </c>
      <c r="AA188" t="s">
        <v>2051</v>
      </c>
      <c r="AB188" t="s">
        <v>2051</v>
      </c>
      <c r="AC188" t="s">
        <v>2051</v>
      </c>
      <c r="AD188" t="s">
        <v>2051</v>
      </c>
      <c r="AE188" t="s">
        <v>2051</v>
      </c>
      <c r="AF188" t="s">
        <v>2051</v>
      </c>
      <c r="AG188" t="s">
        <v>2051</v>
      </c>
      <c r="AH188" t="s">
        <v>2051</v>
      </c>
      <c r="AI188" t="s">
        <v>2051</v>
      </c>
      <c r="AJ188" t="s">
        <v>2051</v>
      </c>
      <c r="AK188" t="s">
        <v>2051</v>
      </c>
      <c r="AL188" t="s">
        <v>2051</v>
      </c>
      <c r="AM188" t="s">
        <v>2051</v>
      </c>
      <c r="AN188" t="s">
        <v>2051</v>
      </c>
      <c r="AO188" t="s">
        <v>2051</v>
      </c>
      <c r="AP188" t="s">
        <v>2051</v>
      </c>
      <c r="AQ188" t="s">
        <v>2051</v>
      </c>
      <c r="AR188" t="s">
        <v>2051</v>
      </c>
      <c r="AS188" t="s">
        <v>2051</v>
      </c>
      <c r="AT188" t="s">
        <v>2051</v>
      </c>
      <c r="AU188" t="s">
        <v>2051</v>
      </c>
      <c r="AV188" t="s">
        <v>2051</v>
      </c>
      <c r="AW188" t="s">
        <v>2051</v>
      </c>
      <c r="AX188" t="s">
        <v>2051</v>
      </c>
      <c r="AY188" t="s">
        <v>2051</v>
      </c>
      <c r="AZ188" t="s">
        <v>2051</v>
      </c>
    </row>
    <row r="189" spans="1:52" x14ac:dyDescent="0.2">
      <c r="A189" t="s">
        <v>2051</v>
      </c>
      <c r="B189" t="s">
        <v>2051</v>
      </c>
      <c r="C189" t="s">
        <v>2051</v>
      </c>
      <c r="D189" t="s">
        <v>2051</v>
      </c>
      <c r="E189" t="s">
        <v>2051</v>
      </c>
      <c r="F189" t="s">
        <v>2051</v>
      </c>
      <c r="G189" t="s">
        <v>2051</v>
      </c>
      <c r="H189" t="s">
        <v>2051</v>
      </c>
      <c r="I189" t="s">
        <v>2051</v>
      </c>
      <c r="J189" t="s">
        <v>2051</v>
      </c>
      <c r="K189" t="s">
        <v>2051</v>
      </c>
      <c r="L189" t="s">
        <v>2051</v>
      </c>
      <c r="M189" t="s">
        <v>2051</v>
      </c>
      <c r="N189" t="s">
        <v>2051</v>
      </c>
      <c r="O189" t="s">
        <v>2051</v>
      </c>
      <c r="P189" t="s">
        <v>2051</v>
      </c>
      <c r="Q189" t="s">
        <v>2051</v>
      </c>
      <c r="R189" t="s">
        <v>2051</v>
      </c>
      <c r="S189" t="s">
        <v>2051</v>
      </c>
      <c r="T189" t="s">
        <v>2051</v>
      </c>
      <c r="U189" t="s">
        <v>2051</v>
      </c>
      <c r="V189" t="s">
        <v>2051</v>
      </c>
      <c r="W189" t="s">
        <v>2051</v>
      </c>
      <c r="X189" t="s">
        <v>2051</v>
      </c>
      <c r="Y189" t="s">
        <v>2051</v>
      </c>
      <c r="Z189" t="s">
        <v>2051</v>
      </c>
      <c r="AA189" t="s">
        <v>2051</v>
      </c>
      <c r="AB189" t="s">
        <v>2051</v>
      </c>
      <c r="AC189" t="s">
        <v>2051</v>
      </c>
      <c r="AD189" t="s">
        <v>2051</v>
      </c>
      <c r="AE189" t="s">
        <v>2051</v>
      </c>
      <c r="AF189" t="s">
        <v>2051</v>
      </c>
      <c r="AG189" t="s">
        <v>2051</v>
      </c>
      <c r="AH189" t="s">
        <v>2051</v>
      </c>
      <c r="AI189" t="s">
        <v>2051</v>
      </c>
      <c r="AJ189" t="s">
        <v>2051</v>
      </c>
      <c r="AK189" t="s">
        <v>2051</v>
      </c>
      <c r="AL189" t="s">
        <v>2051</v>
      </c>
      <c r="AM189" t="s">
        <v>2051</v>
      </c>
      <c r="AN189" t="s">
        <v>2051</v>
      </c>
      <c r="AO189" t="s">
        <v>2051</v>
      </c>
      <c r="AP189" t="s">
        <v>2051</v>
      </c>
      <c r="AQ189" t="s">
        <v>2051</v>
      </c>
      <c r="AR189" t="s">
        <v>2051</v>
      </c>
      <c r="AS189" t="s">
        <v>2051</v>
      </c>
      <c r="AT189" t="s">
        <v>2051</v>
      </c>
      <c r="AU189" t="s">
        <v>2051</v>
      </c>
      <c r="AV189" t="s">
        <v>2051</v>
      </c>
      <c r="AW189" t="s">
        <v>2051</v>
      </c>
      <c r="AX189" t="s">
        <v>2051</v>
      </c>
      <c r="AY189" t="s">
        <v>2051</v>
      </c>
      <c r="AZ189" t="s">
        <v>2051</v>
      </c>
    </row>
    <row r="190" spans="1:52" x14ac:dyDescent="0.2">
      <c r="A190" t="s">
        <v>2051</v>
      </c>
      <c r="B190" t="s">
        <v>2051</v>
      </c>
      <c r="C190" t="s">
        <v>2051</v>
      </c>
      <c r="D190" t="s">
        <v>2051</v>
      </c>
      <c r="E190" t="s">
        <v>2051</v>
      </c>
      <c r="F190" t="s">
        <v>2051</v>
      </c>
      <c r="G190" t="s">
        <v>2051</v>
      </c>
      <c r="H190" t="s">
        <v>2051</v>
      </c>
      <c r="I190" t="s">
        <v>2051</v>
      </c>
      <c r="J190" t="s">
        <v>2051</v>
      </c>
      <c r="K190" t="s">
        <v>2051</v>
      </c>
      <c r="L190" t="s">
        <v>2051</v>
      </c>
      <c r="M190" t="s">
        <v>2051</v>
      </c>
      <c r="N190" t="s">
        <v>2051</v>
      </c>
      <c r="O190" t="s">
        <v>2051</v>
      </c>
      <c r="P190" t="s">
        <v>2051</v>
      </c>
      <c r="Q190" t="s">
        <v>2051</v>
      </c>
      <c r="R190" t="s">
        <v>2051</v>
      </c>
      <c r="S190" t="s">
        <v>2051</v>
      </c>
      <c r="T190" t="s">
        <v>2051</v>
      </c>
      <c r="U190" t="s">
        <v>2051</v>
      </c>
      <c r="V190" t="s">
        <v>2051</v>
      </c>
      <c r="W190" t="s">
        <v>2051</v>
      </c>
      <c r="X190" t="s">
        <v>2051</v>
      </c>
      <c r="Y190" t="s">
        <v>2051</v>
      </c>
      <c r="Z190" t="s">
        <v>2051</v>
      </c>
      <c r="AA190" t="s">
        <v>2051</v>
      </c>
      <c r="AB190" t="s">
        <v>2051</v>
      </c>
      <c r="AC190" t="s">
        <v>2051</v>
      </c>
      <c r="AD190" t="s">
        <v>2051</v>
      </c>
      <c r="AE190" t="s">
        <v>2051</v>
      </c>
      <c r="AF190" t="s">
        <v>2051</v>
      </c>
      <c r="AG190" t="s">
        <v>2051</v>
      </c>
      <c r="AH190" t="s">
        <v>2051</v>
      </c>
      <c r="AI190" t="s">
        <v>2051</v>
      </c>
      <c r="AJ190" t="s">
        <v>2051</v>
      </c>
      <c r="AK190" t="s">
        <v>2051</v>
      </c>
      <c r="AL190" t="s">
        <v>2051</v>
      </c>
      <c r="AM190" t="s">
        <v>2051</v>
      </c>
      <c r="AN190" t="s">
        <v>2051</v>
      </c>
      <c r="AO190" t="s">
        <v>2051</v>
      </c>
      <c r="AP190" t="s">
        <v>2051</v>
      </c>
      <c r="AQ190" t="s">
        <v>2051</v>
      </c>
      <c r="AR190" t="s">
        <v>2051</v>
      </c>
      <c r="AS190" t="s">
        <v>2051</v>
      </c>
      <c r="AT190" t="s">
        <v>2051</v>
      </c>
      <c r="AU190" t="s">
        <v>2051</v>
      </c>
      <c r="AV190" t="s">
        <v>2051</v>
      </c>
      <c r="AW190" t="s">
        <v>2051</v>
      </c>
      <c r="AX190" t="s">
        <v>2051</v>
      </c>
      <c r="AY190" t="s">
        <v>2051</v>
      </c>
      <c r="AZ190" t="s">
        <v>2051</v>
      </c>
    </row>
    <row r="191" spans="1:52" x14ac:dyDescent="0.2">
      <c r="A191" t="s">
        <v>2051</v>
      </c>
      <c r="B191" t="s">
        <v>2051</v>
      </c>
      <c r="C191" t="s">
        <v>2051</v>
      </c>
      <c r="D191" t="s">
        <v>2051</v>
      </c>
      <c r="E191" t="s">
        <v>2051</v>
      </c>
      <c r="F191" t="s">
        <v>2051</v>
      </c>
      <c r="G191" t="s">
        <v>2051</v>
      </c>
      <c r="H191" t="s">
        <v>2051</v>
      </c>
      <c r="I191" t="s">
        <v>2051</v>
      </c>
      <c r="J191" t="s">
        <v>2051</v>
      </c>
      <c r="K191" t="s">
        <v>2051</v>
      </c>
      <c r="L191" t="s">
        <v>2051</v>
      </c>
      <c r="M191" t="s">
        <v>2051</v>
      </c>
      <c r="N191" t="s">
        <v>2051</v>
      </c>
      <c r="O191" t="s">
        <v>2051</v>
      </c>
      <c r="P191" t="s">
        <v>2051</v>
      </c>
      <c r="Q191" t="s">
        <v>2051</v>
      </c>
      <c r="R191" t="s">
        <v>2051</v>
      </c>
      <c r="S191" t="s">
        <v>2051</v>
      </c>
      <c r="T191" t="s">
        <v>2051</v>
      </c>
      <c r="U191" t="s">
        <v>2051</v>
      </c>
      <c r="V191" t="s">
        <v>2051</v>
      </c>
      <c r="W191" t="s">
        <v>2051</v>
      </c>
      <c r="X191" t="s">
        <v>2051</v>
      </c>
      <c r="Y191" t="s">
        <v>2051</v>
      </c>
      <c r="Z191" t="s">
        <v>2051</v>
      </c>
      <c r="AA191" t="s">
        <v>2051</v>
      </c>
      <c r="AB191" t="s">
        <v>2051</v>
      </c>
      <c r="AC191" t="s">
        <v>2051</v>
      </c>
      <c r="AD191" t="s">
        <v>2051</v>
      </c>
      <c r="AE191" t="s">
        <v>2051</v>
      </c>
      <c r="AF191" t="s">
        <v>2051</v>
      </c>
      <c r="AG191" t="s">
        <v>2051</v>
      </c>
      <c r="AH191" t="s">
        <v>2051</v>
      </c>
      <c r="AI191" t="s">
        <v>2051</v>
      </c>
      <c r="AJ191" t="s">
        <v>2051</v>
      </c>
      <c r="AK191" t="s">
        <v>2051</v>
      </c>
      <c r="AL191" t="s">
        <v>2051</v>
      </c>
      <c r="AM191" t="s">
        <v>2051</v>
      </c>
      <c r="AN191" t="s">
        <v>2051</v>
      </c>
      <c r="AO191" t="s">
        <v>2051</v>
      </c>
      <c r="AP191" t="s">
        <v>2051</v>
      </c>
      <c r="AQ191" t="s">
        <v>2051</v>
      </c>
      <c r="AR191" t="s">
        <v>2051</v>
      </c>
      <c r="AS191" t="s">
        <v>2051</v>
      </c>
      <c r="AT191" t="s">
        <v>2051</v>
      </c>
      <c r="AU191" t="s">
        <v>2051</v>
      </c>
      <c r="AV191" t="s">
        <v>2051</v>
      </c>
      <c r="AW191" t="s">
        <v>2051</v>
      </c>
      <c r="AX191" t="s">
        <v>2051</v>
      </c>
      <c r="AY191" t="s">
        <v>2051</v>
      </c>
      <c r="AZ191" t="s">
        <v>2051</v>
      </c>
    </row>
    <row r="192" spans="1:52" x14ac:dyDescent="0.2">
      <c r="A192" t="s">
        <v>2051</v>
      </c>
      <c r="B192" t="s">
        <v>2051</v>
      </c>
      <c r="C192" t="s">
        <v>2051</v>
      </c>
      <c r="D192" t="s">
        <v>2051</v>
      </c>
      <c r="E192" t="s">
        <v>2051</v>
      </c>
      <c r="F192" t="s">
        <v>2051</v>
      </c>
      <c r="G192" t="s">
        <v>2051</v>
      </c>
      <c r="H192" t="s">
        <v>2051</v>
      </c>
      <c r="I192" t="s">
        <v>2051</v>
      </c>
      <c r="J192" t="s">
        <v>2051</v>
      </c>
      <c r="K192" t="s">
        <v>2051</v>
      </c>
      <c r="L192" t="s">
        <v>2051</v>
      </c>
      <c r="M192" t="s">
        <v>2051</v>
      </c>
      <c r="N192" t="s">
        <v>2051</v>
      </c>
      <c r="O192" t="s">
        <v>2051</v>
      </c>
      <c r="P192" t="s">
        <v>2051</v>
      </c>
      <c r="Q192" t="s">
        <v>2051</v>
      </c>
      <c r="R192" t="s">
        <v>2051</v>
      </c>
      <c r="S192" t="s">
        <v>2051</v>
      </c>
      <c r="T192" t="s">
        <v>2051</v>
      </c>
      <c r="U192" t="s">
        <v>2051</v>
      </c>
      <c r="V192" t="s">
        <v>2051</v>
      </c>
      <c r="W192" t="s">
        <v>2051</v>
      </c>
      <c r="X192" t="s">
        <v>2051</v>
      </c>
      <c r="Y192" t="s">
        <v>2051</v>
      </c>
      <c r="Z192" t="s">
        <v>2051</v>
      </c>
      <c r="AA192" t="s">
        <v>2051</v>
      </c>
      <c r="AB192" t="s">
        <v>2051</v>
      </c>
      <c r="AC192" t="s">
        <v>2051</v>
      </c>
      <c r="AD192" t="s">
        <v>2051</v>
      </c>
      <c r="AE192" t="s">
        <v>2051</v>
      </c>
      <c r="AF192" t="s">
        <v>2051</v>
      </c>
      <c r="AG192" t="s">
        <v>2051</v>
      </c>
      <c r="AH192" t="s">
        <v>2051</v>
      </c>
      <c r="AI192" t="s">
        <v>2051</v>
      </c>
      <c r="AJ192" t="s">
        <v>2051</v>
      </c>
      <c r="AK192" t="s">
        <v>2051</v>
      </c>
      <c r="AL192" t="s">
        <v>2051</v>
      </c>
      <c r="AM192" t="s">
        <v>2051</v>
      </c>
      <c r="AN192" t="s">
        <v>2051</v>
      </c>
      <c r="AO192" t="s">
        <v>2051</v>
      </c>
      <c r="AP192" t="s">
        <v>2051</v>
      </c>
      <c r="AQ192" t="s">
        <v>2051</v>
      </c>
      <c r="AR192" t="s">
        <v>2051</v>
      </c>
      <c r="AS192" t="s">
        <v>2051</v>
      </c>
      <c r="AT192" t="s">
        <v>2051</v>
      </c>
      <c r="AU192" t="s">
        <v>2051</v>
      </c>
      <c r="AV192" t="s">
        <v>2051</v>
      </c>
      <c r="AW192" t="s">
        <v>2051</v>
      </c>
      <c r="AX192" t="s">
        <v>2051</v>
      </c>
      <c r="AY192" t="s">
        <v>2051</v>
      </c>
      <c r="AZ192" t="s">
        <v>2051</v>
      </c>
    </row>
    <row r="193" spans="1:52" x14ac:dyDescent="0.2">
      <c r="A193" t="s">
        <v>2051</v>
      </c>
      <c r="B193" t="s">
        <v>2051</v>
      </c>
      <c r="C193" t="s">
        <v>2051</v>
      </c>
      <c r="D193" t="s">
        <v>2051</v>
      </c>
      <c r="E193" t="s">
        <v>2051</v>
      </c>
      <c r="F193" t="s">
        <v>2051</v>
      </c>
      <c r="G193" t="s">
        <v>2051</v>
      </c>
      <c r="H193" t="s">
        <v>2051</v>
      </c>
      <c r="I193" t="s">
        <v>2051</v>
      </c>
      <c r="J193" t="s">
        <v>2051</v>
      </c>
      <c r="K193" t="s">
        <v>2051</v>
      </c>
      <c r="L193" t="s">
        <v>2051</v>
      </c>
      <c r="M193" t="s">
        <v>2051</v>
      </c>
      <c r="N193" t="s">
        <v>2051</v>
      </c>
      <c r="O193" t="s">
        <v>2051</v>
      </c>
      <c r="P193" t="s">
        <v>2051</v>
      </c>
      <c r="Q193" t="s">
        <v>2051</v>
      </c>
      <c r="R193" t="s">
        <v>2051</v>
      </c>
      <c r="S193" t="s">
        <v>2051</v>
      </c>
      <c r="T193" t="s">
        <v>2051</v>
      </c>
      <c r="U193" t="s">
        <v>2051</v>
      </c>
      <c r="V193" t="s">
        <v>2051</v>
      </c>
      <c r="W193" t="s">
        <v>2051</v>
      </c>
      <c r="X193" t="s">
        <v>2051</v>
      </c>
      <c r="Y193" t="s">
        <v>2051</v>
      </c>
      <c r="Z193" t="s">
        <v>2051</v>
      </c>
      <c r="AA193" t="s">
        <v>2051</v>
      </c>
      <c r="AB193" t="s">
        <v>2051</v>
      </c>
      <c r="AC193" t="s">
        <v>2051</v>
      </c>
      <c r="AD193" t="s">
        <v>2051</v>
      </c>
      <c r="AE193" t="s">
        <v>2051</v>
      </c>
      <c r="AF193" t="s">
        <v>2051</v>
      </c>
      <c r="AG193" t="s">
        <v>2051</v>
      </c>
      <c r="AH193" t="s">
        <v>2051</v>
      </c>
      <c r="AI193" t="s">
        <v>2051</v>
      </c>
      <c r="AJ193" t="s">
        <v>2051</v>
      </c>
      <c r="AK193" t="s">
        <v>2051</v>
      </c>
      <c r="AL193" t="s">
        <v>2051</v>
      </c>
      <c r="AM193" t="s">
        <v>2051</v>
      </c>
      <c r="AN193" t="s">
        <v>2051</v>
      </c>
      <c r="AO193" t="s">
        <v>2051</v>
      </c>
      <c r="AP193" t="s">
        <v>2051</v>
      </c>
      <c r="AQ193" t="s">
        <v>2051</v>
      </c>
      <c r="AR193" t="s">
        <v>2051</v>
      </c>
      <c r="AS193" t="s">
        <v>2051</v>
      </c>
      <c r="AT193" t="s">
        <v>2051</v>
      </c>
      <c r="AU193" t="s">
        <v>2051</v>
      </c>
      <c r="AV193" t="s">
        <v>2051</v>
      </c>
      <c r="AW193" t="s">
        <v>2051</v>
      </c>
      <c r="AX193" t="s">
        <v>2051</v>
      </c>
      <c r="AY193" t="s">
        <v>2051</v>
      </c>
      <c r="AZ193" t="s">
        <v>2051</v>
      </c>
    </row>
    <row r="194" spans="1:52" x14ac:dyDescent="0.2">
      <c r="A194" t="s">
        <v>2051</v>
      </c>
      <c r="B194" t="s">
        <v>2051</v>
      </c>
      <c r="C194" t="s">
        <v>2051</v>
      </c>
      <c r="D194" t="s">
        <v>2051</v>
      </c>
      <c r="E194" t="s">
        <v>2051</v>
      </c>
      <c r="F194" t="s">
        <v>2051</v>
      </c>
      <c r="G194" t="s">
        <v>2051</v>
      </c>
      <c r="H194" t="s">
        <v>2051</v>
      </c>
      <c r="I194" t="s">
        <v>2051</v>
      </c>
      <c r="J194" t="s">
        <v>2051</v>
      </c>
      <c r="K194" t="s">
        <v>2051</v>
      </c>
      <c r="L194" t="s">
        <v>2051</v>
      </c>
      <c r="M194" t="s">
        <v>2051</v>
      </c>
      <c r="N194" t="s">
        <v>2051</v>
      </c>
      <c r="O194" t="s">
        <v>2051</v>
      </c>
      <c r="P194" t="s">
        <v>2051</v>
      </c>
      <c r="Q194" t="s">
        <v>2051</v>
      </c>
      <c r="R194" t="s">
        <v>2051</v>
      </c>
      <c r="S194" t="s">
        <v>2051</v>
      </c>
      <c r="T194" t="s">
        <v>2051</v>
      </c>
      <c r="U194" t="s">
        <v>2051</v>
      </c>
      <c r="V194" t="s">
        <v>2051</v>
      </c>
      <c r="W194" t="s">
        <v>2051</v>
      </c>
      <c r="X194" t="s">
        <v>2051</v>
      </c>
      <c r="Y194" t="s">
        <v>2051</v>
      </c>
      <c r="Z194" t="s">
        <v>2051</v>
      </c>
      <c r="AA194" t="s">
        <v>2051</v>
      </c>
      <c r="AB194" t="s">
        <v>2051</v>
      </c>
      <c r="AC194" t="s">
        <v>2051</v>
      </c>
      <c r="AD194" t="s">
        <v>2051</v>
      </c>
      <c r="AE194" t="s">
        <v>2051</v>
      </c>
      <c r="AF194" t="s">
        <v>2051</v>
      </c>
      <c r="AG194" t="s">
        <v>2051</v>
      </c>
      <c r="AH194" t="s">
        <v>2051</v>
      </c>
      <c r="AI194" t="s">
        <v>2051</v>
      </c>
      <c r="AJ194" t="s">
        <v>2051</v>
      </c>
      <c r="AK194" t="s">
        <v>2051</v>
      </c>
      <c r="AL194" t="s">
        <v>2051</v>
      </c>
      <c r="AM194" t="s">
        <v>2051</v>
      </c>
      <c r="AN194" t="s">
        <v>2051</v>
      </c>
      <c r="AO194" t="s">
        <v>2051</v>
      </c>
      <c r="AP194" t="s">
        <v>2051</v>
      </c>
      <c r="AQ194" t="s">
        <v>2051</v>
      </c>
      <c r="AR194" t="s">
        <v>2051</v>
      </c>
      <c r="AS194" t="s">
        <v>2051</v>
      </c>
      <c r="AT194" t="s">
        <v>2051</v>
      </c>
      <c r="AU194" t="s">
        <v>2051</v>
      </c>
      <c r="AV194" t="s">
        <v>2051</v>
      </c>
      <c r="AW194" t="s">
        <v>2051</v>
      </c>
      <c r="AX194" t="s">
        <v>2051</v>
      </c>
      <c r="AY194" t="s">
        <v>2051</v>
      </c>
      <c r="AZ194" t="s">
        <v>2051</v>
      </c>
    </row>
    <row r="195" spans="1:52" x14ac:dyDescent="0.2">
      <c r="A195" t="s">
        <v>2051</v>
      </c>
      <c r="B195" t="s">
        <v>2051</v>
      </c>
      <c r="C195" t="s">
        <v>2051</v>
      </c>
      <c r="D195" t="s">
        <v>2051</v>
      </c>
      <c r="E195" t="s">
        <v>2051</v>
      </c>
      <c r="F195" t="s">
        <v>2051</v>
      </c>
      <c r="G195" t="s">
        <v>2051</v>
      </c>
      <c r="H195" t="s">
        <v>2051</v>
      </c>
      <c r="I195" t="s">
        <v>2051</v>
      </c>
      <c r="J195" t="s">
        <v>2051</v>
      </c>
      <c r="K195" t="s">
        <v>2051</v>
      </c>
      <c r="L195" t="s">
        <v>2051</v>
      </c>
      <c r="M195" t="s">
        <v>2051</v>
      </c>
      <c r="N195" t="s">
        <v>2051</v>
      </c>
      <c r="O195" t="s">
        <v>2051</v>
      </c>
      <c r="P195" t="s">
        <v>2051</v>
      </c>
      <c r="Q195" t="s">
        <v>2051</v>
      </c>
      <c r="R195" t="s">
        <v>2051</v>
      </c>
      <c r="S195" t="s">
        <v>2051</v>
      </c>
      <c r="T195" t="s">
        <v>2051</v>
      </c>
      <c r="U195" t="s">
        <v>2051</v>
      </c>
      <c r="V195" t="s">
        <v>2051</v>
      </c>
      <c r="W195" t="s">
        <v>2051</v>
      </c>
      <c r="X195" t="s">
        <v>2051</v>
      </c>
      <c r="Y195" t="s">
        <v>2051</v>
      </c>
      <c r="Z195" t="s">
        <v>2051</v>
      </c>
      <c r="AA195" t="s">
        <v>2051</v>
      </c>
      <c r="AB195" t="s">
        <v>2051</v>
      </c>
      <c r="AC195" t="s">
        <v>2051</v>
      </c>
      <c r="AD195" t="s">
        <v>2051</v>
      </c>
      <c r="AE195" t="s">
        <v>2051</v>
      </c>
      <c r="AF195" t="s">
        <v>2051</v>
      </c>
      <c r="AG195" t="s">
        <v>2051</v>
      </c>
      <c r="AH195" t="s">
        <v>2051</v>
      </c>
      <c r="AI195" t="s">
        <v>2051</v>
      </c>
      <c r="AJ195" t="s">
        <v>2051</v>
      </c>
      <c r="AK195" t="s">
        <v>2051</v>
      </c>
      <c r="AL195" t="s">
        <v>2051</v>
      </c>
      <c r="AM195" t="s">
        <v>2051</v>
      </c>
      <c r="AN195" t="s">
        <v>2051</v>
      </c>
      <c r="AO195" t="s">
        <v>2051</v>
      </c>
      <c r="AP195" t="s">
        <v>2051</v>
      </c>
      <c r="AQ195" t="s">
        <v>2051</v>
      </c>
      <c r="AR195" t="s">
        <v>2051</v>
      </c>
      <c r="AS195" t="s">
        <v>2051</v>
      </c>
      <c r="AT195" t="s">
        <v>2051</v>
      </c>
      <c r="AU195" t="s">
        <v>2051</v>
      </c>
      <c r="AV195" t="s">
        <v>2051</v>
      </c>
      <c r="AW195" t="s">
        <v>2051</v>
      </c>
      <c r="AX195" t="s">
        <v>2051</v>
      </c>
      <c r="AY195" t="s">
        <v>2051</v>
      </c>
      <c r="AZ195" t="s">
        <v>2051</v>
      </c>
    </row>
    <row r="196" spans="1:52" x14ac:dyDescent="0.2">
      <c r="A196" t="s">
        <v>2051</v>
      </c>
      <c r="B196" t="s">
        <v>2051</v>
      </c>
      <c r="C196" t="s">
        <v>2051</v>
      </c>
      <c r="D196" t="s">
        <v>2051</v>
      </c>
      <c r="E196" t="s">
        <v>2051</v>
      </c>
      <c r="F196" t="s">
        <v>2051</v>
      </c>
      <c r="G196" t="s">
        <v>2051</v>
      </c>
      <c r="H196" t="s">
        <v>2051</v>
      </c>
      <c r="I196" t="s">
        <v>2051</v>
      </c>
      <c r="J196" t="s">
        <v>2051</v>
      </c>
      <c r="K196" t="s">
        <v>2051</v>
      </c>
      <c r="L196" t="s">
        <v>2051</v>
      </c>
      <c r="M196" t="s">
        <v>2051</v>
      </c>
      <c r="N196" t="s">
        <v>2051</v>
      </c>
      <c r="O196" t="s">
        <v>2051</v>
      </c>
      <c r="P196" t="s">
        <v>2051</v>
      </c>
      <c r="Q196" t="s">
        <v>2051</v>
      </c>
      <c r="R196" t="s">
        <v>2051</v>
      </c>
      <c r="S196" t="s">
        <v>2051</v>
      </c>
      <c r="T196" t="s">
        <v>2051</v>
      </c>
      <c r="U196" t="s">
        <v>2051</v>
      </c>
      <c r="V196" t="s">
        <v>2051</v>
      </c>
      <c r="W196" t="s">
        <v>2051</v>
      </c>
      <c r="X196" t="s">
        <v>2051</v>
      </c>
      <c r="Y196" t="s">
        <v>2051</v>
      </c>
      <c r="Z196" t="s">
        <v>2051</v>
      </c>
      <c r="AA196" t="s">
        <v>2051</v>
      </c>
      <c r="AB196" t="s">
        <v>2051</v>
      </c>
      <c r="AC196" t="s">
        <v>2051</v>
      </c>
      <c r="AD196" t="s">
        <v>2051</v>
      </c>
      <c r="AE196" t="s">
        <v>2051</v>
      </c>
      <c r="AF196" t="s">
        <v>2051</v>
      </c>
      <c r="AG196" t="s">
        <v>2051</v>
      </c>
      <c r="AH196" t="s">
        <v>2051</v>
      </c>
      <c r="AI196" t="s">
        <v>2051</v>
      </c>
      <c r="AJ196" t="s">
        <v>2051</v>
      </c>
      <c r="AK196" t="s">
        <v>2051</v>
      </c>
      <c r="AL196" t="s">
        <v>2051</v>
      </c>
      <c r="AM196" t="s">
        <v>2051</v>
      </c>
      <c r="AN196" t="s">
        <v>2051</v>
      </c>
      <c r="AO196" t="s">
        <v>2051</v>
      </c>
      <c r="AP196" t="s">
        <v>2051</v>
      </c>
      <c r="AQ196" t="s">
        <v>2051</v>
      </c>
      <c r="AR196" t="s">
        <v>2051</v>
      </c>
      <c r="AS196" t="s">
        <v>2051</v>
      </c>
      <c r="AT196" t="s">
        <v>2051</v>
      </c>
      <c r="AU196" t="s">
        <v>2051</v>
      </c>
      <c r="AV196" t="s">
        <v>2051</v>
      </c>
      <c r="AW196" t="s">
        <v>2051</v>
      </c>
      <c r="AX196" t="s">
        <v>2051</v>
      </c>
      <c r="AY196" t="s">
        <v>2051</v>
      </c>
      <c r="AZ196" t="s">
        <v>2051</v>
      </c>
    </row>
    <row r="197" spans="1:52" x14ac:dyDescent="0.2">
      <c r="A197" t="s">
        <v>2051</v>
      </c>
      <c r="B197" t="s">
        <v>2051</v>
      </c>
      <c r="C197" t="s">
        <v>2051</v>
      </c>
      <c r="D197" t="s">
        <v>2051</v>
      </c>
      <c r="E197" t="s">
        <v>2051</v>
      </c>
      <c r="F197" t="s">
        <v>2051</v>
      </c>
      <c r="G197" t="s">
        <v>2051</v>
      </c>
      <c r="H197" t="s">
        <v>2051</v>
      </c>
      <c r="I197" t="s">
        <v>2051</v>
      </c>
      <c r="J197" t="s">
        <v>2051</v>
      </c>
      <c r="K197" t="s">
        <v>2051</v>
      </c>
      <c r="L197" t="s">
        <v>2051</v>
      </c>
      <c r="M197" t="s">
        <v>2051</v>
      </c>
      <c r="N197" t="s">
        <v>2051</v>
      </c>
      <c r="O197" t="s">
        <v>2051</v>
      </c>
      <c r="P197" t="s">
        <v>2051</v>
      </c>
      <c r="Q197" t="s">
        <v>2051</v>
      </c>
      <c r="R197" t="s">
        <v>2051</v>
      </c>
      <c r="S197" t="s">
        <v>2051</v>
      </c>
      <c r="T197" t="s">
        <v>2051</v>
      </c>
      <c r="U197" t="s">
        <v>2051</v>
      </c>
      <c r="V197" t="s">
        <v>2051</v>
      </c>
      <c r="W197" t="s">
        <v>2051</v>
      </c>
      <c r="X197" t="s">
        <v>2051</v>
      </c>
      <c r="Y197" t="s">
        <v>2051</v>
      </c>
      <c r="Z197" t="s">
        <v>2051</v>
      </c>
      <c r="AA197" t="s">
        <v>2051</v>
      </c>
      <c r="AB197" t="s">
        <v>2051</v>
      </c>
      <c r="AC197" t="s">
        <v>2051</v>
      </c>
      <c r="AD197" t="s">
        <v>2051</v>
      </c>
      <c r="AE197" t="s">
        <v>2051</v>
      </c>
      <c r="AF197" t="s">
        <v>2051</v>
      </c>
      <c r="AG197" t="s">
        <v>2051</v>
      </c>
      <c r="AH197" t="s">
        <v>2051</v>
      </c>
      <c r="AI197" t="s">
        <v>2051</v>
      </c>
      <c r="AJ197" t="s">
        <v>2051</v>
      </c>
      <c r="AK197" t="s">
        <v>2051</v>
      </c>
      <c r="AL197" t="s">
        <v>2051</v>
      </c>
      <c r="AM197" t="s">
        <v>2051</v>
      </c>
      <c r="AN197" t="s">
        <v>2051</v>
      </c>
      <c r="AO197" t="s">
        <v>2051</v>
      </c>
      <c r="AP197" t="s">
        <v>2051</v>
      </c>
      <c r="AQ197" t="s">
        <v>2051</v>
      </c>
      <c r="AR197" t="s">
        <v>2051</v>
      </c>
      <c r="AS197" t="s">
        <v>2051</v>
      </c>
      <c r="AT197" t="s">
        <v>2051</v>
      </c>
      <c r="AU197" t="s">
        <v>2051</v>
      </c>
      <c r="AV197" t="s">
        <v>2051</v>
      </c>
      <c r="AW197" t="s">
        <v>2051</v>
      </c>
      <c r="AX197" t="s">
        <v>2051</v>
      </c>
      <c r="AY197" t="s">
        <v>2051</v>
      </c>
      <c r="AZ197" t="s">
        <v>2051</v>
      </c>
    </row>
    <row r="198" spans="1:52" x14ac:dyDescent="0.2">
      <c r="A198" t="s">
        <v>2051</v>
      </c>
      <c r="B198" t="s">
        <v>2051</v>
      </c>
      <c r="C198" t="s">
        <v>2051</v>
      </c>
      <c r="D198" t="s">
        <v>2051</v>
      </c>
      <c r="E198" t="s">
        <v>2051</v>
      </c>
      <c r="F198" t="s">
        <v>2051</v>
      </c>
      <c r="G198" t="s">
        <v>2051</v>
      </c>
      <c r="H198" t="s">
        <v>2051</v>
      </c>
      <c r="I198" t="s">
        <v>2051</v>
      </c>
      <c r="J198" t="s">
        <v>2051</v>
      </c>
      <c r="K198" t="s">
        <v>2051</v>
      </c>
      <c r="L198" t="s">
        <v>2051</v>
      </c>
      <c r="M198" t="s">
        <v>2051</v>
      </c>
      <c r="N198" t="s">
        <v>2051</v>
      </c>
      <c r="O198" t="s">
        <v>2051</v>
      </c>
      <c r="P198" t="s">
        <v>2051</v>
      </c>
      <c r="Q198" t="s">
        <v>2051</v>
      </c>
      <c r="R198" t="s">
        <v>2051</v>
      </c>
      <c r="S198" t="s">
        <v>2051</v>
      </c>
      <c r="T198" t="s">
        <v>2051</v>
      </c>
      <c r="U198" t="s">
        <v>2051</v>
      </c>
      <c r="V198" t="s">
        <v>2051</v>
      </c>
      <c r="W198" t="s">
        <v>2051</v>
      </c>
      <c r="X198" t="s">
        <v>2051</v>
      </c>
      <c r="Y198" t="s">
        <v>2051</v>
      </c>
      <c r="Z198" t="s">
        <v>2051</v>
      </c>
      <c r="AA198" t="s">
        <v>2051</v>
      </c>
      <c r="AB198" t="s">
        <v>2051</v>
      </c>
      <c r="AC198" t="s">
        <v>2051</v>
      </c>
      <c r="AD198" t="s">
        <v>2051</v>
      </c>
      <c r="AE198" t="s">
        <v>2051</v>
      </c>
      <c r="AF198" t="s">
        <v>2051</v>
      </c>
      <c r="AG198" t="s">
        <v>2051</v>
      </c>
      <c r="AH198" t="s">
        <v>2051</v>
      </c>
      <c r="AI198" t="s">
        <v>2051</v>
      </c>
      <c r="AJ198" t="s">
        <v>2051</v>
      </c>
      <c r="AK198" t="s">
        <v>2051</v>
      </c>
      <c r="AL198" t="s">
        <v>2051</v>
      </c>
      <c r="AM198" t="s">
        <v>2051</v>
      </c>
      <c r="AN198" t="s">
        <v>2051</v>
      </c>
      <c r="AO198" t="s">
        <v>2051</v>
      </c>
      <c r="AP198" t="s">
        <v>2051</v>
      </c>
      <c r="AQ198" t="s">
        <v>2051</v>
      </c>
      <c r="AR198" t="s">
        <v>2051</v>
      </c>
      <c r="AS198" t="s">
        <v>2051</v>
      </c>
      <c r="AT198" t="s">
        <v>2051</v>
      </c>
      <c r="AU198" t="s">
        <v>2051</v>
      </c>
      <c r="AV198" t="s">
        <v>2051</v>
      </c>
      <c r="AW198" t="s">
        <v>2051</v>
      </c>
      <c r="AX198" t="s">
        <v>2051</v>
      </c>
      <c r="AY198" t="s">
        <v>2051</v>
      </c>
      <c r="AZ198" t="s">
        <v>2051</v>
      </c>
    </row>
    <row r="199" spans="1:52" x14ac:dyDescent="0.2">
      <c r="A199" t="s">
        <v>2051</v>
      </c>
      <c r="B199" t="s">
        <v>2051</v>
      </c>
      <c r="C199" t="s">
        <v>2051</v>
      </c>
      <c r="D199" t="s">
        <v>2051</v>
      </c>
      <c r="E199" t="s">
        <v>2051</v>
      </c>
      <c r="F199" t="s">
        <v>2051</v>
      </c>
      <c r="G199" t="s">
        <v>2051</v>
      </c>
      <c r="H199" t="s">
        <v>2051</v>
      </c>
      <c r="I199" t="s">
        <v>2051</v>
      </c>
      <c r="J199" t="s">
        <v>2051</v>
      </c>
      <c r="K199" t="s">
        <v>2051</v>
      </c>
      <c r="L199" t="s">
        <v>2051</v>
      </c>
      <c r="M199" t="s">
        <v>2051</v>
      </c>
      <c r="N199" t="s">
        <v>2051</v>
      </c>
      <c r="O199" t="s">
        <v>2051</v>
      </c>
      <c r="P199" t="s">
        <v>2051</v>
      </c>
      <c r="Q199" t="s">
        <v>2051</v>
      </c>
      <c r="R199" t="s">
        <v>2051</v>
      </c>
      <c r="S199" t="s">
        <v>2051</v>
      </c>
      <c r="T199" t="s">
        <v>2051</v>
      </c>
      <c r="U199" t="s">
        <v>2051</v>
      </c>
      <c r="V199" t="s">
        <v>2051</v>
      </c>
      <c r="W199" t="s">
        <v>2051</v>
      </c>
      <c r="X199" t="s">
        <v>2051</v>
      </c>
      <c r="Y199" t="s">
        <v>2051</v>
      </c>
      <c r="Z199" t="s">
        <v>2051</v>
      </c>
      <c r="AA199" t="s">
        <v>2051</v>
      </c>
      <c r="AB199" t="s">
        <v>2051</v>
      </c>
      <c r="AC199" t="s">
        <v>2051</v>
      </c>
      <c r="AD199" t="s">
        <v>2051</v>
      </c>
      <c r="AE199" t="s">
        <v>2051</v>
      </c>
      <c r="AF199" t="s">
        <v>2051</v>
      </c>
      <c r="AG199" t="s">
        <v>2051</v>
      </c>
      <c r="AH199" t="s">
        <v>2051</v>
      </c>
      <c r="AI199" t="s">
        <v>2051</v>
      </c>
      <c r="AJ199" t="s">
        <v>2051</v>
      </c>
      <c r="AK199" t="s">
        <v>2051</v>
      </c>
      <c r="AL199" t="s">
        <v>2051</v>
      </c>
      <c r="AM199" t="s">
        <v>2051</v>
      </c>
      <c r="AN199" t="s">
        <v>2051</v>
      </c>
      <c r="AO199" t="s">
        <v>2051</v>
      </c>
      <c r="AP199" t="s">
        <v>2051</v>
      </c>
      <c r="AQ199" t="s">
        <v>2051</v>
      </c>
      <c r="AR199" t="s">
        <v>2051</v>
      </c>
      <c r="AS199" t="s">
        <v>2051</v>
      </c>
      <c r="AT199" t="s">
        <v>2051</v>
      </c>
      <c r="AU199" t="s">
        <v>2051</v>
      </c>
      <c r="AV199" t="s">
        <v>2051</v>
      </c>
      <c r="AW199" t="s">
        <v>2051</v>
      </c>
      <c r="AX199" t="s">
        <v>2051</v>
      </c>
      <c r="AY199" t="s">
        <v>2051</v>
      </c>
      <c r="AZ199" t="s">
        <v>2051</v>
      </c>
    </row>
    <row r="200" spans="1:52" x14ac:dyDescent="0.2">
      <c r="A200" t="s">
        <v>2051</v>
      </c>
      <c r="B200" t="s">
        <v>2051</v>
      </c>
      <c r="C200" t="s">
        <v>2051</v>
      </c>
      <c r="D200" t="s">
        <v>2051</v>
      </c>
      <c r="E200" t="s">
        <v>2051</v>
      </c>
      <c r="F200" t="s">
        <v>2051</v>
      </c>
      <c r="G200" t="s">
        <v>2051</v>
      </c>
      <c r="H200" t="s">
        <v>2051</v>
      </c>
      <c r="I200" t="s">
        <v>2051</v>
      </c>
      <c r="J200" t="s">
        <v>2051</v>
      </c>
      <c r="K200" t="s">
        <v>2051</v>
      </c>
      <c r="L200" t="s">
        <v>2051</v>
      </c>
      <c r="M200" t="s">
        <v>2051</v>
      </c>
      <c r="N200" t="s">
        <v>2051</v>
      </c>
      <c r="O200" t="s">
        <v>2051</v>
      </c>
      <c r="P200" t="s">
        <v>2051</v>
      </c>
      <c r="Q200" t="s">
        <v>2051</v>
      </c>
      <c r="R200" t="s">
        <v>2051</v>
      </c>
      <c r="S200" t="s">
        <v>2051</v>
      </c>
      <c r="T200" t="s">
        <v>2051</v>
      </c>
      <c r="U200" t="s">
        <v>2051</v>
      </c>
      <c r="V200" t="s">
        <v>2051</v>
      </c>
      <c r="W200" t="s">
        <v>2051</v>
      </c>
      <c r="X200" t="s">
        <v>2051</v>
      </c>
      <c r="Y200" t="s">
        <v>2051</v>
      </c>
      <c r="Z200" t="s">
        <v>2051</v>
      </c>
      <c r="AA200" t="s">
        <v>2051</v>
      </c>
      <c r="AB200" t="s">
        <v>2051</v>
      </c>
      <c r="AC200" t="s">
        <v>2051</v>
      </c>
      <c r="AD200" t="s">
        <v>2051</v>
      </c>
      <c r="AE200" t="s">
        <v>2051</v>
      </c>
      <c r="AF200" t="s">
        <v>2051</v>
      </c>
      <c r="AG200" t="s">
        <v>2051</v>
      </c>
      <c r="AH200" t="s">
        <v>2051</v>
      </c>
      <c r="AI200" t="s">
        <v>2051</v>
      </c>
      <c r="AJ200" t="s">
        <v>2051</v>
      </c>
      <c r="AK200" t="s">
        <v>2051</v>
      </c>
      <c r="AL200" t="s">
        <v>2051</v>
      </c>
      <c r="AM200" t="s">
        <v>2051</v>
      </c>
      <c r="AN200" t="s">
        <v>2051</v>
      </c>
      <c r="AO200" t="s">
        <v>2051</v>
      </c>
      <c r="AP200" t="s">
        <v>2051</v>
      </c>
      <c r="AQ200" t="s">
        <v>2051</v>
      </c>
      <c r="AR200" t="s">
        <v>2051</v>
      </c>
      <c r="AS200" t="s">
        <v>2051</v>
      </c>
      <c r="AT200" t="s">
        <v>2051</v>
      </c>
      <c r="AU200" t="s">
        <v>2051</v>
      </c>
      <c r="AV200" t="s">
        <v>2051</v>
      </c>
      <c r="AW200" t="s">
        <v>2051</v>
      </c>
      <c r="AX200" t="s">
        <v>2051</v>
      </c>
      <c r="AY200" t="s">
        <v>2051</v>
      </c>
      <c r="AZ200" t="s">
        <v>2051</v>
      </c>
    </row>
    <row r="201" spans="1:52" x14ac:dyDescent="0.2">
      <c r="A201" t="s">
        <v>2051</v>
      </c>
      <c r="B201" t="s">
        <v>2051</v>
      </c>
      <c r="C201" t="s">
        <v>2051</v>
      </c>
      <c r="D201" t="s">
        <v>2051</v>
      </c>
      <c r="E201" t="s">
        <v>2051</v>
      </c>
      <c r="F201" t="s">
        <v>2051</v>
      </c>
      <c r="G201" t="s">
        <v>2051</v>
      </c>
      <c r="H201" t="s">
        <v>2051</v>
      </c>
      <c r="I201" t="s">
        <v>2051</v>
      </c>
      <c r="J201" t="s">
        <v>2051</v>
      </c>
      <c r="K201" t="s">
        <v>2051</v>
      </c>
      <c r="L201" t="s">
        <v>2051</v>
      </c>
      <c r="M201" t="s">
        <v>2051</v>
      </c>
      <c r="N201" t="s">
        <v>2051</v>
      </c>
      <c r="O201" t="s">
        <v>2051</v>
      </c>
      <c r="P201" t="s">
        <v>2051</v>
      </c>
      <c r="Q201" t="s">
        <v>2051</v>
      </c>
      <c r="R201" t="s">
        <v>2051</v>
      </c>
      <c r="S201" t="s">
        <v>2051</v>
      </c>
      <c r="T201" t="s">
        <v>2051</v>
      </c>
      <c r="U201" t="s">
        <v>2051</v>
      </c>
      <c r="V201" t="s">
        <v>2051</v>
      </c>
      <c r="W201" t="s">
        <v>2051</v>
      </c>
      <c r="X201" t="s">
        <v>2051</v>
      </c>
      <c r="Y201" t="s">
        <v>2051</v>
      </c>
      <c r="Z201" t="s">
        <v>2051</v>
      </c>
      <c r="AA201" t="s">
        <v>2051</v>
      </c>
      <c r="AB201" t="s">
        <v>2051</v>
      </c>
      <c r="AC201" t="s">
        <v>2051</v>
      </c>
      <c r="AD201" t="s">
        <v>2051</v>
      </c>
      <c r="AE201" t="s">
        <v>2051</v>
      </c>
      <c r="AF201" t="s">
        <v>2051</v>
      </c>
      <c r="AG201" t="s">
        <v>2051</v>
      </c>
      <c r="AH201" t="s">
        <v>2051</v>
      </c>
      <c r="AI201" t="s">
        <v>2051</v>
      </c>
      <c r="AJ201" t="s">
        <v>2051</v>
      </c>
      <c r="AK201" t="s">
        <v>2051</v>
      </c>
      <c r="AL201" t="s">
        <v>2051</v>
      </c>
      <c r="AM201" t="s">
        <v>2051</v>
      </c>
      <c r="AN201" t="s">
        <v>2051</v>
      </c>
      <c r="AO201" t="s">
        <v>2051</v>
      </c>
      <c r="AP201" t="s">
        <v>2051</v>
      </c>
      <c r="AQ201" t="s">
        <v>2051</v>
      </c>
      <c r="AR201" t="s">
        <v>2051</v>
      </c>
      <c r="AS201" t="s">
        <v>2051</v>
      </c>
      <c r="AT201" t="s">
        <v>2051</v>
      </c>
      <c r="AU201" t="s">
        <v>2051</v>
      </c>
      <c r="AV201" t="s">
        <v>2051</v>
      </c>
      <c r="AW201" t="s">
        <v>2051</v>
      </c>
      <c r="AX201" t="s">
        <v>2051</v>
      </c>
      <c r="AY201" t="s">
        <v>2051</v>
      </c>
      <c r="AZ201" t="s">
        <v>2051</v>
      </c>
    </row>
    <row r="202" spans="1:52" x14ac:dyDescent="0.2">
      <c r="A202" t="s">
        <v>2051</v>
      </c>
      <c r="B202" t="s">
        <v>2051</v>
      </c>
      <c r="C202" t="s">
        <v>2051</v>
      </c>
      <c r="D202" t="s">
        <v>2051</v>
      </c>
      <c r="E202" t="s">
        <v>2051</v>
      </c>
      <c r="F202" t="s">
        <v>2051</v>
      </c>
      <c r="G202" t="s">
        <v>2051</v>
      </c>
      <c r="H202" t="s">
        <v>2051</v>
      </c>
      <c r="I202" t="s">
        <v>2051</v>
      </c>
      <c r="J202" t="s">
        <v>2051</v>
      </c>
      <c r="K202" t="s">
        <v>2051</v>
      </c>
      <c r="L202" t="s">
        <v>2051</v>
      </c>
      <c r="M202" t="s">
        <v>2051</v>
      </c>
      <c r="N202" t="s">
        <v>2051</v>
      </c>
      <c r="O202" t="s">
        <v>2051</v>
      </c>
      <c r="P202" t="s">
        <v>2051</v>
      </c>
      <c r="Q202" t="s">
        <v>2051</v>
      </c>
      <c r="R202" t="s">
        <v>2051</v>
      </c>
      <c r="S202" t="s">
        <v>2051</v>
      </c>
      <c r="T202" t="s">
        <v>2051</v>
      </c>
      <c r="U202" t="s">
        <v>2051</v>
      </c>
      <c r="V202" t="s">
        <v>2051</v>
      </c>
      <c r="W202" t="s">
        <v>2051</v>
      </c>
      <c r="X202" t="s">
        <v>2051</v>
      </c>
      <c r="Y202" t="s">
        <v>2051</v>
      </c>
      <c r="Z202" t="s">
        <v>2051</v>
      </c>
      <c r="AA202" t="s">
        <v>2051</v>
      </c>
      <c r="AB202" t="s">
        <v>2051</v>
      </c>
      <c r="AC202" t="s">
        <v>2051</v>
      </c>
      <c r="AD202" t="s">
        <v>2051</v>
      </c>
      <c r="AE202" t="s">
        <v>2051</v>
      </c>
      <c r="AF202" t="s">
        <v>2051</v>
      </c>
      <c r="AG202" t="s">
        <v>2051</v>
      </c>
      <c r="AH202" t="s">
        <v>2051</v>
      </c>
      <c r="AI202" t="s">
        <v>2051</v>
      </c>
      <c r="AJ202" t="s">
        <v>2051</v>
      </c>
      <c r="AK202" t="s">
        <v>2051</v>
      </c>
      <c r="AL202" t="s">
        <v>2051</v>
      </c>
      <c r="AM202" t="s">
        <v>2051</v>
      </c>
      <c r="AN202" t="s">
        <v>2051</v>
      </c>
      <c r="AO202" t="s">
        <v>2051</v>
      </c>
      <c r="AP202" t="s">
        <v>2051</v>
      </c>
      <c r="AQ202" t="s">
        <v>2051</v>
      </c>
      <c r="AR202" t="s">
        <v>2051</v>
      </c>
      <c r="AS202" t="s">
        <v>2051</v>
      </c>
      <c r="AT202" t="s">
        <v>2051</v>
      </c>
      <c r="AU202" t="s">
        <v>2051</v>
      </c>
      <c r="AV202" t="s">
        <v>2051</v>
      </c>
      <c r="AW202" t="s">
        <v>2051</v>
      </c>
      <c r="AX202" t="s">
        <v>2051</v>
      </c>
      <c r="AY202" t="s">
        <v>2051</v>
      </c>
      <c r="AZ202" t="s">
        <v>2051</v>
      </c>
    </row>
    <row r="203" spans="1:52" x14ac:dyDescent="0.2">
      <c r="A203" t="s">
        <v>2051</v>
      </c>
      <c r="B203" t="s">
        <v>2051</v>
      </c>
      <c r="C203" t="s">
        <v>2051</v>
      </c>
      <c r="D203" t="s">
        <v>2051</v>
      </c>
      <c r="E203" t="s">
        <v>2051</v>
      </c>
      <c r="F203" t="s">
        <v>2051</v>
      </c>
      <c r="G203" t="s">
        <v>2051</v>
      </c>
      <c r="H203" t="s">
        <v>2051</v>
      </c>
      <c r="I203" t="s">
        <v>2051</v>
      </c>
      <c r="J203" t="s">
        <v>2051</v>
      </c>
      <c r="K203" t="s">
        <v>2051</v>
      </c>
      <c r="L203" t="s">
        <v>2051</v>
      </c>
      <c r="M203" t="s">
        <v>2051</v>
      </c>
      <c r="N203" t="s">
        <v>2051</v>
      </c>
      <c r="O203" t="s">
        <v>2051</v>
      </c>
      <c r="P203" t="s">
        <v>2051</v>
      </c>
      <c r="Q203" t="s">
        <v>2051</v>
      </c>
      <c r="R203" t="s">
        <v>2051</v>
      </c>
      <c r="S203" t="s">
        <v>2051</v>
      </c>
      <c r="T203" t="s">
        <v>2051</v>
      </c>
      <c r="U203" t="s">
        <v>2051</v>
      </c>
      <c r="V203" t="s">
        <v>2051</v>
      </c>
      <c r="W203" t="s">
        <v>2051</v>
      </c>
      <c r="X203" t="s">
        <v>2051</v>
      </c>
      <c r="Y203" t="s">
        <v>2051</v>
      </c>
      <c r="Z203" t="s">
        <v>2051</v>
      </c>
      <c r="AA203" t="s">
        <v>2051</v>
      </c>
      <c r="AB203" t="s">
        <v>2051</v>
      </c>
      <c r="AC203" t="s">
        <v>2051</v>
      </c>
      <c r="AD203" t="s">
        <v>2051</v>
      </c>
      <c r="AE203" t="s">
        <v>2051</v>
      </c>
      <c r="AF203" t="s">
        <v>2051</v>
      </c>
      <c r="AG203" t="s">
        <v>2051</v>
      </c>
      <c r="AH203" t="s">
        <v>2051</v>
      </c>
      <c r="AI203" t="s">
        <v>2051</v>
      </c>
      <c r="AJ203" t="s">
        <v>2051</v>
      </c>
      <c r="AK203" t="s">
        <v>2051</v>
      </c>
      <c r="AL203" t="s">
        <v>2051</v>
      </c>
      <c r="AM203" t="s">
        <v>2051</v>
      </c>
      <c r="AN203" t="s">
        <v>2051</v>
      </c>
      <c r="AO203" t="s">
        <v>2051</v>
      </c>
      <c r="AP203" t="s">
        <v>2051</v>
      </c>
      <c r="AQ203" t="s">
        <v>2051</v>
      </c>
      <c r="AR203" t="s">
        <v>2051</v>
      </c>
      <c r="AS203" t="s">
        <v>2051</v>
      </c>
      <c r="AT203" t="s">
        <v>2051</v>
      </c>
      <c r="AU203" t="s">
        <v>2051</v>
      </c>
      <c r="AV203" t="s">
        <v>2051</v>
      </c>
      <c r="AW203" t="s">
        <v>2051</v>
      </c>
      <c r="AX203" t="s">
        <v>2051</v>
      </c>
      <c r="AY203" t="s">
        <v>2051</v>
      </c>
      <c r="AZ203" t="s">
        <v>2051</v>
      </c>
    </row>
    <row r="204" spans="1:52" x14ac:dyDescent="0.2">
      <c r="A204" t="s">
        <v>2051</v>
      </c>
      <c r="B204" t="s">
        <v>2051</v>
      </c>
      <c r="C204" t="s">
        <v>2051</v>
      </c>
      <c r="D204" t="s">
        <v>2051</v>
      </c>
      <c r="E204" t="s">
        <v>2051</v>
      </c>
      <c r="F204" t="s">
        <v>2051</v>
      </c>
      <c r="G204" t="s">
        <v>2051</v>
      </c>
      <c r="H204" t="s">
        <v>2051</v>
      </c>
      <c r="I204" t="s">
        <v>2051</v>
      </c>
      <c r="J204" t="s">
        <v>2051</v>
      </c>
      <c r="K204" t="s">
        <v>2051</v>
      </c>
      <c r="L204" t="s">
        <v>2051</v>
      </c>
      <c r="M204" t="s">
        <v>2051</v>
      </c>
      <c r="N204" t="s">
        <v>2051</v>
      </c>
      <c r="O204" t="s">
        <v>2051</v>
      </c>
      <c r="P204" t="s">
        <v>2051</v>
      </c>
      <c r="Q204" t="s">
        <v>2051</v>
      </c>
      <c r="R204" t="s">
        <v>2051</v>
      </c>
      <c r="S204" t="s">
        <v>2051</v>
      </c>
      <c r="T204" t="s">
        <v>2051</v>
      </c>
      <c r="U204" t="s">
        <v>2051</v>
      </c>
      <c r="V204" t="s">
        <v>2051</v>
      </c>
      <c r="W204" t="s">
        <v>2051</v>
      </c>
      <c r="X204" t="s">
        <v>2051</v>
      </c>
      <c r="Y204" t="s">
        <v>2051</v>
      </c>
      <c r="Z204" t="s">
        <v>2051</v>
      </c>
      <c r="AA204" t="s">
        <v>2051</v>
      </c>
      <c r="AB204" t="s">
        <v>2051</v>
      </c>
      <c r="AC204" t="s">
        <v>2051</v>
      </c>
      <c r="AD204" t="s">
        <v>2051</v>
      </c>
      <c r="AE204" t="s">
        <v>2051</v>
      </c>
      <c r="AF204" t="s">
        <v>2051</v>
      </c>
      <c r="AG204" t="s">
        <v>2051</v>
      </c>
      <c r="AH204" t="s">
        <v>2051</v>
      </c>
      <c r="AI204" t="s">
        <v>2051</v>
      </c>
      <c r="AJ204" t="s">
        <v>2051</v>
      </c>
      <c r="AK204" t="s">
        <v>2051</v>
      </c>
      <c r="AL204" t="s">
        <v>2051</v>
      </c>
      <c r="AM204" t="s">
        <v>2051</v>
      </c>
      <c r="AN204" t="s">
        <v>2051</v>
      </c>
      <c r="AO204" t="s">
        <v>2051</v>
      </c>
      <c r="AP204" t="s">
        <v>2051</v>
      </c>
      <c r="AQ204" t="s">
        <v>2051</v>
      </c>
      <c r="AR204" t="s">
        <v>2051</v>
      </c>
      <c r="AS204" t="s">
        <v>2051</v>
      </c>
      <c r="AT204" t="s">
        <v>2051</v>
      </c>
      <c r="AU204" t="s">
        <v>2051</v>
      </c>
      <c r="AV204" t="s">
        <v>2051</v>
      </c>
      <c r="AW204" t="s">
        <v>2051</v>
      </c>
      <c r="AX204" t="s">
        <v>2051</v>
      </c>
      <c r="AY204" t="s">
        <v>2051</v>
      </c>
      <c r="AZ204" t="s">
        <v>2051</v>
      </c>
    </row>
    <row r="205" spans="1:52" x14ac:dyDescent="0.2">
      <c r="A205" t="s">
        <v>2051</v>
      </c>
      <c r="B205" t="s">
        <v>2051</v>
      </c>
      <c r="C205" t="s">
        <v>2051</v>
      </c>
      <c r="D205" t="s">
        <v>2051</v>
      </c>
      <c r="E205" t="s">
        <v>2051</v>
      </c>
      <c r="F205" t="s">
        <v>2051</v>
      </c>
      <c r="G205" t="s">
        <v>2051</v>
      </c>
      <c r="H205" t="s">
        <v>2051</v>
      </c>
      <c r="I205" t="s">
        <v>2051</v>
      </c>
      <c r="J205" t="s">
        <v>2051</v>
      </c>
      <c r="K205" t="s">
        <v>2051</v>
      </c>
      <c r="L205" t="s">
        <v>2051</v>
      </c>
      <c r="M205" t="s">
        <v>2051</v>
      </c>
      <c r="N205" t="s">
        <v>2051</v>
      </c>
      <c r="O205" t="s">
        <v>2051</v>
      </c>
      <c r="P205" t="s">
        <v>2051</v>
      </c>
      <c r="Q205" t="s">
        <v>2051</v>
      </c>
      <c r="R205" t="s">
        <v>2051</v>
      </c>
      <c r="S205" t="s">
        <v>2051</v>
      </c>
      <c r="T205" t="s">
        <v>2051</v>
      </c>
      <c r="U205" t="s">
        <v>2051</v>
      </c>
      <c r="V205" t="s">
        <v>2051</v>
      </c>
      <c r="W205" t="s">
        <v>2051</v>
      </c>
      <c r="X205" t="s">
        <v>2051</v>
      </c>
      <c r="Y205" t="s">
        <v>2051</v>
      </c>
      <c r="Z205" t="s">
        <v>2051</v>
      </c>
      <c r="AA205" t="s">
        <v>2051</v>
      </c>
      <c r="AB205" t="s">
        <v>2051</v>
      </c>
      <c r="AC205" t="s">
        <v>2051</v>
      </c>
      <c r="AD205" t="s">
        <v>2051</v>
      </c>
      <c r="AE205" t="s">
        <v>2051</v>
      </c>
      <c r="AF205" t="s">
        <v>2051</v>
      </c>
      <c r="AG205" t="s">
        <v>2051</v>
      </c>
      <c r="AH205" t="s">
        <v>2051</v>
      </c>
      <c r="AI205" t="s">
        <v>2051</v>
      </c>
      <c r="AJ205" t="s">
        <v>2051</v>
      </c>
      <c r="AK205" t="s">
        <v>2051</v>
      </c>
      <c r="AL205" t="s">
        <v>2051</v>
      </c>
      <c r="AM205" t="s">
        <v>2051</v>
      </c>
      <c r="AN205" t="s">
        <v>2051</v>
      </c>
      <c r="AO205" t="s">
        <v>2051</v>
      </c>
      <c r="AP205" t="s">
        <v>2051</v>
      </c>
      <c r="AQ205" t="s">
        <v>2051</v>
      </c>
      <c r="AR205" t="s">
        <v>2051</v>
      </c>
      <c r="AS205" t="s">
        <v>2051</v>
      </c>
      <c r="AT205" t="s">
        <v>2051</v>
      </c>
      <c r="AU205" t="s">
        <v>2051</v>
      </c>
      <c r="AV205" t="s">
        <v>2051</v>
      </c>
      <c r="AW205" t="s">
        <v>2051</v>
      </c>
      <c r="AX205" t="s">
        <v>2051</v>
      </c>
      <c r="AY205" t="s">
        <v>2051</v>
      </c>
      <c r="AZ205" t="s">
        <v>2051</v>
      </c>
    </row>
    <row r="206" spans="1:52" x14ac:dyDescent="0.2">
      <c r="A206" t="s">
        <v>2051</v>
      </c>
      <c r="B206" t="s">
        <v>2051</v>
      </c>
      <c r="C206" t="s">
        <v>2051</v>
      </c>
      <c r="D206" t="s">
        <v>2051</v>
      </c>
      <c r="E206" t="s">
        <v>2051</v>
      </c>
      <c r="F206" t="s">
        <v>2051</v>
      </c>
      <c r="G206" t="s">
        <v>2051</v>
      </c>
      <c r="H206" t="s">
        <v>2051</v>
      </c>
      <c r="I206" t="s">
        <v>2051</v>
      </c>
      <c r="J206" t="s">
        <v>2051</v>
      </c>
      <c r="K206" t="s">
        <v>2051</v>
      </c>
      <c r="L206" t="s">
        <v>2051</v>
      </c>
      <c r="M206" t="s">
        <v>2051</v>
      </c>
      <c r="N206" t="s">
        <v>2051</v>
      </c>
      <c r="O206" t="s">
        <v>2051</v>
      </c>
      <c r="P206" t="s">
        <v>2051</v>
      </c>
      <c r="Q206" t="s">
        <v>2051</v>
      </c>
      <c r="R206" t="s">
        <v>2051</v>
      </c>
      <c r="S206" t="s">
        <v>2051</v>
      </c>
      <c r="T206" t="s">
        <v>2051</v>
      </c>
      <c r="U206" t="s">
        <v>2051</v>
      </c>
      <c r="V206" t="s">
        <v>2051</v>
      </c>
      <c r="W206" t="s">
        <v>2051</v>
      </c>
      <c r="X206" t="s">
        <v>2051</v>
      </c>
      <c r="Y206" t="s">
        <v>2051</v>
      </c>
      <c r="Z206" t="s">
        <v>2051</v>
      </c>
      <c r="AA206" t="s">
        <v>2051</v>
      </c>
      <c r="AB206" t="s">
        <v>2051</v>
      </c>
      <c r="AC206" t="s">
        <v>2051</v>
      </c>
      <c r="AD206" t="s">
        <v>2051</v>
      </c>
      <c r="AE206" t="s">
        <v>2051</v>
      </c>
      <c r="AF206" t="s">
        <v>2051</v>
      </c>
      <c r="AG206" t="s">
        <v>2051</v>
      </c>
      <c r="AH206" t="s">
        <v>2051</v>
      </c>
      <c r="AI206" t="s">
        <v>2051</v>
      </c>
      <c r="AJ206" t="s">
        <v>2051</v>
      </c>
      <c r="AK206" t="s">
        <v>2051</v>
      </c>
      <c r="AL206" t="s">
        <v>2051</v>
      </c>
      <c r="AM206" t="s">
        <v>2051</v>
      </c>
      <c r="AN206" t="s">
        <v>2051</v>
      </c>
      <c r="AO206" t="s">
        <v>2051</v>
      </c>
      <c r="AP206" t="s">
        <v>2051</v>
      </c>
      <c r="AQ206" t="s">
        <v>2051</v>
      </c>
      <c r="AR206" t="s">
        <v>2051</v>
      </c>
      <c r="AS206" t="s">
        <v>2051</v>
      </c>
      <c r="AT206" t="s">
        <v>2051</v>
      </c>
      <c r="AU206" t="s">
        <v>2051</v>
      </c>
      <c r="AV206" t="s">
        <v>2051</v>
      </c>
      <c r="AW206" t="s">
        <v>2051</v>
      </c>
      <c r="AX206" t="s">
        <v>2051</v>
      </c>
      <c r="AY206" t="s">
        <v>2051</v>
      </c>
      <c r="AZ206" t="s">
        <v>2051</v>
      </c>
    </row>
    <row r="207" spans="1:52" x14ac:dyDescent="0.2">
      <c r="A207" t="s">
        <v>2051</v>
      </c>
      <c r="B207" t="s">
        <v>2051</v>
      </c>
      <c r="C207" t="s">
        <v>2051</v>
      </c>
      <c r="D207" t="s">
        <v>2051</v>
      </c>
      <c r="E207" t="s">
        <v>2051</v>
      </c>
      <c r="F207" t="s">
        <v>2051</v>
      </c>
      <c r="G207" t="s">
        <v>2051</v>
      </c>
      <c r="H207" t="s">
        <v>2051</v>
      </c>
      <c r="I207" t="s">
        <v>2051</v>
      </c>
      <c r="J207" t="s">
        <v>2051</v>
      </c>
      <c r="K207" t="s">
        <v>2051</v>
      </c>
      <c r="L207" t="s">
        <v>2051</v>
      </c>
      <c r="M207" t="s">
        <v>2051</v>
      </c>
      <c r="N207" t="s">
        <v>2051</v>
      </c>
      <c r="O207" t="s">
        <v>2051</v>
      </c>
      <c r="P207" t="s">
        <v>2051</v>
      </c>
      <c r="Q207" t="s">
        <v>2051</v>
      </c>
      <c r="R207" t="s">
        <v>2051</v>
      </c>
      <c r="S207" t="s">
        <v>2051</v>
      </c>
      <c r="T207" t="s">
        <v>2051</v>
      </c>
      <c r="U207" t="s">
        <v>2051</v>
      </c>
      <c r="V207" t="s">
        <v>2051</v>
      </c>
      <c r="W207" t="s">
        <v>2051</v>
      </c>
      <c r="X207" t="s">
        <v>2051</v>
      </c>
      <c r="Y207" t="s">
        <v>2051</v>
      </c>
      <c r="Z207" t="s">
        <v>2051</v>
      </c>
      <c r="AA207" t="s">
        <v>2051</v>
      </c>
      <c r="AB207" t="s">
        <v>2051</v>
      </c>
      <c r="AC207" t="s">
        <v>2051</v>
      </c>
      <c r="AD207" t="s">
        <v>2051</v>
      </c>
      <c r="AE207" t="s">
        <v>2051</v>
      </c>
      <c r="AF207" t="s">
        <v>2051</v>
      </c>
      <c r="AG207" t="s">
        <v>2051</v>
      </c>
      <c r="AH207" t="s">
        <v>2051</v>
      </c>
      <c r="AI207" t="s">
        <v>2051</v>
      </c>
      <c r="AJ207" t="s">
        <v>2051</v>
      </c>
      <c r="AK207" t="s">
        <v>2051</v>
      </c>
      <c r="AL207" t="s">
        <v>2051</v>
      </c>
      <c r="AM207" t="s">
        <v>2051</v>
      </c>
      <c r="AN207" t="s">
        <v>2051</v>
      </c>
      <c r="AO207" t="s">
        <v>2051</v>
      </c>
      <c r="AP207" t="s">
        <v>2051</v>
      </c>
      <c r="AQ207" t="s">
        <v>2051</v>
      </c>
      <c r="AR207" t="s">
        <v>2051</v>
      </c>
      <c r="AS207" t="s">
        <v>2051</v>
      </c>
      <c r="AT207" t="s">
        <v>2051</v>
      </c>
      <c r="AU207" t="s">
        <v>2051</v>
      </c>
      <c r="AV207" t="s">
        <v>2051</v>
      </c>
      <c r="AW207" t="s">
        <v>2051</v>
      </c>
      <c r="AX207" t="s">
        <v>2051</v>
      </c>
      <c r="AY207" t="s">
        <v>2051</v>
      </c>
      <c r="AZ207" t="s">
        <v>2051</v>
      </c>
    </row>
    <row r="208" spans="1:52" x14ac:dyDescent="0.2">
      <c r="A208" t="s">
        <v>2051</v>
      </c>
      <c r="B208" t="s">
        <v>2051</v>
      </c>
      <c r="C208" t="s">
        <v>2051</v>
      </c>
      <c r="D208" t="s">
        <v>2051</v>
      </c>
      <c r="E208" t="s">
        <v>2051</v>
      </c>
      <c r="F208" t="s">
        <v>2051</v>
      </c>
      <c r="G208" t="s">
        <v>2051</v>
      </c>
      <c r="H208" t="s">
        <v>2051</v>
      </c>
      <c r="I208" t="s">
        <v>2051</v>
      </c>
      <c r="J208" t="s">
        <v>2051</v>
      </c>
      <c r="K208" t="s">
        <v>2051</v>
      </c>
      <c r="L208" t="s">
        <v>2051</v>
      </c>
      <c r="M208" t="s">
        <v>2051</v>
      </c>
      <c r="N208" t="s">
        <v>2051</v>
      </c>
      <c r="O208" t="s">
        <v>2051</v>
      </c>
      <c r="P208" t="s">
        <v>2051</v>
      </c>
      <c r="Q208" t="s">
        <v>2051</v>
      </c>
      <c r="R208" t="s">
        <v>2051</v>
      </c>
      <c r="S208" t="s">
        <v>2051</v>
      </c>
      <c r="T208" t="s">
        <v>2051</v>
      </c>
      <c r="U208" t="s">
        <v>2051</v>
      </c>
      <c r="V208" t="s">
        <v>2051</v>
      </c>
      <c r="W208" t="s">
        <v>2051</v>
      </c>
      <c r="X208" t="s">
        <v>2051</v>
      </c>
      <c r="Y208" t="s">
        <v>2051</v>
      </c>
      <c r="Z208" t="s">
        <v>2051</v>
      </c>
      <c r="AA208" t="s">
        <v>2051</v>
      </c>
      <c r="AB208" t="s">
        <v>2051</v>
      </c>
      <c r="AC208" t="s">
        <v>2051</v>
      </c>
      <c r="AD208" t="s">
        <v>2051</v>
      </c>
      <c r="AE208" t="s">
        <v>2051</v>
      </c>
      <c r="AF208" t="s">
        <v>2051</v>
      </c>
      <c r="AG208" t="s">
        <v>2051</v>
      </c>
      <c r="AH208" t="s">
        <v>2051</v>
      </c>
      <c r="AI208" t="s">
        <v>2051</v>
      </c>
      <c r="AJ208" t="s">
        <v>2051</v>
      </c>
      <c r="AK208" t="s">
        <v>2051</v>
      </c>
      <c r="AL208" t="s">
        <v>2051</v>
      </c>
      <c r="AM208" t="s">
        <v>2051</v>
      </c>
      <c r="AN208" t="s">
        <v>2051</v>
      </c>
      <c r="AO208" t="s">
        <v>2051</v>
      </c>
      <c r="AP208" t="s">
        <v>2051</v>
      </c>
      <c r="AQ208" t="s">
        <v>2051</v>
      </c>
      <c r="AR208" t="s">
        <v>2051</v>
      </c>
      <c r="AS208" t="s">
        <v>2051</v>
      </c>
      <c r="AT208" t="s">
        <v>2051</v>
      </c>
      <c r="AU208" t="s">
        <v>2051</v>
      </c>
      <c r="AV208" t="s">
        <v>2051</v>
      </c>
      <c r="AW208" t="s">
        <v>2051</v>
      </c>
      <c r="AX208" t="s">
        <v>2051</v>
      </c>
      <c r="AY208" t="s">
        <v>2051</v>
      </c>
      <c r="AZ208" t="s">
        <v>2051</v>
      </c>
    </row>
    <row r="209" spans="1:52" x14ac:dyDescent="0.2">
      <c r="A209" t="s">
        <v>2051</v>
      </c>
      <c r="B209" t="s">
        <v>2051</v>
      </c>
      <c r="C209" t="s">
        <v>2051</v>
      </c>
      <c r="D209" t="s">
        <v>2051</v>
      </c>
      <c r="E209" t="s">
        <v>2051</v>
      </c>
      <c r="F209" t="s">
        <v>2051</v>
      </c>
      <c r="G209" t="s">
        <v>2051</v>
      </c>
      <c r="H209" t="s">
        <v>2051</v>
      </c>
      <c r="I209" t="s">
        <v>2051</v>
      </c>
      <c r="J209" t="s">
        <v>2051</v>
      </c>
      <c r="K209" t="s">
        <v>2051</v>
      </c>
      <c r="L209" t="s">
        <v>2051</v>
      </c>
      <c r="M209" t="s">
        <v>2051</v>
      </c>
      <c r="N209" t="s">
        <v>2051</v>
      </c>
      <c r="O209" t="s">
        <v>2051</v>
      </c>
      <c r="P209" t="s">
        <v>2051</v>
      </c>
      <c r="Q209" t="s">
        <v>2051</v>
      </c>
      <c r="R209" t="s">
        <v>2051</v>
      </c>
      <c r="S209" t="s">
        <v>2051</v>
      </c>
      <c r="T209" t="s">
        <v>2051</v>
      </c>
      <c r="U209" t="s">
        <v>2051</v>
      </c>
      <c r="V209" t="s">
        <v>2051</v>
      </c>
      <c r="W209" t="s">
        <v>2051</v>
      </c>
      <c r="X209" t="s">
        <v>2051</v>
      </c>
      <c r="Y209" t="s">
        <v>2051</v>
      </c>
      <c r="Z209" t="s">
        <v>2051</v>
      </c>
      <c r="AA209" t="s">
        <v>2051</v>
      </c>
      <c r="AB209" t="s">
        <v>2051</v>
      </c>
      <c r="AC209" t="s">
        <v>2051</v>
      </c>
      <c r="AD209" t="s">
        <v>2051</v>
      </c>
      <c r="AE209" t="s">
        <v>2051</v>
      </c>
      <c r="AF209" t="s">
        <v>2051</v>
      </c>
      <c r="AG209" t="s">
        <v>2051</v>
      </c>
      <c r="AH209" t="s">
        <v>2051</v>
      </c>
      <c r="AI209" t="s">
        <v>2051</v>
      </c>
      <c r="AJ209" t="s">
        <v>2051</v>
      </c>
      <c r="AK209" t="s">
        <v>2051</v>
      </c>
      <c r="AL209" t="s">
        <v>2051</v>
      </c>
      <c r="AM209" t="s">
        <v>2051</v>
      </c>
      <c r="AN209" t="s">
        <v>2051</v>
      </c>
      <c r="AO209" t="s">
        <v>2051</v>
      </c>
      <c r="AP209" t="s">
        <v>2051</v>
      </c>
      <c r="AQ209" t="s">
        <v>2051</v>
      </c>
      <c r="AR209" t="s">
        <v>2051</v>
      </c>
      <c r="AS209" t="s">
        <v>2051</v>
      </c>
      <c r="AT209" t="s">
        <v>2051</v>
      </c>
      <c r="AU209" t="s">
        <v>2051</v>
      </c>
      <c r="AV209" t="s">
        <v>2051</v>
      </c>
      <c r="AW209" t="s">
        <v>2051</v>
      </c>
      <c r="AX209" t="s">
        <v>2051</v>
      </c>
      <c r="AY209" t="s">
        <v>2051</v>
      </c>
      <c r="AZ209" t="s">
        <v>2051</v>
      </c>
    </row>
    <row r="210" spans="1:52" x14ac:dyDescent="0.2">
      <c r="A210" t="s">
        <v>2051</v>
      </c>
      <c r="B210" t="s">
        <v>2051</v>
      </c>
      <c r="C210" t="s">
        <v>2051</v>
      </c>
      <c r="D210" t="s">
        <v>2051</v>
      </c>
      <c r="E210" t="s">
        <v>2051</v>
      </c>
      <c r="F210" t="s">
        <v>2051</v>
      </c>
      <c r="G210" t="s">
        <v>2051</v>
      </c>
      <c r="H210" t="s">
        <v>2051</v>
      </c>
      <c r="I210" t="s">
        <v>2051</v>
      </c>
      <c r="J210" t="s">
        <v>2051</v>
      </c>
      <c r="K210" t="s">
        <v>2051</v>
      </c>
      <c r="L210" t="s">
        <v>2051</v>
      </c>
      <c r="M210" t="s">
        <v>2051</v>
      </c>
      <c r="N210" t="s">
        <v>2051</v>
      </c>
      <c r="O210" t="s">
        <v>2051</v>
      </c>
      <c r="P210" t="s">
        <v>2051</v>
      </c>
      <c r="Q210" t="s">
        <v>2051</v>
      </c>
      <c r="R210" t="s">
        <v>2051</v>
      </c>
      <c r="S210" t="s">
        <v>2051</v>
      </c>
      <c r="T210" t="s">
        <v>2051</v>
      </c>
      <c r="U210" t="s">
        <v>2051</v>
      </c>
      <c r="V210" t="s">
        <v>2051</v>
      </c>
      <c r="W210" t="s">
        <v>2051</v>
      </c>
      <c r="X210" t="s">
        <v>2051</v>
      </c>
      <c r="Y210" t="s">
        <v>2051</v>
      </c>
      <c r="Z210" t="s">
        <v>2051</v>
      </c>
      <c r="AA210" t="s">
        <v>2051</v>
      </c>
      <c r="AB210" t="s">
        <v>2051</v>
      </c>
      <c r="AC210" t="s">
        <v>2051</v>
      </c>
      <c r="AD210" t="s">
        <v>2051</v>
      </c>
      <c r="AE210" t="s">
        <v>2051</v>
      </c>
      <c r="AF210" t="s">
        <v>2051</v>
      </c>
      <c r="AG210" t="s">
        <v>2051</v>
      </c>
      <c r="AH210" t="s">
        <v>2051</v>
      </c>
      <c r="AI210" t="s">
        <v>2051</v>
      </c>
      <c r="AJ210" t="s">
        <v>2051</v>
      </c>
      <c r="AK210" t="s">
        <v>2051</v>
      </c>
      <c r="AL210" t="s">
        <v>2051</v>
      </c>
      <c r="AM210" t="s">
        <v>2051</v>
      </c>
      <c r="AN210" t="s">
        <v>2051</v>
      </c>
      <c r="AO210" t="s">
        <v>2051</v>
      </c>
      <c r="AP210" t="s">
        <v>2051</v>
      </c>
      <c r="AQ210" t="s">
        <v>2051</v>
      </c>
      <c r="AR210" t="s">
        <v>2051</v>
      </c>
      <c r="AS210" t="s">
        <v>2051</v>
      </c>
      <c r="AT210" t="s">
        <v>2051</v>
      </c>
      <c r="AU210" t="s">
        <v>2051</v>
      </c>
      <c r="AV210" t="s">
        <v>2051</v>
      </c>
      <c r="AW210" t="s">
        <v>2051</v>
      </c>
      <c r="AX210" t="s">
        <v>2051</v>
      </c>
      <c r="AY210" t="s">
        <v>2051</v>
      </c>
      <c r="AZ210" t="s">
        <v>2051</v>
      </c>
    </row>
    <row r="211" spans="1:52" x14ac:dyDescent="0.2">
      <c r="A211" t="s">
        <v>2051</v>
      </c>
      <c r="B211" t="s">
        <v>2051</v>
      </c>
      <c r="C211" t="s">
        <v>2051</v>
      </c>
      <c r="D211" t="s">
        <v>2051</v>
      </c>
      <c r="E211" t="s">
        <v>2051</v>
      </c>
      <c r="F211" t="s">
        <v>2051</v>
      </c>
      <c r="G211" t="s">
        <v>2051</v>
      </c>
      <c r="H211" t="s">
        <v>2051</v>
      </c>
      <c r="I211" t="s">
        <v>2051</v>
      </c>
      <c r="J211" t="s">
        <v>2051</v>
      </c>
      <c r="K211" t="s">
        <v>2051</v>
      </c>
      <c r="L211" t="s">
        <v>2051</v>
      </c>
      <c r="M211" t="s">
        <v>2051</v>
      </c>
      <c r="N211" t="s">
        <v>2051</v>
      </c>
      <c r="O211" t="s">
        <v>2051</v>
      </c>
      <c r="P211" t="s">
        <v>2051</v>
      </c>
      <c r="Q211" t="s">
        <v>2051</v>
      </c>
      <c r="R211" t="s">
        <v>2051</v>
      </c>
      <c r="S211" t="s">
        <v>2051</v>
      </c>
      <c r="T211" t="s">
        <v>2051</v>
      </c>
      <c r="U211" t="s">
        <v>2051</v>
      </c>
      <c r="V211" t="s">
        <v>2051</v>
      </c>
      <c r="W211" t="s">
        <v>2051</v>
      </c>
      <c r="X211" t="s">
        <v>2051</v>
      </c>
      <c r="Y211" t="s">
        <v>2051</v>
      </c>
      <c r="Z211" t="s">
        <v>2051</v>
      </c>
      <c r="AA211" t="s">
        <v>2051</v>
      </c>
      <c r="AB211" t="s">
        <v>2051</v>
      </c>
      <c r="AC211" t="s">
        <v>2051</v>
      </c>
      <c r="AD211" t="s">
        <v>2051</v>
      </c>
      <c r="AE211" t="s">
        <v>2051</v>
      </c>
      <c r="AF211" t="s">
        <v>2051</v>
      </c>
      <c r="AG211" t="s">
        <v>2051</v>
      </c>
      <c r="AH211" t="s">
        <v>2051</v>
      </c>
      <c r="AI211" t="s">
        <v>2051</v>
      </c>
      <c r="AJ211" t="s">
        <v>2051</v>
      </c>
      <c r="AK211" t="s">
        <v>2051</v>
      </c>
      <c r="AL211" t="s">
        <v>2051</v>
      </c>
      <c r="AM211" t="s">
        <v>2051</v>
      </c>
      <c r="AN211" t="s">
        <v>2051</v>
      </c>
      <c r="AO211" t="s">
        <v>2051</v>
      </c>
      <c r="AP211" t="s">
        <v>2051</v>
      </c>
      <c r="AQ211" t="s">
        <v>2051</v>
      </c>
      <c r="AR211" t="s">
        <v>2051</v>
      </c>
      <c r="AS211" t="s">
        <v>2051</v>
      </c>
      <c r="AT211" t="s">
        <v>2051</v>
      </c>
      <c r="AU211" t="s">
        <v>2051</v>
      </c>
      <c r="AV211" t="s">
        <v>2051</v>
      </c>
      <c r="AW211" t="s">
        <v>2051</v>
      </c>
      <c r="AX211" t="s">
        <v>2051</v>
      </c>
      <c r="AY211" t="s">
        <v>2051</v>
      </c>
      <c r="AZ211" t="s">
        <v>2051</v>
      </c>
    </row>
    <row r="212" spans="1:52" x14ac:dyDescent="0.2">
      <c r="A212" t="s">
        <v>2051</v>
      </c>
      <c r="B212" t="s">
        <v>2051</v>
      </c>
      <c r="C212" t="s">
        <v>2051</v>
      </c>
      <c r="D212" t="s">
        <v>2051</v>
      </c>
      <c r="E212" t="s">
        <v>2051</v>
      </c>
      <c r="F212" t="s">
        <v>2051</v>
      </c>
      <c r="G212" t="s">
        <v>2051</v>
      </c>
      <c r="H212" t="s">
        <v>2051</v>
      </c>
      <c r="I212" t="s">
        <v>2051</v>
      </c>
      <c r="J212" t="s">
        <v>2051</v>
      </c>
      <c r="K212" t="s">
        <v>2051</v>
      </c>
      <c r="L212" t="s">
        <v>2051</v>
      </c>
      <c r="M212" t="s">
        <v>2051</v>
      </c>
      <c r="N212" t="s">
        <v>2051</v>
      </c>
      <c r="O212" t="s">
        <v>2051</v>
      </c>
      <c r="P212" t="s">
        <v>2051</v>
      </c>
      <c r="Q212" t="s">
        <v>2051</v>
      </c>
      <c r="R212" t="s">
        <v>2051</v>
      </c>
      <c r="S212" t="s">
        <v>2051</v>
      </c>
      <c r="T212" t="s">
        <v>2051</v>
      </c>
      <c r="U212" t="s">
        <v>2051</v>
      </c>
      <c r="V212" t="s">
        <v>2051</v>
      </c>
      <c r="W212" t="s">
        <v>2051</v>
      </c>
      <c r="X212" t="s">
        <v>2051</v>
      </c>
      <c r="Y212" t="s">
        <v>2051</v>
      </c>
      <c r="Z212" t="s">
        <v>2051</v>
      </c>
      <c r="AA212" t="s">
        <v>2051</v>
      </c>
      <c r="AB212" t="s">
        <v>2051</v>
      </c>
      <c r="AC212" t="s">
        <v>2051</v>
      </c>
      <c r="AD212" t="s">
        <v>2051</v>
      </c>
      <c r="AE212" t="s">
        <v>2051</v>
      </c>
      <c r="AF212" t="s">
        <v>2051</v>
      </c>
      <c r="AG212" t="s">
        <v>2051</v>
      </c>
      <c r="AH212" t="s">
        <v>2051</v>
      </c>
      <c r="AI212" t="s">
        <v>2051</v>
      </c>
      <c r="AJ212" t="s">
        <v>2051</v>
      </c>
      <c r="AK212" t="s">
        <v>2051</v>
      </c>
      <c r="AL212" t="s">
        <v>2051</v>
      </c>
      <c r="AM212" t="s">
        <v>2051</v>
      </c>
      <c r="AN212" t="s">
        <v>2051</v>
      </c>
      <c r="AO212" t="s">
        <v>2051</v>
      </c>
      <c r="AP212" t="s">
        <v>2051</v>
      </c>
      <c r="AQ212" t="s">
        <v>2051</v>
      </c>
      <c r="AR212" t="s">
        <v>2051</v>
      </c>
      <c r="AS212" t="s">
        <v>2051</v>
      </c>
      <c r="AT212" t="s">
        <v>2051</v>
      </c>
      <c r="AU212" t="s">
        <v>2051</v>
      </c>
      <c r="AV212" t="s">
        <v>2051</v>
      </c>
      <c r="AW212" t="s">
        <v>2051</v>
      </c>
      <c r="AX212" t="s">
        <v>2051</v>
      </c>
      <c r="AY212" t="s">
        <v>2051</v>
      </c>
      <c r="AZ212" t="s">
        <v>2051</v>
      </c>
    </row>
    <row r="213" spans="1:52" x14ac:dyDescent="0.2">
      <c r="A213" t="s">
        <v>2051</v>
      </c>
      <c r="B213" t="s">
        <v>2051</v>
      </c>
      <c r="C213" t="s">
        <v>2051</v>
      </c>
      <c r="D213" t="s">
        <v>2051</v>
      </c>
      <c r="E213" t="s">
        <v>2051</v>
      </c>
      <c r="F213" t="s">
        <v>2051</v>
      </c>
      <c r="G213" t="s">
        <v>2051</v>
      </c>
      <c r="H213" t="s">
        <v>2051</v>
      </c>
      <c r="I213" t="s">
        <v>2051</v>
      </c>
      <c r="J213" t="s">
        <v>2051</v>
      </c>
      <c r="K213" t="s">
        <v>2051</v>
      </c>
      <c r="L213" t="s">
        <v>2051</v>
      </c>
      <c r="M213" t="s">
        <v>2051</v>
      </c>
      <c r="N213" t="s">
        <v>2051</v>
      </c>
      <c r="O213" t="s">
        <v>2051</v>
      </c>
      <c r="P213" t="s">
        <v>2051</v>
      </c>
      <c r="Q213" t="s">
        <v>2051</v>
      </c>
      <c r="R213" t="s">
        <v>2051</v>
      </c>
      <c r="S213" t="s">
        <v>2051</v>
      </c>
      <c r="T213" t="s">
        <v>2051</v>
      </c>
      <c r="U213" t="s">
        <v>2051</v>
      </c>
      <c r="V213" t="s">
        <v>2051</v>
      </c>
      <c r="W213" t="s">
        <v>2051</v>
      </c>
      <c r="X213" t="s">
        <v>2051</v>
      </c>
      <c r="Y213" t="s">
        <v>2051</v>
      </c>
      <c r="Z213" t="s">
        <v>2051</v>
      </c>
      <c r="AA213" t="s">
        <v>2051</v>
      </c>
      <c r="AB213" t="s">
        <v>2051</v>
      </c>
      <c r="AC213" t="s">
        <v>2051</v>
      </c>
      <c r="AD213" t="s">
        <v>2051</v>
      </c>
      <c r="AE213" t="s">
        <v>2051</v>
      </c>
      <c r="AF213" t="s">
        <v>2051</v>
      </c>
      <c r="AG213" t="s">
        <v>2051</v>
      </c>
      <c r="AH213" t="s">
        <v>2051</v>
      </c>
      <c r="AI213" t="s">
        <v>2051</v>
      </c>
      <c r="AJ213" t="s">
        <v>2051</v>
      </c>
      <c r="AK213" t="s">
        <v>2051</v>
      </c>
      <c r="AL213" t="s">
        <v>2051</v>
      </c>
      <c r="AM213" t="s">
        <v>2051</v>
      </c>
      <c r="AN213" t="s">
        <v>2051</v>
      </c>
      <c r="AO213" t="s">
        <v>2051</v>
      </c>
      <c r="AP213" t="s">
        <v>2051</v>
      </c>
      <c r="AQ213" t="s">
        <v>2051</v>
      </c>
      <c r="AR213" t="s">
        <v>2051</v>
      </c>
      <c r="AS213" t="s">
        <v>2051</v>
      </c>
      <c r="AT213" t="s">
        <v>2051</v>
      </c>
      <c r="AU213" t="s">
        <v>2051</v>
      </c>
      <c r="AV213" t="s">
        <v>2051</v>
      </c>
      <c r="AW213" t="s">
        <v>2051</v>
      </c>
      <c r="AX213" t="s">
        <v>2051</v>
      </c>
      <c r="AY213" t="s">
        <v>2051</v>
      </c>
      <c r="AZ213" t="s">
        <v>2051</v>
      </c>
    </row>
    <row r="214" spans="1:52" x14ac:dyDescent="0.2">
      <c r="A214" t="s">
        <v>2051</v>
      </c>
      <c r="B214" t="s">
        <v>2051</v>
      </c>
      <c r="C214" t="s">
        <v>2051</v>
      </c>
      <c r="D214" t="s">
        <v>2051</v>
      </c>
      <c r="E214" t="s">
        <v>2051</v>
      </c>
      <c r="F214" t="s">
        <v>2051</v>
      </c>
      <c r="G214" t="s">
        <v>2051</v>
      </c>
      <c r="H214" t="s">
        <v>2051</v>
      </c>
      <c r="I214" t="s">
        <v>2051</v>
      </c>
      <c r="J214" t="s">
        <v>2051</v>
      </c>
      <c r="K214" t="s">
        <v>2051</v>
      </c>
      <c r="L214" t="s">
        <v>2051</v>
      </c>
      <c r="M214" t="s">
        <v>2051</v>
      </c>
      <c r="N214" t="s">
        <v>2051</v>
      </c>
      <c r="O214" t="s">
        <v>2051</v>
      </c>
      <c r="P214" t="s">
        <v>2051</v>
      </c>
      <c r="Q214" t="s">
        <v>2051</v>
      </c>
      <c r="R214" t="s">
        <v>2051</v>
      </c>
      <c r="S214" t="s">
        <v>2051</v>
      </c>
      <c r="T214" t="s">
        <v>2051</v>
      </c>
      <c r="U214" t="s">
        <v>2051</v>
      </c>
      <c r="V214" t="s">
        <v>2051</v>
      </c>
      <c r="W214" t="s">
        <v>2051</v>
      </c>
      <c r="X214" t="s">
        <v>2051</v>
      </c>
      <c r="Y214" t="s">
        <v>2051</v>
      </c>
      <c r="Z214" t="s">
        <v>2051</v>
      </c>
      <c r="AA214" t="s">
        <v>2051</v>
      </c>
      <c r="AB214" t="s">
        <v>2051</v>
      </c>
      <c r="AC214" t="s">
        <v>2051</v>
      </c>
      <c r="AD214" t="s">
        <v>2051</v>
      </c>
      <c r="AE214" t="s">
        <v>2051</v>
      </c>
      <c r="AF214" t="s">
        <v>2051</v>
      </c>
      <c r="AG214" t="s">
        <v>2051</v>
      </c>
      <c r="AH214" t="s">
        <v>2051</v>
      </c>
      <c r="AI214" t="s">
        <v>2051</v>
      </c>
      <c r="AJ214" t="s">
        <v>2051</v>
      </c>
      <c r="AK214" t="s">
        <v>2051</v>
      </c>
      <c r="AL214" t="s">
        <v>2051</v>
      </c>
      <c r="AM214" t="s">
        <v>2051</v>
      </c>
      <c r="AN214" t="s">
        <v>2051</v>
      </c>
      <c r="AO214" t="s">
        <v>2051</v>
      </c>
      <c r="AP214" t="s">
        <v>2051</v>
      </c>
      <c r="AQ214" t="s">
        <v>2051</v>
      </c>
      <c r="AR214" t="s">
        <v>2051</v>
      </c>
      <c r="AS214" t="s">
        <v>2051</v>
      </c>
      <c r="AT214" t="s">
        <v>2051</v>
      </c>
      <c r="AU214" t="s">
        <v>2051</v>
      </c>
      <c r="AV214" t="s">
        <v>2051</v>
      </c>
      <c r="AW214" t="s">
        <v>2051</v>
      </c>
      <c r="AX214" t="s">
        <v>2051</v>
      </c>
      <c r="AY214" t="s">
        <v>2051</v>
      </c>
      <c r="AZ214" t="s">
        <v>2051</v>
      </c>
    </row>
    <row r="215" spans="1:52" x14ac:dyDescent="0.2">
      <c r="A215" t="s">
        <v>2051</v>
      </c>
      <c r="B215" t="s">
        <v>2051</v>
      </c>
      <c r="C215" t="s">
        <v>2051</v>
      </c>
      <c r="D215" t="s">
        <v>2051</v>
      </c>
      <c r="E215" t="s">
        <v>2051</v>
      </c>
      <c r="F215" t="s">
        <v>2051</v>
      </c>
      <c r="G215" t="s">
        <v>2051</v>
      </c>
      <c r="H215" t="s">
        <v>2051</v>
      </c>
      <c r="I215" t="s">
        <v>2051</v>
      </c>
      <c r="J215" t="s">
        <v>2051</v>
      </c>
      <c r="K215" t="s">
        <v>2051</v>
      </c>
      <c r="L215" t="s">
        <v>2051</v>
      </c>
      <c r="M215" t="s">
        <v>2051</v>
      </c>
      <c r="N215" t="s">
        <v>2051</v>
      </c>
      <c r="O215" t="s">
        <v>2051</v>
      </c>
      <c r="P215" t="s">
        <v>2051</v>
      </c>
      <c r="Q215" t="s">
        <v>2051</v>
      </c>
      <c r="R215" t="s">
        <v>2051</v>
      </c>
      <c r="S215" t="s">
        <v>2051</v>
      </c>
      <c r="T215" t="s">
        <v>2051</v>
      </c>
      <c r="U215" t="s">
        <v>2051</v>
      </c>
      <c r="V215" t="s">
        <v>2051</v>
      </c>
      <c r="W215" t="s">
        <v>2051</v>
      </c>
      <c r="X215" t="s">
        <v>2051</v>
      </c>
      <c r="Y215" t="s">
        <v>2051</v>
      </c>
      <c r="Z215" t="s">
        <v>2051</v>
      </c>
      <c r="AA215" t="s">
        <v>2051</v>
      </c>
      <c r="AB215" t="s">
        <v>2051</v>
      </c>
      <c r="AC215" t="s">
        <v>2051</v>
      </c>
      <c r="AD215" t="s">
        <v>2051</v>
      </c>
      <c r="AE215" t="s">
        <v>2051</v>
      </c>
      <c r="AF215" t="s">
        <v>2051</v>
      </c>
      <c r="AG215" t="s">
        <v>2051</v>
      </c>
      <c r="AH215" t="s">
        <v>2051</v>
      </c>
      <c r="AI215" t="s">
        <v>2051</v>
      </c>
      <c r="AJ215" t="s">
        <v>2051</v>
      </c>
      <c r="AK215" t="s">
        <v>2051</v>
      </c>
      <c r="AL215" t="s">
        <v>2051</v>
      </c>
      <c r="AM215" t="s">
        <v>2051</v>
      </c>
      <c r="AN215" t="s">
        <v>2051</v>
      </c>
      <c r="AO215" t="s">
        <v>2051</v>
      </c>
      <c r="AP215" t="s">
        <v>2051</v>
      </c>
      <c r="AQ215" t="s">
        <v>2051</v>
      </c>
      <c r="AR215" t="s">
        <v>2051</v>
      </c>
      <c r="AS215" t="s">
        <v>2051</v>
      </c>
      <c r="AT215" t="s">
        <v>2051</v>
      </c>
      <c r="AU215" t="s">
        <v>2051</v>
      </c>
      <c r="AV215" t="s">
        <v>2051</v>
      </c>
      <c r="AW215" t="s">
        <v>2051</v>
      </c>
      <c r="AX215" t="s">
        <v>2051</v>
      </c>
      <c r="AY215" t="s">
        <v>2051</v>
      </c>
      <c r="AZ215" t="s">
        <v>2051</v>
      </c>
    </row>
    <row r="216" spans="1:52" x14ac:dyDescent="0.2">
      <c r="A216" t="s">
        <v>2051</v>
      </c>
      <c r="B216" t="s">
        <v>2051</v>
      </c>
      <c r="C216" t="s">
        <v>2051</v>
      </c>
      <c r="D216" t="s">
        <v>2051</v>
      </c>
      <c r="E216" t="s">
        <v>2051</v>
      </c>
      <c r="F216" t="s">
        <v>2051</v>
      </c>
      <c r="G216" t="s">
        <v>2051</v>
      </c>
      <c r="H216" t="s">
        <v>2051</v>
      </c>
      <c r="I216" t="s">
        <v>2051</v>
      </c>
      <c r="J216" t="s">
        <v>2051</v>
      </c>
      <c r="K216" t="s">
        <v>2051</v>
      </c>
      <c r="L216" t="s">
        <v>2051</v>
      </c>
      <c r="M216" t="s">
        <v>2051</v>
      </c>
      <c r="N216" t="s">
        <v>2051</v>
      </c>
      <c r="O216" t="s">
        <v>2051</v>
      </c>
      <c r="P216" t="s">
        <v>2051</v>
      </c>
      <c r="Q216" t="s">
        <v>2051</v>
      </c>
      <c r="R216" t="s">
        <v>2051</v>
      </c>
      <c r="S216" t="s">
        <v>2051</v>
      </c>
      <c r="T216" t="s">
        <v>2051</v>
      </c>
      <c r="U216" t="s">
        <v>2051</v>
      </c>
      <c r="V216" t="s">
        <v>2051</v>
      </c>
      <c r="W216" t="s">
        <v>2051</v>
      </c>
      <c r="X216" t="s">
        <v>2051</v>
      </c>
      <c r="Y216" t="s">
        <v>2051</v>
      </c>
      <c r="Z216" t="s">
        <v>2051</v>
      </c>
      <c r="AA216" t="s">
        <v>2051</v>
      </c>
      <c r="AB216" t="s">
        <v>2051</v>
      </c>
      <c r="AC216" t="s">
        <v>2051</v>
      </c>
      <c r="AD216" t="s">
        <v>2051</v>
      </c>
      <c r="AE216" t="s">
        <v>2051</v>
      </c>
      <c r="AF216" t="s">
        <v>2051</v>
      </c>
      <c r="AG216" t="s">
        <v>2051</v>
      </c>
      <c r="AH216" t="s">
        <v>2051</v>
      </c>
      <c r="AI216" t="s">
        <v>2051</v>
      </c>
      <c r="AJ216" t="s">
        <v>2051</v>
      </c>
      <c r="AK216" t="s">
        <v>2051</v>
      </c>
      <c r="AL216" t="s">
        <v>2051</v>
      </c>
      <c r="AM216" t="s">
        <v>2051</v>
      </c>
      <c r="AN216" t="s">
        <v>2051</v>
      </c>
      <c r="AO216" t="s">
        <v>2051</v>
      </c>
      <c r="AP216" t="s">
        <v>2051</v>
      </c>
      <c r="AQ216" t="s">
        <v>2051</v>
      </c>
      <c r="AR216" t="s">
        <v>2051</v>
      </c>
      <c r="AS216" t="s">
        <v>2051</v>
      </c>
      <c r="AT216" t="s">
        <v>2051</v>
      </c>
      <c r="AU216" t="s">
        <v>2051</v>
      </c>
      <c r="AV216" t="s">
        <v>2051</v>
      </c>
      <c r="AW216" t="s">
        <v>2051</v>
      </c>
      <c r="AX216" t="s">
        <v>2051</v>
      </c>
      <c r="AY216" t="s">
        <v>2051</v>
      </c>
      <c r="AZ216" t="s">
        <v>2051</v>
      </c>
    </row>
    <row r="217" spans="1:52" x14ac:dyDescent="0.2">
      <c r="A217" t="s">
        <v>2051</v>
      </c>
      <c r="B217" t="s">
        <v>2051</v>
      </c>
      <c r="C217" t="s">
        <v>2051</v>
      </c>
      <c r="D217" t="s">
        <v>2051</v>
      </c>
      <c r="E217" t="s">
        <v>2051</v>
      </c>
      <c r="F217" t="s">
        <v>2051</v>
      </c>
      <c r="G217" t="s">
        <v>2051</v>
      </c>
      <c r="H217" t="s">
        <v>2051</v>
      </c>
      <c r="I217" t="s">
        <v>2051</v>
      </c>
      <c r="J217" t="s">
        <v>2051</v>
      </c>
      <c r="K217" t="s">
        <v>2051</v>
      </c>
      <c r="L217" t="s">
        <v>2051</v>
      </c>
      <c r="M217" t="s">
        <v>2051</v>
      </c>
      <c r="N217" t="s">
        <v>2051</v>
      </c>
      <c r="O217" t="s">
        <v>2051</v>
      </c>
      <c r="P217" t="s">
        <v>2051</v>
      </c>
      <c r="Q217" t="s">
        <v>2051</v>
      </c>
      <c r="R217" t="s">
        <v>2051</v>
      </c>
      <c r="S217" t="s">
        <v>2051</v>
      </c>
      <c r="T217" t="s">
        <v>2051</v>
      </c>
      <c r="U217" t="s">
        <v>2051</v>
      </c>
      <c r="V217" t="s">
        <v>2051</v>
      </c>
      <c r="W217" t="s">
        <v>2051</v>
      </c>
      <c r="X217" t="s">
        <v>2051</v>
      </c>
      <c r="Y217" t="s">
        <v>2051</v>
      </c>
      <c r="Z217" t="s">
        <v>2051</v>
      </c>
      <c r="AA217" t="s">
        <v>2051</v>
      </c>
      <c r="AB217" t="s">
        <v>2051</v>
      </c>
      <c r="AC217" t="s">
        <v>2051</v>
      </c>
      <c r="AD217" t="s">
        <v>2051</v>
      </c>
      <c r="AE217" t="s">
        <v>2051</v>
      </c>
      <c r="AF217" t="s">
        <v>2051</v>
      </c>
      <c r="AG217" t="s">
        <v>2051</v>
      </c>
      <c r="AH217" t="s">
        <v>2051</v>
      </c>
      <c r="AI217" t="s">
        <v>2051</v>
      </c>
      <c r="AJ217" t="s">
        <v>2051</v>
      </c>
      <c r="AK217" t="s">
        <v>2051</v>
      </c>
      <c r="AL217" t="s">
        <v>2051</v>
      </c>
      <c r="AM217" t="s">
        <v>2051</v>
      </c>
      <c r="AN217" t="s">
        <v>2051</v>
      </c>
      <c r="AO217" t="s">
        <v>2051</v>
      </c>
      <c r="AP217" t="s">
        <v>2051</v>
      </c>
      <c r="AQ217" t="s">
        <v>2051</v>
      </c>
      <c r="AR217" t="s">
        <v>2051</v>
      </c>
      <c r="AS217" t="s">
        <v>2051</v>
      </c>
      <c r="AT217" t="s">
        <v>2051</v>
      </c>
      <c r="AU217" t="s">
        <v>2051</v>
      </c>
      <c r="AV217" t="s">
        <v>2051</v>
      </c>
      <c r="AW217" t="s">
        <v>2051</v>
      </c>
      <c r="AX217" t="s">
        <v>2051</v>
      </c>
      <c r="AY217" t="s">
        <v>2051</v>
      </c>
      <c r="AZ217" t="s">
        <v>2051</v>
      </c>
    </row>
    <row r="218" spans="1:52" x14ac:dyDescent="0.2">
      <c r="A218" t="s">
        <v>2051</v>
      </c>
      <c r="B218" t="s">
        <v>2051</v>
      </c>
      <c r="C218" t="s">
        <v>2051</v>
      </c>
      <c r="D218" t="s">
        <v>2051</v>
      </c>
      <c r="E218" t="s">
        <v>2051</v>
      </c>
      <c r="F218" t="s">
        <v>2051</v>
      </c>
      <c r="G218" t="s">
        <v>2051</v>
      </c>
      <c r="H218" t="s">
        <v>2051</v>
      </c>
      <c r="I218" t="s">
        <v>2051</v>
      </c>
      <c r="J218" t="s">
        <v>2051</v>
      </c>
      <c r="K218" t="s">
        <v>2051</v>
      </c>
      <c r="L218" t="s">
        <v>2051</v>
      </c>
      <c r="M218" t="s">
        <v>2051</v>
      </c>
      <c r="N218" t="s">
        <v>2051</v>
      </c>
      <c r="O218" t="s">
        <v>2051</v>
      </c>
      <c r="P218" t="s">
        <v>2051</v>
      </c>
      <c r="Q218" t="s">
        <v>2051</v>
      </c>
      <c r="R218" t="s">
        <v>2051</v>
      </c>
      <c r="S218" t="s">
        <v>2051</v>
      </c>
      <c r="T218" t="s">
        <v>2051</v>
      </c>
      <c r="U218" t="s">
        <v>2051</v>
      </c>
      <c r="V218" t="s">
        <v>2051</v>
      </c>
      <c r="W218" t="s">
        <v>2051</v>
      </c>
      <c r="X218" t="s">
        <v>2051</v>
      </c>
      <c r="Y218" t="s">
        <v>2051</v>
      </c>
      <c r="Z218" t="s">
        <v>2051</v>
      </c>
      <c r="AA218" t="s">
        <v>2051</v>
      </c>
      <c r="AB218" t="s">
        <v>2051</v>
      </c>
      <c r="AC218" t="s">
        <v>2051</v>
      </c>
      <c r="AD218" t="s">
        <v>2051</v>
      </c>
      <c r="AE218" t="s">
        <v>2051</v>
      </c>
      <c r="AF218" t="s">
        <v>2051</v>
      </c>
      <c r="AG218" t="s">
        <v>2051</v>
      </c>
      <c r="AH218" t="s">
        <v>2051</v>
      </c>
      <c r="AI218" t="s">
        <v>2051</v>
      </c>
      <c r="AJ218" t="s">
        <v>2051</v>
      </c>
      <c r="AK218" t="s">
        <v>2051</v>
      </c>
      <c r="AL218" t="s">
        <v>2051</v>
      </c>
      <c r="AM218" t="s">
        <v>2051</v>
      </c>
      <c r="AN218" t="s">
        <v>2051</v>
      </c>
      <c r="AO218" t="s">
        <v>2051</v>
      </c>
      <c r="AP218" t="s">
        <v>2051</v>
      </c>
      <c r="AQ218" t="s">
        <v>2051</v>
      </c>
      <c r="AR218" t="s">
        <v>2051</v>
      </c>
      <c r="AS218" t="s">
        <v>2051</v>
      </c>
      <c r="AT218" t="s">
        <v>2051</v>
      </c>
      <c r="AU218" t="s">
        <v>2051</v>
      </c>
      <c r="AV218" t="s">
        <v>2051</v>
      </c>
      <c r="AW218" t="s">
        <v>2051</v>
      </c>
      <c r="AX218" t="s">
        <v>2051</v>
      </c>
      <c r="AY218" t="s">
        <v>2051</v>
      </c>
      <c r="AZ218" t="s">
        <v>2051</v>
      </c>
    </row>
    <row r="219" spans="1:52" x14ac:dyDescent="0.2">
      <c r="A219" t="s">
        <v>2051</v>
      </c>
      <c r="B219" t="s">
        <v>2051</v>
      </c>
      <c r="C219" t="s">
        <v>2051</v>
      </c>
      <c r="D219" t="s">
        <v>2051</v>
      </c>
      <c r="E219" t="s">
        <v>2051</v>
      </c>
      <c r="F219" t="s">
        <v>2051</v>
      </c>
      <c r="G219" t="s">
        <v>2051</v>
      </c>
      <c r="H219" t="s">
        <v>2051</v>
      </c>
      <c r="I219" t="s">
        <v>2051</v>
      </c>
      <c r="J219" t="s">
        <v>2051</v>
      </c>
      <c r="K219" t="s">
        <v>2051</v>
      </c>
      <c r="L219" t="s">
        <v>2051</v>
      </c>
      <c r="M219" t="s">
        <v>2051</v>
      </c>
      <c r="N219" t="s">
        <v>2051</v>
      </c>
      <c r="O219" t="s">
        <v>2051</v>
      </c>
      <c r="P219" t="s">
        <v>2051</v>
      </c>
      <c r="Q219" t="s">
        <v>2051</v>
      </c>
      <c r="R219" t="s">
        <v>2051</v>
      </c>
      <c r="S219" t="s">
        <v>2051</v>
      </c>
      <c r="T219" t="s">
        <v>2051</v>
      </c>
      <c r="U219" t="s">
        <v>2051</v>
      </c>
      <c r="V219" t="s">
        <v>2051</v>
      </c>
      <c r="W219" t="s">
        <v>2051</v>
      </c>
      <c r="X219" t="s">
        <v>2051</v>
      </c>
      <c r="Y219" t="s">
        <v>2051</v>
      </c>
      <c r="Z219" t="s">
        <v>2051</v>
      </c>
      <c r="AA219" t="s">
        <v>2051</v>
      </c>
      <c r="AB219" t="s">
        <v>2051</v>
      </c>
      <c r="AC219" t="s">
        <v>2051</v>
      </c>
      <c r="AD219" t="s">
        <v>2051</v>
      </c>
      <c r="AE219" t="s">
        <v>2051</v>
      </c>
      <c r="AF219" t="s">
        <v>2051</v>
      </c>
      <c r="AG219" t="s">
        <v>2051</v>
      </c>
      <c r="AH219" t="s">
        <v>2051</v>
      </c>
      <c r="AI219" t="s">
        <v>2051</v>
      </c>
      <c r="AJ219" t="s">
        <v>2051</v>
      </c>
      <c r="AK219" t="s">
        <v>2051</v>
      </c>
      <c r="AL219" t="s">
        <v>2051</v>
      </c>
      <c r="AM219" t="s">
        <v>2051</v>
      </c>
      <c r="AN219" t="s">
        <v>2051</v>
      </c>
      <c r="AO219" t="s">
        <v>2051</v>
      </c>
      <c r="AP219" t="s">
        <v>2051</v>
      </c>
      <c r="AQ219" t="s">
        <v>2051</v>
      </c>
      <c r="AR219" t="s">
        <v>2051</v>
      </c>
      <c r="AS219" t="s">
        <v>2051</v>
      </c>
      <c r="AT219" t="s">
        <v>2051</v>
      </c>
      <c r="AU219" t="s">
        <v>2051</v>
      </c>
      <c r="AV219" t="s">
        <v>2051</v>
      </c>
      <c r="AW219" t="s">
        <v>2051</v>
      </c>
      <c r="AX219" t="s">
        <v>2051</v>
      </c>
      <c r="AY219" t="s">
        <v>2051</v>
      </c>
      <c r="AZ219" t="s">
        <v>2051</v>
      </c>
    </row>
    <row r="220" spans="1:52" x14ac:dyDescent="0.2">
      <c r="A220" t="s">
        <v>2051</v>
      </c>
      <c r="B220" t="s">
        <v>2051</v>
      </c>
      <c r="C220" t="s">
        <v>2051</v>
      </c>
      <c r="D220" t="s">
        <v>2051</v>
      </c>
      <c r="E220" t="s">
        <v>2051</v>
      </c>
      <c r="F220" t="s">
        <v>2051</v>
      </c>
      <c r="G220" t="s">
        <v>2051</v>
      </c>
      <c r="H220" t="s">
        <v>2051</v>
      </c>
      <c r="I220" t="s">
        <v>2051</v>
      </c>
      <c r="J220" t="s">
        <v>2051</v>
      </c>
      <c r="K220" t="s">
        <v>2051</v>
      </c>
      <c r="L220" t="s">
        <v>2051</v>
      </c>
      <c r="M220" t="s">
        <v>2051</v>
      </c>
      <c r="N220" t="s">
        <v>2051</v>
      </c>
      <c r="O220" t="s">
        <v>2051</v>
      </c>
      <c r="P220" t="s">
        <v>2051</v>
      </c>
      <c r="Q220" t="s">
        <v>2051</v>
      </c>
      <c r="R220" t="s">
        <v>2051</v>
      </c>
      <c r="S220" t="s">
        <v>2051</v>
      </c>
      <c r="T220" t="s">
        <v>2051</v>
      </c>
      <c r="U220" t="s">
        <v>2051</v>
      </c>
      <c r="V220" t="s">
        <v>2051</v>
      </c>
      <c r="W220" t="s">
        <v>2051</v>
      </c>
      <c r="X220" t="s">
        <v>2051</v>
      </c>
      <c r="Y220" t="s">
        <v>2051</v>
      </c>
      <c r="Z220" t="s">
        <v>2051</v>
      </c>
      <c r="AA220" t="s">
        <v>2051</v>
      </c>
      <c r="AB220" t="s">
        <v>2051</v>
      </c>
      <c r="AC220" t="s">
        <v>2051</v>
      </c>
      <c r="AD220" t="s">
        <v>2051</v>
      </c>
      <c r="AE220" t="s">
        <v>2051</v>
      </c>
      <c r="AF220" t="s">
        <v>2051</v>
      </c>
      <c r="AG220" t="s">
        <v>2051</v>
      </c>
      <c r="AH220" t="s">
        <v>2051</v>
      </c>
      <c r="AI220" t="s">
        <v>2051</v>
      </c>
      <c r="AJ220" t="s">
        <v>2051</v>
      </c>
      <c r="AK220" t="s">
        <v>2051</v>
      </c>
      <c r="AL220" t="s">
        <v>2051</v>
      </c>
      <c r="AM220" t="s">
        <v>2051</v>
      </c>
      <c r="AN220" t="s">
        <v>2051</v>
      </c>
      <c r="AO220" t="s">
        <v>2051</v>
      </c>
      <c r="AP220" t="s">
        <v>2051</v>
      </c>
      <c r="AQ220" t="s">
        <v>2051</v>
      </c>
      <c r="AR220" t="s">
        <v>2051</v>
      </c>
      <c r="AS220" t="s">
        <v>2051</v>
      </c>
      <c r="AT220" t="s">
        <v>2051</v>
      </c>
      <c r="AU220" t="s">
        <v>2051</v>
      </c>
      <c r="AV220" t="s">
        <v>2051</v>
      </c>
      <c r="AW220" t="s">
        <v>2051</v>
      </c>
      <c r="AX220" t="s">
        <v>2051</v>
      </c>
      <c r="AY220" t="s">
        <v>2051</v>
      </c>
      <c r="AZ220" t="s">
        <v>2051</v>
      </c>
    </row>
    <row r="221" spans="1:52" x14ac:dyDescent="0.2">
      <c r="A221" t="s">
        <v>2051</v>
      </c>
      <c r="B221" t="s">
        <v>2051</v>
      </c>
      <c r="C221" t="s">
        <v>2051</v>
      </c>
      <c r="D221" t="s">
        <v>2051</v>
      </c>
      <c r="E221" t="s">
        <v>2051</v>
      </c>
      <c r="F221" t="s">
        <v>2051</v>
      </c>
      <c r="G221" t="s">
        <v>2051</v>
      </c>
      <c r="H221" t="s">
        <v>2051</v>
      </c>
      <c r="I221" t="s">
        <v>2051</v>
      </c>
      <c r="J221" t="s">
        <v>2051</v>
      </c>
      <c r="K221" t="s">
        <v>2051</v>
      </c>
      <c r="L221" t="s">
        <v>2051</v>
      </c>
      <c r="M221" t="s">
        <v>2051</v>
      </c>
      <c r="N221" t="s">
        <v>2051</v>
      </c>
      <c r="O221" t="s">
        <v>2051</v>
      </c>
      <c r="P221" t="s">
        <v>2051</v>
      </c>
      <c r="Q221" t="s">
        <v>2051</v>
      </c>
      <c r="R221" t="s">
        <v>2051</v>
      </c>
      <c r="S221" t="s">
        <v>2051</v>
      </c>
      <c r="T221" t="s">
        <v>2051</v>
      </c>
      <c r="U221" t="s">
        <v>2051</v>
      </c>
      <c r="V221" t="s">
        <v>2051</v>
      </c>
      <c r="W221" t="s">
        <v>2051</v>
      </c>
      <c r="X221" t="s">
        <v>2051</v>
      </c>
      <c r="Y221" t="s">
        <v>2051</v>
      </c>
      <c r="Z221" t="s">
        <v>2051</v>
      </c>
      <c r="AA221" t="s">
        <v>2051</v>
      </c>
      <c r="AB221" t="s">
        <v>2051</v>
      </c>
      <c r="AC221" t="s">
        <v>2051</v>
      </c>
      <c r="AD221" t="s">
        <v>2051</v>
      </c>
      <c r="AE221" t="s">
        <v>2051</v>
      </c>
      <c r="AF221" t="s">
        <v>2051</v>
      </c>
      <c r="AG221" t="s">
        <v>2051</v>
      </c>
      <c r="AH221" t="s">
        <v>2051</v>
      </c>
      <c r="AI221" t="s">
        <v>2051</v>
      </c>
      <c r="AJ221" t="s">
        <v>2051</v>
      </c>
      <c r="AK221" t="s">
        <v>2051</v>
      </c>
      <c r="AL221" t="s">
        <v>2051</v>
      </c>
      <c r="AM221" t="s">
        <v>2051</v>
      </c>
      <c r="AN221" t="s">
        <v>2051</v>
      </c>
      <c r="AO221" t="s">
        <v>2051</v>
      </c>
      <c r="AP221" t="s">
        <v>2051</v>
      </c>
      <c r="AQ221" t="s">
        <v>2051</v>
      </c>
      <c r="AR221" t="s">
        <v>2051</v>
      </c>
      <c r="AS221" t="s">
        <v>2051</v>
      </c>
      <c r="AT221" t="s">
        <v>2051</v>
      </c>
      <c r="AU221" t="s">
        <v>2051</v>
      </c>
      <c r="AV221" t="s">
        <v>2051</v>
      </c>
      <c r="AW221" t="s">
        <v>2051</v>
      </c>
      <c r="AX221" t="s">
        <v>2051</v>
      </c>
      <c r="AY221" t="s">
        <v>2051</v>
      </c>
      <c r="AZ221" t="s">
        <v>2051</v>
      </c>
    </row>
    <row r="222" spans="1:52" x14ac:dyDescent="0.2">
      <c r="A222" t="s">
        <v>2051</v>
      </c>
      <c r="B222" t="s">
        <v>2051</v>
      </c>
      <c r="C222" t="s">
        <v>2051</v>
      </c>
      <c r="D222" t="s">
        <v>2051</v>
      </c>
      <c r="E222" t="s">
        <v>2051</v>
      </c>
      <c r="F222" t="s">
        <v>2051</v>
      </c>
      <c r="G222" t="s">
        <v>2051</v>
      </c>
      <c r="H222" t="s">
        <v>2051</v>
      </c>
      <c r="I222" t="s">
        <v>2051</v>
      </c>
      <c r="J222" t="s">
        <v>2051</v>
      </c>
      <c r="K222" t="s">
        <v>2051</v>
      </c>
      <c r="L222" t="s">
        <v>2051</v>
      </c>
      <c r="M222" t="s">
        <v>2051</v>
      </c>
      <c r="N222" t="s">
        <v>2051</v>
      </c>
      <c r="O222" t="s">
        <v>2051</v>
      </c>
      <c r="P222" t="s">
        <v>2051</v>
      </c>
      <c r="Q222" t="s">
        <v>2051</v>
      </c>
      <c r="R222" t="s">
        <v>2051</v>
      </c>
      <c r="S222" t="s">
        <v>2051</v>
      </c>
      <c r="T222" t="s">
        <v>2051</v>
      </c>
      <c r="U222" t="s">
        <v>2051</v>
      </c>
      <c r="V222" t="s">
        <v>2051</v>
      </c>
      <c r="W222" t="s">
        <v>2051</v>
      </c>
      <c r="X222" t="s">
        <v>2051</v>
      </c>
      <c r="Y222" t="s">
        <v>2051</v>
      </c>
      <c r="Z222" t="s">
        <v>2051</v>
      </c>
      <c r="AA222" t="s">
        <v>2051</v>
      </c>
      <c r="AB222" t="s">
        <v>2051</v>
      </c>
      <c r="AC222" t="s">
        <v>2051</v>
      </c>
      <c r="AD222" t="s">
        <v>2051</v>
      </c>
      <c r="AE222" t="s">
        <v>2051</v>
      </c>
      <c r="AF222" t="s">
        <v>2051</v>
      </c>
      <c r="AG222" t="s">
        <v>2051</v>
      </c>
      <c r="AH222" t="s">
        <v>2051</v>
      </c>
      <c r="AI222" t="s">
        <v>2051</v>
      </c>
      <c r="AJ222" t="s">
        <v>2051</v>
      </c>
      <c r="AK222" t="s">
        <v>2051</v>
      </c>
      <c r="AL222" t="s">
        <v>2051</v>
      </c>
      <c r="AM222" t="s">
        <v>2051</v>
      </c>
      <c r="AN222" t="s">
        <v>2051</v>
      </c>
      <c r="AO222" t="s">
        <v>2051</v>
      </c>
      <c r="AP222" t="s">
        <v>2051</v>
      </c>
      <c r="AQ222" t="s">
        <v>2051</v>
      </c>
      <c r="AR222" t="s">
        <v>2051</v>
      </c>
      <c r="AS222" t="s">
        <v>2051</v>
      </c>
      <c r="AT222" t="s">
        <v>2051</v>
      </c>
      <c r="AU222" t="s">
        <v>2051</v>
      </c>
      <c r="AV222" t="s">
        <v>2051</v>
      </c>
      <c r="AW222" t="s">
        <v>2051</v>
      </c>
      <c r="AX222" t="s">
        <v>2051</v>
      </c>
      <c r="AY222" t="s">
        <v>2051</v>
      </c>
      <c r="AZ222" t="s">
        <v>2051</v>
      </c>
    </row>
    <row r="223" spans="1:52" x14ac:dyDescent="0.2">
      <c r="A223" t="s">
        <v>2051</v>
      </c>
      <c r="B223" t="s">
        <v>2051</v>
      </c>
      <c r="C223" t="s">
        <v>2051</v>
      </c>
      <c r="D223" t="s">
        <v>2051</v>
      </c>
      <c r="E223" t="s">
        <v>2051</v>
      </c>
      <c r="F223" t="s">
        <v>2051</v>
      </c>
      <c r="G223" t="s">
        <v>2051</v>
      </c>
      <c r="H223" t="s">
        <v>2051</v>
      </c>
      <c r="I223" t="s">
        <v>2051</v>
      </c>
      <c r="J223" t="s">
        <v>2051</v>
      </c>
      <c r="K223" t="s">
        <v>2051</v>
      </c>
      <c r="L223" t="s">
        <v>2051</v>
      </c>
      <c r="M223" t="s">
        <v>2051</v>
      </c>
      <c r="N223" t="s">
        <v>2051</v>
      </c>
      <c r="O223" t="s">
        <v>2051</v>
      </c>
      <c r="P223" t="s">
        <v>2051</v>
      </c>
      <c r="Q223" t="s">
        <v>2051</v>
      </c>
      <c r="R223" t="s">
        <v>2051</v>
      </c>
      <c r="S223" t="s">
        <v>2051</v>
      </c>
      <c r="T223" t="s">
        <v>2051</v>
      </c>
      <c r="U223" t="s">
        <v>2051</v>
      </c>
      <c r="V223" t="s">
        <v>2051</v>
      </c>
      <c r="W223" t="s">
        <v>2051</v>
      </c>
      <c r="X223" t="s">
        <v>2051</v>
      </c>
      <c r="Y223" t="s">
        <v>2051</v>
      </c>
      <c r="Z223" t="s">
        <v>2051</v>
      </c>
      <c r="AA223" t="s">
        <v>2051</v>
      </c>
      <c r="AB223" t="s">
        <v>2051</v>
      </c>
      <c r="AC223" t="s">
        <v>2051</v>
      </c>
      <c r="AD223" t="s">
        <v>2051</v>
      </c>
      <c r="AE223" t="s">
        <v>2051</v>
      </c>
      <c r="AF223" t="s">
        <v>2051</v>
      </c>
      <c r="AG223" t="s">
        <v>2051</v>
      </c>
      <c r="AH223" t="s">
        <v>2051</v>
      </c>
      <c r="AI223" t="s">
        <v>2051</v>
      </c>
      <c r="AJ223" t="s">
        <v>2051</v>
      </c>
      <c r="AK223" t="s">
        <v>2051</v>
      </c>
      <c r="AL223" t="s">
        <v>2051</v>
      </c>
      <c r="AM223" t="s">
        <v>2051</v>
      </c>
      <c r="AN223" t="s">
        <v>2051</v>
      </c>
      <c r="AO223" t="s">
        <v>2051</v>
      </c>
      <c r="AP223" t="s">
        <v>2051</v>
      </c>
      <c r="AQ223" t="s">
        <v>2051</v>
      </c>
      <c r="AR223" t="s">
        <v>2051</v>
      </c>
      <c r="AS223" t="s">
        <v>2051</v>
      </c>
      <c r="AT223" t="s">
        <v>2051</v>
      </c>
      <c r="AU223" t="s">
        <v>2051</v>
      </c>
      <c r="AV223" t="s">
        <v>2051</v>
      </c>
      <c r="AW223" t="s">
        <v>2051</v>
      </c>
      <c r="AX223" t="s">
        <v>2051</v>
      </c>
      <c r="AY223" t="s">
        <v>2051</v>
      </c>
      <c r="AZ223" t="s">
        <v>2051</v>
      </c>
    </row>
    <row r="224" spans="1:52" x14ac:dyDescent="0.2">
      <c r="A224" t="s">
        <v>2051</v>
      </c>
      <c r="B224" t="s">
        <v>2051</v>
      </c>
      <c r="C224" t="s">
        <v>2051</v>
      </c>
      <c r="D224" t="s">
        <v>2051</v>
      </c>
      <c r="E224" t="s">
        <v>2051</v>
      </c>
      <c r="F224" t="s">
        <v>2051</v>
      </c>
      <c r="G224" t="s">
        <v>2051</v>
      </c>
      <c r="H224" t="s">
        <v>2051</v>
      </c>
      <c r="I224" t="s">
        <v>2051</v>
      </c>
      <c r="J224" t="s">
        <v>2051</v>
      </c>
      <c r="K224" t="s">
        <v>2051</v>
      </c>
      <c r="L224" t="s">
        <v>2051</v>
      </c>
      <c r="M224" t="s">
        <v>2051</v>
      </c>
      <c r="N224" t="s">
        <v>2051</v>
      </c>
      <c r="O224" t="s">
        <v>2051</v>
      </c>
      <c r="P224" t="s">
        <v>2051</v>
      </c>
      <c r="Q224" t="s">
        <v>2051</v>
      </c>
      <c r="R224" t="s">
        <v>2051</v>
      </c>
      <c r="S224" t="s">
        <v>2051</v>
      </c>
      <c r="T224" t="s">
        <v>2051</v>
      </c>
      <c r="U224" t="s">
        <v>2051</v>
      </c>
      <c r="V224" t="s">
        <v>2051</v>
      </c>
      <c r="W224" t="s">
        <v>2051</v>
      </c>
      <c r="X224" t="s">
        <v>2051</v>
      </c>
      <c r="Y224" t="s">
        <v>2051</v>
      </c>
      <c r="Z224" t="s">
        <v>2051</v>
      </c>
      <c r="AA224" t="s">
        <v>2051</v>
      </c>
      <c r="AB224" t="s">
        <v>2051</v>
      </c>
      <c r="AC224" t="s">
        <v>2051</v>
      </c>
      <c r="AD224" t="s">
        <v>2051</v>
      </c>
      <c r="AE224" t="s">
        <v>2051</v>
      </c>
      <c r="AF224" t="s">
        <v>2051</v>
      </c>
      <c r="AG224" t="s">
        <v>2051</v>
      </c>
      <c r="AH224" t="s">
        <v>2051</v>
      </c>
      <c r="AI224" t="s">
        <v>2051</v>
      </c>
      <c r="AJ224" t="s">
        <v>2051</v>
      </c>
      <c r="AK224" t="s">
        <v>2051</v>
      </c>
      <c r="AL224" t="s">
        <v>2051</v>
      </c>
      <c r="AM224" t="s">
        <v>2051</v>
      </c>
      <c r="AN224" t="s">
        <v>2051</v>
      </c>
      <c r="AO224" t="s">
        <v>2051</v>
      </c>
      <c r="AP224" t="s">
        <v>2051</v>
      </c>
      <c r="AQ224" t="s">
        <v>2051</v>
      </c>
      <c r="AR224" t="s">
        <v>2051</v>
      </c>
      <c r="AS224" t="s">
        <v>2051</v>
      </c>
      <c r="AT224" t="s">
        <v>2051</v>
      </c>
      <c r="AU224" t="s">
        <v>2051</v>
      </c>
      <c r="AV224" t="s">
        <v>2051</v>
      </c>
      <c r="AW224" t="s">
        <v>2051</v>
      </c>
      <c r="AX224" t="s">
        <v>2051</v>
      </c>
      <c r="AY224" t="s">
        <v>2051</v>
      </c>
      <c r="AZ224" t="s">
        <v>2051</v>
      </c>
    </row>
    <row r="225" spans="1:52" x14ac:dyDescent="0.2">
      <c r="A225" t="s">
        <v>2051</v>
      </c>
      <c r="B225" t="s">
        <v>2051</v>
      </c>
      <c r="C225" t="s">
        <v>2051</v>
      </c>
      <c r="D225" t="s">
        <v>2051</v>
      </c>
      <c r="E225" t="s">
        <v>2051</v>
      </c>
      <c r="F225" t="s">
        <v>2051</v>
      </c>
      <c r="G225" t="s">
        <v>2051</v>
      </c>
      <c r="H225" t="s">
        <v>2051</v>
      </c>
      <c r="I225" t="s">
        <v>2051</v>
      </c>
      <c r="J225" t="s">
        <v>2051</v>
      </c>
      <c r="K225" t="s">
        <v>2051</v>
      </c>
      <c r="L225" t="s">
        <v>2051</v>
      </c>
      <c r="M225" t="s">
        <v>2051</v>
      </c>
      <c r="N225" t="s">
        <v>2051</v>
      </c>
      <c r="O225" t="s">
        <v>2051</v>
      </c>
      <c r="P225" t="s">
        <v>2051</v>
      </c>
      <c r="Q225" t="s">
        <v>2051</v>
      </c>
      <c r="R225" t="s">
        <v>2051</v>
      </c>
      <c r="S225" t="s">
        <v>2051</v>
      </c>
      <c r="T225" t="s">
        <v>2051</v>
      </c>
      <c r="U225" t="s">
        <v>2051</v>
      </c>
      <c r="V225" t="s">
        <v>2051</v>
      </c>
      <c r="W225" t="s">
        <v>2051</v>
      </c>
      <c r="X225" t="s">
        <v>2051</v>
      </c>
      <c r="Y225" t="s">
        <v>2051</v>
      </c>
      <c r="Z225" t="s">
        <v>2051</v>
      </c>
      <c r="AA225" t="s">
        <v>2051</v>
      </c>
      <c r="AB225" t="s">
        <v>2051</v>
      </c>
      <c r="AC225" t="s">
        <v>2051</v>
      </c>
      <c r="AD225" t="s">
        <v>2051</v>
      </c>
      <c r="AE225" t="s">
        <v>2051</v>
      </c>
      <c r="AF225" t="s">
        <v>2051</v>
      </c>
      <c r="AG225" t="s">
        <v>2051</v>
      </c>
      <c r="AH225" t="s">
        <v>2051</v>
      </c>
      <c r="AI225" t="s">
        <v>2051</v>
      </c>
      <c r="AJ225" t="s">
        <v>2051</v>
      </c>
      <c r="AK225" t="s">
        <v>2051</v>
      </c>
      <c r="AL225" t="s">
        <v>2051</v>
      </c>
      <c r="AM225" t="s">
        <v>2051</v>
      </c>
      <c r="AN225" t="s">
        <v>2051</v>
      </c>
      <c r="AO225" t="s">
        <v>2051</v>
      </c>
      <c r="AP225" t="s">
        <v>2051</v>
      </c>
      <c r="AQ225" t="s">
        <v>2051</v>
      </c>
      <c r="AR225" t="s">
        <v>2051</v>
      </c>
      <c r="AS225" t="s">
        <v>2051</v>
      </c>
      <c r="AT225" t="s">
        <v>2051</v>
      </c>
      <c r="AU225" t="s">
        <v>2051</v>
      </c>
      <c r="AV225" t="s">
        <v>2051</v>
      </c>
      <c r="AW225" t="s">
        <v>2051</v>
      </c>
      <c r="AX225" t="s">
        <v>2051</v>
      </c>
      <c r="AY225" t="s">
        <v>2051</v>
      </c>
      <c r="AZ225" t="s">
        <v>2051</v>
      </c>
    </row>
    <row r="226" spans="1:52" x14ac:dyDescent="0.2">
      <c r="A226" t="s">
        <v>2051</v>
      </c>
      <c r="B226" t="s">
        <v>2051</v>
      </c>
      <c r="C226" t="s">
        <v>2051</v>
      </c>
      <c r="D226" t="s">
        <v>2051</v>
      </c>
      <c r="E226" t="s">
        <v>2051</v>
      </c>
      <c r="F226" t="s">
        <v>2051</v>
      </c>
      <c r="G226" t="s">
        <v>2051</v>
      </c>
      <c r="H226" t="s">
        <v>2051</v>
      </c>
      <c r="I226" t="s">
        <v>2051</v>
      </c>
      <c r="J226" t="s">
        <v>2051</v>
      </c>
      <c r="K226" t="s">
        <v>2051</v>
      </c>
      <c r="L226" t="s">
        <v>2051</v>
      </c>
      <c r="M226" t="s">
        <v>2051</v>
      </c>
      <c r="N226" t="s">
        <v>2051</v>
      </c>
      <c r="O226" t="s">
        <v>2051</v>
      </c>
      <c r="P226" t="s">
        <v>2051</v>
      </c>
      <c r="Q226" t="s">
        <v>2051</v>
      </c>
      <c r="R226" t="s">
        <v>2051</v>
      </c>
      <c r="S226" t="s">
        <v>2051</v>
      </c>
      <c r="T226" t="s">
        <v>2051</v>
      </c>
      <c r="U226" t="s">
        <v>2051</v>
      </c>
      <c r="V226" t="s">
        <v>2051</v>
      </c>
      <c r="W226" t="s">
        <v>2051</v>
      </c>
      <c r="X226" t="s">
        <v>2051</v>
      </c>
      <c r="Y226" t="s">
        <v>2051</v>
      </c>
      <c r="Z226" t="s">
        <v>2051</v>
      </c>
      <c r="AA226" t="s">
        <v>2051</v>
      </c>
      <c r="AB226" t="s">
        <v>2051</v>
      </c>
      <c r="AC226" t="s">
        <v>2051</v>
      </c>
      <c r="AD226" t="s">
        <v>2051</v>
      </c>
      <c r="AE226" t="s">
        <v>2051</v>
      </c>
      <c r="AF226" t="s">
        <v>2051</v>
      </c>
      <c r="AG226" t="s">
        <v>2051</v>
      </c>
      <c r="AH226" t="s">
        <v>2051</v>
      </c>
      <c r="AI226" t="s">
        <v>2051</v>
      </c>
      <c r="AJ226" t="s">
        <v>2051</v>
      </c>
      <c r="AK226" t="s">
        <v>2051</v>
      </c>
      <c r="AL226" t="s">
        <v>2051</v>
      </c>
      <c r="AM226" t="s">
        <v>2051</v>
      </c>
      <c r="AN226" t="s">
        <v>2051</v>
      </c>
      <c r="AO226" t="s">
        <v>2051</v>
      </c>
      <c r="AP226" t="s">
        <v>2051</v>
      </c>
      <c r="AQ226" t="s">
        <v>2051</v>
      </c>
      <c r="AR226" t="s">
        <v>2051</v>
      </c>
      <c r="AS226" t="s">
        <v>2051</v>
      </c>
      <c r="AT226" t="s">
        <v>2051</v>
      </c>
      <c r="AU226" t="s">
        <v>2051</v>
      </c>
      <c r="AV226" t="s">
        <v>2051</v>
      </c>
      <c r="AW226" t="s">
        <v>2051</v>
      </c>
      <c r="AX226" t="s">
        <v>2051</v>
      </c>
      <c r="AY226" t="s">
        <v>2051</v>
      </c>
      <c r="AZ226" t="s">
        <v>2051</v>
      </c>
    </row>
    <row r="227" spans="1:52" x14ac:dyDescent="0.2">
      <c r="A227" t="s">
        <v>2051</v>
      </c>
      <c r="B227" t="s">
        <v>2051</v>
      </c>
      <c r="C227" t="s">
        <v>2051</v>
      </c>
      <c r="D227" t="s">
        <v>2051</v>
      </c>
      <c r="E227" t="s">
        <v>2051</v>
      </c>
      <c r="F227" t="s">
        <v>2051</v>
      </c>
      <c r="G227" t="s">
        <v>2051</v>
      </c>
      <c r="H227" t="s">
        <v>2051</v>
      </c>
      <c r="I227" t="s">
        <v>2051</v>
      </c>
      <c r="J227" t="s">
        <v>2051</v>
      </c>
      <c r="K227" t="s">
        <v>2051</v>
      </c>
      <c r="L227" t="s">
        <v>2051</v>
      </c>
      <c r="M227" t="s">
        <v>2051</v>
      </c>
      <c r="N227" t="s">
        <v>2051</v>
      </c>
      <c r="O227" t="s">
        <v>2051</v>
      </c>
      <c r="P227" t="s">
        <v>2051</v>
      </c>
      <c r="Q227" t="s">
        <v>2051</v>
      </c>
      <c r="R227" t="s">
        <v>2051</v>
      </c>
      <c r="S227" t="s">
        <v>2051</v>
      </c>
      <c r="T227" t="s">
        <v>2051</v>
      </c>
      <c r="U227" t="s">
        <v>2051</v>
      </c>
      <c r="V227" t="s">
        <v>2051</v>
      </c>
      <c r="W227" t="s">
        <v>2051</v>
      </c>
      <c r="X227" t="s">
        <v>2051</v>
      </c>
      <c r="Y227" t="s">
        <v>2051</v>
      </c>
      <c r="Z227" t="s">
        <v>2051</v>
      </c>
      <c r="AA227" t="s">
        <v>2051</v>
      </c>
      <c r="AB227" t="s">
        <v>2051</v>
      </c>
      <c r="AC227" t="s">
        <v>2051</v>
      </c>
      <c r="AD227" t="s">
        <v>2051</v>
      </c>
      <c r="AE227" t="s">
        <v>2051</v>
      </c>
      <c r="AF227" t="s">
        <v>2051</v>
      </c>
      <c r="AG227" t="s">
        <v>2051</v>
      </c>
      <c r="AH227" t="s">
        <v>2051</v>
      </c>
      <c r="AI227" t="s">
        <v>2051</v>
      </c>
      <c r="AJ227" t="s">
        <v>2051</v>
      </c>
      <c r="AK227" t="s">
        <v>2051</v>
      </c>
      <c r="AL227" t="s">
        <v>2051</v>
      </c>
      <c r="AM227" t="s">
        <v>2051</v>
      </c>
      <c r="AN227" t="s">
        <v>2051</v>
      </c>
      <c r="AO227" t="s">
        <v>2051</v>
      </c>
      <c r="AP227" t="s">
        <v>2051</v>
      </c>
      <c r="AQ227" t="s">
        <v>2051</v>
      </c>
      <c r="AR227" t="s">
        <v>2051</v>
      </c>
      <c r="AS227" t="s">
        <v>2051</v>
      </c>
      <c r="AT227" t="s">
        <v>2051</v>
      </c>
      <c r="AU227" t="s">
        <v>2051</v>
      </c>
      <c r="AV227" t="s">
        <v>2051</v>
      </c>
      <c r="AW227" t="s">
        <v>2051</v>
      </c>
      <c r="AX227" t="s">
        <v>2051</v>
      </c>
      <c r="AY227" t="s">
        <v>2051</v>
      </c>
      <c r="AZ227" t="s">
        <v>2051</v>
      </c>
    </row>
    <row r="228" spans="1:52" x14ac:dyDescent="0.2">
      <c r="A228" t="s">
        <v>2051</v>
      </c>
      <c r="B228" t="s">
        <v>2051</v>
      </c>
      <c r="C228" t="s">
        <v>2051</v>
      </c>
      <c r="D228" t="s">
        <v>2051</v>
      </c>
      <c r="E228" t="s">
        <v>2051</v>
      </c>
      <c r="F228" t="s">
        <v>2051</v>
      </c>
      <c r="G228" t="s">
        <v>2051</v>
      </c>
      <c r="H228" t="s">
        <v>2051</v>
      </c>
      <c r="I228" t="s">
        <v>2051</v>
      </c>
      <c r="J228" t="s">
        <v>2051</v>
      </c>
      <c r="K228" t="s">
        <v>2051</v>
      </c>
      <c r="L228" t="s">
        <v>2051</v>
      </c>
      <c r="M228" t="s">
        <v>2051</v>
      </c>
      <c r="N228" t="s">
        <v>2051</v>
      </c>
      <c r="O228" t="s">
        <v>2051</v>
      </c>
      <c r="P228" t="s">
        <v>2051</v>
      </c>
      <c r="Q228" t="s">
        <v>2051</v>
      </c>
      <c r="R228" t="s">
        <v>2051</v>
      </c>
      <c r="S228" t="s">
        <v>2051</v>
      </c>
      <c r="T228" t="s">
        <v>2051</v>
      </c>
      <c r="U228" t="s">
        <v>2051</v>
      </c>
      <c r="V228" t="s">
        <v>2051</v>
      </c>
      <c r="W228" t="s">
        <v>2051</v>
      </c>
      <c r="X228" t="s">
        <v>2051</v>
      </c>
      <c r="Y228" t="s">
        <v>2051</v>
      </c>
      <c r="Z228" t="s">
        <v>2051</v>
      </c>
      <c r="AA228" t="s">
        <v>2051</v>
      </c>
      <c r="AB228" t="s">
        <v>2051</v>
      </c>
      <c r="AC228" t="s">
        <v>2051</v>
      </c>
      <c r="AD228" t="s">
        <v>2051</v>
      </c>
      <c r="AE228" t="s">
        <v>2051</v>
      </c>
      <c r="AF228" t="s">
        <v>2051</v>
      </c>
      <c r="AG228" t="s">
        <v>2051</v>
      </c>
      <c r="AH228" t="s">
        <v>2051</v>
      </c>
      <c r="AI228" t="s">
        <v>2051</v>
      </c>
      <c r="AJ228" t="s">
        <v>2051</v>
      </c>
      <c r="AK228" t="s">
        <v>2051</v>
      </c>
      <c r="AL228" t="s">
        <v>2051</v>
      </c>
      <c r="AM228" t="s">
        <v>2051</v>
      </c>
      <c r="AN228" t="s">
        <v>2051</v>
      </c>
      <c r="AO228" t="s">
        <v>2051</v>
      </c>
      <c r="AP228" t="s">
        <v>2051</v>
      </c>
      <c r="AQ228" t="s">
        <v>2051</v>
      </c>
      <c r="AR228" t="s">
        <v>2051</v>
      </c>
      <c r="AS228" t="s">
        <v>2051</v>
      </c>
      <c r="AT228" t="s">
        <v>2051</v>
      </c>
      <c r="AU228" t="s">
        <v>2051</v>
      </c>
      <c r="AV228" t="s">
        <v>2051</v>
      </c>
      <c r="AW228" t="s">
        <v>2051</v>
      </c>
      <c r="AX228" t="s">
        <v>2051</v>
      </c>
      <c r="AY228" t="s">
        <v>2051</v>
      </c>
      <c r="AZ228" t="s">
        <v>2051</v>
      </c>
    </row>
    <row r="229" spans="1:52" x14ac:dyDescent="0.2">
      <c r="A229" t="s">
        <v>2051</v>
      </c>
      <c r="B229" t="s">
        <v>2051</v>
      </c>
      <c r="C229" t="s">
        <v>2051</v>
      </c>
      <c r="D229" t="s">
        <v>2051</v>
      </c>
      <c r="E229" t="s">
        <v>2051</v>
      </c>
      <c r="F229" t="s">
        <v>2051</v>
      </c>
      <c r="G229" t="s">
        <v>2051</v>
      </c>
      <c r="H229" t="s">
        <v>2051</v>
      </c>
      <c r="I229" t="s">
        <v>2051</v>
      </c>
      <c r="J229" t="s">
        <v>2051</v>
      </c>
      <c r="K229" t="s">
        <v>2051</v>
      </c>
      <c r="L229" t="s">
        <v>2051</v>
      </c>
      <c r="M229" t="s">
        <v>2051</v>
      </c>
      <c r="N229" t="s">
        <v>2051</v>
      </c>
      <c r="O229" t="s">
        <v>2051</v>
      </c>
      <c r="P229" t="s">
        <v>2051</v>
      </c>
      <c r="Q229" t="s">
        <v>2051</v>
      </c>
      <c r="R229" t="s">
        <v>2051</v>
      </c>
      <c r="S229" t="s">
        <v>2051</v>
      </c>
      <c r="T229" t="s">
        <v>2051</v>
      </c>
      <c r="U229" t="s">
        <v>2051</v>
      </c>
      <c r="V229" t="s">
        <v>2051</v>
      </c>
      <c r="W229" t="s">
        <v>2051</v>
      </c>
      <c r="X229" t="s">
        <v>2051</v>
      </c>
      <c r="Y229" t="s">
        <v>2051</v>
      </c>
      <c r="Z229" t="s">
        <v>2051</v>
      </c>
      <c r="AA229" t="s">
        <v>2051</v>
      </c>
      <c r="AB229" t="s">
        <v>2051</v>
      </c>
      <c r="AC229" t="s">
        <v>2051</v>
      </c>
      <c r="AD229" t="s">
        <v>2051</v>
      </c>
      <c r="AE229" t="s">
        <v>2051</v>
      </c>
      <c r="AF229" t="s">
        <v>2051</v>
      </c>
      <c r="AG229" t="s">
        <v>2051</v>
      </c>
      <c r="AH229" t="s">
        <v>2051</v>
      </c>
      <c r="AI229" t="s">
        <v>2051</v>
      </c>
      <c r="AJ229" t="s">
        <v>2051</v>
      </c>
      <c r="AK229" t="s">
        <v>2051</v>
      </c>
      <c r="AL229" t="s">
        <v>2051</v>
      </c>
      <c r="AM229" t="s">
        <v>2051</v>
      </c>
      <c r="AN229" t="s">
        <v>2051</v>
      </c>
      <c r="AO229" t="s">
        <v>2051</v>
      </c>
      <c r="AP229" t="s">
        <v>2051</v>
      </c>
      <c r="AQ229" t="s">
        <v>2051</v>
      </c>
      <c r="AR229" t="s">
        <v>2051</v>
      </c>
      <c r="AS229" t="s">
        <v>2051</v>
      </c>
      <c r="AT229" t="s">
        <v>2051</v>
      </c>
      <c r="AU229" t="s">
        <v>2051</v>
      </c>
      <c r="AV229" t="s">
        <v>2051</v>
      </c>
      <c r="AW229" t="s">
        <v>2051</v>
      </c>
      <c r="AX229" t="s">
        <v>2051</v>
      </c>
      <c r="AY229" t="s">
        <v>2051</v>
      </c>
      <c r="AZ229" t="s">
        <v>2051</v>
      </c>
    </row>
    <row r="230" spans="1:52" x14ac:dyDescent="0.2">
      <c r="A230" t="s">
        <v>2051</v>
      </c>
      <c r="B230" t="s">
        <v>2051</v>
      </c>
      <c r="C230" t="s">
        <v>2051</v>
      </c>
      <c r="D230" t="s">
        <v>2051</v>
      </c>
      <c r="E230" t="s">
        <v>2051</v>
      </c>
      <c r="F230" t="s">
        <v>2051</v>
      </c>
      <c r="G230" t="s">
        <v>2051</v>
      </c>
      <c r="H230" t="s">
        <v>2051</v>
      </c>
      <c r="I230" t="s">
        <v>2051</v>
      </c>
      <c r="J230" t="s">
        <v>2051</v>
      </c>
      <c r="K230" t="s">
        <v>2051</v>
      </c>
      <c r="L230" t="s">
        <v>2051</v>
      </c>
      <c r="M230" t="s">
        <v>2051</v>
      </c>
      <c r="N230" t="s">
        <v>2051</v>
      </c>
      <c r="O230" t="s">
        <v>2051</v>
      </c>
      <c r="P230" t="s">
        <v>2051</v>
      </c>
      <c r="Q230" t="s">
        <v>2051</v>
      </c>
      <c r="R230" t="s">
        <v>2051</v>
      </c>
      <c r="S230" t="s">
        <v>2051</v>
      </c>
      <c r="T230" t="s">
        <v>2051</v>
      </c>
      <c r="U230" t="s">
        <v>2051</v>
      </c>
      <c r="V230" t="s">
        <v>2051</v>
      </c>
      <c r="W230" t="s">
        <v>2051</v>
      </c>
      <c r="X230" t="s">
        <v>2051</v>
      </c>
      <c r="Y230" t="s">
        <v>2051</v>
      </c>
      <c r="Z230" t="s">
        <v>2051</v>
      </c>
      <c r="AA230" t="s">
        <v>2051</v>
      </c>
      <c r="AB230" t="s">
        <v>2051</v>
      </c>
      <c r="AC230" t="s">
        <v>2051</v>
      </c>
      <c r="AD230" t="s">
        <v>2051</v>
      </c>
      <c r="AE230" t="s">
        <v>2051</v>
      </c>
      <c r="AF230" t="s">
        <v>2051</v>
      </c>
      <c r="AG230" t="s">
        <v>2051</v>
      </c>
      <c r="AH230" t="s">
        <v>2051</v>
      </c>
      <c r="AI230" t="s">
        <v>2051</v>
      </c>
      <c r="AJ230" t="s">
        <v>2051</v>
      </c>
      <c r="AK230" t="s">
        <v>2051</v>
      </c>
      <c r="AL230" t="s">
        <v>2051</v>
      </c>
      <c r="AM230" t="s">
        <v>2051</v>
      </c>
      <c r="AN230" t="s">
        <v>2051</v>
      </c>
      <c r="AO230" t="s">
        <v>2051</v>
      </c>
      <c r="AP230" t="s">
        <v>2051</v>
      </c>
      <c r="AQ230" t="s">
        <v>2051</v>
      </c>
      <c r="AR230" t="s">
        <v>2051</v>
      </c>
      <c r="AS230" t="s">
        <v>2051</v>
      </c>
      <c r="AT230" t="s">
        <v>2051</v>
      </c>
      <c r="AU230" t="s">
        <v>2051</v>
      </c>
      <c r="AV230" t="s">
        <v>2051</v>
      </c>
      <c r="AW230" t="s">
        <v>2051</v>
      </c>
      <c r="AX230" t="s">
        <v>2051</v>
      </c>
      <c r="AY230" t="s">
        <v>2051</v>
      </c>
      <c r="AZ230" t="s">
        <v>2051</v>
      </c>
    </row>
    <row r="231" spans="1:52" x14ac:dyDescent="0.2">
      <c r="A231" t="s">
        <v>2051</v>
      </c>
      <c r="B231" t="s">
        <v>2051</v>
      </c>
      <c r="C231" t="s">
        <v>2051</v>
      </c>
      <c r="D231" t="s">
        <v>2051</v>
      </c>
      <c r="E231" t="s">
        <v>2051</v>
      </c>
      <c r="F231" t="s">
        <v>2051</v>
      </c>
      <c r="G231" t="s">
        <v>2051</v>
      </c>
      <c r="H231" t="s">
        <v>2051</v>
      </c>
      <c r="I231" t="s">
        <v>2051</v>
      </c>
      <c r="J231" t="s">
        <v>2051</v>
      </c>
      <c r="K231" t="s">
        <v>2051</v>
      </c>
      <c r="L231" t="s">
        <v>2051</v>
      </c>
      <c r="M231" t="s">
        <v>2051</v>
      </c>
      <c r="N231" t="s">
        <v>2051</v>
      </c>
      <c r="O231" t="s">
        <v>2051</v>
      </c>
      <c r="P231" t="s">
        <v>2051</v>
      </c>
      <c r="Q231" t="s">
        <v>2051</v>
      </c>
      <c r="R231" t="s">
        <v>2051</v>
      </c>
      <c r="S231" t="s">
        <v>2051</v>
      </c>
      <c r="T231" t="s">
        <v>2051</v>
      </c>
      <c r="U231" t="s">
        <v>2051</v>
      </c>
      <c r="V231" t="s">
        <v>2051</v>
      </c>
      <c r="W231" t="s">
        <v>2051</v>
      </c>
      <c r="X231" t="s">
        <v>2051</v>
      </c>
      <c r="Y231" t="s">
        <v>2051</v>
      </c>
      <c r="Z231" t="s">
        <v>2051</v>
      </c>
      <c r="AA231" t="s">
        <v>2051</v>
      </c>
      <c r="AB231" t="s">
        <v>2051</v>
      </c>
      <c r="AC231" t="s">
        <v>2051</v>
      </c>
      <c r="AD231" t="s">
        <v>2051</v>
      </c>
      <c r="AE231" t="s">
        <v>2051</v>
      </c>
      <c r="AF231" t="s">
        <v>2051</v>
      </c>
      <c r="AG231" t="s">
        <v>2051</v>
      </c>
      <c r="AH231" t="s">
        <v>2051</v>
      </c>
      <c r="AI231" t="s">
        <v>2051</v>
      </c>
      <c r="AJ231" t="s">
        <v>2051</v>
      </c>
      <c r="AK231" t="s">
        <v>2051</v>
      </c>
      <c r="AL231" t="s">
        <v>2051</v>
      </c>
      <c r="AM231" t="s">
        <v>2051</v>
      </c>
      <c r="AN231" t="s">
        <v>2051</v>
      </c>
      <c r="AO231" t="s">
        <v>2051</v>
      </c>
      <c r="AP231" t="s">
        <v>2051</v>
      </c>
      <c r="AQ231" t="s">
        <v>2051</v>
      </c>
      <c r="AR231" t="s">
        <v>2051</v>
      </c>
      <c r="AS231" t="s">
        <v>2051</v>
      </c>
      <c r="AT231" t="s">
        <v>2051</v>
      </c>
      <c r="AU231" t="s">
        <v>2051</v>
      </c>
      <c r="AV231" t="s">
        <v>2051</v>
      </c>
      <c r="AW231" t="s">
        <v>2051</v>
      </c>
      <c r="AX231" t="s">
        <v>2051</v>
      </c>
      <c r="AY231" t="s">
        <v>2051</v>
      </c>
      <c r="AZ231" t="s">
        <v>2051</v>
      </c>
    </row>
    <row r="232" spans="1:52" x14ac:dyDescent="0.2">
      <c r="A232" t="s">
        <v>2051</v>
      </c>
      <c r="B232" t="s">
        <v>2051</v>
      </c>
      <c r="C232" t="s">
        <v>2051</v>
      </c>
      <c r="D232" t="s">
        <v>2051</v>
      </c>
      <c r="E232" t="s">
        <v>2051</v>
      </c>
      <c r="F232" t="s">
        <v>2051</v>
      </c>
      <c r="G232" t="s">
        <v>2051</v>
      </c>
      <c r="H232" t="s">
        <v>2051</v>
      </c>
      <c r="I232" t="s">
        <v>2051</v>
      </c>
      <c r="J232" t="s">
        <v>2051</v>
      </c>
      <c r="K232" t="s">
        <v>2051</v>
      </c>
      <c r="L232" t="s">
        <v>2051</v>
      </c>
      <c r="M232" t="s">
        <v>2051</v>
      </c>
      <c r="N232" t="s">
        <v>2051</v>
      </c>
      <c r="O232" t="s">
        <v>2051</v>
      </c>
      <c r="P232" t="s">
        <v>2051</v>
      </c>
      <c r="Q232" t="s">
        <v>2051</v>
      </c>
      <c r="R232" t="s">
        <v>2051</v>
      </c>
      <c r="S232" t="s">
        <v>2051</v>
      </c>
      <c r="T232" t="s">
        <v>2051</v>
      </c>
      <c r="U232" t="s">
        <v>2051</v>
      </c>
      <c r="V232" t="s">
        <v>2051</v>
      </c>
      <c r="W232" t="s">
        <v>2051</v>
      </c>
      <c r="X232" t="s">
        <v>2051</v>
      </c>
      <c r="Y232" t="s">
        <v>2051</v>
      </c>
      <c r="Z232" t="s">
        <v>2051</v>
      </c>
      <c r="AA232" t="s">
        <v>2051</v>
      </c>
      <c r="AB232" t="s">
        <v>2051</v>
      </c>
      <c r="AC232" t="s">
        <v>2051</v>
      </c>
      <c r="AD232" t="s">
        <v>2051</v>
      </c>
      <c r="AE232" t="s">
        <v>2051</v>
      </c>
      <c r="AF232" t="s">
        <v>2051</v>
      </c>
      <c r="AG232" t="s">
        <v>2051</v>
      </c>
      <c r="AH232" t="s">
        <v>2051</v>
      </c>
      <c r="AI232" t="s">
        <v>2051</v>
      </c>
      <c r="AJ232" t="s">
        <v>2051</v>
      </c>
      <c r="AK232" t="s">
        <v>2051</v>
      </c>
      <c r="AL232" t="s">
        <v>2051</v>
      </c>
      <c r="AM232" t="s">
        <v>2051</v>
      </c>
      <c r="AN232" t="s">
        <v>2051</v>
      </c>
      <c r="AO232" t="s">
        <v>2051</v>
      </c>
      <c r="AP232" t="s">
        <v>2051</v>
      </c>
      <c r="AQ232" t="s">
        <v>2051</v>
      </c>
      <c r="AR232" t="s">
        <v>2051</v>
      </c>
      <c r="AS232" t="s">
        <v>2051</v>
      </c>
      <c r="AT232" t="s">
        <v>2051</v>
      </c>
      <c r="AU232" t="s">
        <v>2051</v>
      </c>
      <c r="AV232" t="s">
        <v>2051</v>
      </c>
      <c r="AW232" t="s">
        <v>2051</v>
      </c>
      <c r="AX232" t="s">
        <v>2051</v>
      </c>
      <c r="AY232" t="s">
        <v>2051</v>
      </c>
      <c r="AZ232" t="s">
        <v>2051</v>
      </c>
    </row>
    <row r="233" spans="1:52" x14ac:dyDescent="0.2">
      <c r="A233" t="s">
        <v>2051</v>
      </c>
      <c r="B233" t="s">
        <v>2051</v>
      </c>
      <c r="C233" t="s">
        <v>2051</v>
      </c>
      <c r="D233" t="s">
        <v>2051</v>
      </c>
      <c r="E233" t="s">
        <v>2051</v>
      </c>
      <c r="F233" t="s">
        <v>2051</v>
      </c>
      <c r="G233" t="s">
        <v>2051</v>
      </c>
      <c r="H233" t="s">
        <v>2051</v>
      </c>
      <c r="I233" t="s">
        <v>2051</v>
      </c>
      <c r="J233" t="s">
        <v>2051</v>
      </c>
      <c r="K233" t="s">
        <v>2051</v>
      </c>
      <c r="L233" t="s">
        <v>2051</v>
      </c>
      <c r="M233" t="s">
        <v>2051</v>
      </c>
      <c r="N233" t="s">
        <v>2051</v>
      </c>
      <c r="O233" t="s">
        <v>2051</v>
      </c>
      <c r="P233" t="s">
        <v>2051</v>
      </c>
      <c r="Q233" t="s">
        <v>2051</v>
      </c>
      <c r="R233" t="s">
        <v>2051</v>
      </c>
      <c r="S233" t="s">
        <v>2051</v>
      </c>
      <c r="T233" t="s">
        <v>2051</v>
      </c>
      <c r="U233" t="s">
        <v>2051</v>
      </c>
      <c r="V233" t="s">
        <v>2051</v>
      </c>
      <c r="W233" t="s">
        <v>2051</v>
      </c>
      <c r="X233" t="s">
        <v>2051</v>
      </c>
      <c r="Y233" t="s">
        <v>2051</v>
      </c>
      <c r="Z233" t="s">
        <v>2051</v>
      </c>
      <c r="AA233" t="s">
        <v>2051</v>
      </c>
      <c r="AB233" t="s">
        <v>2051</v>
      </c>
      <c r="AC233" t="s">
        <v>2051</v>
      </c>
      <c r="AD233" t="s">
        <v>2051</v>
      </c>
      <c r="AE233" t="s">
        <v>2051</v>
      </c>
      <c r="AF233" t="s">
        <v>2051</v>
      </c>
      <c r="AG233" t="s">
        <v>2051</v>
      </c>
      <c r="AH233" t="s">
        <v>2051</v>
      </c>
      <c r="AI233" t="s">
        <v>2051</v>
      </c>
      <c r="AJ233" t="s">
        <v>2051</v>
      </c>
      <c r="AK233" t="s">
        <v>2051</v>
      </c>
      <c r="AL233" t="s">
        <v>2051</v>
      </c>
      <c r="AM233" t="s">
        <v>2051</v>
      </c>
      <c r="AN233" t="s">
        <v>2051</v>
      </c>
      <c r="AO233" t="s">
        <v>2051</v>
      </c>
      <c r="AP233" t="s">
        <v>2051</v>
      </c>
      <c r="AQ233" t="s">
        <v>2051</v>
      </c>
      <c r="AR233" t="s">
        <v>2051</v>
      </c>
      <c r="AS233" t="s">
        <v>2051</v>
      </c>
      <c r="AT233" t="s">
        <v>2051</v>
      </c>
      <c r="AU233" t="s">
        <v>2051</v>
      </c>
      <c r="AV233" t="s">
        <v>2051</v>
      </c>
      <c r="AW233" t="s">
        <v>2051</v>
      </c>
      <c r="AX233" t="s">
        <v>2051</v>
      </c>
      <c r="AY233" t="s">
        <v>2051</v>
      </c>
      <c r="AZ233" t="s">
        <v>2051</v>
      </c>
    </row>
    <row r="234" spans="1:52" x14ac:dyDescent="0.2">
      <c r="A234" t="s">
        <v>2051</v>
      </c>
      <c r="B234" t="s">
        <v>2051</v>
      </c>
      <c r="C234" t="s">
        <v>2051</v>
      </c>
      <c r="D234" t="s">
        <v>2051</v>
      </c>
      <c r="E234" t="s">
        <v>2051</v>
      </c>
      <c r="F234" t="s">
        <v>2051</v>
      </c>
      <c r="G234" t="s">
        <v>2051</v>
      </c>
      <c r="H234" t="s">
        <v>2051</v>
      </c>
      <c r="I234" t="s">
        <v>2051</v>
      </c>
      <c r="J234" t="s">
        <v>2051</v>
      </c>
      <c r="K234" t="s">
        <v>2051</v>
      </c>
      <c r="L234" t="s">
        <v>2051</v>
      </c>
      <c r="M234" t="s">
        <v>2051</v>
      </c>
      <c r="N234" t="s">
        <v>2051</v>
      </c>
      <c r="O234" t="s">
        <v>2051</v>
      </c>
      <c r="P234" t="s">
        <v>2051</v>
      </c>
      <c r="Q234" t="s">
        <v>2051</v>
      </c>
      <c r="R234" t="s">
        <v>2051</v>
      </c>
      <c r="S234" t="s">
        <v>2051</v>
      </c>
      <c r="T234" t="s">
        <v>2051</v>
      </c>
      <c r="U234" t="s">
        <v>2051</v>
      </c>
      <c r="V234" t="s">
        <v>2051</v>
      </c>
      <c r="W234" t="s">
        <v>2051</v>
      </c>
      <c r="X234" t="s">
        <v>2051</v>
      </c>
      <c r="Y234" t="s">
        <v>2051</v>
      </c>
      <c r="Z234" t="s">
        <v>2051</v>
      </c>
      <c r="AA234" t="s">
        <v>2051</v>
      </c>
      <c r="AB234" t="s">
        <v>2051</v>
      </c>
      <c r="AC234" t="s">
        <v>2051</v>
      </c>
      <c r="AD234" t="s">
        <v>2051</v>
      </c>
      <c r="AE234" t="s">
        <v>2051</v>
      </c>
      <c r="AF234" t="s">
        <v>2051</v>
      </c>
      <c r="AG234" t="s">
        <v>2051</v>
      </c>
      <c r="AH234" t="s">
        <v>2051</v>
      </c>
      <c r="AI234" t="s">
        <v>2051</v>
      </c>
      <c r="AJ234" t="s">
        <v>2051</v>
      </c>
      <c r="AK234" t="s">
        <v>2051</v>
      </c>
      <c r="AL234" t="s">
        <v>2051</v>
      </c>
      <c r="AM234" t="s">
        <v>2051</v>
      </c>
      <c r="AN234" t="s">
        <v>2051</v>
      </c>
      <c r="AO234" t="s">
        <v>2051</v>
      </c>
      <c r="AP234" t="s">
        <v>2051</v>
      </c>
      <c r="AQ234" t="s">
        <v>2051</v>
      </c>
      <c r="AR234" t="s">
        <v>2051</v>
      </c>
      <c r="AS234" t="s">
        <v>2051</v>
      </c>
      <c r="AT234" t="s">
        <v>2051</v>
      </c>
      <c r="AU234" t="s">
        <v>2051</v>
      </c>
      <c r="AV234" t="s">
        <v>2051</v>
      </c>
      <c r="AW234" t="s">
        <v>2051</v>
      </c>
      <c r="AX234" t="s">
        <v>2051</v>
      </c>
      <c r="AY234" t="s">
        <v>2051</v>
      </c>
      <c r="AZ234" t="s">
        <v>2051</v>
      </c>
    </row>
    <row r="235" spans="1:52" x14ac:dyDescent="0.2">
      <c r="A235" t="s">
        <v>2051</v>
      </c>
      <c r="B235" t="s">
        <v>2051</v>
      </c>
      <c r="C235" t="s">
        <v>2051</v>
      </c>
      <c r="D235" t="s">
        <v>2051</v>
      </c>
      <c r="E235" t="s">
        <v>2051</v>
      </c>
      <c r="F235" t="s">
        <v>2051</v>
      </c>
      <c r="G235" t="s">
        <v>2051</v>
      </c>
      <c r="H235" t="s">
        <v>2051</v>
      </c>
      <c r="I235" t="s">
        <v>2051</v>
      </c>
      <c r="J235" t="s">
        <v>2051</v>
      </c>
      <c r="K235" t="s">
        <v>2051</v>
      </c>
      <c r="L235" t="s">
        <v>2051</v>
      </c>
      <c r="M235" t="s">
        <v>2051</v>
      </c>
      <c r="N235" t="s">
        <v>2051</v>
      </c>
      <c r="O235" t="s">
        <v>2051</v>
      </c>
      <c r="P235" t="s">
        <v>2051</v>
      </c>
      <c r="Q235" t="s">
        <v>2051</v>
      </c>
      <c r="R235" t="s">
        <v>2051</v>
      </c>
      <c r="S235" t="s">
        <v>2051</v>
      </c>
      <c r="T235" t="s">
        <v>2051</v>
      </c>
      <c r="U235" t="s">
        <v>2051</v>
      </c>
      <c r="V235" t="s">
        <v>2051</v>
      </c>
      <c r="W235" t="s">
        <v>2051</v>
      </c>
      <c r="X235" t="s">
        <v>2051</v>
      </c>
      <c r="Y235" t="s">
        <v>2051</v>
      </c>
      <c r="Z235" t="s">
        <v>2051</v>
      </c>
      <c r="AA235" t="s">
        <v>2051</v>
      </c>
      <c r="AB235" t="s">
        <v>2051</v>
      </c>
      <c r="AC235" t="s">
        <v>2051</v>
      </c>
      <c r="AD235" t="s">
        <v>2051</v>
      </c>
      <c r="AE235" t="s">
        <v>2051</v>
      </c>
      <c r="AF235" t="s">
        <v>2051</v>
      </c>
      <c r="AG235" t="s">
        <v>2051</v>
      </c>
      <c r="AH235" t="s">
        <v>2051</v>
      </c>
      <c r="AI235" t="s">
        <v>2051</v>
      </c>
      <c r="AJ235" t="s">
        <v>2051</v>
      </c>
      <c r="AK235" t="s">
        <v>2051</v>
      </c>
      <c r="AL235" t="s">
        <v>2051</v>
      </c>
      <c r="AM235" t="s">
        <v>2051</v>
      </c>
      <c r="AN235" t="s">
        <v>2051</v>
      </c>
      <c r="AO235" t="s">
        <v>2051</v>
      </c>
      <c r="AP235" t="s">
        <v>2051</v>
      </c>
      <c r="AQ235" t="s">
        <v>2051</v>
      </c>
      <c r="AR235" t="s">
        <v>2051</v>
      </c>
      <c r="AS235" t="s">
        <v>2051</v>
      </c>
      <c r="AT235" t="s">
        <v>2051</v>
      </c>
      <c r="AU235" t="s">
        <v>2051</v>
      </c>
      <c r="AV235" t="s">
        <v>2051</v>
      </c>
      <c r="AW235" t="s">
        <v>2051</v>
      </c>
      <c r="AX235" t="s">
        <v>2051</v>
      </c>
      <c r="AY235" t="s">
        <v>2051</v>
      </c>
      <c r="AZ235" t="s">
        <v>2051</v>
      </c>
    </row>
    <row r="236" spans="1:52" x14ac:dyDescent="0.2">
      <c r="A236" t="s">
        <v>2051</v>
      </c>
      <c r="B236" t="s">
        <v>2051</v>
      </c>
      <c r="C236" t="s">
        <v>2051</v>
      </c>
      <c r="D236" t="s">
        <v>2051</v>
      </c>
      <c r="E236" t="s">
        <v>2051</v>
      </c>
      <c r="F236" t="s">
        <v>2051</v>
      </c>
      <c r="G236" t="s">
        <v>2051</v>
      </c>
      <c r="H236" t="s">
        <v>2051</v>
      </c>
      <c r="I236" t="s">
        <v>2051</v>
      </c>
      <c r="J236" t="s">
        <v>2051</v>
      </c>
      <c r="K236" t="s">
        <v>2051</v>
      </c>
      <c r="L236" t="s">
        <v>2051</v>
      </c>
      <c r="M236" t="s">
        <v>2051</v>
      </c>
      <c r="N236" t="s">
        <v>2051</v>
      </c>
      <c r="O236" t="s">
        <v>2051</v>
      </c>
      <c r="P236" t="s">
        <v>2051</v>
      </c>
      <c r="Q236" t="s">
        <v>2051</v>
      </c>
      <c r="R236" t="s">
        <v>2051</v>
      </c>
      <c r="S236" t="s">
        <v>2051</v>
      </c>
      <c r="T236" t="s">
        <v>2051</v>
      </c>
      <c r="U236" t="s">
        <v>2051</v>
      </c>
      <c r="V236" t="s">
        <v>2051</v>
      </c>
      <c r="W236" t="s">
        <v>2051</v>
      </c>
      <c r="X236" t="s">
        <v>2051</v>
      </c>
      <c r="Y236" t="s">
        <v>2051</v>
      </c>
      <c r="Z236" t="s">
        <v>2051</v>
      </c>
      <c r="AA236" t="s">
        <v>2051</v>
      </c>
      <c r="AB236" t="s">
        <v>2051</v>
      </c>
      <c r="AC236" t="s">
        <v>2051</v>
      </c>
      <c r="AD236" t="s">
        <v>2051</v>
      </c>
      <c r="AE236" t="s">
        <v>2051</v>
      </c>
      <c r="AF236" t="s">
        <v>2051</v>
      </c>
      <c r="AG236" t="s">
        <v>2051</v>
      </c>
      <c r="AH236" t="s">
        <v>2051</v>
      </c>
      <c r="AI236" t="s">
        <v>2051</v>
      </c>
      <c r="AJ236" t="s">
        <v>2051</v>
      </c>
      <c r="AK236" t="s">
        <v>2051</v>
      </c>
      <c r="AL236" t="s">
        <v>2051</v>
      </c>
      <c r="AM236" t="s">
        <v>2051</v>
      </c>
      <c r="AN236" t="s">
        <v>2051</v>
      </c>
      <c r="AO236" t="s">
        <v>2051</v>
      </c>
      <c r="AP236" t="s">
        <v>2051</v>
      </c>
      <c r="AQ236" t="s">
        <v>2051</v>
      </c>
      <c r="AR236" t="s">
        <v>2051</v>
      </c>
      <c r="AS236" t="s">
        <v>2051</v>
      </c>
      <c r="AT236" t="s">
        <v>2051</v>
      </c>
      <c r="AU236" t="s">
        <v>2051</v>
      </c>
      <c r="AV236" t="s">
        <v>2051</v>
      </c>
      <c r="AW236" t="s">
        <v>2051</v>
      </c>
      <c r="AX236" t="s">
        <v>2051</v>
      </c>
      <c r="AY236" t="s">
        <v>2051</v>
      </c>
      <c r="AZ236" t="s">
        <v>2051</v>
      </c>
    </row>
    <row r="237" spans="1:52" x14ac:dyDescent="0.2">
      <c r="A237" t="s">
        <v>2051</v>
      </c>
      <c r="B237" t="s">
        <v>2051</v>
      </c>
      <c r="C237" t="s">
        <v>2051</v>
      </c>
      <c r="D237" t="s">
        <v>2051</v>
      </c>
      <c r="E237" t="s">
        <v>2051</v>
      </c>
      <c r="F237" t="s">
        <v>2051</v>
      </c>
      <c r="G237" t="s">
        <v>2051</v>
      </c>
      <c r="H237" t="s">
        <v>2051</v>
      </c>
      <c r="I237" t="s">
        <v>2051</v>
      </c>
      <c r="J237" t="s">
        <v>2051</v>
      </c>
      <c r="K237" t="s">
        <v>2051</v>
      </c>
      <c r="L237" t="s">
        <v>2051</v>
      </c>
      <c r="M237" t="s">
        <v>2051</v>
      </c>
      <c r="N237" t="s">
        <v>2051</v>
      </c>
      <c r="O237" t="s">
        <v>2051</v>
      </c>
      <c r="P237" t="s">
        <v>2051</v>
      </c>
      <c r="Q237" t="s">
        <v>2051</v>
      </c>
      <c r="R237" t="s">
        <v>2051</v>
      </c>
      <c r="S237" t="s">
        <v>2051</v>
      </c>
      <c r="T237" t="s">
        <v>2051</v>
      </c>
      <c r="U237" t="s">
        <v>2051</v>
      </c>
      <c r="V237" t="s">
        <v>2051</v>
      </c>
      <c r="W237" t="s">
        <v>2051</v>
      </c>
      <c r="X237" t="s">
        <v>2051</v>
      </c>
      <c r="Y237" t="s">
        <v>2051</v>
      </c>
      <c r="Z237" t="s">
        <v>2051</v>
      </c>
      <c r="AA237" t="s">
        <v>2051</v>
      </c>
      <c r="AB237" t="s">
        <v>2051</v>
      </c>
      <c r="AC237" t="s">
        <v>2051</v>
      </c>
      <c r="AD237" t="s">
        <v>2051</v>
      </c>
      <c r="AE237" t="s">
        <v>2051</v>
      </c>
      <c r="AF237" t="s">
        <v>2051</v>
      </c>
      <c r="AG237" t="s">
        <v>2051</v>
      </c>
      <c r="AH237" t="s">
        <v>2051</v>
      </c>
      <c r="AI237" t="s">
        <v>2051</v>
      </c>
      <c r="AJ237" t="s">
        <v>2051</v>
      </c>
      <c r="AK237" t="s">
        <v>2051</v>
      </c>
      <c r="AL237" t="s">
        <v>2051</v>
      </c>
      <c r="AM237" t="s">
        <v>2051</v>
      </c>
      <c r="AN237" t="s">
        <v>2051</v>
      </c>
      <c r="AO237" t="s">
        <v>2051</v>
      </c>
      <c r="AP237" t="s">
        <v>2051</v>
      </c>
      <c r="AQ237" t="s">
        <v>2051</v>
      </c>
      <c r="AR237" t="s">
        <v>2051</v>
      </c>
      <c r="AS237" t="s">
        <v>2051</v>
      </c>
      <c r="AT237" t="s">
        <v>2051</v>
      </c>
      <c r="AU237" t="s">
        <v>2051</v>
      </c>
      <c r="AV237" t="s">
        <v>2051</v>
      </c>
      <c r="AW237" t="s">
        <v>2051</v>
      </c>
      <c r="AX237" t="s">
        <v>2051</v>
      </c>
      <c r="AY237" t="s">
        <v>2051</v>
      </c>
      <c r="AZ237" t="s">
        <v>2051</v>
      </c>
    </row>
    <row r="238" spans="1:52" x14ac:dyDescent="0.2">
      <c r="A238" t="s">
        <v>2051</v>
      </c>
      <c r="B238" t="s">
        <v>2051</v>
      </c>
      <c r="C238" t="s">
        <v>2051</v>
      </c>
      <c r="D238" t="s">
        <v>2051</v>
      </c>
      <c r="E238" t="s">
        <v>2051</v>
      </c>
      <c r="F238" t="s">
        <v>2051</v>
      </c>
      <c r="G238" t="s">
        <v>2051</v>
      </c>
      <c r="H238" t="s">
        <v>2051</v>
      </c>
      <c r="I238" t="s">
        <v>2051</v>
      </c>
      <c r="J238" t="s">
        <v>2051</v>
      </c>
      <c r="K238" t="s">
        <v>2051</v>
      </c>
      <c r="L238" t="s">
        <v>2051</v>
      </c>
      <c r="M238" t="s">
        <v>2051</v>
      </c>
      <c r="N238" t="s">
        <v>2051</v>
      </c>
      <c r="O238" t="s">
        <v>2051</v>
      </c>
      <c r="P238" t="s">
        <v>2051</v>
      </c>
      <c r="Q238" t="s">
        <v>2051</v>
      </c>
      <c r="R238" t="s">
        <v>2051</v>
      </c>
      <c r="S238" t="s">
        <v>2051</v>
      </c>
      <c r="T238" t="s">
        <v>2051</v>
      </c>
      <c r="U238" t="s">
        <v>2051</v>
      </c>
      <c r="V238" t="s">
        <v>2051</v>
      </c>
      <c r="W238" t="s">
        <v>2051</v>
      </c>
      <c r="X238" t="s">
        <v>2051</v>
      </c>
      <c r="Y238" t="s">
        <v>2051</v>
      </c>
      <c r="Z238" t="s">
        <v>2051</v>
      </c>
      <c r="AA238" t="s">
        <v>2051</v>
      </c>
      <c r="AB238" t="s">
        <v>2051</v>
      </c>
      <c r="AC238" t="s">
        <v>2051</v>
      </c>
      <c r="AD238" t="s">
        <v>2051</v>
      </c>
      <c r="AE238" t="s">
        <v>2051</v>
      </c>
      <c r="AF238" t="s">
        <v>2051</v>
      </c>
      <c r="AG238" t="s">
        <v>2051</v>
      </c>
      <c r="AH238" t="s">
        <v>2051</v>
      </c>
      <c r="AI238" t="s">
        <v>2051</v>
      </c>
      <c r="AJ238" t="s">
        <v>2051</v>
      </c>
      <c r="AK238" t="s">
        <v>2051</v>
      </c>
      <c r="AL238" t="s">
        <v>2051</v>
      </c>
      <c r="AM238" t="s">
        <v>2051</v>
      </c>
      <c r="AN238" t="s">
        <v>2051</v>
      </c>
      <c r="AO238" t="s">
        <v>2051</v>
      </c>
      <c r="AP238" t="s">
        <v>2051</v>
      </c>
      <c r="AQ238" t="s">
        <v>2051</v>
      </c>
      <c r="AR238" t="s">
        <v>2051</v>
      </c>
      <c r="AS238" t="s">
        <v>2051</v>
      </c>
      <c r="AT238" t="s">
        <v>2051</v>
      </c>
      <c r="AU238" t="s">
        <v>2051</v>
      </c>
      <c r="AV238" t="s">
        <v>2051</v>
      </c>
      <c r="AW238" t="s">
        <v>2051</v>
      </c>
      <c r="AX238" t="s">
        <v>2051</v>
      </c>
      <c r="AY238" t="s">
        <v>2051</v>
      </c>
      <c r="AZ238" t="s">
        <v>2051</v>
      </c>
    </row>
    <row r="239" spans="1:52" x14ac:dyDescent="0.2">
      <c r="A239" t="s">
        <v>2051</v>
      </c>
      <c r="B239" t="s">
        <v>2051</v>
      </c>
      <c r="C239" t="s">
        <v>2051</v>
      </c>
      <c r="D239" t="s">
        <v>2051</v>
      </c>
      <c r="E239" t="s">
        <v>2051</v>
      </c>
      <c r="F239" t="s">
        <v>2051</v>
      </c>
      <c r="G239" t="s">
        <v>2051</v>
      </c>
      <c r="H239" t="s">
        <v>2051</v>
      </c>
      <c r="I239" t="s">
        <v>2051</v>
      </c>
      <c r="J239" t="s">
        <v>2051</v>
      </c>
      <c r="K239" t="s">
        <v>2051</v>
      </c>
      <c r="L239" t="s">
        <v>2051</v>
      </c>
      <c r="M239" t="s">
        <v>2051</v>
      </c>
      <c r="N239" t="s">
        <v>2051</v>
      </c>
      <c r="O239" t="s">
        <v>2051</v>
      </c>
      <c r="P239" t="s">
        <v>2051</v>
      </c>
      <c r="Q239" t="s">
        <v>2051</v>
      </c>
      <c r="R239" t="s">
        <v>2051</v>
      </c>
      <c r="S239" t="s">
        <v>2051</v>
      </c>
      <c r="T239" t="s">
        <v>2051</v>
      </c>
      <c r="U239" t="s">
        <v>2051</v>
      </c>
      <c r="V239" t="s">
        <v>2051</v>
      </c>
      <c r="W239" t="s">
        <v>2051</v>
      </c>
      <c r="X239" t="s">
        <v>2051</v>
      </c>
      <c r="Y239" t="s">
        <v>2051</v>
      </c>
      <c r="Z239" t="s">
        <v>2051</v>
      </c>
      <c r="AA239" t="s">
        <v>2051</v>
      </c>
      <c r="AB239" t="s">
        <v>2051</v>
      </c>
      <c r="AC239" t="s">
        <v>2051</v>
      </c>
      <c r="AD239" t="s">
        <v>2051</v>
      </c>
      <c r="AE239" t="s">
        <v>2051</v>
      </c>
      <c r="AF239" t="s">
        <v>2051</v>
      </c>
      <c r="AG239" t="s">
        <v>2051</v>
      </c>
      <c r="AH239" t="s">
        <v>2051</v>
      </c>
      <c r="AI239" t="s">
        <v>2051</v>
      </c>
      <c r="AJ239" t="s">
        <v>2051</v>
      </c>
      <c r="AK239" t="s">
        <v>2051</v>
      </c>
      <c r="AL239" t="s">
        <v>2051</v>
      </c>
      <c r="AM239" t="s">
        <v>2051</v>
      </c>
      <c r="AN239" t="s">
        <v>2051</v>
      </c>
      <c r="AO239" t="s">
        <v>2051</v>
      </c>
      <c r="AP239" t="s">
        <v>2051</v>
      </c>
      <c r="AQ239" t="s">
        <v>2051</v>
      </c>
      <c r="AR239" t="s">
        <v>2051</v>
      </c>
      <c r="AS239" t="s">
        <v>2051</v>
      </c>
      <c r="AT239" t="s">
        <v>2051</v>
      </c>
      <c r="AU239" t="s">
        <v>2051</v>
      </c>
      <c r="AV239" t="s">
        <v>2051</v>
      </c>
      <c r="AW239" t="s">
        <v>2051</v>
      </c>
      <c r="AX239" t="s">
        <v>2051</v>
      </c>
      <c r="AY239" t="s">
        <v>2051</v>
      </c>
      <c r="AZ239" t="s">
        <v>2051</v>
      </c>
    </row>
    <row r="240" spans="1:52" x14ac:dyDescent="0.2">
      <c r="A240" t="s">
        <v>2051</v>
      </c>
      <c r="B240" t="s">
        <v>2051</v>
      </c>
      <c r="C240" t="s">
        <v>2051</v>
      </c>
      <c r="D240" t="s">
        <v>2051</v>
      </c>
      <c r="E240" t="s">
        <v>2051</v>
      </c>
      <c r="F240" t="s">
        <v>2051</v>
      </c>
      <c r="G240" t="s">
        <v>2051</v>
      </c>
      <c r="H240" t="s">
        <v>2051</v>
      </c>
      <c r="I240" t="s">
        <v>2051</v>
      </c>
      <c r="J240" t="s">
        <v>2051</v>
      </c>
      <c r="K240" t="s">
        <v>2051</v>
      </c>
      <c r="L240" t="s">
        <v>2051</v>
      </c>
      <c r="M240" t="s">
        <v>2051</v>
      </c>
      <c r="N240" t="s">
        <v>2051</v>
      </c>
      <c r="O240" t="s">
        <v>2051</v>
      </c>
      <c r="P240" t="s">
        <v>2051</v>
      </c>
      <c r="Q240" t="s">
        <v>2051</v>
      </c>
      <c r="R240" t="s">
        <v>2051</v>
      </c>
      <c r="S240" t="s">
        <v>2051</v>
      </c>
      <c r="T240" t="s">
        <v>2051</v>
      </c>
      <c r="U240" t="s">
        <v>2051</v>
      </c>
      <c r="V240" t="s">
        <v>2051</v>
      </c>
      <c r="W240" t="s">
        <v>2051</v>
      </c>
      <c r="X240" t="s">
        <v>2051</v>
      </c>
      <c r="Y240" t="s">
        <v>2051</v>
      </c>
      <c r="Z240" t="s">
        <v>2051</v>
      </c>
      <c r="AA240" t="s">
        <v>2051</v>
      </c>
      <c r="AB240" t="s">
        <v>2051</v>
      </c>
      <c r="AC240" t="s">
        <v>2051</v>
      </c>
      <c r="AD240" t="s">
        <v>2051</v>
      </c>
      <c r="AE240" t="s">
        <v>2051</v>
      </c>
      <c r="AF240" t="s">
        <v>2051</v>
      </c>
      <c r="AG240" t="s">
        <v>2051</v>
      </c>
      <c r="AH240" t="s">
        <v>2051</v>
      </c>
      <c r="AI240" t="s">
        <v>2051</v>
      </c>
      <c r="AJ240" t="s">
        <v>2051</v>
      </c>
      <c r="AK240" t="s">
        <v>2051</v>
      </c>
      <c r="AL240" t="s">
        <v>2051</v>
      </c>
      <c r="AM240" t="s">
        <v>2051</v>
      </c>
      <c r="AN240" t="s">
        <v>2051</v>
      </c>
      <c r="AO240" t="s">
        <v>2051</v>
      </c>
      <c r="AP240" t="s">
        <v>2051</v>
      </c>
      <c r="AQ240" t="s">
        <v>2051</v>
      </c>
      <c r="AR240" t="s">
        <v>2051</v>
      </c>
      <c r="AS240" t="s">
        <v>2051</v>
      </c>
      <c r="AT240" t="s">
        <v>2051</v>
      </c>
      <c r="AU240" t="s">
        <v>2051</v>
      </c>
      <c r="AV240" t="s">
        <v>2051</v>
      </c>
      <c r="AW240" t="s">
        <v>2051</v>
      </c>
      <c r="AX240" t="s">
        <v>2051</v>
      </c>
      <c r="AY240" t="s">
        <v>2051</v>
      </c>
      <c r="AZ240" t="s">
        <v>2051</v>
      </c>
    </row>
    <row r="241" spans="1:52" x14ac:dyDescent="0.2">
      <c r="A241" t="s">
        <v>2051</v>
      </c>
      <c r="B241" t="s">
        <v>2051</v>
      </c>
      <c r="C241" t="s">
        <v>2051</v>
      </c>
      <c r="D241" t="s">
        <v>2051</v>
      </c>
      <c r="E241" t="s">
        <v>2051</v>
      </c>
      <c r="F241" t="s">
        <v>2051</v>
      </c>
      <c r="G241" t="s">
        <v>2051</v>
      </c>
      <c r="H241" t="s">
        <v>2051</v>
      </c>
      <c r="I241" t="s">
        <v>2051</v>
      </c>
      <c r="J241" t="s">
        <v>2051</v>
      </c>
      <c r="K241" t="s">
        <v>2051</v>
      </c>
      <c r="L241" t="s">
        <v>2051</v>
      </c>
      <c r="M241" t="s">
        <v>2051</v>
      </c>
      <c r="N241" t="s">
        <v>2051</v>
      </c>
      <c r="O241" t="s">
        <v>2051</v>
      </c>
      <c r="P241" t="s">
        <v>2051</v>
      </c>
      <c r="Q241" t="s">
        <v>2051</v>
      </c>
      <c r="R241" t="s">
        <v>2051</v>
      </c>
      <c r="S241" t="s">
        <v>2051</v>
      </c>
      <c r="T241" t="s">
        <v>2051</v>
      </c>
      <c r="U241" t="s">
        <v>2051</v>
      </c>
      <c r="V241" t="s">
        <v>2051</v>
      </c>
      <c r="W241" t="s">
        <v>2051</v>
      </c>
      <c r="X241" t="s">
        <v>2051</v>
      </c>
      <c r="Y241" t="s">
        <v>2051</v>
      </c>
      <c r="Z241" t="s">
        <v>2051</v>
      </c>
      <c r="AA241" t="s">
        <v>2051</v>
      </c>
      <c r="AB241" t="s">
        <v>2051</v>
      </c>
      <c r="AC241" t="s">
        <v>2051</v>
      </c>
      <c r="AD241" t="s">
        <v>2051</v>
      </c>
      <c r="AE241" t="s">
        <v>2051</v>
      </c>
      <c r="AF241" t="s">
        <v>2051</v>
      </c>
      <c r="AG241" t="s">
        <v>2051</v>
      </c>
      <c r="AH241" t="s">
        <v>2051</v>
      </c>
      <c r="AI241" t="s">
        <v>2051</v>
      </c>
      <c r="AJ241" t="s">
        <v>2051</v>
      </c>
      <c r="AK241" t="s">
        <v>2051</v>
      </c>
      <c r="AL241" t="s">
        <v>2051</v>
      </c>
      <c r="AM241" t="s">
        <v>2051</v>
      </c>
      <c r="AN241" t="s">
        <v>2051</v>
      </c>
      <c r="AO241" t="s">
        <v>2051</v>
      </c>
      <c r="AP241" t="s">
        <v>2051</v>
      </c>
      <c r="AQ241" t="s">
        <v>2051</v>
      </c>
      <c r="AR241" t="s">
        <v>2051</v>
      </c>
      <c r="AS241" t="s">
        <v>2051</v>
      </c>
      <c r="AT241" t="s">
        <v>2051</v>
      </c>
      <c r="AU241" t="s">
        <v>2051</v>
      </c>
      <c r="AV241" t="s">
        <v>2051</v>
      </c>
      <c r="AW241" t="s">
        <v>2051</v>
      </c>
      <c r="AX241" t="s">
        <v>2051</v>
      </c>
      <c r="AY241" t="s">
        <v>2051</v>
      </c>
      <c r="AZ241" t="s">
        <v>2051</v>
      </c>
    </row>
    <row r="242" spans="1:52" x14ac:dyDescent="0.2">
      <c r="A242" t="s">
        <v>2051</v>
      </c>
      <c r="B242" t="s">
        <v>2051</v>
      </c>
      <c r="C242" t="s">
        <v>2051</v>
      </c>
      <c r="D242" t="s">
        <v>2051</v>
      </c>
      <c r="E242" t="s">
        <v>2051</v>
      </c>
      <c r="F242" t="s">
        <v>2051</v>
      </c>
      <c r="G242" t="s">
        <v>2051</v>
      </c>
      <c r="H242" t="s">
        <v>2051</v>
      </c>
      <c r="I242" t="s">
        <v>2051</v>
      </c>
      <c r="J242" t="s">
        <v>2051</v>
      </c>
      <c r="K242" t="s">
        <v>2051</v>
      </c>
      <c r="L242" t="s">
        <v>2051</v>
      </c>
      <c r="M242" t="s">
        <v>2051</v>
      </c>
      <c r="N242" t="s">
        <v>2051</v>
      </c>
      <c r="O242" t="s">
        <v>2051</v>
      </c>
      <c r="P242" t="s">
        <v>2051</v>
      </c>
      <c r="Q242" t="s">
        <v>2051</v>
      </c>
      <c r="R242" t="s">
        <v>2051</v>
      </c>
      <c r="S242" t="s">
        <v>2051</v>
      </c>
      <c r="T242" t="s">
        <v>2051</v>
      </c>
      <c r="U242" t="s">
        <v>2051</v>
      </c>
      <c r="V242" t="s">
        <v>2051</v>
      </c>
      <c r="W242" t="s">
        <v>2051</v>
      </c>
      <c r="X242" t="s">
        <v>2051</v>
      </c>
      <c r="Y242" t="s">
        <v>2051</v>
      </c>
      <c r="Z242" t="s">
        <v>2051</v>
      </c>
      <c r="AA242" t="s">
        <v>2051</v>
      </c>
      <c r="AB242" t="s">
        <v>2051</v>
      </c>
      <c r="AC242" t="s">
        <v>2051</v>
      </c>
      <c r="AD242" t="s">
        <v>2051</v>
      </c>
      <c r="AE242" t="s">
        <v>2051</v>
      </c>
      <c r="AF242" t="s">
        <v>2051</v>
      </c>
      <c r="AG242" t="s">
        <v>2051</v>
      </c>
      <c r="AH242" t="s">
        <v>2051</v>
      </c>
      <c r="AI242" t="s">
        <v>2051</v>
      </c>
      <c r="AJ242" t="s">
        <v>2051</v>
      </c>
      <c r="AK242" t="s">
        <v>2051</v>
      </c>
      <c r="AL242" t="s">
        <v>2051</v>
      </c>
      <c r="AM242" t="s">
        <v>2051</v>
      </c>
      <c r="AN242" t="s">
        <v>2051</v>
      </c>
      <c r="AO242" t="s">
        <v>2051</v>
      </c>
      <c r="AP242" t="s">
        <v>2051</v>
      </c>
      <c r="AQ242" t="s">
        <v>2051</v>
      </c>
      <c r="AR242" t="s">
        <v>2051</v>
      </c>
      <c r="AS242" t="s">
        <v>2051</v>
      </c>
      <c r="AT242" t="s">
        <v>2051</v>
      </c>
      <c r="AU242" t="s">
        <v>2051</v>
      </c>
      <c r="AV242" t="s">
        <v>2051</v>
      </c>
      <c r="AW242" t="s">
        <v>2051</v>
      </c>
      <c r="AX242" t="s">
        <v>2051</v>
      </c>
      <c r="AY242" t="s">
        <v>2051</v>
      </c>
      <c r="AZ242" t="s">
        <v>2051</v>
      </c>
    </row>
    <row r="243" spans="1:52" x14ac:dyDescent="0.2">
      <c r="A243" t="s">
        <v>2051</v>
      </c>
      <c r="B243" t="s">
        <v>2051</v>
      </c>
      <c r="C243" t="s">
        <v>2051</v>
      </c>
      <c r="D243" t="s">
        <v>2051</v>
      </c>
      <c r="E243" t="s">
        <v>2051</v>
      </c>
      <c r="F243" t="s">
        <v>2051</v>
      </c>
      <c r="G243" t="s">
        <v>2051</v>
      </c>
      <c r="H243" t="s">
        <v>2051</v>
      </c>
      <c r="I243" t="s">
        <v>2051</v>
      </c>
      <c r="J243" t="s">
        <v>2051</v>
      </c>
      <c r="K243" t="s">
        <v>2051</v>
      </c>
      <c r="L243" t="s">
        <v>2051</v>
      </c>
      <c r="M243" t="s">
        <v>2051</v>
      </c>
      <c r="N243" t="s">
        <v>2051</v>
      </c>
      <c r="O243" t="s">
        <v>2051</v>
      </c>
      <c r="P243" t="s">
        <v>2051</v>
      </c>
      <c r="Q243" t="s">
        <v>2051</v>
      </c>
      <c r="R243" t="s">
        <v>2051</v>
      </c>
      <c r="S243" t="s">
        <v>2051</v>
      </c>
      <c r="T243" t="s">
        <v>2051</v>
      </c>
      <c r="U243" t="s">
        <v>2051</v>
      </c>
      <c r="V243" t="s">
        <v>2051</v>
      </c>
      <c r="W243" t="s">
        <v>2051</v>
      </c>
      <c r="X243" t="s">
        <v>2051</v>
      </c>
      <c r="Y243" t="s">
        <v>2051</v>
      </c>
      <c r="Z243" t="s">
        <v>2051</v>
      </c>
      <c r="AA243" t="s">
        <v>2051</v>
      </c>
      <c r="AB243" t="s">
        <v>2051</v>
      </c>
      <c r="AC243" t="s">
        <v>2051</v>
      </c>
      <c r="AD243" t="s">
        <v>2051</v>
      </c>
      <c r="AE243" t="s">
        <v>2051</v>
      </c>
      <c r="AF243" t="s">
        <v>2051</v>
      </c>
      <c r="AG243" t="s">
        <v>2051</v>
      </c>
      <c r="AH243" t="s">
        <v>2051</v>
      </c>
      <c r="AI243" t="s">
        <v>2051</v>
      </c>
      <c r="AJ243" t="s">
        <v>2051</v>
      </c>
      <c r="AK243" t="s">
        <v>2051</v>
      </c>
      <c r="AL243" t="s">
        <v>2051</v>
      </c>
      <c r="AM243" t="s">
        <v>2051</v>
      </c>
      <c r="AN243" t="s">
        <v>2051</v>
      </c>
      <c r="AO243" t="s">
        <v>2051</v>
      </c>
      <c r="AP243" t="s">
        <v>2051</v>
      </c>
      <c r="AQ243" t="s">
        <v>2051</v>
      </c>
      <c r="AR243" t="s">
        <v>2051</v>
      </c>
      <c r="AS243" t="s">
        <v>2051</v>
      </c>
      <c r="AT243" t="s">
        <v>2051</v>
      </c>
      <c r="AU243" t="s">
        <v>2051</v>
      </c>
      <c r="AV243" t="s">
        <v>2051</v>
      </c>
      <c r="AW243" t="s">
        <v>2051</v>
      </c>
      <c r="AX243" t="s">
        <v>2051</v>
      </c>
      <c r="AY243" t="s">
        <v>2051</v>
      </c>
      <c r="AZ243" t="s">
        <v>2051</v>
      </c>
    </row>
    <row r="244" spans="1:52" x14ac:dyDescent="0.2">
      <c r="A244" t="s">
        <v>2051</v>
      </c>
      <c r="B244" t="s">
        <v>2051</v>
      </c>
      <c r="C244" t="s">
        <v>2051</v>
      </c>
      <c r="D244" t="s">
        <v>2051</v>
      </c>
      <c r="E244" t="s">
        <v>2051</v>
      </c>
      <c r="F244" t="s">
        <v>2051</v>
      </c>
      <c r="G244" t="s">
        <v>2051</v>
      </c>
      <c r="H244" t="s">
        <v>2051</v>
      </c>
      <c r="I244" t="s">
        <v>2051</v>
      </c>
      <c r="J244" t="s">
        <v>2051</v>
      </c>
      <c r="K244" t="s">
        <v>2051</v>
      </c>
      <c r="L244" t="s">
        <v>2051</v>
      </c>
      <c r="M244" t="s">
        <v>2051</v>
      </c>
      <c r="N244" t="s">
        <v>2051</v>
      </c>
      <c r="O244" t="s">
        <v>2051</v>
      </c>
      <c r="P244" t="s">
        <v>2051</v>
      </c>
      <c r="Q244" t="s">
        <v>2051</v>
      </c>
      <c r="R244" t="s">
        <v>2051</v>
      </c>
      <c r="S244" t="s">
        <v>2051</v>
      </c>
      <c r="T244" t="s">
        <v>2051</v>
      </c>
      <c r="U244" t="s">
        <v>2051</v>
      </c>
      <c r="V244" t="s">
        <v>2051</v>
      </c>
      <c r="W244" t="s">
        <v>2051</v>
      </c>
      <c r="X244" t="s">
        <v>2051</v>
      </c>
      <c r="Y244" t="s">
        <v>2051</v>
      </c>
      <c r="Z244" t="s">
        <v>2051</v>
      </c>
      <c r="AA244" t="s">
        <v>2051</v>
      </c>
      <c r="AB244" t="s">
        <v>2051</v>
      </c>
      <c r="AC244" t="s">
        <v>2051</v>
      </c>
      <c r="AD244" t="s">
        <v>2051</v>
      </c>
      <c r="AE244" t="s">
        <v>2051</v>
      </c>
      <c r="AF244" t="s">
        <v>2051</v>
      </c>
      <c r="AG244" t="s">
        <v>2051</v>
      </c>
      <c r="AH244" t="s">
        <v>2051</v>
      </c>
      <c r="AI244" t="s">
        <v>2051</v>
      </c>
      <c r="AJ244" t="s">
        <v>2051</v>
      </c>
      <c r="AK244" t="s">
        <v>2051</v>
      </c>
      <c r="AL244" t="s">
        <v>2051</v>
      </c>
      <c r="AM244" t="s">
        <v>2051</v>
      </c>
      <c r="AN244" t="s">
        <v>2051</v>
      </c>
      <c r="AO244" t="s">
        <v>2051</v>
      </c>
      <c r="AP244" t="s">
        <v>2051</v>
      </c>
      <c r="AQ244" t="s">
        <v>2051</v>
      </c>
      <c r="AR244" t="s">
        <v>2051</v>
      </c>
      <c r="AS244" t="s">
        <v>2051</v>
      </c>
      <c r="AT244" t="s">
        <v>2051</v>
      </c>
      <c r="AU244" t="s">
        <v>2051</v>
      </c>
      <c r="AV244" t="s">
        <v>2051</v>
      </c>
      <c r="AW244" t="s">
        <v>2051</v>
      </c>
      <c r="AX244" t="s">
        <v>2051</v>
      </c>
      <c r="AY244" t="s">
        <v>2051</v>
      </c>
      <c r="AZ244" t="s">
        <v>2051</v>
      </c>
    </row>
    <row r="245" spans="1:52" x14ac:dyDescent="0.2">
      <c r="A245" t="s">
        <v>2051</v>
      </c>
      <c r="B245" t="s">
        <v>2051</v>
      </c>
      <c r="C245" t="s">
        <v>2051</v>
      </c>
      <c r="D245" t="s">
        <v>2051</v>
      </c>
      <c r="E245" t="s">
        <v>2051</v>
      </c>
      <c r="F245" t="s">
        <v>2051</v>
      </c>
      <c r="G245" t="s">
        <v>2051</v>
      </c>
      <c r="H245" t="s">
        <v>2051</v>
      </c>
      <c r="I245" t="s">
        <v>2051</v>
      </c>
      <c r="J245" t="s">
        <v>2051</v>
      </c>
      <c r="K245" t="s">
        <v>2051</v>
      </c>
      <c r="L245" t="s">
        <v>2051</v>
      </c>
      <c r="M245" t="s">
        <v>2051</v>
      </c>
      <c r="N245" t="s">
        <v>2051</v>
      </c>
      <c r="O245" t="s">
        <v>2051</v>
      </c>
      <c r="P245" t="s">
        <v>2051</v>
      </c>
      <c r="Q245" t="s">
        <v>2051</v>
      </c>
      <c r="R245" t="s">
        <v>2051</v>
      </c>
      <c r="S245" t="s">
        <v>2051</v>
      </c>
      <c r="T245" t="s">
        <v>2051</v>
      </c>
      <c r="U245" t="s">
        <v>2051</v>
      </c>
      <c r="V245" t="s">
        <v>2051</v>
      </c>
      <c r="W245" t="s">
        <v>2051</v>
      </c>
      <c r="X245" t="s">
        <v>2051</v>
      </c>
      <c r="Y245" t="s">
        <v>2051</v>
      </c>
      <c r="Z245" t="s">
        <v>2051</v>
      </c>
      <c r="AA245" t="s">
        <v>2051</v>
      </c>
      <c r="AB245" t="s">
        <v>2051</v>
      </c>
      <c r="AC245" t="s">
        <v>2051</v>
      </c>
      <c r="AD245" t="s">
        <v>2051</v>
      </c>
      <c r="AE245" t="s">
        <v>2051</v>
      </c>
      <c r="AF245" t="s">
        <v>2051</v>
      </c>
      <c r="AG245" t="s">
        <v>2051</v>
      </c>
      <c r="AH245" t="s">
        <v>2051</v>
      </c>
      <c r="AI245" t="s">
        <v>2051</v>
      </c>
      <c r="AJ245" t="s">
        <v>2051</v>
      </c>
      <c r="AK245" t="s">
        <v>2051</v>
      </c>
      <c r="AL245" t="s">
        <v>2051</v>
      </c>
      <c r="AM245" t="s">
        <v>2051</v>
      </c>
      <c r="AN245" t="s">
        <v>2051</v>
      </c>
      <c r="AO245" t="s">
        <v>2051</v>
      </c>
      <c r="AP245" t="s">
        <v>2051</v>
      </c>
      <c r="AQ245" t="s">
        <v>2051</v>
      </c>
      <c r="AR245" t="s">
        <v>2051</v>
      </c>
      <c r="AS245" t="s">
        <v>2051</v>
      </c>
      <c r="AT245" t="s">
        <v>2051</v>
      </c>
      <c r="AU245" t="s">
        <v>2051</v>
      </c>
      <c r="AV245" t="s">
        <v>2051</v>
      </c>
      <c r="AW245" t="s">
        <v>2051</v>
      </c>
      <c r="AX245" t="s">
        <v>2051</v>
      </c>
      <c r="AY245" t="s">
        <v>2051</v>
      </c>
      <c r="AZ245" t="s">
        <v>2051</v>
      </c>
    </row>
    <row r="246" spans="1:52" x14ac:dyDescent="0.2">
      <c r="A246" t="s">
        <v>2051</v>
      </c>
      <c r="B246" t="s">
        <v>2051</v>
      </c>
      <c r="C246" t="s">
        <v>2051</v>
      </c>
      <c r="D246" t="s">
        <v>2051</v>
      </c>
      <c r="E246" t="s">
        <v>2051</v>
      </c>
      <c r="F246" t="s">
        <v>2051</v>
      </c>
      <c r="G246" t="s">
        <v>2051</v>
      </c>
      <c r="H246" t="s">
        <v>2051</v>
      </c>
      <c r="I246" t="s">
        <v>2051</v>
      </c>
      <c r="J246" t="s">
        <v>2051</v>
      </c>
      <c r="K246" t="s">
        <v>2051</v>
      </c>
      <c r="L246" t="s">
        <v>2051</v>
      </c>
      <c r="M246" t="s">
        <v>2051</v>
      </c>
      <c r="N246" t="s">
        <v>2051</v>
      </c>
      <c r="O246" t="s">
        <v>2051</v>
      </c>
      <c r="P246" t="s">
        <v>2051</v>
      </c>
      <c r="Q246" t="s">
        <v>2051</v>
      </c>
      <c r="R246" t="s">
        <v>2051</v>
      </c>
      <c r="S246" t="s">
        <v>2051</v>
      </c>
      <c r="T246" t="s">
        <v>2051</v>
      </c>
      <c r="U246" t="s">
        <v>2051</v>
      </c>
      <c r="V246" t="s">
        <v>2051</v>
      </c>
      <c r="W246" t="s">
        <v>2051</v>
      </c>
      <c r="X246" t="s">
        <v>2051</v>
      </c>
      <c r="Y246" t="s">
        <v>2051</v>
      </c>
      <c r="Z246" t="s">
        <v>2051</v>
      </c>
      <c r="AA246" t="s">
        <v>2051</v>
      </c>
      <c r="AB246" t="s">
        <v>2051</v>
      </c>
      <c r="AC246" t="s">
        <v>2051</v>
      </c>
      <c r="AD246" t="s">
        <v>2051</v>
      </c>
      <c r="AE246" t="s">
        <v>2051</v>
      </c>
      <c r="AF246" t="s">
        <v>2051</v>
      </c>
      <c r="AG246" t="s">
        <v>2051</v>
      </c>
      <c r="AH246" t="s">
        <v>2051</v>
      </c>
      <c r="AI246" t="s">
        <v>2051</v>
      </c>
      <c r="AJ246" t="s">
        <v>2051</v>
      </c>
      <c r="AK246" t="s">
        <v>2051</v>
      </c>
      <c r="AL246" t="s">
        <v>2051</v>
      </c>
      <c r="AM246" t="s">
        <v>2051</v>
      </c>
      <c r="AN246" t="s">
        <v>2051</v>
      </c>
      <c r="AO246" t="s">
        <v>2051</v>
      </c>
      <c r="AP246" t="s">
        <v>2051</v>
      </c>
      <c r="AQ246" t="s">
        <v>2051</v>
      </c>
      <c r="AR246" t="s">
        <v>2051</v>
      </c>
      <c r="AS246" t="s">
        <v>2051</v>
      </c>
      <c r="AT246" t="s">
        <v>2051</v>
      </c>
      <c r="AU246" t="s">
        <v>2051</v>
      </c>
      <c r="AV246" t="s">
        <v>2051</v>
      </c>
      <c r="AW246" t="s">
        <v>2051</v>
      </c>
      <c r="AX246" t="s">
        <v>2051</v>
      </c>
      <c r="AY246" t="s">
        <v>2051</v>
      </c>
      <c r="AZ246" t="s">
        <v>2051</v>
      </c>
    </row>
    <row r="247" spans="1:52" x14ac:dyDescent="0.2">
      <c r="A247" t="s">
        <v>2051</v>
      </c>
      <c r="B247" t="s">
        <v>2051</v>
      </c>
      <c r="C247" t="s">
        <v>2051</v>
      </c>
      <c r="D247" t="s">
        <v>2051</v>
      </c>
      <c r="E247" t="s">
        <v>2051</v>
      </c>
      <c r="F247" t="s">
        <v>2051</v>
      </c>
      <c r="G247" t="s">
        <v>2051</v>
      </c>
      <c r="H247" t="s">
        <v>2051</v>
      </c>
      <c r="I247" t="s">
        <v>2051</v>
      </c>
      <c r="J247" t="s">
        <v>2051</v>
      </c>
      <c r="K247" t="s">
        <v>2051</v>
      </c>
      <c r="L247" t="s">
        <v>2051</v>
      </c>
      <c r="M247" t="s">
        <v>2051</v>
      </c>
      <c r="N247" t="s">
        <v>2051</v>
      </c>
      <c r="O247" t="s">
        <v>2051</v>
      </c>
      <c r="P247" t="s">
        <v>2051</v>
      </c>
      <c r="Q247" t="s">
        <v>2051</v>
      </c>
      <c r="R247" t="s">
        <v>2051</v>
      </c>
      <c r="S247" t="s">
        <v>2051</v>
      </c>
      <c r="T247" t="s">
        <v>2051</v>
      </c>
      <c r="U247" t="s">
        <v>2051</v>
      </c>
      <c r="V247" t="s">
        <v>2051</v>
      </c>
      <c r="W247" t="s">
        <v>2051</v>
      </c>
      <c r="X247" t="s">
        <v>2051</v>
      </c>
      <c r="Y247" t="s">
        <v>2051</v>
      </c>
      <c r="Z247" t="s">
        <v>2051</v>
      </c>
      <c r="AA247" t="s">
        <v>2051</v>
      </c>
      <c r="AB247" t="s">
        <v>2051</v>
      </c>
      <c r="AC247" t="s">
        <v>2051</v>
      </c>
      <c r="AD247" t="s">
        <v>2051</v>
      </c>
      <c r="AE247" t="s">
        <v>2051</v>
      </c>
      <c r="AF247" t="s">
        <v>2051</v>
      </c>
      <c r="AG247" t="s">
        <v>2051</v>
      </c>
      <c r="AH247" t="s">
        <v>2051</v>
      </c>
      <c r="AI247" t="s">
        <v>2051</v>
      </c>
      <c r="AJ247" t="s">
        <v>2051</v>
      </c>
      <c r="AK247" t="s">
        <v>2051</v>
      </c>
      <c r="AL247" t="s">
        <v>2051</v>
      </c>
      <c r="AM247" t="s">
        <v>2051</v>
      </c>
      <c r="AN247" t="s">
        <v>2051</v>
      </c>
      <c r="AO247" t="s">
        <v>2051</v>
      </c>
      <c r="AP247" t="s">
        <v>2051</v>
      </c>
      <c r="AQ247" t="s">
        <v>2051</v>
      </c>
      <c r="AR247" t="s">
        <v>2051</v>
      </c>
      <c r="AS247" t="s">
        <v>2051</v>
      </c>
      <c r="AT247" t="s">
        <v>2051</v>
      </c>
      <c r="AU247" t="s">
        <v>2051</v>
      </c>
      <c r="AV247" t="s">
        <v>2051</v>
      </c>
      <c r="AW247" t="s">
        <v>2051</v>
      </c>
      <c r="AX247" t="s">
        <v>2051</v>
      </c>
      <c r="AY247" t="s">
        <v>2051</v>
      </c>
      <c r="AZ247" t="s">
        <v>2051</v>
      </c>
    </row>
    <row r="248" spans="1:52" x14ac:dyDescent="0.2">
      <c r="A248" t="s">
        <v>2051</v>
      </c>
      <c r="B248" t="s">
        <v>2051</v>
      </c>
      <c r="C248" t="s">
        <v>2051</v>
      </c>
      <c r="D248" t="s">
        <v>2051</v>
      </c>
      <c r="E248" t="s">
        <v>2051</v>
      </c>
      <c r="F248" t="s">
        <v>2051</v>
      </c>
      <c r="G248" t="s">
        <v>2051</v>
      </c>
      <c r="H248" t="s">
        <v>2051</v>
      </c>
      <c r="I248" t="s">
        <v>2051</v>
      </c>
      <c r="J248" t="s">
        <v>2051</v>
      </c>
      <c r="K248" t="s">
        <v>2051</v>
      </c>
      <c r="L248" t="s">
        <v>2051</v>
      </c>
      <c r="M248" t="s">
        <v>2051</v>
      </c>
      <c r="N248" t="s">
        <v>2051</v>
      </c>
      <c r="O248" t="s">
        <v>2051</v>
      </c>
      <c r="P248" t="s">
        <v>2051</v>
      </c>
      <c r="Q248" t="s">
        <v>2051</v>
      </c>
      <c r="R248" t="s">
        <v>2051</v>
      </c>
      <c r="S248" t="s">
        <v>2051</v>
      </c>
      <c r="T248" t="s">
        <v>2051</v>
      </c>
      <c r="U248" t="s">
        <v>2051</v>
      </c>
      <c r="V248" t="s">
        <v>2051</v>
      </c>
      <c r="W248" t="s">
        <v>2051</v>
      </c>
      <c r="X248" t="s">
        <v>2051</v>
      </c>
      <c r="Y248" t="s">
        <v>2051</v>
      </c>
      <c r="Z248" t="s">
        <v>2051</v>
      </c>
      <c r="AA248" t="s">
        <v>2051</v>
      </c>
      <c r="AB248" t="s">
        <v>2051</v>
      </c>
      <c r="AC248" t="s">
        <v>2051</v>
      </c>
      <c r="AD248" t="s">
        <v>2051</v>
      </c>
      <c r="AE248" t="s">
        <v>2051</v>
      </c>
      <c r="AF248" t="s">
        <v>2051</v>
      </c>
      <c r="AG248" t="s">
        <v>2051</v>
      </c>
      <c r="AH248" t="s">
        <v>2051</v>
      </c>
      <c r="AI248" t="s">
        <v>2051</v>
      </c>
      <c r="AJ248" t="s">
        <v>2051</v>
      </c>
      <c r="AK248" t="s">
        <v>2051</v>
      </c>
      <c r="AL248" t="s">
        <v>2051</v>
      </c>
      <c r="AM248" t="s">
        <v>2051</v>
      </c>
      <c r="AN248" t="s">
        <v>2051</v>
      </c>
      <c r="AO248" t="s">
        <v>2051</v>
      </c>
      <c r="AP248" t="s">
        <v>2051</v>
      </c>
      <c r="AQ248" t="s">
        <v>2051</v>
      </c>
      <c r="AR248" t="s">
        <v>2051</v>
      </c>
      <c r="AS248" t="s">
        <v>2051</v>
      </c>
      <c r="AT248" t="s">
        <v>2051</v>
      </c>
      <c r="AU248" t="s">
        <v>2051</v>
      </c>
      <c r="AV248" t="s">
        <v>2051</v>
      </c>
      <c r="AW248" t="s">
        <v>2051</v>
      </c>
      <c r="AX248" t="s">
        <v>2051</v>
      </c>
      <c r="AY248" t="s">
        <v>2051</v>
      </c>
      <c r="AZ248" t="s">
        <v>2051</v>
      </c>
    </row>
    <row r="249" spans="1:52" x14ac:dyDescent="0.2">
      <c r="A249" t="s">
        <v>2051</v>
      </c>
      <c r="B249" t="s">
        <v>2051</v>
      </c>
      <c r="C249" t="s">
        <v>2051</v>
      </c>
      <c r="D249" t="s">
        <v>2051</v>
      </c>
      <c r="E249" t="s">
        <v>2051</v>
      </c>
      <c r="F249" t="s">
        <v>2051</v>
      </c>
      <c r="G249" t="s">
        <v>2051</v>
      </c>
      <c r="H249" t="s">
        <v>2051</v>
      </c>
      <c r="I249" t="s">
        <v>2051</v>
      </c>
      <c r="J249" t="s">
        <v>2051</v>
      </c>
      <c r="K249" t="s">
        <v>2051</v>
      </c>
      <c r="L249" t="s">
        <v>2051</v>
      </c>
      <c r="M249" t="s">
        <v>2051</v>
      </c>
      <c r="N249" t="s">
        <v>2051</v>
      </c>
      <c r="O249" t="s">
        <v>2051</v>
      </c>
      <c r="P249" t="s">
        <v>2051</v>
      </c>
      <c r="Q249" t="s">
        <v>2051</v>
      </c>
      <c r="R249" t="s">
        <v>2051</v>
      </c>
      <c r="S249" t="s">
        <v>2051</v>
      </c>
      <c r="T249" t="s">
        <v>2051</v>
      </c>
      <c r="U249" t="s">
        <v>2051</v>
      </c>
      <c r="V249" t="s">
        <v>2051</v>
      </c>
      <c r="W249" t="s">
        <v>2051</v>
      </c>
      <c r="X249" t="s">
        <v>2051</v>
      </c>
      <c r="Y249" t="s">
        <v>2051</v>
      </c>
      <c r="Z249" t="s">
        <v>2051</v>
      </c>
      <c r="AA249" t="s">
        <v>2051</v>
      </c>
      <c r="AB249" t="s">
        <v>2051</v>
      </c>
      <c r="AC249" t="s">
        <v>2051</v>
      </c>
      <c r="AD249" t="s">
        <v>2051</v>
      </c>
      <c r="AE249" t="s">
        <v>2051</v>
      </c>
      <c r="AF249" t="s">
        <v>2051</v>
      </c>
      <c r="AG249" t="s">
        <v>2051</v>
      </c>
      <c r="AH249" t="s">
        <v>2051</v>
      </c>
      <c r="AI249" t="s">
        <v>2051</v>
      </c>
      <c r="AJ249" t="s">
        <v>2051</v>
      </c>
      <c r="AK249" t="s">
        <v>2051</v>
      </c>
      <c r="AL249" t="s">
        <v>2051</v>
      </c>
      <c r="AM249" t="s">
        <v>2051</v>
      </c>
      <c r="AN249" t="s">
        <v>2051</v>
      </c>
      <c r="AO249" t="s">
        <v>2051</v>
      </c>
      <c r="AP249" t="s">
        <v>2051</v>
      </c>
      <c r="AQ249" t="s">
        <v>2051</v>
      </c>
      <c r="AR249" t="s">
        <v>2051</v>
      </c>
      <c r="AS249" t="s">
        <v>2051</v>
      </c>
      <c r="AT249" t="s">
        <v>2051</v>
      </c>
      <c r="AU249" t="s">
        <v>2051</v>
      </c>
      <c r="AV249" t="s">
        <v>2051</v>
      </c>
      <c r="AW249" t="s">
        <v>2051</v>
      </c>
      <c r="AX249" t="s">
        <v>2051</v>
      </c>
      <c r="AY249" t="s">
        <v>2051</v>
      </c>
      <c r="AZ249" t="s">
        <v>2051</v>
      </c>
    </row>
    <row r="250" spans="1:52" x14ac:dyDescent="0.2">
      <c r="A250" t="s">
        <v>2051</v>
      </c>
      <c r="B250" t="s">
        <v>2051</v>
      </c>
      <c r="C250" t="s">
        <v>2051</v>
      </c>
      <c r="D250" t="s">
        <v>2051</v>
      </c>
      <c r="E250" t="s">
        <v>2051</v>
      </c>
      <c r="F250" t="s">
        <v>2051</v>
      </c>
      <c r="G250" t="s">
        <v>2051</v>
      </c>
      <c r="H250" t="s">
        <v>2051</v>
      </c>
      <c r="I250" t="s">
        <v>2051</v>
      </c>
      <c r="J250" t="s">
        <v>2051</v>
      </c>
      <c r="K250" t="s">
        <v>2051</v>
      </c>
      <c r="L250" t="s">
        <v>2051</v>
      </c>
      <c r="M250" t="s">
        <v>2051</v>
      </c>
      <c r="N250" t="s">
        <v>2051</v>
      </c>
      <c r="O250" t="s">
        <v>2051</v>
      </c>
      <c r="P250" t="s">
        <v>2051</v>
      </c>
      <c r="Q250" t="s">
        <v>2051</v>
      </c>
      <c r="R250" t="s">
        <v>2051</v>
      </c>
      <c r="S250" t="s">
        <v>2051</v>
      </c>
      <c r="T250" t="s">
        <v>2051</v>
      </c>
      <c r="U250" t="s">
        <v>2051</v>
      </c>
      <c r="V250" t="s">
        <v>2051</v>
      </c>
      <c r="W250" t="s">
        <v>2051</v>
      </c>
      <c r="X250" t="s">
        <v>2051</v>
      </c>
      <c r="Y250" t="s">
        <v>2051</v>
      </c>
      <c r="Z250" t="s">
        <v>2051</v>
      </c>
      <c r="AA250" t="s">
        <v>2051</v>
      </c>
      <c r="AB250" t="s">
        <v>2051</v>
      </c>
      <c r="AC250" t="s">
        <v>2051</v>
      </c>
      <c r="AD250" t="s">
        <v>2051</v>
      </c>
      <c r="AE250" t="s">
        <v>2051</v>
      </c>
      <c r="AF250" t="s">
        <v>2051</v>
      </c>
      <c r="AG250" t="s">
        <v>2051</v>
      </c>
      <c r="AH250" t="s">
        <v>2051</v>
      </c>
      <c r="AI250" t="s">
        <v>2051</v>
      </c>
      <c r="AJ250" t="s">
        <v>2051</v>
      </c>
      <c r="AK250" t="s">
        <v>2051</v>
      </c>
      <c r="AL250" t="s">
        <v>2051</v>
      </c>
      <c r="AM250" t="s">
        <v>2051</v>
      </c>
      <c r="AN250" t="s">
        <v>2051</v>
      </c>
      <c r="AO250" t="s">
        <v>2051</v>
      </c>
      <c r="AP250" t="s">
        <v>2051</v>
      </c>
      <c r="AQ250" t="s">
        <v>2051</v>
      </c>
      <c r="AR250" t="s">
        <v>2051</v>
      </c>
      <c r="AS250" t="s">
        <v>2051</v>
      </c>
      <c r="AT250" t="s">
        <v>2051</v>
      </c>
      <c r="AU250" t="s">
        <v>2051</v>
      </c>
      <c r="AV250" t="s">
        <v>2051</v>
      </c>
      <c r="AW250" t="s">
        <v>2051</v>
      </c>
      <c r="AX250" t="s">
        <v>2051</v>
      </c>
      <c r="AY250" t="s">
        <v>2051</v>
      </c>
      <c r="AZ250" t="s">
        <v>2051</v>
      </c>
    </row>
    <row r="251" spans="1:52" x14ac:dyDescent="0.2">
      <c r="A251" t="s">
        <v>2051</v>
      </c>
      <c r="B251" t="s">
        <v>2051</v>
      </c>
      <c r="C251" t="s">
        <v>2051</v>
      </c>
      <c r="D251" t="s">
        <v>2051</v>
      </c>
      <c r="E251" t="s">
        <v>2051</v>
      </c>
      <c r="F251" t="s">
        <v>2051</v>
      </c>
      <c r="G251" t="s">
        <v>2051</v>
      </c>
      <c r="H251" t="s">
        <v>2051</v>
      </c>
      <c r="I251" t="s">
        <v>2051</v>
      </c>
      <c r="J251" t="s">
        <v>2051</v>
      </c>
      <c r="K251" t="s">
        <v>2051</v>
      </c>
      <c r="L251" t="s">
        <v>2051</v>
      </c>
      <c r="M251" t="s">
        <v>2051</v>
      </c>
      <c r="N251" t="s">
        <v>2051</v>
      </c>
      <c r="O251" t="s">
        <v>2051</v>
      </c>
      <c r="P251" t="s">
        <v>2051</v>
      </c>
      <c r="Q251" t="s">
        <v>2051</v>
      </c>
      <c r="R251" t="s">
        <v>2051</v>
      </c>
      <c r="S251" t="s">
        <v>2051</v>
      </c>
      <c r="T251" t="s">
        <v>2051</v>
      </c>
      <c r="U251" t="s">
        <v>2051</v>
      </c>
      <c r="V251" t="s">
        <v>2051</v>
      </c>
      <c r="W251" t="s">
        <v>2051</v>
      </c>
      <c r="X251" t="s">
        <v>2051</v>
      </c>
      <c r="Y251" t="s">
        <v>2051</v>
      </c>
      <c r="Z251" t="s">
        <v>2051</v>
      </c>
      <c r="AA251" t="s">
        <v>2051</v>
      </c>
      <c r="AB251" t="s">
        <v>2051</v>
      </c>
      <c r="AC251" t="s">
        <v>2051</v>
      </c>
      <c r="AD251" t="s">
        <v>2051</v>
      </c>
      <c r="AE251" t="s">
        <v>2051</v>
      </c>
      <c r="AF251" t="s">
        <v>2051</v>
      </c>
      <c r="AG251" t="s">
        <v>2051</v>
      </c>
      <c r="AH251" t="s">
        <v>2051</v>
      </c>
      <c r="AI251" t="s">
        <v>2051</v>
      </c>
      <c r="AJ251" t="s">
        <v>2051</v>
      </c>
      <c r="AK251" t="s">
        <v>2051</v>
      </c>
      <c r="AL251" t="s">
        <v>2051</v>
      </c>
      <c r="AM251" t="s">
        <v>2051</v>
      </c>
      <c r="AN251" t="s">
        <v>2051</v>
      </c>
      <c r="AO251" t="s">
        <v>2051</v>
      </c>
      <c r="AP251" t="s">
        <v>2051</v>
      </c>
      <c r="AQ251" t="s">
        <v>2051</v>
      </c>
      <c r="AR251" t="s">
        <v>2051</v>
      </c>
      <c r="AS251" t="s">
        <v>2051</v>
      </c>
      <c r="AT251" t="s">
        <v>2051</v>
      </c>
      <c r="AU251" t="s">
        <v>2051</v>
      </c>
      <c r="AV251" t="s">
        <v>2051</v>
      </c>
      <c r="AW251" t="s">
        <v>2051</v>
      </c>
      <c r="AX251" t="s">
        <v>2051</v>
      </c>
      <c r="AY251" t="s">
        <v>2051</v>
      </c>
      <c r="AZ251" t="s">
        <v>2051</v>
      </c>
    </row>
    <row r="252" spans="1:52" x14ac:dyDescent="0.2">
      <c r="A252" t="s">
        <v>2051</v>
      </c>
      <c r="B252" t="s">
        <v>2051</v>
      </c>
      <c r="C252" t="s">
        <v>2051</v>
      </c>
      <c r="D252" t="s">
        <v>2051</v>
      </c>
      <c r="E252" t="s">
        <v>2051</v>
      </c>
      <c r="F252" t="s">
        <v>2051</v>
      </c>
      <c r="G252" t="s">
        <v>2051</v>
      </c>
      <c r="H252" t="s">
        <v>2051</v>
      </c>
      <c r="I252" t="s">
        <v>2051</v>
      </c>
      <c r="J252" t="s">
        <v>2051</v>
      </c>
      <c r="K252" t="s">
        <v>2051</v>
      </c>
      <c r="L252" t="s">
        <v>2051</v>
      </c>
      <c r="M252" t="s">
        <v>2051</v>
      </c>
      <c r="N252" t="s">
        <v>2051</v>
      </c>
      <c r="O252" t="s">
        <v>2051</v>
      </c>
      <c r="P252" t="s">
        <v>2051</v>
      </c>
      <c r="Q252" t="s">
        <v>2051</v>
      </c>
      <c r="R252" t="s">
        <v>2051</v>
      </c>
      <c r="S252" t="s">
        <v>2051</v>
      </c>
      <c r="T252" t="s">
        <v>2051</v>
      </c>
      <c r="U252" t="s">
        <v>2051</v>
      </c>
      <c r="V252" t="s">
        <v>2051</v>
      </c>
      <c r="W252" t="s">
        <v>2051</v>
      </c>
      <c r="X252" t="s">
        <v>2051</v>
      </c>
      <c r="Y252" t="s">
        <v>2051</v>
      </c>
      <c r="Z252" t="s">
        <v>2051</v>
      </c>
      <c r="AA252" t="s">
        <v>2051</v>
      </c>
      <c r="AB252" t="s">
        <v>2051</v>
      </c>
      <c r="AC252" t="s">
        <v>2051</v>
      </c>
      <c r="AD252" t="s">
        <v>2051</v>
      </c>
      <c r="AE252" t="s">
        <v>2051</v>
      </c>
      <c r="AF252" t="s">
        <v>2051</v>
      </c>
      <c r="AG252" t="s">
        <v>2051</v>
      </c>
      <c r="AH252" t="s">
        <v>2051</v>
      </c>
      <c r="AI252" t="s">
        <v>2051</v>
      </c>
      <c r="AJ252" t="s">
        <v>2051</v>
      </c>
      <c r="AK252" t="s">
        <v>2051</v>
      </c>
      <c r="AL252" t="s">
        <v>2051</v>
      </c>
      <c r="AM252" t="s">
        <v>2051</v>
      </c>
      <c r="AN252" t="s">
        <v>2051</v>
      </c>
      <c r="AO252" t="s">
        <v>2051</v>
      </c>
      <c r="AP252" t="s">
        <v>2051</v>
      </c>
      <c r="AQ252" t="s">
        <v>2051</v>
      </c>
      <c r="AR252" t="s">
        <v>2051</v>
      </c>
      <c r="AS252" t="s">
        <v>2051</v>
      </c>
      <c r="AT252" t="s">
        <v>2051</v>
      </c>
      <c r="AU252" t="s">
        <v>2051</v>
      </c>
      <c r="AV252" t="s">
        <v>2051</v>
      </c>
      <c r="AW252" t="s">
        <v>2051</v>
      </c>
      <c r="AX252" t="s">
        <v>2051</v>
      </c>
      <c r="AY252" t="s">
        <v>2051</v>
      </c>
      <c r="AZ252" t="s">
        <v>2051</v>
      </c>
    </row>
    <row r="253" spans="1:52" x14ac:dyDescent="0.2">
      <c r="A253" t="s">
        <v>2051</v>
      </c>
      <c r="B253" t="s">
        <v>2051</v>
      </c>
      <c r="C253" t="s">
        <v>2051</v>
      </c>
      <c r="D253" t="s">
        <v>2051</v>
      </c>
      <c r="E253" t="s">
        <v>2051</v>
      </c>
      <c r="F253" t="s">
        <v>2051</v>
      </c>
      <c r="G253" t="s">
        <v>2051</v>
      </c>
      <c r="H253" t="s">
        <v>2051</v>
      </c>
      <c r="I253" t="s">
        <v>2051</v>
      </c>
      <c r="J253" t="s">
        <v>2051</v>
      </c>
      <c r="K253" t="s">
        <v>2051</v>
      </c>
      <c r="L253" t="s">
        <v>2051</v>
      </c>
      <c r="M253" t="s">
        <v>2051</v>
      </c>
      <c r="N253" t="s">
        <v>2051</v>
      </c>
      <c r="O253" t="s">
        <v>2051</v>
      </c>
      <c r="P253" t="s">
        <v>2051</v>
      </c>
      <c r="Q253" t="s">
        <v>2051</v>
      </c>
      <c r="R253" t="s">
        <v>2051</v>
      </c>
      <c r="S253" t="s">
        <v>2051</v>
      </c>
      <c r="T253" t="s">
        <v>2051</v>
      </c>
      <c r="U253" t="s">
        <v>2051</v>
      </c>
      <c r="V253" t="s">
        <v>2051</v>
      </c>
      <c r="W253" t="s">
        <v>2051</v>
      </c>
      <c r="X253" t="s">
        <v>2051</v>
      </c>
      <c r="Y253" t="s">
        <v>2051</v>
      </c>
      <c r="Z253" t="s">
        <v>2051</v>
      </c>
      <c r="AA253" t="s">
        <v>2051</v>
      </c>
      <c r="AB253" t="s">
        <v>2051</v>
      </c>
      <c r="AC253" t="s">
        <v>2051</v>
      </c>
      <c r="AD253" t="s">
        <v>2051</v>
      </c>
      <c r="AE253" t="s">
        <v>2051</v>
      </c>
      <c r="AF253" t="s">
        <v>2051</v>
      </c>
      <c r="AG253" t="s">
        <v>2051</v>
      </c>
      <c r="AH253" t="s">
        <v>2051</v>
      </c>
      <c r="AI253" t="s">
        <v>2051</v>
      </c>
      <c r="AJ253" t="s">
        <v>2051</v>
      </c>
      <c r="AK253" t="s">
        <v>2051</v>
      </c>
      <c r="AL253" t="s">
        <v>2051</v>
      </c>
      <c r="AM253" t="s">
        <v>2051</v>
      </c>
      <c r="AN253" t="s">
        <v>2051</v>
      </c>
      <c r="AO253" t="s">
        <v>2051</v>
      </c>
      <c r="AP253" t="s">
        <v>2051</v>
      </c>
      <c r="AQ253" t="s">
        <v>2051</v>
      </c>
      <c r="AR253" t="s">
        <v>2051</v>
      </c>
      <c r="AS253" t="s">
        <v>2051</v>
      </c>
      <c r="AT253" t="s">
        <v>2051</v>
      </c>
      <c r="AU253" t="s">
        <v>2051</v>
      </c>
      <c r="AV253" t="s">
        <v>2051</v>
      </c>
      <c r="AW253" t="s">
        <v>2051</v>
      </c>
      <c r="AX253" t="s">
        <v>2051</v>
      </c>
      <c r="AY253" t="s">
        <v>2051</v>
      </c>
      <c r="AZ253" t="s">
        <v>2051</v>
      </c>
    </row>
    <row r="254" spans="1:52" x14ac:dyDescent="0.2">
      <c r="A254" t="s">
        <v>2051</v>
      </c>
      <c r="B254" t="s">
        <v>2051</v>
      </c>
      <c r="C254" t="s">
        <v>2051</v>
      </c>
      <c r="D254" t="s">
        <v>2051</v>
      </c>
      <c r="E254" t="s">
        <v>2051</v>
      </c>
      <c r="F254" t="s">
        <v>2051</v>
      </c>
      <c r="G254" t="s">
        <v>2051</v>
      </c>
      <c r="H254" t="s">
        <v>2051</v>
      </c>
      <c r="I254" t="s">
        <v>2051</v>
      </c>
      <c r="J254" t="s">
        <v>2051</v>
      </c>
      <c r="K254" t="s">
        <v>2051</v>
      </c>
      <c r="L254" t="s">
        <v>2051</v>
      </c>
      <c r="M254" t="s">
        <v>2051</v>
      </c>
      <c r="N254" t="s">
        <v>2051</v>
      </c>
      <c r="O254" t="s">
        <v>2051</v>
      </c>
      <c r="P254" t="s">
        <v>2051</v>
      </c>
      <c r="Q254" t="s">
        <v>2051</v>
      </c>
      <c r="R254" t="s">
        <v>2051</v>
      </c>
      <c r="S254" t="s">
        <v>2051</v>
      </c>
      <c r="T254" t="s">
        <v>2051</v>
      </c>
      <c r="U254" t="s">
        <v>2051</v>
      </c>
      <c r="V254" t="s">
        <v>2051</v>
      </c>
      <c r="W254" t="s">
        <v>2051</v>
      </c>
      <c r="X254" t="s">
        <v>2051</v>
      </c>
      <c r="Y254" t="s">
        <v>2051</v>
      </c>
      <c r="Z254" t="s">
        <v>2051</v>
      </c>
      <c r="AA254" t="s">
        <v>2051</v>
      </c>
      <c r="AB254" t="s">
        <v>2051</v>
      </c>
      <c r="AC254" t="s">
        <v>2051</v>
      </c>
      <c r="AD254" t="s">
        <v>2051</v>
      </c>
      <c r="AE254" t="s">
        <v>2051</v>
      </c>
      <c r="AF254" t="s">
        <v>2051</v>
      </c>
      <c r="AG254" t="s">
        <v>2051</v>
      </c>
      <c r="AH254" t="s">
        <v>2051</v>
      </c>
      <c r="AI254" t="s">
        <v>2051</v>
      </c>
      <c r="AJ254" t="s">
        <v>2051</v>
      </c>
      <c r="AK254" t="s">
        <v>2051</v>
      </c>
      <c r="AL254" t="s">
        <v>2051</v>
      </c>
      <c r="AM254" t="s">
        <v>2051</v>
      </c>
      <c r="AN254" t="s">
        <v>2051</v>
      </c>
      <c r="AO254" t="s">
        <v>2051</v>
      </c>
      <c r="AP254" t="s">
        <v>2051</v>
      </c>
      <c r="AQ254" t="s">
        <v>2051</v>
      </c>
      <c r="AR254" t="s">
        <v>2051</v>
      </c>
      <c r="AS254" t="s">
        <v>2051</v>
      </c>
      <c r="AT254" t="s">
        <v>2051</v>
      </c>
      <c r="AU254" t="s">
        <v>2051</v>
      </c>
      <c r="AV254" t="s">
        <v>2051</v>
      </c>
      <c r="AW254" t="s">
        <v>2051</v>
      </c>
      <c r="AX254" t="s">
        <v>2051</v>
      </c>
      <c r="AY254" t="s">
        <v>2051</v>
      </c>
      <c r="AZ254" t="s">
        <v>2051</v>
      </c>
    </row>
    <row r="255" spans="1:52" x14ac:dyDescent="0.2">
      <c r="A255" t="s">
        <v>2051</v>
      </c>
      <c r="B255" t="s">
        <v>2051</v>
      </c>
      <c r="C255" t="s">
        <v>2051</v>
      </c>
      <c r="D255" t="s">
        <v>2051</v>
      </c>
      <c r="E255" t="s">
        <v>2051</v>
      </c>
      <c r="F255" t="s">
        <v>2051</v>
      </c>
      <c r="G255" t="s">
        <v>2051</v>
      </c>
      <c r="H255" t="s">
        <v>2051</v>
      </c>
      <c r="I255" t="s">
        <v>2051</v>
      </c>
      <c r="J255" t="s">
        <v>2051</v>
      </c>
      <c r="K255" t="s">
        <v>2051</v>
      </c>
      <c r="L255" t="s">
        <v>2051</v>
      </c>
      <c r="M255" t="s">
        <v>2051</v>
      </c>
      <c r="N255" t="s">
        <v>2051</v>
      </c>
      <c r="O255" t="s">
        <v>2051</v>
      </c>
      <c r="P255" t="s">
        <v>2051</v>
      </c>
      <c r="Q255" t="s">
        <v>2051</v>
      </c>
      <c r="R255" t="s">
        <v>2051</v>
      </c>
      <c r="S255" t="s">
        <v>2051</v>
      </c>
      <c r="T255" t="s">
        <v>2051</v>
      </c>
      <c r="U255" t="s">
        <v>2051</v>
      </c>
      <c r="V255" t="s">
        <v>2051</v>
      </c>
      <c r="W255" t="s">
        <v>2051</v>
      </c>
      <c r="X255" t="s">
        <v>2051</v>
      </c>
      <c r="Y255" t="s">
        <v>2051</v>
      </c>
      <c r="Z255" t="s">
        <v>2051</v>
      </c>
      <c r="AA255" t="s">
        <v>2051</v>
      </c>
      <c r="AB255" t="s">
        <v>2051</v>
      </c>
      <c r="AC255" t="s">
        <v>2051</v>
      </c>
      <c r="AD255" t="s">
        <v>2051</v>
      </c>
      <c r="AE255" t="s">
        <v>2051</v>
      </c>
      <c r="AF255" t="s">
        <v>2051</v>
      </c>
      <c r="AG255" t="s">
        <v>2051</v>
      </c>
      <c r="AH255" t="s">
        <v>2051</v>
      </c>
      <c r="AI255" t="s">
        <v>2051</v>
      </c>
      <c r="AJ255" t="s">
        <v>2051</v>
      </c>
      <c r="AK255" t="s">
        <v>2051</v>
      </c>
      <c r="AL255" t="s">
        <v>2051</v>
      </c>
      <c r="AM255" t="s">
        <v>2051</v>
      </c>
      <c r="AN255" t="s">
        <v>2051</v>
      </c>
      <c r="AO255" t="s">
        <v>2051</v>
      </c>
      <c r="AP255" t="s">
        <v>2051</v>
      </c>
      <c r="AQ255" t="s">
        <v>2051</v>
      </c>
      <c r="AR255" t="s">
        <v>2051</v>
      </c>
      <c r="AS255" t="s">
        <v>2051</v>
      </c>
      <c r="AT255" t="s">
        <v>2051</v>
      </c>
      <c r="AU255" t="s">
        <v>2051</v>
      </c>
      <c r="AV255" t="s">
        <v>2051</v>
      </c>
      <c r="AW255" t="s">
        <v>2051</v>
      </c>
      <c r="AX255" t="s">
        <v>2051</v>
      </c>
      <c r="AY255" t="s">
        <v>2051</v>
      </c>
      <c r="AZ255" t="s">
        <v>2051</v>
      </c>
    </row>
    <row r="256" spans="1:52" x14ac:dyDescent="0.2">
      <c r="A256" t="s">
        <v>2051</v>
      </c>
      <c r="B256" t="s">
        <v>2051</v>
      </c>
      <c r="C256" t="s">
        <v>2051</v>
      </c>
      <c r="D256" t="s">
        <v>2051</v>
      </c>
      <c r="E256" t="s">
        <v>2051</v>
      </c>
      <c r="F256" t="s">
        <v>2051</v>
      </c>
      <c r="G256" t="s">
        <v>2051</v>
      </c>
      <c r="H256" t="s">
        <v>2051</v>
      </c>
      <c r="I256" t="s">
        <v>2051</v>
      </c>
      <c r="J256" t="s">
        <v>2051</v>
      </c>
      <c r="K256" t="s">
        <v>2051</v>
      </c>
      <c r="L256" t="s">
        <v>2051</v>
      </c>
      <c r="M256" t="s">
        <v>2051</v>
      </c>
      <c r="N256" t="s">
        <v>2051</v>
      </c>
      <c r="O256" t="s">
        <v>2051</v>
      </c>
      <c r="P256" t="s">
        <v>2051</v>
      </c>
      <c r="Q256" t="s">
        <v>2051</v>
      </c>
      <c r="R256" t="s">
        <v>2051</v>
      </c>
      <c r="S256" t="s">
        <v>2051</v>
      </c>
      <c r="T256" t="s">
        <v>2051</v>
      </c>
      <c r="U256" t="s">
        <v>2051</v>
      </c>
      <c r="V256" t="s">
        <v>2051</v>
      </c>
      <c r="W256" t="s">
        <v>2051</v>
      </c>
      <c r="X256" t="s">
        <v>2051</v>
      </c>
      <c r="Y256" t="s">
        <v>2051</v>
      </c>
      <c r="Z256" t="s">
        <v>2051</v>
      </c>
      <c r="AA256" t="s">
        <v>2051</v>
      </c>
      <c r="AB256" t="s">
        <v>2051</v>
      </c>
      <c r="AC256" t="s">
        <v>2051</v>
      </c>
      <c r="AD256" t="s">
        <v>2051</v>
      </c>
      <c r="AE256" t="s">
        <v>2051</v>
      </c>
      <c r="AF256" t="s">
        <v>2051</v>
      </c>
      <c r="AG256" t="s">
        <v>2051</v>
      </c>
      <c r="AH256" t="s">
        <v>2051</v>
      </c>
      <c r="AI256" t="s">
        <v>2051</v>
      </c>
      <c r="AJ256" t="s">
        <v>2051</v>
      </c>
      <c r="AK256" t="s">
        <v>2051</v>
      </c>
      <c r="AL256" t="s">
        <v>2051</v>
      </c>
      <c r="AM256" t="s">
        <v>2051</v>
      </c>
      <c r="AN256" t="s">
        <v>2051</v>
      </c>
      <c r="AO256" t="s">
        <v>2051</v>
      </c>
      <c r="AP256" t="s">
        <v>2051</v>
      </c>
      <c r="AQ256" t="s">
        <v>2051</v>
      </c>
      <c r="AR256" t="s">
        <v>2051</v>
      </c>
      <c r="AS256" t="s">
        <v>2051</v>
      </c>
      <c r="AT256" t="s">
        <v>2051</v>
      </c>
      <c r="AU256" t="s">
        <v>2051</v>
      </c>
      <c r="AV256" t="s">
        <v>2051</v>
      </c>
      <c r="AW256" t="s">
        <v>2051</v>
      </c>
      <c r="AX256" t="s">
        <v>2051</v>
      </c>
      <c r="AY256" t="s">
        <v>2051</v>
      </c>
      <c r="AZ256" t="s">
        <v>2051</v>
      </c>
    </row>
    <row r="257" spans="1:52" x14ac:dyDescent="0.2">
      <c r="A257" t="s">
        <v>2051</v>
      </c>
      <c r="B257" t="s">
        <v>2051</v>
      </c>
      <c r="C257" t="s">
        <v>2051</v>
      </c>
      <c r="D257" t="s">
        <v>2051</v>
      </c>
      <c r="E257" t="s">
        <v>2051</v>
      </c>
      <c r="F257" t="s">
        <v>2051</v>
      </c>
      <c r="G257" t="s">
        <v>2051</v>
      </c>
      <c r="H257" t="s">
        <v>2051</v>
      </c>
      <c r="I257" t="s">
        <v>2051</v>
      </c>
      <c r="J257" t="s">
        <v>2051</v>
      </c>
      <c r="K257" t="s">
        <v>2051</v>
      </c>
      <c r="L257" t="s">
        <v>2051</v>
      </c>
      <c r="M257" t="s">
        <v>2051</v>
      </c>
      <c r="N257" t="s">
        <v>2051</v>
      </c>
      <c r="O257" t="s">
        <v>2051</v>
      </c>
      <c r="P257" t="s">
        <v>2051</v>
      </c>
      <c r="Q257" t="s">
        <v>2051</v>
      </c>
      <c r="R257" t="s">
        <v>2051</v>
      </c>
      <c r="S257" t="s">
        <v>2051</v>
      </c>
      <c r="T257" t="s">
        <v>2051</v>
      </c>
      <c r="U257" t="s">
        <v>2051</v>
      </c>
      <c r="V257" t="s">
        <v>2051</v>
      </c>
      <c r="W257" t="s">
        <v>2051</v>
      </c>
      <c r="X257" t="s">
        <v>2051</v>
      </c>
      <c r="Y257" t="s">
        <v>2051</v>
      </c>
      <c r="Z257" t="s">
        <v>2051</v>
      </c>
      <c r="AA257" t="s">
        <v>2051</v>
      </c>
      <c r="AB257" t="s">
        <v>2051</v>
      </c>
      <c r="AC257" t="s">
        <v>2051</v>
      </c>
      <c r="AD257" t="s">
        <v>2051</v>
      </c>
      <c r="AE257" t="s">
        <v>2051</v>
      </c>
      <c r="AF257" t="s">
        <v>2051</v>
      </c>
      <c r="AG257" t="s">
        <v>2051</v>
      </c>
      <c r="AH257" t="s">
        <v>2051</v>
      </c>
      <c r="AI257" t="s">
        <v>2051</v>
      </c>
      <c r="AJ257" t="s">
        <v>2051</v>
      </c>
      <c r="AK257" t="s">
        <v>2051</v>
      </c>
      <c r="AL257" t="s">
        <v>2051</v>
      </c>
      <c r="AM257" t="s">
        <v>2051</v>
      </c>
      <c r="AN257" t="s">
        <v>2051</v>
      </c>
      <c r="AO257" t="s">
        <v>2051</v>
      </c>
      <c r="AP257" t="s">
        <v>2051</v>
      </c>
      <c r="AQ257" t="s">
        <v>2051</v>
      </c>
      <c r="AR257" t="s">
        <v>2051</v>
      </c>
      <c r="AS257" t="s">
        <v>2051</v>
      </c>
      <c r="AT257" t="s">
        <v>2051</v>
      </c>
      <c r="AU257" t="s">
        <v>2051</v>
      </c>
      <c r="AV257" t="s">
        <v>2051</v>
      </c>
      <c r="AW257" t="s">
        <v>2051</v>
      </c>
      <c r="AX257" t="s">
        <v>2051</v>
      </c>
      <c r="AY257" t="s">
        <v>2051</v>
      </c>
      <c r="AZ257" t="s">
        <v>2051</v>
      </c>
    </row>
    <row r="258" spans="1:52" x14ac:dyDescent="0.2">
      <c r="A258" t="s">
        <v>2051</v>
      </c>
      <c r="B258" t="s">
        <v>2051</v>
      </c>
      <c r="C258" t="s">
        <v>2051</v>
      </c>
      <c r="D258" t="s">
        <v>2051</v>
      </c>
      <c r="E258" t="s">
        <v>2051</v>
      </c>
      <c r="F258" t="s">
        <v>2051</v>
      </c>
      <c r="G258" t="s">
        <v>2051</v>
      </c>
      <c r="H258" t="s">
        <v>2051</v>
      </c>
      <c r="I258" t="s">
        <v>2051</v>
      </c>
      <c r="J258" t="s">
        <v>2051</v>
      </c>
      <c r="K258" t="s">
        <v>2051</v>
      </c>
      <c r="L258" t="s">
        <v>2051</v>
      </c>
      <c r="M258" t="s">
        <v>2051</v>
      </c>
      <c r="N258" t="s">
        <v>2051</v>
      </c>
      <c r="O258" t="s">
        <v>2051</v>
      </c>
      <c r="P258" t="s">
        <v>2051</v>
      </c>
      <c r="Q258" t="s">
        <v>2051</v>
      </c>
      <c r="R258" t="s">
        <v>2051</v>
      </c>
      <c r="S258" t="s">
        <v>2051</v>
      </c>
      <c r="T258" t="s">
        <v>2051</v>
      </c>
      <c r="U258" t="s">
        <v>2051</v>
      </c>
      <c r="V258" t="s">
        <v>2051</v>
      </c>
      <c r="W258" t="s">
        <v>2051</v>
      </c>
      <c r="X258" t="s">
        <v>2051</v>
      </c>
      <c r="Y258" t="s">
        <v>2051</v>
      </c>
      <c r="Z258" t="s">
        <v>2051</v>
      </c>
      <c r="AA258" t="s">
        <v>2051</v>
      </c>
      <c r="AB258" t="s">
        <v>2051</v>
      </c>
      <c r="AC258" t="s">
        <v>2051</v>
      </c>
      <c r="AD258" t="s">
        <v>2051</v>
      </c>
      <c r="AE258" t="s">
        <v>2051</v>
      </c>
      <c r="AF258" t="s">
        <v>2051</v>
      </c>
      <c r="AG258" t="s">
        <v>2051</v>
      </c>
      <c r="AH258" t="s">
        <v>2051</v>
      </c>
      <c r="AI258" t="s">
        <v>2051</v>
      </c>
      <c r="AJ258" t="s">
        <v>2051</v>
      </c>
      <c r="AK258" t="s">
        <v>2051</v>
      </c>
      <c r="AL258" t="s">
        <v>2051</v>
      </c>
      <c r="AM258" t="s">
        <v>2051</v>
      </c>
      <c r="AN258" t="s">
        <v>2051</v>
      </c>
      <c r="AO258" t="s">
        <v>2051</v>
      </c>
      <c r="AP258" t="s">
        <v>2051</v>
      </c>
      <c r="AQ258" t="s">
        <v>2051</v>
      </c>
      <c r="AR258" t="s">
        <v>2051</v>
      </c>
      <c r="AS258" t="s">
        <v>2051</v>
      </c>
      <c r="AT258" t="s">
        <v>2051</v>
      </c>
      <c r="AU258" t="s">
        <v>2051</v>
      </c>
      <c r="AV258" t="s">
        <v>2051</v>
      </c>
      <c r="AW258" t="s">
        <v>2051</v>
      </c>
      <c r="AX258" t="s">
        <v>2051</v>
      </c>
      <c r="AY258" t="s">
        <v>2051</v>
      </c>
      <c r="AZ258" t="s">
        <v>2051</v>
      </c>
    </row>
    <row r="259" spans="1:52" x14ac:dyDescent="0.2">
      <c r="A259" t="s">
        <v>2051</v>
      </c>
      <c r="B259" t="s">
        <v>2051</v>
      </c>
      <c r="C259" t="s">
        <v>2051</v>
      </c>
      <c r="D259" t="s">
        <v>2051</v>
      </c>
      <c r="E259" t="s">
        <v>2051</v>
      </c>
      <c r="F259" t="s">
        <v>2051</v>
      </c>
      <c r="G259" t="s">
        <v>2051</v>
      </c>
      <c r="H259" t="s">
        <v>2051</v>
      </c>
      <c r="I259" t="s">
        <v>2051</v>
      </c>
      <c r="J259" t="s">
        <v>2051</v>
      </c>
      <c r="K259" t="s">
        <v>2051</v>
      </c>
      <c r="L259" t="s">
        <v>2051</v>
      </c>
      <c r="M259" t="s">
        <v>2051</v>
      </c>
      <c r="N259" t="s">
        <v>2051</v>
      </c>
      <c r="O259" t="s">
        <v>2051</v>
      </c>
      <c r="P259" t="s">
        <v>2051</v>
      </c>
      <c r="Q259" t="s">
        <v>2051</v>
      </c>
      <c r="R259" t="s">
        <v>2051</v>
      </c>
      <c r="S259" t="s">
        <v>2051</v>
      </c>
      <c r="T259" t="s">
        <v>2051</v>
      </c>
      <c r="U259" t="s">
        <v>2051</v>
      </c>
      <c r="V259" t="s">
        <v>2051</v>
      </c>
      <c r="W259" t="s">
        <v>2051</v>
      </c>
      <c r="X259" t="s">
        <v>2051</v>
      </c>
      <c r="Y259" t="s">
        <v>2051</v>
      </c>
      <c r="Z259" t="s">
        <v>2051</v>
      </c>
      <c r="AA259" t="s">
        <v>2051</v>
      </c>
      <c r="AB259" t="s">
        <v>2051</v>
      </c>
      <c r="AC259" t="s">
        <v>2051</v>
      </c>
      <c r="AD259" t="s">
        <v>2051</v>
      </c>
      <c r="AE259" t="s">
        <v>2051</v>
      </c>
      <c r="AF259" t="s">
        <v>2051</v>
      </c>
      <c r="AG259" t="s">
        <v>2051</v>
      </c>
      <c r="AH259" t="s">
        <v>2051</v>
      </c>
      <c r="AI259" t="s">
        <v>2051</v>
      </c>
      <c r="AJ259" t="s">
        <v>2051</v>
      </c>
      <c r="AK259" t="s">
        <v>2051</v>
      </c>
      <c r="AL259" t="s">
        <v>2051</v>
      </c>
      <c r="AM259" t="s">
        <v>2051</v>
      </c>
      <c r="AN259" t="s">
        <v>2051</v>
      </c>
      <c r="AO259" t="s">
        <v>2051</v>
      </c>
      <c r="AP259" t="s">
        <v>2051</v>
      </c>
      <c r="AQ259" t="s">
        <v>2051</v>
      </c>
      <c r="AR259" t="s">
        <v>2051</v>
      </c>
      <c r="AS259" t="s">
        <v>2051</v>
      </c>
      <c r="AT259" t="s">
        <v>2051</v>
      </c>
      <c r="AU259" t="s">
        <v>2051</v>
      </c>
      <c r="AV259" t="s">
        <v>2051</v>
      </c>
      <c r="AW259" t="s">
        <v>2051</v>
      </c>
      <c r="AX259" t="s">
        <v>2051</v>
      </c>
      <c r="AY259" t="s">
        <v>2051</v>
      </c>
      <c r="AZ259" t="s">
        <v>2051</v>
      </c>
    </row>
    <row r="260" spans="1:52" x14ac:dyDescent="0.2">
      <c r="A260" t="s">
        <v>2051</v>
      </c>
      <c r="B260" t="s">
        <v>2051</v>
      </c>
      <c r="C260" t="s">
        <v>2051</v>
      </c>
      <c r="D260" t="s">
        <v>2051</v>
      </c>
      <c r="E260" t="s">
        <v>2051</v>
      </c>
      <c r="F260" t="s">
        <v>2051</v>
      </c>
      <c r="G260" t="s">
        <v>2051</v>
      </c>
      <c r="H260" t="s">
        <v>2051</v>
      </c>
      <c r="I260" t="s">
        <v>2051</v>
      </c>
      <c r="J260" t="s">
        <v>2051</v>
      </c>
      <c r="K260" t="s">
        <v>2051</v>
      </c>
      <c r="L260" t="s">
        <v>2051</v>
      </c>
      <c r="M260" t="s">
        <v>2051</v>
      </c>
      <c r="N260" t="s">
        <v>2051</v>
      </c>
      <c r="O260" t="s">
        <v>2051</v>
      </c>
      <c r="P260" t="s">
        <v>2051</v>
      </c>
      <c r="Q260" t="s">
        <v>2051</v>
      </c>
      <c r="R260" t="s">
        <v>2051</v>
      </c>
      <c r="S260" t="s">
        <v>2051</v>
      </c>
      <c r="T260" t="s">
        <v>2051</v>
      </c>
      <c r="U260" t="s">
        <v>2051</v>
      </c>
      <c r="V260" t="s">
        <v>2051</v>
      </c>
      <c r="W260" t="s">
        <v>2051</v>
      </c>
      <c r="X260" t="s">
        <v>2051</v>
      </c>
      <c r="Y260" t="s">
        <v>2051</v>
      </c>
      <c r="Z260" t="s">
        <v>2051</v>
      </c>
      <c r="AA260" t="s">
        <v>2051</v>
      </c>
      <c r="AB260" t="s">
        <v>2051</v>
      </c>
      <c r="AC260" t="s">
        <v>2051</v>
      </c>
      <c r="AD260" t="s">
        <v>2051</v>
      </c>
      <c r="AE260" t="s">
        <v>2051</v>
      </c>
      <c r="AF260" t="s">
        <v>2051</v>
      </c>
      <c r="AG260" t="s">
        <v>2051</v>
      </c>
      <c r="AH260" t="s">
        <v>2051</v>
      </c>
      <c r="AI260" t="s">
        <v>2051</v>
      </c>
      <c r="AJ260" t="s">
        <v>2051</v>
      </c>
      <c r="AK260" t="s">
        <v>2051</v>
      </c>
      <c r="AL260" t="s">
        <v>2051</v>
      </c>
      <c r="AM260" t="s">
        <v>2051</v>
      </c>
      <c r="AN260" t="s">
        <v>2051</v>
      </c>
      <c r="AO260" t="s">
        <v>2051</v>
      </c>
      <c r="AP260" t="s">
        <v>2051</v>
      </c>
      <c r="AQ260" t="s">
        <v>2051</v>
      </c>
      <c r="AR260" t="s">
        <v>2051</v>
      </c>
      <c r="AS260" t="s">
        <v>2051</v>
      </c>
      <c r="AT260" t="s">
        <v>2051</v>
      </c>
      <c r="AU260" t="s">
        <v>2051</v>
      </c>
      <c r="AV260" t="s">
        <v>2051</v>
      </c>
      <c r="AW260" t="s">
        <v>2051</v>
      </c>
      <c r="AX260" t="s">
        <v>2051</v>
      </c>
      <c r="AY260" t="s">
        <v>2051</v>
      </c>
      <c r="AZ260" t="s">
        <v>2051</v>
      </c>
    </row>
    <row r="261" spans="1:52" x14ac:dyDescent="0.2">
      <c r="A261" t="s">
        <v>2051</v>
      </c>
      <c r="B261" t="s">
        <v>2051</v>
      </c>
      <c r="C261" t="s">
        <v>2051</v>
      </c>
      <c r="D261" t="s">
        <v>2051</v>
      </c>
      <c r="E261" t="s">
        <v>2051</v>
      </c>
      <c r="F261" t="s">
        <v>2051</v>
      </c>
      <c r="G261" t="s">
        <v>2051</v>
      </c>
      <c r="H261" t="s">
        <v>2051</v>
      </c>
      <c r="I261" t="s">
        <v>2051</v>
      </c>
      <c r="J261" t="s">
        <v>2051</v>
      </c>
      <c r="K261" t="s">
        <v>2051</v>
      </c>
      <c r="L261" t="s">
        <v>2051</v>
      </c>
      <c r="M261" t="s">
        <v>2051</v>
      </c>
      <c r="N261" t="s">
        <v>2051</v>
      </c>
      <c r="O261" t="s">
        <v>2051</v>
      </c>
      <c r="P261" t="s">
        <v>2051</v>
      </c>
      <c r="Q261" t="s">
        <v>2051</v>
      </c>
      <c r="R261" t="s">
        <v>2051</v>
      </c>
      <c r="S261" t="s">
        <v>2051</v>
      </c>
      <c r="T261" t="s">
        <v>2051</v>
      </c>
      <c r="U261" t="s">
        <v>2051</v>
      </c>
      <c r="V261" t="s">
        <v>2051</v>
      </c>
      <c r="W261" t="s">
        <v>2051</v>
      </c>
      <c r="X261" t="s">
        <v>2051</v>
      </c>
      <c r="Y261" t="s">
        <v>2051</v>
      </c>
      <c r="Z261" t="s">
        <v>2051</v>
      </c>
      <c r="AA261" t="s">
        <v>2051</v>
      </c>
      <c r="AB261" t="s">
        <v>2051</v>
      </c>
      <c r="AC261" t="s">
        <v>2051</v>
      </c>
      <c r="AD261" t="s">
        <v>2051</v>
      </c>
      <c r="AE261" t="s">
        <v>2051</v>
      </c>
      <c r="AF261" t="s">
        <v>2051</v>
      </c>
      <c r="AG261" t="s">
        <v>2051</v>
      </c>
      <c r="AH261" t="s">
        <v>2051</v>
      </c>
      <c r="AI261" t="s">
        <v>2051</v>
      </c>
      <c r="AJ261" t="s">
        <v>2051</v>
      </c>
      <c r="AK261" t="s">
        <v>2051</v>
      </c>
      <c r="AL261" t="s">
        <v>2051</v>
      </c>
      <c r="AM261" t="s">
        <v>2051</v>
      </c>
      <c r="AN261" t="s">
        <v>2051</v>
      </c>
      <c r="AO261" t="s">
        <v>2051</v>
      </c>
      <c r="AP261" t="s">
        <v>2051</v>
      </c>
      <c r="AQ261" t="s">
        <v>2051</v>
      </c>
      <c r="AR261" t="s">
        <v>2051</v>
      </c>
      <c r="AS261" t="s">
        <v>2051</v>
      </c>
      <c r="AT261" t="s">
        <v>2051</v>
      </c>
      <c r="AU261" t="s">
        <v>2051</v>
      </c>
      <c r="AV261" t="s">
        <v>2051</v>
      </c>
      <c r="AW261" t="s">
        <v>2051</v>
      </c>
      <c r="AX261" t="s">
        <v>2051</v>
      </c>
      <c r="AY261" t="s">
        <v>2051</v>
      </c>
      <c r="AZ261" t="s">
        <v>2051</v>
      </c>
    </row>
    <row r="262" spans="1:52" x14ac:dyDescent="0.2">
      <c r="A262" t="s">
        <v>2051</v>
      </c>
      <c r="B262" t="s">
        <v>2051</v>
      </c>
      <c r="C262" t="s">
        <v>2051</v>
      </c>
      <c r="D262" t="s">
        <v>2051</v>
      </c>
      <c r="E262" t="s">
        <v>2051</v>
      </c>
      <c r="F262" t="s">
        <v>2051</v>
      </c>
      <c r="G262" t="s">
        <v>2051</v>
      </c>
      <c r="H262" t="s">
        <v>2051</v>
      </c>
      <c r="I262" t="s">
        <v>2051</v>
      </c>
      <c r="J262" t="s">
        <v>2051</v>
      </c>
      <c r="K262" t="s">
        <v>2051</v>
      </c>
      <c r="L262" t="s">
        <v>2051</v>
      </c>
      <c r="M262" t="s">
        <v>2051</v>
      </c>
      <c r="N262" t="s">
        <v>2051</v>
      </c>
      <c r="O262" t="s">
        <v>2051</v>
      </c>
      <c r="P262" t="s">
        <v>2051</v>
      </c>
      <c r="Q262" t="s">
        <v>2051</v>
      </c>
      <c r="R262" t="s">
        <v>2051</v>
      </c>
      <c r="S262" t="s">
        <v>2051</v>
      </c>
      <c r="T262" t="s">
        <v>2051</v>
      </c>
      <c r="U262" t="s">
        <v>2051</v>
      </c>
      <c r="V262" t="s">
        <v>2051</v>
      </c>
      <c r="W262" t="s">
        <v>2051</v>
      </c>
      <c r="X262" t="s">
        <v>2051</v>
      </c>
      <c r="Y262" t="s">
        <v>2051</v>
      </c>
      <c r="Z262" t="s">
        <v>2051</v>
      </c>
      <c r="AA262" t="s">
        <v>2051</v>
      </c>
      <c r="AB262" t="s">
        <v>2051</v>
      </c>
      <c r="AC262" t="s">
        <v>2051</v>
      </c>
      <c r="AD262" t="s">
        <v>2051</v>
      </c>
      <c r="AE262" t="s">
        <v>2051</v>
      </c>
      <c r="AF262" t="s">
        <v>2051</v>
      </c>
      <c r="AG262" t="s">
        <v>2051</v>
      </c>
      <c r="AH262" t="s">
        <v>2051</v>
      </c>
      <c r="AI262" t="s">
        <v>2051</v>
      </c>
      <c r="AJ262" t="s">
        <v>2051</v>
      </c>
      <c r="AK262" t="s">
        <v>2051</v>
      </c>
      <c r="AL262" t="s">
        <v>2051</v>
      </c>
      <c r="AM262" t="s">
        <v>2051</v>
      </c>
      <c r="AN262" t="s">
        <v>2051</v>
      </c>
      <c r="AO262" t="s">
        <v>2051</v>
      </c>
      <c r="AP262" t="s">
        <v>2051</v>
      </c>
      <c r="AQ262" t="s">
        <v>2051</v>
      </c>
      <c r="AR262" t="s">
        <v>2051</v>
      </c>
      <c r="AS262" t="s">
        <v>2051</v>
      </c>
      <c r="AT262" t="s">
        <v>2051</v>
      </c>
      <c r="AU262" t="s">
        <v>2051</v>
      </c>
      <c r="AV262" t="s">
        <v>2051</v>
      </c>
      <c r="AW262" t="s">
        <v>2051</v>
      </c>
      <c r="AX262" t="s">
        <v>2051</v>
      </c>
      <c r="AY262" t="s">
        <v>2051</v>
      </c>
      <c r="AZ262" t="s">
        <v>2051</v>
      </c>
    </row>
    <row r="263" spans="1:52" x14ac:dyDescent="0.2">
      <c r="A263" t="s">
        <v>2051</v>
      </c>
      <c r="B263" t="s">
        <v>2051</v>
      </c>
      <c r="C263" t="s">
        <v>2051</v>
      </c>
      <c r="D263" t="s">
        <v>2051</v>
      </c>
      <c r="E263" t="s">
        <v>2051</v>
      </c>
      <c r="F263" t="s">
        <v>2051</v>
      </c>
      <c r="G263" t="s">
        <v>2051</v>
      </c>
      <c r="H263" t="s">
        <v>2051</v>
      </c>
      <c r="I263" t="s">
        <v>2051</v>
      </c>
      <c r="J263" t="s">
        <v>2051</v>
      </c>
      <c r="K263" t="s">
        <v>2051</v>
      </c>
      <c r="L263" t="s">
        <v>2051</v>
      </c>
      <c r="M263" t="s">
        <v>2051</v>
      </c>
      <c r="N263" t="s">
        <v>2051</v>
      </c>
      <c r="O263" t="s">
        <v>2051</v>
      </c>
      <c r="P263" t="s">
        <v>2051</v>
      </c>
      <c r="Q263" t="s">
        <v>2051</v>
      </c>
      <c r="R263" t="s">
        <v>2051</v>
      </c>
      <c r="S263" t="s">
        <v>2051</v>
      </c>
      <c r="T263" t="s">
        <v>2051</v>
      </c>
      <c r="U263" t="s">
        <v>2051</v>
      </c>
      <c r="V263" t="s">
        <v>2051</v>
      </c>
      <c r="W263" t="s">
        <v>2051</v>
      </c>
      <c r="X263" t="s">
        <v>2051</v>
      </c>
      <c r="Y263" t="s">
        <v>2051</v>
      </c>
      <c r="Z263" t="s">
        <v>2051</v>
      </c>
      <c r="AA263" t="s">
        <v>2051</v>
      </c>
      <c r="AB263" t="s">
        <v>2051</v>
      </c>
      <c r="AC263" t="s">
        <v>2051</v>
      </c>
      <c r="AD263" t="s">
        <v>2051</v>
      </c>
      <c r="AE263" t="s">
        <v>2051</v>
      </c>
      <c r="AF263" t="s">
        <v>2051</v>
      </c>
      <c r="AG263" t="s">
        <v>2051</v>
      </c>
      <c r="AH263" t="s">
        <v>2051</v>
      </c>
      <c r="AI263" t="s">
        <v>2051</v>
      </c>
      <c r="AJ263" t="s">
        <v>2051</v>
      </c>
      <c r="AK263" t="s">
        <v>2051</v>
      </c>
      <c r="AL263" t="s">
        <v>2051</v>
      </c>
      <c r="AM263" t="s">
        <v>2051</v>
      </c>
      <c r="AN263" t="s">
        <v>2051</v>
      </c>
      <c r="AO263" t="s">
        <v>2051</v>
      </c>
      <c r="AP263" t="s">
        <v>2051</v>
      </c>
      <c r="AQ263" t="s">
        <v>2051</v>
      </c>
      <c r="AR263" t="s">
        <v>2051</v>
      </c>
      <c r="AS263" t="s">
        <v>2051</v>
      </c>
      <c r="AT263" t="s">
        <v>2051</v>
      </c>
      <c r="AU263" t="s">
        <v>2051</v>
      </c>
      <c r="AV263" t="s">
        <v>2051</v>
      </c>
      <c r="AW263" t="s">
        <v>2051</v>
      </c>
      <c r="AX263" t="s">
        <v>2051</v>
      </c>
      <c r="AY263" t="s">
        <v>2051</v>
      </c>
      <c r="AZ263" t="s">
        <v>2051</v>
      </c>
    </row>
    <row r="264" spans="1:52" x14ac:dyDescent="0.2">
      <c r="A264" t="s">
        <v>2051</v>
      </c>
      <c r="B264" t="s">
        <v>2051</v>
      </c>
      <c r="C264" t="s">
        <v>2051</v>
      </c>
      <c r="D264" t="s">
        <v>2051</v>
      </c>
      <c r="E264" t="s">
        <v>2051</v>
      </c>
      <c r="F264" t="s">
        <v>2051</v>
      </c>
      <c r="G264" t="s">
        <v>2051</v>
      </c>
      <c r="H264" t="s">
        <v>2051</v>
      </c>
      <c r="I264" t="s">
        <v>2051</v>
      </c>
      <c r="J264" t="s">
        <v>2051</v>
      </c>
      <c r="K264" t="s">
        <v>2051</v>
      </c>
      <c r="L264" t="s">
        <v>2051</v>
      </c>
      <c r="M264" t="s">
        <v>2051</v>
      </c>
      <c r="N264" t="s">
        <v>2051</v>
      </c>
      <c r="O264" t="s">
        <v>2051</v>
      </c>
      <c r="P264" t="s">
        <v>2051</v>
      </c>
      <c r="Q264" t="s">
        <v>2051</v>
      </c>
      <c r="R264" t="s">
        <v>2051</v>
      </c>
      <c r="S264" t="s">
        <v>2051</v>
      </c>
      <c r="T264" t="s">
        <v>2051</v>
      </c>
      <c r="U264" t="s">
        <v>2051</v>
      </c>
      <c r="V264" t="s">
        <v>2051</v>
      </c>
      <c r="W264" t="s">
        <v>2051</v>
      </c>
      <c r="X264" t="s">
        <v>2051</v>
      </c>
      <c r="Y264" t="s">
        <v>2051</v>
      </c>
      <c r="Z264" t="s">
        <v>2051</v>
      </c>
      <c r="AA264" t="s">
        <v>2051</v>
      </c>
      <c r="AB264" t="s">
        <v>2051</v>
      </c>
      <c r="AC264" t="s">
        <v>2051</v>
      </c>
      <c r="AD264" t="s">
        <v>2051</v>
      </c>
      <c r="AE264" t="s">
        <v>2051</v>
      </c>
      <c r="AF264" t="s">
        <v>2051</v>
      </c>
      <c r="AG264" t="s">
        <v>2051</v>
      </c>
      <c r="AH264" t="s">
        <v>2051</v>
      </c>
      <c r="AI264" t="s">
        <v>2051</v>
      </c>
      <c r="AJ264" t="s">
        <v>2051</v>
      </c>
      <c r="AK264" t="s">
        <v>2051</v>
      </c>
      <c r="AL264" t="s">
        <v>2051</v>
      </c>
      <c r="AM264" t="s">
        <v>2051</v>
      </c>
      <c r="AN264" t="s">
        <v>2051</v>
      </c>
      <c r="AO264" t="s">
        <v>2051</v>
      </c>
      <c r="AP264" t="s">
        <v>2051</v>
      </c>
      <c r="AQ264" t="s">
        <v>2051</v>
      </c>
      <c r="AR264" t="s">
        <v>2051</v>
      </c>
      <c r="AS264" t="s">
        <v>2051</v>
      </c>
      <c r="AT264" t="s">
        <v>2051</v>
      </c>
      <c r="AU264" t="s">
        <v>2051</v>
      </c>
      <c r="AV264" t="s">
        <v>2051</v>
      </c>
      <c r="AW264" t="s">
        <v>2051</v>
      </c>
      <c r="AX264" t="s">
        <v>2051</v>
      </c>
      <c r="AY264" t="s">
        <v>2051</v>
      </c>
      <c r="AZ264" t="s">
        <v>2051</v>
      </c>
    </row>
    <row r="265" spans="1:52" x14ac:dyDescent="0.2">
      <c r="A265" t="s">
        <v>2051</v>
      </c>
      <c r="B265" t="s">
        <v>2051</v>
      </c>
      <c r="C265" t="s">
        <v>2051</v>
      </c>
      <c r="D265" t="s">
        <v>2051</v>
      </c>
      <c r="E265" t="s">
        <v>2051</v>
      </c>
      <c r="F265" t="s">
        <v>2051</v>
      </c>
      <c r="G265" t="s">
        <v>2051</v>
      </c>
      <c r="H265" t="s">
        <v>2051</v>
      </c>
      <c r="I265" t="s">
        <v>2051</v>
      </c>
      <c r="J265" t="s">
        <v>2051</v>
      </c>
      <c r="K265" t="s">
        <v>2051</v>
      </c>
      <c r="L265" t="s">
        <v>2051</v>
      </c>
      <c r="M265" t="s">
        <v>2051</v>
      </c>
      <c r="N265" t="s">
        <v>2051</v>
      </c>
      <c r="O265" t="s">
        <v>2051</v>
      </c>
      <c r="P265" t="s">
        <v>2051</v>
      </c>
      <c r="Q265" t="s">
        <v>2051</v>
      </c>
      <c r="R265" t="s">
        <v>2051</v>
      </c>
      <c r="S265" t="s">
        <v>2051</v>
      </c>
      <c r="T265" t="s">
        <v>2051</v>
      </c>
      <c r="U265" t="s">
        <v>2051</v>
      </c>
      <c r="V265" t="s">
        <v>2051</v>
      </c>
      <c r="W265" t="s">
        <v>2051</v>
      </c>
      <c r="X265" t="s">
        <v>2051</v>
      </c>
      <c r="Y265" t="s">
        <v>2051</v>
      </c>
      <c r="Z265" t="s">
        <v>2051</v>
      </c>
      <c r="AA265" t="s">
        <v>2051</v>
      </c>
      <c r="AB265" t="s">
        <v>2051</v>
      </c>
      <c r="AC265" t="s">
        <v>2051</v>
      </c>
      <c r="AD265" t="s">
        <v>2051</v>
      </c>
      <c r="AE265" t="s">
        <v>2051</v>
      </c>
      <c r="AF265" t="s">
        <v>2051</v>
      </c>
      <c r="AG265" t="s">
        <v>2051</v>
      </c>
      <c r="AH265" t="s">
        <v>2051</v>
      </c>
      <c r="AI265" t="s">
        <v>2051</v>
      </c>
      <c r="AJ265" t="s">
        <v>2051</v>
      </c>
      <c r="AK265" t="s">
        <v>2051</v>
      </c>
      <c r="AL265" t="s">
        <v>2051</v>
      </c>
      <c r="AM265" t="s">
        <v>2051</v>
      </c>
      <c r="AN265" t="s">
        <v>2051</v>
      </c>
      <c r="AO265" t="s">
        <v>2051</v>
      </c>
      <c r="AP265" t="s">
        <v>2051</v>
      </c>
      <c r="AQ265" t="s">
        <v>2051</v>
      </c>
      <c r="AR265" t="s">
        <v>2051</v>
      </c>
      <c r="AS265" t="s">
        <v>2051</v>
      </c>
      <c r="AT265" t="s">
        <v>2051</v>
      </c>
      <c r="AU265" t="s">
        <v>2051</v>
      </c>
      <c r="AV265" t="s">
        <v>2051</v>
      </c>
      <c r="AW265" t="s">
        <v>2051</v>
      </c>
      <c r="AX265" t="s">
        <v>2051</v>
      </c>
      <c r="AY265" t="s">
        <v>2051</v>
      </c>
      <c r="AZ265" t="s">
        <v>2051</v>
      </c>
    </row>
    <row r="266" spans="1:52" x14ac:dyDescent="0.2">
      <c r="A266" t="s">
        <v>2051</v>
      </c>
      <c r="B266" t="s">
        <v>2051</v>
      </c>
      <c r="C266" t="s">
        <v>2051</v>
      </c>
      <c r="D266" t="s">
        <v>2051</v>
      </c>
      <c r="E266" t="s">
        <v>2051</v>
      </c>
      <c r="F266" t="s">
        <v>2051</v>
      </c>
      <c r="G266" t="s">
        <v>2051</v>
      </c>
      <c r="H266" t="s">
        <v>2051</v>
      </c>
      <c r="I266" t="s">
        <v>2051</v>
      </c>
      <c r="J266" t="s">
        <v>2051</v>
      </c>
      <c r="K266" t="s">
        <v>2051</v>
      </c>
      <c r="L266" t="s">
        <v>2051</v>
      </c>
      <c r="M266" t="s">
        <v>2051</v>
      </c>
      <c r="N266" t="s">
        <v>2051</v>
      </c>
      <c r="O266" t="s">
        <v>2051</v>
      </c>
      <c r="P266" t="s">
        <v>2051</v>
      </c>
      <c r="Q266" t="s">
        <v>2051</v>
      </c>
      <c r="R266" t="s">
        <v>2051</v>
      </c>
      <c r="S266" t="s">
        <v>2051</v>
      </c>
      <c r="T266" t="s">
        <v>2051</v>
      </c>
      <c r="U266" t="s">
        <v>2051</v>
      </c>
      <c r="V266" t="s">
        <v>2051</v>
      </c>
      <c r="W266" t="s">
        <v>2051</v>
      </c>
      <c r="X266" t="s">
        <v>2051</v>
      </c>
      <c r="Y266" t="s">
        <v>2051</v>
      </c>
      <c r="Z266" t="s">
        <v>2051</v>
      </c>
      <c r="AA266" t="s">
        <v>2051</v>
      </c>
      <c r="AB266" t="s">
        <v>2051</v>
      </c>
      <c r="AC266" t="s">
        <v>2051</v>
      </c>
      <c r="AD266" t="s">
        <v>2051</v>
      </c>
      <c r="AE266" t="s">
        <v>2051</v>
      </c>
      <c r="AF266" t="s">
        <v>2051</v>
      </c>
      <c r="AG266" t="s">
        <v>2051</v>
      </c>
      <c r="AH266" t="s">
        <v>2051</v>
      </c>
      <c r="AI266" t="s">
        <v>2051</v>
      </c>
      <c r="AJ266" t="s">
        <v>2051</v>
      </c>
      <c r="AK266" t="s">
        <v>2051</v>
      </c>
      <c r="AL266" t="s">
        <v>2051</v>
      </c>
      <c r="AM266" t="s">
        <v>2051</v>
      </c>
      <c r="AN266" t="s">
        <v>2051</v>
      </c>
      <c r="AO266" t="s">
        <v>2051</v>
      </c>
      <c r="AP266" t="s">
        <v>2051</v>
      </c>
      <c r="AQ266" t="s">
        <v>2051</v>
      </c>
      <c r="AR266" t="s">
        <v>2051</v>
      </c>
      <c r="AS266" t="s">
        <v>2051</v>
      </c>
      <c r="AT266" t="s">
        <v>2051</v>
      </c>
      <c r="AU266" t="s">
        <v>2051</v>
      </c>
      <c r="AV266" t="s">
        <v>2051</v>
      </c>
      <c r="AW266" t="s">
        <v>2051</v>
      </c>
      <c r="AX266" t="s">
        <v>2051</v>
      </c>
      <c r="AY266" t="s">
        <v>2051</v>
      </c>
      <c r="AZ266" t="s">
        <v>2051</v>
      </c>
    </row>
    <row r="267" spans="1:52" x14ac:dyDescent="0.2">
      <c r="A267" t="s">
        <v>2051</v>
      </c>
      <c r="B267" t="s">
        <v>2051</v>
      </c>
      <c r="C267" t="s">
        <v>2051</v>
      </c>
      <c r="D267" t="s">
        <v>2051</v>
      </c>
      <c r="E267" t="s">
        <v>2051</v>
      </c>
      <c r="F267" t="s">
        <v>2051</v>
      </c>
      <c r="G267" t="s">
        <v>2051</v>
      </c>
      <c r="H267" t="s">
        <v>2051</v>
      </c>
      <c r="I267" t="s">
        <v>2051</v>
      </c>
      <c r="J267" t="s">
        <v>2051</v>
      </c>
      <c r="K267" t="s">
        <v>2051</v>
      </c>
      <c r="L267" t="s">
        <v>2051</v>
      </c>
      <c r="M267" t="s">
        <v>2051</v>
      </c>
      <c r="N267" t="s">
        <v>2051</v>
      </c>
      <c r="O267" t="s">
        <v>2051</v>
      </c>
      <c r="P267" t="s">
        <v>2051</v>
      </c>
      <c r="Q267" t="s">
        <v>2051</v>
      </c>
      <c r="R267" t="s">
        <v>2051</v>
      </c>
      <c r="S267" t="s">
        <v>2051</v>
      </c>
      <c r="T267" t="s">
        <v>2051</v>
      </c>
      <c r="U267" t="s">
        <v>2051</v>
      </c>
      <c r="V267" t="s">
        <v>2051</v>
      </c>
      <c r="W267" t="s">
        <v>2051</v>
      </c>
      <c r="X267" t="s">
        <v>2051</v>
      </c>
      <c r="Y267" t="s">
        <v>2051</v>
      </c>
      <c r="Z267" t="s">
        <v>2051</v>
      </c>
      <c r="AA267" t="s">
        <v>2051</v>
      </c>
      <c r="AB267" t="s">
        <v>2051</v>
      </c>
      <c r="AC267" t="s">
        <v>2051</v>
      </c>
      <c r="AD267" t="s">
        <v>2051</v>
      </c>
      <c r="AE267" t="s">
        <v>2051</v>
      </c>
      <c r="AF267" t="s">
        <v>2051</v>
      </c>
      <c r="AG267" t="s">
        <v>2051</v>
      </c>
      <c r="AH267" t="s">
        <v>2051</v>
      </c>
      <c r="AI267" t="s">
        <v>2051</v>
      </c>
      <c r="AJ267" t="s">
        <v>2051</v>
      </c>
      <c r="AK267" t="s">
        <v>2051</v>
      </c>
      <c r="AL267" t="s">
        <v>2051</v>
      </c>
      <c r="AM267" t="s">
        <v>2051</v>
      </c>
      <c r="AN267" t="s">
        <v>2051</v>
      </c>
      <c r="AO267" t="s">
        <v>2051</v>
      </c>
      <c r="AP267" t="s">
        <v>2051</v>
      </c>
      <c r="AQ267" t="s">
        <v>2051</v>
      </c>
      <c r="AR267" t="s">
        <v>2051</v>
      </c>
      <c r="AS267" t="s">
        <v>2051</v>
      </c>
      <c r="AT267" t="s">
        <v>2051</v>
      </c>
      <c r="AU267" t="s">
        <v>2051</v>
      </c>
      <c r="AV267" t="s">
        <v>2051</v>
      </c>
      <c r="AW267" t="s">
        <v>2051</v>
      </c>
      <c r="AX267" t="s">
        <v>2051</v>
      </c>
      <c r="AY267" t="s">
        <v>2051</v>
      </c>
      <c r="AZ267" t="s">
        <v>2051</v>
      </c>
    </row>
    <row r="268" spans="1:52" x14ac:dyDescent="0.2">
      <c r="A268" t="s">
        <v>2051</v>
      </c>
      <c r="B268" t="s">
        <v>2051</v>
      </c>
      <c r="C268" t="s">
        <v>2051</v>
      </c>
      <c r="D268" t="s">
        <v>2051</v>
      </c>
      <c r="E268" t="s">
        <v>2051</v>
      </c>
      <c r="F268" t="s">
        <v>2051</v>
      </c>
      <c r="G268" t="s">
        <v>2051</v>
      </c>
      <c r="H268" t="s">
        <v>2051</v>
      </c>
      <c r="I268" t="s">
        <v>2051</v>
      </c>
      <c r="J268" t="s">
        <v>2051</v>
      </c>
      <c r="K268" t="s">
        <v>2051</v>
      </c>
      <c r="L268" t="s">
        <v>2051</v>
      </c>
      <c r="M268" t="s">
        <v>2051</v>
      </c>
      <c r="N268" t="s">
        <v>2051</v>
      </c>
      <c r="O268" t="s">
        <v>2051</v>
      </c>
      <c r="P268" t="s">
        <v>2051</v>
      </c>
      <c r="Q268" t="s">
        <v>2051</v>
      </c>
      <c r="R268" t="s">
        <v>2051</v>
      </c>
      <c r="S268" t="s">
        <v>2051</v>
      </c>
      <c r="T268" t="s">
        <v>2051</v>
      </c>
      <c r="U268" t="s">
        <v>2051</v>
      </c>
      <c r="V268" t="s">
        <v>2051</v>
      </c>
      <c r="W268" t="s">
        <v>2051</v>
      </c>
      <c r="X268" t="s">
        <v>2051</v>
      </c>
      <c r="Y268" t="s">
        <v>2051</v>
      </c>
      <c r="Z268" t="s">
        <v>2051</v>
      </c>
      <c r="AA268" t="s">
        <v>2051</v>
      </c>
      <c r="AB268" t="s">
        <v>2051</v>
      </c>
      <c r="AC268" t="s">
        <v>2051</v>
      </c>
      <c r="AD268" t="s">
        <v>2051</v>
      </c>
      <c r="AE268" t="s">
        <v>2051</v>
      </c>
      <c r="AF268" t="s">
        <v>2051</v>
      </c>
      <c r="AG268" t="s">
        <v>2051</v>
      </c>
      <c r="AH268" t="s">
        <v>2051</v>
      </c>
      <c r="AI268" t="s">
        <v>2051</v>
      </c>
      <c r="AJ268" t="s">
        <v>2051</v>
      </c>
      <c r="AK268" t="s">
        <v>2051</v>
      </c>
      <c r="AL268" t="s">
        <v>2051</v>
      </c>
      <c r="AM268" t="s">
        <v>2051</v>
      </c>
      <c r="AN268" t="s">
        <v>2051</v>
      </c>
      <c r="AO268" t="s">
        <v>2051</v>
      </c>
      <c r="AP268" t="s">
        <v>2051</v>
      </c>
      <c r="AQ268" t="s">
        <v>2051</v>
      </c>
      <c r="AR268" t="s">
        <v>2051</v>
      </c>
      <c r="AS268" t="s">
        <v>2051</v>
      </c>
      <c r="AT268" t="s">
        <v>2051</v>
      </c>
      <c r="AU268" t="s">
        <v>2051</v>
      </c>
      <c r="AV268" t="s">
        <v>2051</v>
      </c>
      <c r="AW268" t="s">
        <v>2051</v>
      </c>
      <c r="AX268" t="s">
        <v>2051</v>
      </c>
      <c r="AY268" t="s">
        <v>2051</v>
      </c>
      <c r="AZ268" t="s">
        <v>2051</v>
      </c>
    </row>
    <row r="269" spans="1:52" x14ac:dyDescent="0.2">
      <c r="A269" t="s">
        <v>2051</v>
      </c>
      <c r="B269" t="s">
        <v>2051</v>
      </c>
      <c r="C269" t="s">
        <v>2051</v>
      </c>
      <c r="D269" t="s">
        <v>2051</v>
      </c>
      <c r="E269" t="s">
        <v>2051</v>
      </c>
      <c r="F269" t="s">
        <v>2051</v>
      </c>
      <c r="G269" t="s">
        <v>2051</v>
      </c>
      <c r="H269" t="s">
        <v>2051</v>
      </c>
      <c r="I269" t="s">
        <v>2051</v>
      </c>
      <c r="J269" t="s">
        <v>2051</v>
      </c>
      <c r="K269" t="s">
        <v>2051</v>
      </c>
      <c r="L269" t="s">
        <v>2051</v>
      </c>
      <c r="M269" t="s">
        <v>2051</v>
      </c>
      <c r="N269" t="s">
        <v>2051</v>
      </c>
      <c r="O269" t="s">
        <v>2051</v>
      </c>
      <c r="P269" t="s">
        <v>2051</v>
      </c>
      <c r="Q269" t="s">
        <v>2051</v>
      </c>
      <c r="R269" t="s">
        <v>2051</v>
      </c>
      <c r="S269" t="s">
        <v>2051</v>
      </c>
      <c r="T269" t="s">
        <v>2051</v>
      </c>
      <c r="U269" t="s">
        <v>2051</v>
      </c>
      <c r="V269" t="s">
        <v>2051</v>
      </c>
      <c r="W269" t="s">
        <v>2051</v>
      </c>
      <c r="X269" t="s">
        <v>2051</v>
      </c>
      <c r="Y269" t="s">
        <v>2051</v>
      </c>
      <c r="Z269" t="s">
        <v>2051</v>
      </c>
      <c r="AA269" t="s">
        <v>2051</v>
      </c>
      <c r="AB269" t="s">
        <v>2051</v>
      </c>
      <c r="AC269" t="s">
        <v>2051</v>
      </c>
      <c r="AD269" t="s">
        <v>2051</v>
      </c>
      <c r="AE269" t="s">
        <v>2051</v>
      </c>
      <c r="AF269" t="s">
        <v>2051</v>
      </c>
      <c r="AG269" t="s">
        <v>2051</v>
      </c>
      <c r="AH269" t="s">
        <v>2051</v>
      </c>
      <c r="AI269" t="s">
        <v>2051</v>
      </c>
      <c r="AJ269" t="s">
        <v>2051</v>
      </c>
      <c r="AK269" t="s">
        <v>2051</v>
      </c>
      <c r="AL269" t="s">
        <v>2051</v>
      </c>
      <c r="AM269" t="s">
        <v>2051</v>
      </c>
      <c r="AN269" t="s">
        <v>2051</v>
      </c>
      <c r="AO269" t="s">
        <v>2051</v>
      </c>
      <c r="AP269" t="s">
        <v>2051</v>
      </c>
      <c r="AQ269" t="s">
        <v>2051</v>
      </c>
      <c r="AR269" t="s">
        <v>2051</v>
      </c>
      <c r="AS269" t="s">
        <v>2051</v>
      </c>
      <c r="AT269" t="s">
        <v>2051</v>
      </c>
      <c r="AU269" t="s">
        <v>2051</v>
      </c>
      <c r="AV269" t="s">
        <v>2051</v>
      </c>
      <c r="AW269" t="s">
        <v>2051</v>
      </c>
      <c r="AX269" t="s">
        <v>2051</v>
      </c>
      <c r="AY269" t="s">
        <v>2051</v>
      </c>
      <c r="AZ269" t="s">
        <v>2051</v>
      </c>
    </row>
    <row r="270" spans="1:52" x14ac:dyDescent="0.2">
      <c r="A270" t="s">
        <v>2051</v>
      </c>
      <c r="B270" t="s">
        <v>2051</v>
      </c>
      <c r="C270" t="s">
        <v>2051</v>
      </c>
      <c r="D270" t="s">
        <v>2051</v>
      </c>
      <c r="E270" t="s">
        <v>2051</v>
      </c>
      <c r="F270" t="s">
        <v>2051</v>
      </c>
      <c r="G270" t="s">
        <v>2051</v>
      </c>
      <c r="H270" t="s">
        <v>2051</v>
      </c>
      <c r="I270" t="s">
        <v>2051</v>
      </c>
      <c r="J270" t="s">
        <v>2051</v>
      </c>
      <c r="K270" t="s">
        <v>2051</v>
      </c>
      <c r="L270" t="s">
        <v>2051</v>
      </c>
      <c r="M270" t="s">
        <v>2051</v>
      </c>
      <c r="N270" t="s">
        <v>2051</v>
      </c>
      <c r="O270" t="s">
        <v>2051</v>
      </c>
      <c r="P270" t="s">
        <v>2051</v>
      </c>
      <c r="Q270" t="s">
        <v>2051</v>
      </c>
      <c r="R270" t="s">
        <v>2051</v>
      </c>
      <c r="S270" t="s">
        <v>2051</v>
      </c>
      <c r="T270" t="s">
        <v>2051</v>
      </c>
      <c r="U270" t="s">
        <v>2051</v>
      </c>
      <c r="V270" t="s">
        <v>2051</v>
      </c>
      <c r="W270" t="s">
        <v>2051</v>
      </c>
      <c r="X270" t="s">
        <v>2051</v>
      </c>
      <c r="Y270" t="s">
        <v>2051</v>
      </c>
      <c r="Z270" t="s">
        <v>2051</v>
      </c>
      <c r="AA270" t="s">
        <v>2051</v>
      </c>
      <c r="AB270" t="s">
        <v>2051</v>
      </c>
      <c r="AC270" t="s">
        <v>2051</v>
      </c>
      <c r="AD270" t="s">
        <v>2051</v>
      </c>
      <c r="AE270" t="s">
        <v>2051</v>
      </c>
      <c r="AF270" t="s">
        <v>2051</v>
      </c>
      <c r="AG270" t="s">
        <v>2051</v>
      </c>
      <c r="AH270" t="s">
        <v>2051</v>
      </c>
      <c r="AI270" t="s">
        <v>2051</v>
      </c>
      <c r="AJ270" t="s">
        <v>2051</v>
      </c>
      <c r="AK270" t="s">
        <v>2051</v>
      </c>
      <c r="AL270" t="s">
        <v>2051</v>
      </c>
      <c r="AM270" t="s">
        <v>2051</v>
      </c>
      <c r="AN270" t="s">
        <v>2051</v>
      </c>
      <c r="AO270" t="s">
        <v>2051</v>
      </c>
      <c r="AP270" t="s">
        <v>2051</v>
      </c>
      <c r="AQ270" t="s">
        <v>2051</v>
      </c>
      <c r="AR270" t="s">
        <v>2051</v>
      </c>
      <c r="AS270" t="s">
        <v>2051</v>
      </c>
      <c r="AT270" t="s">
        <v>2051</v>
      </c>
      <c r="AU270" t="s">
        <v>2051</v>
      </c>
      <c r="AV270" t="s">
        <v>2051</v>
      </c>
      <c r="AW270" t="s">
        <v>2051</v>
      </c>
      <c r="AX270" t="s">
        <v>2051</v>
      </c>
      <c r="AY270" t="s">
        <v>2051</v>
      </c>
      <c r="AZ270" t="s">
        <v>2051</v>
      </c>
    </row>
    <row r="271" spans="1:52" x14ac:dyDescent="0.2">
      <c r="A271" t="s">
        <v>2051</v>
      </c>
      <c r="B271" t="s">
        <v>2051</v>
      </c>
      <c r="C271" t="s">
        <v>2051</v>
      </c>
      <c r="D271" t="s">
        <v>2051</v>
      </c>
      <c r="E271" t="s">
        <v>2051</v>
      </c>
      <c r="F271" t="s">
        <v>2051</v>
      </c>
      <c r="G271" t="s">
        <v>2051</v>
      </c>
      <c r="H271" t="s">
        <v>2051</v>
      </c>
      <c r="I271" t="s">
        <v>2051</v>
      </c>
      <c r="J271" t="s">
        <v>2051</v>
      </c>
      <c r="K271" t="s">
        <v>2051</v>
      </c>
      <c r="L271" t="s">
        <v>2051</v>
      </c>
      <c r="M271" t="s">
        <v>2051</v>
      </c>
      <c r="N271" t="s">
        <v>2051</v>
      </c>
      <c r="O271" t="s">
        <v>2051</v>
      </c>
      <c r="P271" t="s">
        <v>2051</v>
      </c>
      <c r="Q271" t="s">
        <v>2051</v>
      </c>
      <c r="R271" t="s">
        <v>2051</v>
      </c>
      <c r="S271" t="s">
        <v>2051</v>
      </c>
      <c r="T271" t="s">
        <v>2051</v>
      </c>
      <c r="U271" t="s">
        <v>2051</v>
      </c>
      <c r="V271" t="s">
        <v>2051</v>
      </c>
      <c r="W271" t="s">
        <v>2051</v>
      </c>
      <c r="X271" t="s">
        <v>2051</v>
      </c>
      <c r="Y271" t="s">
        <v>2051</v>
      </c>
      <c r="Z271" t="s">
        <v>2051</v>
      </c>
      <c r="AA271" t="s">
        <v>2051</v>
      </c>
      <c r="AB271" t="s">
        <v>2051</v>
      </c>
      <c r="AC271" t="s">
        <v>2051</v>
      </c>
      <c r="AD271" t="s">
        <v>2051</v>
      </c>
      <c r="AE271" t="s">
        <v>2051</v>
      </c>
      <c r="AF271" t="s">
        <v>2051</v>
      </c>
      <c r="AG271" t="s">
        <v>2051</v>
      </c>
      <c r="AH271" t="s">
        <v>2051</v>
      </c>
      <c r="AI271" t="s">
        <v>2051</v>
      </c>
      <c r="AJ271" t="s">
        <v>2051</v>
      </c>
      <c r="AK271" t="s">
        <v>2051</v>
      </c>
      <c r="AL271" t="s">
        <v>2051</v>
      </c>
      <c r="AM271" t="s">
        <v>2051</v>
      </c>
      <c r="AN271" t="s">
        <v>2051</v>
      </c>
      <c r="AO271" t="s">
        <v>2051</v>
      </c>
      <c r="AP271" t="s">
        <v>2051</v>
      </c>
      <c r="AQ271" t="s">
        <v>2051</v>
      </c>
      <c r="AR271" t="s">
        <v>2051</v>
      </c>
      <c r="AS271" t="s">
        <v>2051</v>
      </c>
      <c r="AT271" t="s">
        <v>2051</v>
      </c>
      <c r="AU271" t="s">
        <v>2051</v>
      </c>
      <c r="AV271" t="s">
        <v>2051</v>
      </c>
      <c r="AW271" t="s">
        <v>2051</v>
      </c>
      <c r="AX271" t="s">
        <v>2051</v>
      </c>
      <c r="AY271" t="s">
        <v>2051</v>
      </c>
      <c r="AZ271" t="s">
        <v>2051</v>
      </c>
    </row>
    <row r="272" spans="1:52" x14ac:dyDescent="0.2">
      <c r="A272" t="s">
        <v>2051</v>
      </c>
      <c r="B272" t="s">
        <v>2051</v>
      </c>
      <c r="C272" t="s">
        <v>2051</v>
      </c>
      <c r="D272" t="s">
        <v>2051</v>
      </c>
      <c r="E272" t="s">
        <v>2051</v>
      </c>
      <c r="F272" t="s">
        <v>2051</v>
      </c>
      <c r="G272" t="s">
        <v>2051</v>
      </c>
      <c r="H272" t="s">
        <v>2051</v>
      </c>
      <c r="I272" t="s">
        <v>2051</v>
      </c>
      <c r="J272" t="s">
        <v>2051</v>
      </c>
      <c r="K272" t="s">
        <v>2051</v>
      </c>
      <c r="L272" t="s">
        <v>2051</v>
      </c>
      <c r="M272" t="s">
        <v>2051</v>
      </c>
      <c r="N272" t="s">
        <v>2051</v>
      </c>
      <c r="O272" t="s">
        <v>2051</v>
      </c>
      <c r="P272" t="s">
        <v>2051</v>
      </c>
      <c r="Q272" t="s">
        <v>2051</v>
      </c>
      <c r="R272" t="s">
        <v>2051</v>
      </c>
      <c r="S272" t="s">
        <v>2051</v>
      </c>
      <c r="T272" t="s">
        <v>2051</v>
      </c>
      <c r="U272" t="s">
        <v>2051</v>
      </c>
      <c r="V272" t="s">
        <v>2051</v>
      </c>
      <c r="W272" t="s">
        <v>2051</v>
      </c>
      <c r="X272" t="s">
        <v>2051</v>
      </c>
      <c r="Y272" t="s">
        <v>2051</v>
      </c>
      <c r="Z272" t="s">
        <v>2051</v>
      </c>
      <c r="AA272" t="s">
        <v>2051</v>
      </c>
      <c r="AB272" t="s">
        <v>2051</v>
      </c>
      <c r="AC272" t="s">
        <v>2051</v>
      </c>
      <c r="AD272" t="s">
        <v>2051</v>
      </c>
      <c r="AE272" t="s">
        <v>2051</v>
      </c>
      <c r="AF272" t="s">
        <v>2051</v>
      </c>
      <c r="AG272" t="s">
        <v>2051</v>
      </c>
      <c r="AH272" t="s">
        <v>2051</v>
      </c>
      <c r="AI272" t="s">
        <v>2051</v>
      </c>
      <c r="AJ272" t="s">
        <v>2051</v>
      </c>
      <c r="AK272" t="s">
        <v>2051</v>
      </c>
      <c r="AL272" t="s">
        <v>2051</v>
      </c>
      <c r="AM272" t="s">
        <v>2051</v>
      </c>
      <c r="AN272" t="s">
        <v>2051</v>
      </c>
      <c r="AO272" t="s">
        <v>2051</v>
      </c>
      <c r="AP272" t="s">
        <v>2051</v>
      </c>
      <c r="AQ272" t="s">
        <v>2051</v>
      </c>
      <c r="AR272" t="s">
        <v>2051</v>
      </c>
      <c r="AS272" t="s">
        <v>2051</v>
      </c>
      <c r="AT272" t="s">
        <v>2051</v>
      </c>
      <c r="AU272" t="s">
        <v>2051</v>
      </c>
      <c r="AV272" t="s">
        <v>2051</v>
      </c>
      <c r="AW272" t="s">
        <v>2051</v>
      </c>
      <c r="AX272" t="s">
        <v>2051</v>
      </c>
      <c r="AY272" t="s">
        <v>2051</v>
      </c>
      <c r="AZ272" t="s">
        <v>2051</v>
      </c>
    </row>
    <row r="273" spans="1:52" x14ac:dyDescent="0.2">
      <c r="A273" t="s">
        <v>2051</v>
      </c>
      <c r="B273" t="s">
        <v>2051</v>
      </c>
      <c r="C273" t="s">
        <v>2051</v>
      </c>
      <c r="D273" t="s">
        <v>2051</v>
      </c>
      <c r="E273" t="s">
        <v>2051</v>
      </c>
      <c r="F273" t="s">
        <v>2051</v>
      </c>
      <c r="G273" t="s">
        <v>2051</v>
      </c>
      <c r="H273" t="s">
        <v>2051</v>
      </c>
      <c r="I273" t="s">
        <v>2051</v>
      </c>
      <c r="J273" t="s">
        <v>2051</v>
      </c>
      <c r="K273" t="s">
        <v>2051</v>
      </c>
      <c r="L273" t="s">
        <v>2051</v>
      </c>
      <c r="M273" t="s">
        <v>2051</v>
      </c>
      <c r="N273" t="s">
        <v>2051</v>
      </c>
      <c r="O273" t="s">
        <v>2051</v>
      </c>
      <c r="P273" t="s">
        <v>2051</v>
      </c>
      <c r="Q273" t="s">
        <v>2051</v>
      </c>
      <c r="R273" t="s">
        <v>2051</v>
      </c>
      <c r="S273" t="s">
        <v>2051</v>
      </c>
      <c r="T273" t="s">
        <v>2051</v>
      </c>
      <c r="U273" t="s">
        <v>2051</v>
      </c>
      <c r="V273" t="s">
        <v>2051</v>
      </c>
      <c r="W273" t="s">
        <v>2051</v>
      </c>
      <c r="X273" t="s">
        <v>2051</v>
      </c>
      <c r="Y273" t="s">
        <v>2051</v>
      </c>
      <c r="Z273" t="s">
        <v>2051</v>
      </c>
      <c r="AA273" t="s">
        <v>2051</v>
      </c>
      <c r="AB273" t="s">
        <v>2051</v>
      </c>
      <c r="AC273" t="s">
        <v>2051</v>
      </c>
      <c r="AD273" t="s">
        <v>2051</v>
      </c>
      <c r="AE273" t="s">
        <v>2051</v>
      </c>
      <c r="AF273" t="s">
        <v>2051</v>
      </c>
      <c r="AG273" t="s">
        <v>2051</v>
      </c>
      <c r="AH273" t="s">
        <v>2051</v>
      </c>
      <c r="AI273" t="s">
        <v>2051</v>
      </c>
      <c r="AJ273" t="s">
        <v>2051</v>
      </c>
      <c r="AK273" t="s">
        <v>2051</v>
      </c>
      <c r="AL273" t="s">
        <v>2051</v>
      </c>
      <c r="AM273" t="s">
        <v>2051</v>
      </c>
      <c r="AN273" t="s">
        <v>2051</v>
      </c>
      <c r="AO273" t="s">
        <v>2051</v>
      </c>
      <c r="AP273" t="s">
        <v>2051</v>
      </c>
      <c r="AQ273" t="s">
        <v>2051</v>
      </c>
      <c r="AR273" t="s">
        <v>2051</v>
      </c>
      <c r="AS273" t="s">
        <v>2051</v>
      </c>
      <c r="AT273" t="s">
        <v>2051</v>
      </c>
      <c r="AU273" t="s">
        <v>2051</v>
      </c>
      <c r="AV273" t="s">
        <v>2051</v>
      </c>
      <c r="AW273" t="s">
        <v>2051</v>
      </c>
      <c r="AX273" t="s">
        <v>2051</v>
      </c>
      <c r="AY273" t="s">
        <v>2051</v>
      </c>
      <c r="AZ273" t="s">
        <v>2051</v>
      </c>
    </row>
    <row r="274" spans="1:52" x14ac:dyDescent="0.2">
      <c r="A274" t="s">
        <v>2051</v>
      </c>
      <c r="B274" t="s">
        <v>2051</v>
      </c>
      <c r="C274" t="s">
        <v>2051</v>
      </c>
      <c r="D274" t="s">
        <v>2051</v>
      </c>
      <c r="E274" t="s">
        <v>2051</v>
      </c>
      <c r="F274" t="s">
        <v>2051</v>
      </c>
      <c r="G274" t="s">
        <v>2051</v>
      </c>
      <c r="H274" t="s">
        <v>2051</v>
      </c>
      <c r="I274" t="s">
        <v>2051</v>
      </c>
      <c r="J274" t="s">
        <v>2051</v>
      </c>
      <c r="K274" t="s">
        <v>2051</v>
      </c>
      <c r="L274" t="s">
        <v>2051</v>
      </c>
      <c r="M274" t="s">
        <v>2051</v>
      </c>
      <c r="N274" t="s">
        <v>2051</v>
      </c>
      <c r="O274" t="s">
        <v>2051</v>
      </c>
      <c r="P274" t="s">
        <v>2051</v>
      </c>
      <c r="Q274" t="s">
        <v>2051</v>
      </c>
      <c r="R274" t="s">
        <v>2051</v>
      </c>
      <c r="S274" t="s">
        <v>2051</v>
      </c>
      <c r="T274" t="s">
        <v>2051</v>
      </c>
      <c r="U274" t="s">
        <v>2051</v>
      </c>
      <c r="V274" t="s">
        <v>2051</v>
      </c>
      <c r="W274" t="s">
        <v>2051</v>
      </c>
      <c r="X274" t="s">
        <v>2051</v>
      </c>
      <c r="Y274" t="s">
        <v>2051</v>
      </c>
      <c r="Z274" t="s">
        <v>2051</v>
      </c>
      <c r="AA274" t="s">
        <v>2051</v>
      </c>
      <c r="AB274" t="s">
        <v>2051</v>
      </c>
      <c r="AC274" t="s">
        <v>2051</v>
      </c>
      <c r="AD274" t="s">
        <v>2051</v>
      </c>
      <c r="AE274" t="s">
        <v>2051</v>
      </c>
      <c r="AF274" t="s">
        <v>2051</v>
      </c>
      <c r="AG274" t="s">
        <v>2051</v>
      </c>
      <c r="AH274" t="s">
        <v>2051</v>
      </c>
      <c r="AI274" t="s">
        <v>2051</v>
      </c>
      <c r="AJ274" t="s">
        <v>2051</v>
      </c>
      <c r="AK274" t="s">
        <v>2051</v>
      </c>
      <c r="AL274" t="s">
        <v>2051</v>
      </c>
      <c r="AM274" t="s">
        <v>2051</v>
      </c>
      <c r="AN274" t="s">
        <v>2051</v>
      </c>
      <c r="AO274" t="s">
        <v>2051</v>
      </c>
      <c r="AP274" t="s">
        <v>2051</v>
      </c>
      <c r="AQ274" t="s">
        <v>2051</v>
      </c>
      <c r="AR274" t="s">
        <v>2051</v>
      </c>
      <c r="AS274" t="s">
        <v>2051</v>
      </c>
      <c r="AT274" t="s">
        <v>2051</v>
      </c>
      <c r="AU274" t="s">
        <v>2051</v>
      </c>
      <c r="AV274" t="s">
        <v>2051</v>
      </c>
      <c r="AW274" t="s">
        <v>2051</v>
      </c>
      <c r="AX274" t="s">
        <v>2051</v>
      </c>
      <c r="AY274" t="s">
        <v>2051</v>
      </c>
      <c r="AZ274" t="s">
        <v>2051</v>
      </c>
    </row>
    <row r="275" spans="1:52" x14ac:dyDescent="0.2">
      <c r="A275" t="s">
        <v>2051</v>
      </c>
      <c r="B275" t="s">
        <v>2051</v>
      </c>
      <c r="C275" t="s">
        <v>2051</v>
      </c>
      <c r="D275" t="s">
        <v>2051</v>
      </c>
      <c r="E275" t="s">
        <v>2051</v>
      </c>
      <c r="F275" t="s">
        <v>2051</v>
      </c>
      <c r="G275" t="s">
        <v>2051</v>
      </c>
      <c r="H275" t="s">
        <v>2051</v>
      </c>
      <c r="I275" t="s">
        <v>2051</v>
      </c>
      <c r="J275" t="s">
        <v>2051</v>
      </c>
      <c r="K275" t="s">
        <v>2051</v>
      </c>
      <c r="L275" t="s">
        <v>2051</v>
      </c>
      <c r="M275" t="s">
        <v>2051</v>
      </c>
      <c r="N275" t="s">
        <v>2051</v>
      </c>
      <c r="O275" t="s">
        <v>2051</v>
      </c>
      <c r="P275" t="s">
        <v>2051</v>
      </c>
      <c r="Q275" t="s">
        <v>2051</v>
      </c>
      <c r="R275" t="s">
        <v>2051</v>
      </c>
      <c r="S275" t="s">
        <v>2051</v>
      </c>
      <c r="T275" t="s">
        <v>2051</v>
      </c>
      <c r="U275" t="s">
        <v>2051</v>
      </c>
      <c r="V275" t="s">
        <v>2051</v>
      </c>
      <c r="W275" t="s">
        <v>2051</v>
      </c>
      <c r="X275" t="s">
        <v>2051</v>
      </c>
      <c r="Y275" t="s">
        <v>2051</v>
      </c>
      <c r="Z275" t="s">
        <v>2051</v>
      </c>
      <c r="AA275" t="s">
        <v>2051</v>
      </c>
      <c r="AB275" t="s">
        <v>2051</v>
      </c>
      <c r="AC275" t="s">
        <v>2051</v>
      </c>
      <c r="AD275" t="s">
        <v>2051</v>
      </c>
      <c r="AE275" t="s">
        <v>2051</v>
      </c>
      <c r="AF275" t="s">
        <v>2051</v>
      </c>
      <c r="AG275" t="s">
        <v>2051</v>
      </c>
      <c r="AH275" t="s">
        <v>2051</v>
      </c>
      <c r="AI275" t="s">
        <v>2051</v>
      </c>
      <c r="AJ275" t="s">
        <v>2051</v>
      </c>
      <c r="AK275" t="s">
        <v>2051</v>
      </c>
      <c r="AL275" t="s">
        <v>2051</v>
      </c>
      <c r="AM275" t="s">
        <v>2051</v>
      </c>
      <c r="AN275" t="s">
        <v>2051</v>
      </c>
      <c r="AO275" t="s">
        <v>2051</v>
      </c>
      <c r="AP275" t="s">
        <v>2051</v>
      </c>
      <c r="AQ275" t="s">
        <v>2051</v>
      </c>
      <c r="AR275" t="s">
        <v>2051</v>
      </c>
      <c r="AS275" t="s">
        <v>2051</v>
      </c>
      <c r="AT275" t="s">
        <v>2051</v>
      </c>
      <c r="AU275" t="s">
        <v>2051</v>
      </c>
      <c r="AV275" t="s">
        <v>2051</v>
      </c>
      <c r="AW275" t="s">
        <v>2051</v>
      </c>
      <c r="AX275" t="s">
        <v>2051</v>
      </c>
      <c r="AY275" t="s">
        <v>2051</v>
      </c>
      <c r="AZ275" t="s">
        <v>2051</v>
      </c>
    </row>
    <row r="276" spans="1:52" x14ac:dyDescent="0.2">
      <c r="A276" t="s">
        <v>2051</v>
      </c>
      <c r="B276" t="s">
        <v>2051</v>
      </c>
      <c r="C276" t="s">
        <v>2051</v>
      </c>
      <c r="D276" t="s">
        <v>2051</v>
      </c>
      <c r="E276" t="s">
        <v>2051</v>
      </c>
      <c r="F276" t="s">
        <v>2051</v>
      </c>
      <c r="G276" t="s">
        <v>2051</v>
      </c>
      <c r="H276" t="s">
        <v>2051</v>
      </c>
      <c r="I276" t="s">
        <v>2051</v>
      </c>
      <c r="J276" t="s">
        <v>2051</v>
      </c>
      <c r="K276" t="s">
        <v>2051</v>
      </c>
      <c r="L276" t="s">
        <v>2051</v>
      </c>
      <c r="M276" t="s">
        <v>2051</v>
      </c>
      <c r="N276" t="s">
        <v>2051</v>
      </c>
      <c r="O276" t="s">
        <v>2051</v>
      </c>
      <c r="P276" t="s">
        <v>2051</v>
      </c>
      <c r="Q276" t="s">
        <v>2051</v>
      </c>
      <c r="R276" t="s">
        <v>2051</v>
      </c>
      <c r="S276" t="s">
        <v>2051</v>
      </c>
      <c r="T276" t="s">
        <v>2051</v>
      </c>
      <c r="U276" t="s">
        <v>2051</v>
      </c>
      <c r="V276" t="s">
        <v>2051</v>
      </c>
      <c r="W276" t="s">
        <v>2051</v>
      </c>
      <c r="X276" t="s">
        <v>2051</v>
      </c>
      <c r="Y276" t="s">
        <v>2051</v>
      </c>
      <c r="Z276" t="s">
        <v>2051</v>
      </c>
      <c r="AA276" t="s">
        <v>2051</v>
      </c>
      <c r="AB276" t="s">
        <v>2051</v>
      </c>
      <c r="AC276" t="s">
        <v>2051</v>
      </c>
      <c r="AD276" t="s">
        <v>2051</v>
      </c>
      <c r="AE276" t="s">
        <v>2051</v>
      </c>
      <c r="AF276" t="s">
        <v>2051</v>
      </c>
      <c r="AG276" t="s">
        <v>2051</v>
      </c>
      <c r="AH276" t="s">
        <v>2051</v>
      </c>
      <c r="AI276" t="s">
        <v>2051</v>
      </c>
      <c r="AJ276" t="s">
        <v>2051</v>
      </c>
      <c r="AK276" t="s">
        <v>2051</v>
      </c>
      <c r="AL276" t="s">
        <v>2051</v>
      </c>
      <c r="AM276" t="s">
        <v>2051</v>
      </c>
      <c r="AN276" t="s">
        <v>2051</v>
      </c>
      <c r="AO276" t="s">
        <v>2051</v>
      </c>
      <c r="AP276" t="s">
        <v>2051</v>
      </c>
      <c r="AQ276" t="s">
        <v>2051</v>
      </c>
      <c r="AR276" t="s">
        <v>2051</v>
      </c>
      <c r="AS276" t="s">
        <v>2051</v>
      </c>
      <c r="AT276" t="s">
        <v>2051</v>
      </c>
      <c r="AU276" t="s">
        <v>2051</v>
      </c>
      <c r="AV276" t="s">
        <v>2051</v>
      </c>
      <c r="AW276" t="s">
        <v>2051</v>
      </c>
      <c r="AX276" t="s">
        <v>2051</v>
      </c>
      <c r="AY276" t="s">
        <v>2051</v>
      </c>
      <c r="AZ276" t="s">
        <v>2051</v>
      </c>
    </row>
    <row r="277" spans="1:52" x14ac:dyDescent="0.2">
      <c r="A277" t="s">
        <v>2051</v>
      </c>
      <c r="B277" t="s">
        <v>2051</v>
      </c>
      <c r="C277" t="s">
        <v>2051</v>
      </c>
      <c r="D277" t="s">
        <v>2051</v>
      </c>
      <c r="E277" t="s">
        <v>2051</v>
      </c>
      <c r="F277" t="s">
        <v>2051</v>
      </c>
      <c r="G277" t="s">
        <v>2051</v>
      </c>
      <c r="H277" t="s">
        <v>2051</v>
      </c>
      <c r="I277" t="s">
        <v>2051</v>
      </c>
      <c r="J277" t="s">
        <v>2051</v>
      </c>
      <c r="K277" t="s">
        <v>2051</v>
      </c>
      <c r="L277" t="s">
        <v>2051</v>
      </c>
      <c r="M277" t="s">
        <v>2051</v>
      </c>
      <c r="N277" t="s">
        <v>2051</v>
      </c>
      <c r="O277" t="s">
        <v>2051</v>
      </c>
      <c r="P277" t="s">
        <v>2051</v>
      </c>
      <c r="Q277" t="s">
        <v>2051</v>
      </c>
      <c r="R277" t="s">
        <v>2051</v>
      </c>
      <c r="S277" t="s">
        <v>2051</v>
      </c>
      <c r="T277" t="s">
        <v>2051</v>
      </c>
      <c r="U277" t="s">
        <v>2051</v>
      </c>
      <c r="V277" t="s">
        <v>2051</v>
      </c>
      <c r="W277" t="s">
        <v>2051</v>
      </c>
      <c r="X277" t="s">
        <v>2051</v>
      </c>
      <c r="Y277" t="s">
        <v>2051</v>
      </c>
      <c r="Z277" t="s">
        <v>2051</v>
      </c>
      <c r="AA277" t="s">
        <v>2051</v>
      </c>
      <c r="AB277" t="s">
        <v>2051</v>
      </c>
      <c r="AC277" t="s">
        <v>2051</v>
      </c>
      <c r="AD277" t="s">
        <v>2051</v>
      </c>
      <c r="AE277" t="s">
        <v>2051</v>
      </c>
      <c r="AF277" t="s">
        <v>2051</v>
      </c>
      <c r="AG277" t="s">
        <v>2051</v>
      </c>
      <c r="AH277" t="s">
        <v>2051</v>
      </c>
      <c r="AI277" t="s">
        <v>2051</v>
      </c>
      <c r="AJ277" t="s">
        <v>2051</v>
      </c>
      <c r="AK277" t="s">
        <v>2051</v>
      </c>
      <c r="AL277" t="s">
        <v>2051</v>
      </c>
      <c r="AM277" t="s">
        <v>2051</v>
      </c>
      <c r="AN277" t="s">
        <v>2051</v>
      </c>
      <c r="AO277" t="s">
        <v>2051</v>
      </c>
      <c r="AP277" t="s">
        <v>2051</v>
      </c>
      <c r="AQ277" t="s">
        <v>2051</v>
      </c>
      <c r="AR277" t="s">
        <v>2051</v>
      </c>
      <c r="AS277" t="s">
        <v>2051</v>
      </c>
      <c r="AT277" t="s">
        <v>2051</v>
      </c>
      <c r="AU277" t="s">
        <v>2051</v>
      </c>
      <c r="AV277" t="s">
        <v>2051</v>
      </c>
      <c r="AW277" t="s">
        <v>2051</v>
      </c>
      <c r="AX277" t="s">
        <v>2051</v>
      </c>
      <c r="AY277" t="s">
        <v>2051</v>
      </c>
      <c r="AZ277" t="s">
        <v>2051</v>
      </c>
    </row>
    <row r="278" spans="1:52" x14ac:dyDescent="0.2">
      <c r="A278" t="s">
        <v>2051</v>
      </c>
      <c r="B278" t="s">
        <v>2051</v>
      </c>
      <c r="C278" t="s">
        <v>2051</v>
      </c>
      <c r="D278" t="s">
        <v>2051</v>
      </c>
      <c r="E278" t="s">
        <v>2051</v>
      </c>
      <c r="F278" t="s">
        <v>2051</v>
      </c>
      <c r="G278" t="s">
        <v>2051</v>
      </c>
      <c r="H278" t="s">
        <v>2051</v>
      </c>
      <c r="I278" t="s">
        <v>2051</v>
      </c>
      <c r="J278" t="s">
        <v>2051</v>
      </c>
      <c r="K278" t="s">
        <v>2051</v>
      </c>
      <c r="L278" t="s">
        <v>2051</v>
      </c>
      <c r="M278" t="s">
        <v>2051</v>
      </c>
      <c r="N278" t="s">
        <v>2051</v>
      </c>
      <c r="O278" t="s">
        <v>2051</v>
      </c>
      <c r="P278" t="s">
        <v>2051</v>
      </c>
      <c r="Q278" t="s">
        <v>2051</v>
      </c>
      <c r="R278" t="s">
        <v>2051</v>
      </c>
      <c r="S278" t="s">
        <v>2051</v>
      </c>
      <c r="T278" t="s">
        <v>2051</v>
      </c>
      <c r="U278" t="s">
        <v>2051</v>
      </c>
      <c r="V278" t="s">
        <v>2051</v>
      </c>
      <c r="W278" t="s">
        <v>2051</v>
      </c>
      <c r="X278" t="s">
        <v>2051</v>
      </c>
      <c r="Y278" t="s">
        <v>2051</v>
      </c>
      <c r="Z278" t="s">
        <v>2051</v>
      </c>
      <c r="AA278" t="s">
        <v>2051</v>
      </c>
      <c r="AB278" t="s">
        <v>2051</v>
      </c>
      <c r="AC278" t="s">
        <v>2051</v>
      </c>
      <c r="AD278" t="s">
        <v>2051</v>
      </c>
      <c r="AE278" t="s">
        <v>2051</v>
      </c>
      <c r="AF278" t="s">
        <v>2051</v>
      </c>
      <c r="AG278" t="s">
        <v>2051</v>
      </c>
      <c r="AH278" t="s">
        <v>2051</v>
      </c>
      <c r="AI278" t="s">
        <v>2051</v>
      </c>
      <c r="AJ278" t="s">
        <v>2051</v>
      </c>
      <c r="AK278" t="s">
        <v>2051</v>
      </c>
      <c r="AL278" t="s">
        <v>2051</v>
      </c>
      <c r="AM278" t="s">
        <v>2051</v>
      </c>
      <c r="AN278" t="s">
        <v>2051</v>
      </c>
      <c r="AO278" t="s">
        <v>2051</v>
      </c>
      <c r="AP278" t="s">
        <v>2051</v>
      </c>
      <c r="AQ278" t="s">
        <v>2051</v>
      </c>
      <c r="AR278" t="s">
        <v>2051</v>
      </c>
      <c r="AS278" t="s">
        <v>2051</v>
      </c>
      <c r="AT278" t="s">
        <v>2051</v>
      </c>
      <c r="AU278" t="s">
        <v>2051</v>
      </c>
      <c r="AV278" t="s">
        <v>2051</v>
      </c>
      <c r="AW278" t="s">
        <v>2051</v>
      </c>
      <c r="AX278" t="s">
        <v>2051</v>
      </c>
      <c r="AY278" t="s">
        <v>2051</v>
      </c>
      <c r="AZ278" t="s">
        <v>2051</v>
      </c>
    </row>
    <row r="279" spans="1:52" x14ac:dyDescent="0.2">
      <c r="A279" t="s">
        <v>2051</v>
      </c>
      <c r="B279" t="s">
        <v>2051</v>
      </c>
      <c r="C279" t="s">
        <v>2051</v>
      </c>
      <c r="D279" t="s">
        <v>2051</v>
      </c>
      <c r="E279" t="s">
        <v>2051</v>
      </c>
      <c r="F279" t="s">
        <v>2051</v>
      </c>
      <c r="G279" t="s">
        <v>2051</v>
      </c>
      <c r="H279" t="s">
        <v>2051</v>
      </c>
      <c r="I279" t="s">
        <v>2051</v>
      </c>
      <c r="J279" t="s">
        <v>2051</v>
      </c>
      <c r="K279" t="s">
        <v>2051</v>
      </c>
      <c r="L279" t="s">
        <v>2051</v>
      </c>
      <c r="M279" t="s">
        <v>2051</v>
      </c>
      <c r="N279" t="s">
        <v>2051</v>
      </c>
      <c r="O279" t="s">
        <v>2051</v>
      </c>
      <c r="P279" t="s">
        <v>2051</v>
      </c>
      <c r="Q279" t="s">
        <v>2051</v>
      </c>
      <c r="R279" t="s">
        <v>2051</v>
      </c>
      <c r="S279" t="s">
        <v>2051</v>
      </c>
      <c r="T279" t="s">
        <v>2051</v>
      </c>
      <c r="U279" t="s">
        <v>2051</v>
      </c>
      <c r="V279" t="s">
        <v>2051</v>
      </c>
      <c r="W279" t="s">
        <v>2051</v>
      </c>
      <c r="X279" t="s">
        <v>2051</v>
      </c>
      <c r="Y279" t="s">
        <v>2051</v>
      </c>
      <c r="Z279" t="s">
        <v>2051</v>
      </c>
      <c r="AA279" t="s">
        <v>2051</v>
      </c>
      <c r="AB279" t="s">
        <v>2051</v>
      </c>
      <c r="AC279" t="s">
        <v>2051</v>
      </c>
      <c r="AD279" t="s">
        <v>2051</v>
      </c>
      <c r="AE279" t="s">
        <v>2051</v>
      </c>
      <c r="AF279" t="s">
        <v>2051</v>
      </c>
      <c r="AG279" t="s">
        <v>2051</v>
      </c>
      <c r="AH279" t="s">
        <v>2051</v>
      </c>
      <c r="AI279" t="s">
        <v>2051</v>
      </c>
      <c r="AJ279" t="s">
        <v>2051</v>
      </c>
      <c r="AK279" t="s">
        <v>2051</v>
      </c>
      <c r="AL279" t="s">
        <v>2051</v>
      </c>
      <c r="AM279" t="s">
        <v>2051</v>
      </c>
      <c r="AN279" t="s">
        <v>2051</v>
      </c>
      <c r="AO279" t="s">
        <v>2051</v>
      </c>
      <c r="AP279" t="s">
        <v>2051</v>
      </c>
      <c r="AQ279" t="s">
        <v>2051</v>
      </c>
      <c r="AR279" t="s">
        <v>2051</v>
      </c>
      <c r="AS279" t="s">
        <v>2051</v>
      </c>
      <c r="AT279" t="s">
        <v>2051</v>
      </c>
      <c r="AU279" t="s">
        <v>2051</v>
      </c>
      <c r="AV279" t="s">
        <v>2051</v>
      </c>
      <c r="AW279" t="s">
        <v>2051</v>
      </c>
      <c r="AX279" t="s">
        <v>2051</v>
      </c>
      <c r="AY279" t="s">
        <v>2051</v>
      </c>
      <c r="AZ279" t="s">
        <v>2051</v>
      </c>
    </row>
    <row r="280" spans="1:52" x14ac:dyDescent="0.2">
      <c r="A280" t="s">
        <v>2051</v>
      </c>
      <c r="B280" t="s">
        <v>2051</v>
      </c>
      <c r="C280" t="s">
        <v>2051</v>
      </c>
      <c r="D280" t="s">
        <v>2051</v>
      </c>
      <c r="E280" t="s">
        <v>2051</v>
      </c>
      <c r="F280" t="s">
        <v>2051</v>
      </c>
      <c r="G280" t="s">
        <v>2051</v>
      </c>
      <c r="H280" t="s">
        <v>2051</v>
      </c>
      <c r="I280" t="s">
        <v>2051</v>
      </c>
      <c r="J280" t="s">
        <v>2051</v>
      </c>
      <c r="K280" t="s">
        <v>2051</v>
      </c>
      <c r="L280" t="s">
        <v>2051</v>
      </c>
      <c r="M280" t="s">
        <v>2051</v>
      </c>
      <c r="N280" t="s">
        <v>2051</v>
      </c>
      <c r="O280" t="s">
        <v>2051</v>
      </c>
      <c r="P280" t="s">
        <v>2051</v>
      </c>
      <c r="Q280" t="s">
        <v>2051</v>
      </c>
      <c r="R280" t="s">
        <v>2051</v>
      </c>
      <c r="S280" t="s">
        <v>2051</v>
      </c>
      <c r="T280" t="s">
        <v>2051</v>
      </c>
      <c r="U280" t="s">
        <v>2051</v>
      </c>
      <c r="V280" t="s">
        <v>2051</v>
      </c>
      <c r="W280" t="s">
        <v>2051</v>
      </c>
      <c r="X280" t="s">
        <v>2051</v>
      </c>
      <c r="Y280" t="s">
        <v>2051</v>
      </c>
      <c r="Z280" t="s">
        <v>2051</v>
      </c>
      <c r="AA280" t="s">
        <v>2051</v>
      </c>
      <c r="AB280" t="s">
        <v>2051</v>
      </c>
      <c r="AC280" t="s">
        <v>2051</v>
      </c>
      <c r="AD280" t="s">
        <v>2051</v>
      </c>
      <c r="AE280" t="s">
        <v>2051</v>
      </c>
      <c r="AF280" t="s">
        <v>2051</v>
      </c>
      <c r="AG280" t="s">
        <v>2051</v>
      </c>
      <c r="AH280" t="s">
        <v>2051</v>
      </c>
      <c r="AI280" t="s">
        <v>2051</v>
      </c>
      <c r="AJ280" t="s">
        <v>2051</v>
      </c>
      <c r="AK280" t="s">
        <v>2051</v>
      </c>
      <c r="AL280" t="s">
        <v>2051</v>
      </c>
      <c r="AM280" t="s">
        <v>2051</v>
      </c>
      <c r="AN280" t="s">
        <v>2051</v>
      </c>
      <c r="AO280" t="s">
        <v>2051</v>
      </c>
      <c r="AP280" t="s">
        <v>2051</v>
      </c>
      <c r="AQ280" t="s">
        <v>2051</v>
      </c>
      <c r="AR280" t="s">
        <v>2051</v>
      </c>
      <c r="AS280" t="s">
        <v>2051</v>
      </c>
      <c r="AT280" t="s">
        <v>2051</v>
      </c>
      <c r="AU280" t="s">
        <v>2051</v>
      </c>
      <c r="AV280" t="s">
        <v>2051</v>
      </c>
      <c r="AW280" t="s">
        <v>2051</v>
      </c>
      <c r="AX280" t="s">
        <v>2051</v>
      </c>
      <c r="AY280" t="s">
        <v>2051</v>
      </c>
      <c r="AZ280" t="s">
        <v>2051</v>
      </c>
    </row>
    <row r="281" spans="1:52" x14ac:dyDescent="0.2">
      <c r="A281" t="s">
        <v>2051</v>
      </c>
      <c r="B281" t="s">
        <v>2051</v>
      </c>
      <c r="C281" t="s">
        <v>2051</v>
      </c>
      <c r="D281" t="s">
        <v>2051</v>
      </c>
      <c r="E281" t="s">
        <v>2051</v>
      </c>
      <c r="F281" t="s">
        <v>2051</v>
      </c>
      <c r="G281" t="s">
        <v>2051</v>
      </c>
      <c r="H281" t="s">
        <v>2051</v>
      </c>
      <c r="I281" t="s">
        <v>2051</v>
      </c>
      <c r="J281" t="s">
        <v>2051</v>
      </c>
      <c r="K281" t="s">
        <v>2051</v>
      </c>
      <c r="L281" t="s">
        <v>2051</v>
      </c>
      <c r="M281" t="s">
        <v>2051</v>
      </c>
      <c r="N281" t="s">
        <v>2051</v>
      </c>
      <c r="O281" t="s">
        <v>2051</v>
      </c>
      <c r="P281" t="s">
        <v>2051</v>
      </c>
      <c r="Q281" t="s">
        <v>2051</v>
      </c>
      <c r="R281" t="s">
        <v>2051</v>
      </c>
      <c r="S281" t="s">
        <v>2051</v>
      </c>
      <c r="T281" t="s">
        <v>2051</v>
      </c>
      <c r="U281" t="s">
        <v>2051</v>
      </c>
      <c r="V281" t="s">
        <v>2051</v>
      </c>
      <c r="W281" t="s">
        <v>2051</v>
      </c>
      <c r="X281" t="s">
        <v>2051</v>
      </c>
      <c r="Y281" t="s">
        <v>2051</v>
      </c>
      <c r="Z281" t="s">
        <v>2051</v>
      </c>
      <c r="AA281" t="s">
        <v>2051</v>
      </c>
      <c r="AB281" t="s">
        <v>2051</v>
      </c>
      <c r="AC281" t="s">
        <v>2051</v>
      </c>
      <c r="AD281" t="s">
        <v>2051</v>
      </c>
      <c r="AE281" t="s">
        <v>2051</v>
      </c>
      <c r="AF281" t="s">
        <v>2051</v>
      </c>
      <c r="AG281" t="s">
        <v>2051</v>
      </c>
      <c r="AH281" t="s">
        <v>2051</v>
      </c>
      <c r="AI281" t="s">
        <v>2051</v>
      </c>
      <c r="AJ281" t="s">
        <v>2051</v>
      </c>
      <c r="AK281" t="s">
        <v>2051</v>
      </c>
      <c r="AL281" t="s">
        <v>2051</v>
      </c>
      <c r="AM281" t="s">
        <v>2051</v>
      </c>
      <c r="AN281" t="s">
        <v>2051</v>
      </c>
      <c r="AO281" t="s">
        <v>2051</v>
      </c>
      <c r="AP281" t="s">
        <v>2051</v>
      </c>
      <c r="AQ281" t="s">
        <v>2051</v>
      </c>
      <c r="AR281" t="s">
        <v>2051</v>
      </c>
      <c r="AS281" t="s">
        <v>2051</v>
      </c>
      <c r="AT281" t="s">
        <v>2051</v>
      </c>
      <c r="AU281" t="s">
        <v>2051</v>
      </c>
      <c r="AV281" t="s">
        <v>2051</v>
      </c>
      <c r="AW281" t="s">
        <v>2051</v>
      </c>
      <c r="AX281" t="s">
        <v>2051</v>
      </c>
      <c r="AY281" t="s">
        <v>2051</v>
      </c>
      <c r="AZ281" t="s">
        <v>2051</v>
      </c>
    </row>
    <row r="282" spans="1:52" x14ac:dyDescent="0.2">
      <c r="A282" t="s">
        <v>2051</v>
      </c>
      <c r="B282" t="s">
        <v>2051</v>
      </c>
      <c r="C282" t="s">
        <v>2051</v>
      </c>
      <c r="D282" t="s">
        <v>2051</v>
      </c>
      <c r="E282" t="s">
        <v>2051</v>
      </c>
      <c r="F282" t="s">
        <v>2051</v>
      </c>
      <c r="G282" t="s">
        <v>2051</v>
      </c>
      <c r="H282" t="s">
        <v>2051</v>
      </c>
      <c r="I282" t="s">
        <v>2051</v>
      </c>
      <c r="J282" t="s">
        <v>2051</v>
      </c>
      <c r="K282" t="s">
        <v>2051</v>
      </c>
      <c r="L282" t="s">
        <v>2051</v>
      </c>
      <c r="M282" t="s">
        <v>2051</v>
      </c>
      <c r="N282" t="s">
        <v>2051</v>
      </c>
      <c r="O282" t="s">
        <v>2051</v>
      </c>
      <c r="P282" t="s">
        <v>2051</v>
      </c>
      <c r="Q282" t="s">
        <v>2051</v>
      </c>
      <c r="R282" t="s">
        <v>2051</v>
      </c>
      <c r="S282" t="s">
        <v>2051</v>
      </c>
      <c r="T282" t="s">
        <v>2051</v>
      </c>
      <c r="U282" t="s">
        <v>2051</v>
      </c>
      <c r="V282" t="s">
        <v>2051</v>
      </c>
      <c r="W282" t="s">
        <v>2051</v>
      </c>
      <c r="X282" t="s">
        <v>2051</v>
      </c>
      <c r="Y282" t="s">
        <v>2051</v>
      </c>
      <c r="Z282" t="s">
        <v>2051</v>
      </c>
      <c r="AA282" t="s">
        <v>2051</v>
      </c>
      <c r="AB282" t="s">
        <v>2051</v>
      </c>
      <c r="AC282" t="s">
        <v>2051</v>
      </c>
      <c r="AD282" t="s">
        <v>2051</v>
      </c>
      <c r="AE282" t="s">
        <v>2051</v>
      </c>
      <c r="AF282" t="s">
        <v>2051</v>
      </c>
      <c r="AG282" t="s">
        <v>2051</v>
      </c>
      <c r="AH282" t="s">
        <v>2051</v>
      </c>
      <c r="AI282" t="s">
        <v>2051</v>
      </c>
      <c r="AJ282" t="s">
        <v>2051</v>
      </c>
      <c r="AK282" t="s">
        <v>2051</v>
      </c>
      <c r="AL282" t="s">
        <v>2051</v>
      </c>
      <c r="AM282" t="s">
        <v>2051</v>
      </c>
      <c r="AN282" t="s">
        <v>2051</v>
      </c>
      <c r="AO282" t="s">
        <v>2051</v>
      </c>
      <c r="AP282" t="s">
        <v>2051</v>
      </c>
      <c r="AQ282" t="s">
        <v>2051</v>
      </c>
      <c r="AR282" t="s">
        <v>2051</v>
      </c>
      <c r="AS282" t="s">
        <v>2051</v>
      </c>
      <c r="AT282" t="s">
        <v>2051</v>
      </c>
      <c r="AU282" t="s">
        <v>2051</v>
      </c>
      <c r="AV282" t="s">
        <v>2051</v>
      </c>
      <c r="AW282" t="s">
        <v>2051</v>
      </c>
      <c r="AX282" t="s">
        <v>2051</v>
      </c>
      <c r="AY282" t="s">
        <v>2051</v>
      </c>
      <c r="AZ282" t="s">
        <v>2051</v>
      </c>
    </row>
    <row r="283" spans="1:52" x14ac:dyDescent="0.2">
      <c r="A283" t="s">
        <v>2051</v>
      </c>
      <c r="B283" t="s">
        <v>2051</v>
      </c>
      <c r="C283" t="s">
        <v>2051</v>
      </c>
      <c r="D283" t="s">
        <v>2051</v>
      </c>
      <c r="E283" t="s">
        <v>2051</v>
      </c>
      <c r="F283" t="s">
        <v>2051</v>
      </c>
      <c r="G283" t="s">
        <v>2051</v>
      </c>
      <c r="H283" t="s">
        <v>2051</v>
      </c>
      <c r="I283" t="s">
        <v>2051</v>
      </c>
      <c r="J283" t="s">
        <v>2051</v>
      </c>
      <c r="K283" t="s">
        <v>2051</v>
      </c>
      <c r="L283" t="s">
        <v>2051</v>
      </c>
      <c r="M283" t="s">
        <v>2051</v>
      </c>
      <c r="N283" t="s">
        <v>2051</v>
      </c>
      <c r="O283" t="s">
        <v>2051</v>
      </c>
      <c r="P283" t="s">
        <v>2051</v>
      </c>
      <c r="Q283" t="s">
        <v>2051</v>
      </c>
      <c r="R283" t="s">
        <v>2051</v>
      </c>
      <c r="S283" t="s">
        <v>2051</v>
      </c>
      <c r="T283" t="s">
        <v>2051</v>
      </c>
      <c r="U283" t="s">
        <v>2051</v>
      </c>
      <c r="V283" t="s">
        <v>2051</v>
      </c>
      <c r="W283" t="s">
        <v>2051</v>
      </c>
      <c r="X283" t="s">
        <v>2051</v>
      </c>
      <c r="Y283" t="s">
        <v>2051</v>
      </c>
      <c r="Z283" t="s">
        <v>2051</v>
      </c>
      <c r="AA283" t="s">
        <v>2051</v>
      </c>
      <c r="AB283" t="s">
        <v>2051</v>
      </c>
      <c r="AC283" t="s">
        <v>2051</v>
      </c>
      <c r="AD283" t="s">
        <v>2051</v>
      </c>
      <c r="AE283" t="s">
        <v>2051</v>
      </c>
      <c r="AF283" t="s">
        <v>2051</v>
      </c>
      <c r="AG283" t="s">
        <v>2051</v>
      </c>
      <c r="AH283" t="s">
        <v>2051</v>
      </c>
      <c r="AI283" t="s">
        <v>2051</v>
      </c>
      <c r="AJ283" t="s">
        <v>2051</v>
      </c>
      <c r="AK283" t="s">
        <v>2051</v>
      </c>
      <c r="AL283" t="s">
        <v>2051</v>
      </c>
      <c r="AM283" t="s">
        <v>2051</v>
      </c>
      <c r="AN283" t="s">
        <v>2051</v>
      </c>
      <c r="AO283" t="s">
        <v>2051</v>
      </c>
      <c r="AP283" t="s">
        <v>2051</v>
      </c>
      <c r="AQ283" t="s">
        <v>2051</v>
      </c>
      <c r="AR283" t="s">
        <v>2051</v>
      </c>
      <c r="AS283" t="s">
        <v>2051</v>
      </c>
      <c r="AT283" t="s">
        <v>2051</v>
      </c>
      <c r="AU283" t="s">
        <v>2051</v>
      </c>
      <c r="AV283" t="s">
        <v>2051</v>
      </c>
      <c r="AW283" t="s">
        <v>2051</v>
      </c>
      <c r="AX283" t="s">
        <v>2051</v>
      </c>
      <c r="AY283" t="s">
        <v>2051</v>
      </c>
      <c r="AZ283" t="s">
        <v>2051</v>
      </c>
    </row>
    <row r="284" spans="1:52" x14ac:dyDescent="0.2">
      <c r="A284" t="s">
        <v>2051</v>
      </c>
      <c r="B284" t="s">
        <v>2051</v>
      </c>
      <c r="C284" t="s">
        <v>2051</v>
      </c>
      <c r="D284" t="s">
        <v>2051</v>
      </c>
      <c r="E284" t="s">
        <v>2051</v>
      </c>
      <c r="F284" t="s">
        <v>2051</v>
      </c>
      <c r="G284" t="s">
        <v>2051</v>
      </c>
      <c r="H284" t="s">
        <v>2051</v>
      </c>
      <c r="I284" t="s">
        <v>2051</v>
      </c>
      <c r="J284" t="s">
        <v>2051</v>
      </c>
      <c r="K284" t="s">
        <v>2051</v>
      </c>
      <c r="L284" t="s">
        <v>2051</v>
      </c>
      <c r="M284" t="s">
        <v>2051</v>
      </c>
      <c r="N284" t="s">
        <v>2051</v>
      </c>
      <c r="O284" t="s">
        <v>2051</v>
      </c>
      <c r="P284" t="s">
        <v>2051</v>
      </c>
      <c r="Q284" t="s">
        <v>2051</v>
      </c>
      <c r="R284" t="s">
        <v>2051</v>
      </c>
      <c r="S284" t="s">
        <v>2051</v>
      </c>
      <c r="T284" t="s">
        <v>2051</v>
      </c>
      <c r="U284" t="s">
        <v>2051</v>
      </c>
      <c r="V284" t="s">
        <v>2051</v>
      </c>
      <c r="W284" t="s">
        <v>2051</v>
      </c>
      <c r="X284" t="s">
        <v>2051</v>
      </c>
      <c r="Y284" t="s">
        <v>2051</v>
      </c>
      <c r="Z284" t="s">
        <v>2051</v>
      </c>
      <c r="AA284" t="s">
        <v>2051</v>
      </c>
      <c r="AB284" t="s">
        <v>2051</v>
      </c>
      <c r="AC284" t="s">
        <v>2051</v>
      </c>
      <c r="AD284" t="s">
        <v>2051</v>
      </c>
      <c r="AE284" t="s">
        <v>2051</v>
      </c>
      <c r="AF284" t="s">
        <v>2051</v>
      </c>
      <c r="AG284" t="s">
        <v>2051</v>
      </c>
      <c r="AH284" t="s">
        <v>2051</v>
      </c>
      <c r="AI284" t="s">
        <v>2051</v>
      </c>
      <c r="AJ284" t="s">
        <v>2051</v>
      </c>
      <c r="AK284" t="s">
        <v>2051</v>
      </c>
      <c r="AL284" t="s">
        <v>2051</v>
      </c>
      <c r="AM284" t="s">
        <v>2051</v>
      </c>
      <c r="AN284" t="s">
        <v>2051</v>
      </c>
      <c r="AO284" t="s">
        <v>2051</v>
      </c>
      <c r="AP284" t="s">
        <v>2051</v>
      </c>
      <c r="AQ284" t="s">
        <v>2051</v>
      </c>
      <c r="AR284" t="s">
        <v>2051</v>
      </c>
      <c r="AS284" t="s">
        <v>2051</v>
      </c>
      <c r="AT284" t="s">
        <v>2051</v>
      </c>
      <c r="AU284" t="s">
        <v>2051</v>
      </c>
      <c r="AV284" t="s">
        <v>2051</v>
      </c>
      <c r="AW284" t="s">
        <v>2051</v>
      </c>
      <c r="AX284" t="s">
        <v>2051</v>
      </c>
      <c r="AY284" t="s">
        <v>2051</v>
      </c>
      <c r="AZ284" t="s">
        <v>2051</v>
      </c>
    </row>
    <row r="285" spans="1:52" x14ac:dyDescent="0.2">
      <c r="A285" t="s">
        <v>2051</v>
      </c>
      <c r="B285" t="s">
        <v>2051</v>
      </c>
      <c r="C285" t="s">
        <v>2051</v>
      </c>
      <c r="D285" t="s">
        <v>2051</v>
      </c>
      <c r="E285" t="s">
        <v>2051</v>
      </c>
      <c r="F285" t="s">
        <v>2051</v>
      </c>
      <c r="G285" t="s">
        <v>2051</v>
      </c>
      <c r="H285" t="s">
        <v>2051</v>
      </c>
      <c r="I285" t="s">
        <v>2051</v>
      </c>
      <c r="J285" t="s">
        <v>2051</v>
      </c>
      <c r="K285" t="s">
        <v>2051</v>
      </c>
      <c r="L285" t="s">
        <v>2051</v>
      </c>
      <c r="M285" t="s">
        <v>2051</v>
      </c>
      <c r="N285" t="s">
        <v>2051</v>
      </c>
      <c r="O285" t="s">
        <v>2051</v>
      </c>
      <c r="P285" t="s">
        <v>2051</v>
      </c>
      <c r="Q285" t="s">
        <v>2051</v>
      </c>
      <c r="R285" t="s">
        <v>2051</v>
      </c>
      <c r="S285" t="s">
        <v>2051</v>
      </c>
      <c r="T285" t="s">
        <v>2051</v>
      </c>
      <c r="U285" t="s">
        <v>2051</v>
      </c>
      <c r="V285" t="s">
        <v>2051</v>
      </c>
      <c r="W285" t="s">
        <v>2051</v>
      </c>
      <c r="X285" t="s">
        <v>2051</v>
      </c>
      <c r="Y285" t="s">
        <v>2051</v>
      </c>
      <c r="Z285" t="s">
        <v>2051</v>
      </c>
      <c r="AA285" t="s">
        <v>2051</v>
      </c>
      <c r="AB285" t="s">
        <v>2051</v>
      </c>
      <c r="AC285" t="s">
        <v>2051</v>
      </c>
      <c r="AD285" t="s">
        <v>2051</v>
      </c>
      <c r="AE285" t="s">
        <v>2051</v>
      </c>
      <c r="AF285" t="s">
        <v>2051</v>
      </c>
      <c r="AG285" t="s">
        <v>2051</v>
      </c>
      <c r="AH285" t="s">
        <v>2051</v>
      </c>
      <c r="AI285" t="s">
        <v>2051</v>
      </c>
      <c r="AJ285" t="s">
        <v>2051</v>
      </c>
      <c r="AK285" t="s">
        <v>2051</v>
      </c>
      <c r="AL285" t="s">
        <v>2051</v>
      </c>
      <c r="AM285" t="s">
        <v>2051</v>
      </c>
      <c r="AN285" t="s">
        <v>2051</v>
      </c>
      <c r="AO285" t="s">
        <v>2051</v>
      </c>
      <c r="AP285" t="s">
        <v>2051</v>
      </c>
      <c r="AQ285" t="s">
        <v>2051</v>
      </c>
      <c r="AR285" t="s">
        <v>2051</v>
      </c>
      <c r="AS285" t="s">
        <v>2051</v>
      </c>
      <c r="AT285" t="s">
        <v>2051</v>
      </c>
      <c r="AU285" t="s">
        <v>2051</v>
      </c>
      <c r="AV285" t="s">
        <v>2051</v>
      </c>
      <c r="AW285" t="s">
        <v>2051</v>
      </c>
      <c r="AX285" t="s">
        <v>2051</v>
      </c>
      <c r="AY285" t="s">
        <v>2051</v>
      </c>
      <c r="AZ285" t="s">
        <v>2051</v>
      </c>
    </row>
    <row r="286" spans="1:52" x14ac:dyDescent="0.2">
      <c r="A286" t="s">
        <v>2051</v>
      </c>
      <c r="B286" t="s">
        <v>2051</v>
      </c>
      <c r="C286" t="s">
        <v>2051</v>
      </c>
      <c r="D286" t="s">
        <v>2051</v>
      </c>
      <c r="E286" t="s">
        <v>2051</v>
      </c>
      <c r="F286" t="s">
        <v>2051</v>
      </c>
      <c r="G286" t="s">
        <v>2051</v>
      </c>
      <c r="H286" t="s">
        <v>2051</v>
      </c>
      <c r="I286" t="s">
        <v>2051</v>
      </c>
      <c r="J286" t="s">
        <v>2051</v>
      </c>
      <c r="K286" t="s">
        <v>2051</v>
      </c>
      <c r="L286" t="s">
        <v>2051</v>
      </c>
      <c r="M286" t="s">
        <v>2051</v>
      </c>
      <c r="N286" t="s">
        <v>2051</v>
      </c>
      <c r="O286" t="s">
        <v>2051</v>
      </c>
      <c r="P286" t="s">
        <v>2051</v>
      </c>
      <c r="Q286" t="s">
        <v>2051</v>
      </c>
      <c r="R286" t="s">
        <v>2051</v>
      </c>
      <c r="S286" t="s">
        <v>2051</v>
      </c>
      <c r="T286" t="s">
        <v>2051</v>
      </c>
      <c r="U286" t="s">
        <v>2051</v>
      </c>
      <c r="V286" t="s">
        <v>2051</v>
      </c>
      <c r="W286" t="s">
        <v>2051</v>
      </c>
      <c r="X286" t="s">
        <v>2051</v>
      </c>
      <c r="Y286" t="s">
        <v>2051</v>
      </c>
      <c r="Z286" t="s">
        <v>2051</v>
      </c>
      <c r="AA286" t="s">
        <v>2051</v>
      </c>
      <c r="AB286" t="s">
        <v>2051</v>
      </c>
      <c r="AC286" t="s">
        <v>2051</v>
      </c>
      <c r="AD286" t="s">
        <v>2051</v>
      </c>
      <c r="AE286" t="s">
        <v>2051</v>
      </c>
      <c r="AF286" t="s">
        <v>2051</v>
      </c>
      <c r="AG286" t="s">
        <v>2051</v>
      </c>
      <c r="AH286" t="s">
        <v>2051</v>
      </c>
      <c r="AI286" t="s">
        <v>2051</v>
      </c>
      <c r="AJ286" t="s">
        <v>2051</v>
      </c>
      <c r="AK286" t="s">
        <v>2051</v>
      </c>
      <c r="AL286" t="s">
        <v>2051</v>
      </c>
      <c r="AM286" t="s">
        <v>2051</v>
      </c>
      <c r="AN286" t="s">
        <v>2051</v>
      </c>
      <c r="AO286" t="s">
        <v>2051</v>
      </c>
      <c r="AP286" t="s">
        <v>2051</v>
      </c>
      <c r="AQ286" t="s">
        <v>2051</v>
      </c>
      <c r="AR286" t="s">
        <v>2051</v>
      </c>
      <c r="AS286" t="s">
        <v>2051</v>
      </c>
      <c r="AT286" t="s">
        <v>2051</v>
      </c>
      <c r="AU286" t="s">
        <v>2051</v>
      </c>
      <c r="AV286" t="s">
        <v>2051</v>
      </c>
      <c r="AW286" t="s">
        <v>2051</v>
      </c>
      <c r="AX286" t="s">
        <v>2051</v>
      </c>
      <c r="AY286" t="s">
        <v>2051</v>
      </c>
      <c r="AZ286" t="s">
        <v>2051</v>
      </c>
    </row>
    <row r="287" spans="1:52" x14ac:dyDescent="0.2">
      <c r="A287" t="s">
        <v>2051</v>
      </c>
      <c r="B287" t="s">
        <v>2051</v>
      </c>
      <c r="C287" t="s">
        <v>2051</v>
      </c>
      <c r="D287" t="s">
        <v>2051</v>
      </c>
      <c r="E287" t="s">
        <v>2051</v>
      </c>
      <c r="F287" t="s">
        <v>2051</v>
      </c>
      <c r="G287" t="s">
        <v>2051</v>
      </c>
      <c r="H287" t="s">
        <v>2051</v>
      </c>
      <c r="I287" t="s">
        <v>2051</v>
      </c>
      <c r="J287" t="s">
        <v>2051</v>
      </c>
      <c r="K287" t="s">
        <v>2051</v>
      </c>
      <c r="L287" t="s">
        <v>2051</v>
      </c>
      <c r="M287" t="s">
        <v>2051</v>
      </c>
      <c r="N287" t="s">
        <v>2051</v>
      </c>
      <c r="O287" t="s">
        <v>2051</v>
      </c>
      <c r="P287" t="s">
        <v>2051</v>
      </c>
      <c r="Q287" t="s">
        <v>2051</v>
      </c>
      <c r="R287" t="s">
        <v>2051</v>
      </c>
      <c r="S287" t="s">
        <v>2051</v>
      </c>
      <c r="T287" t="s">
        <v>2051</v>
      </c>
      <c r="U287" t="s">
        <v>2051</v>
      </c>
      <c r="V287" t="s">
        <v>2051</v>
      </c>
      <c r="W287" t="s">
        <v>2051</v>
      </c>
      <c r="X287" t="s">
        <v>2051</v>
      </c>
      <c r="Y287" t="s">
        <v>2051</v>
      </c>
      <c r="Z287" t="s">
        <v>2051</v>
      </c>
      <c r="AA287" t="s">
        <v>2051</v>
      </c>
      <c r="AB287" t="s">
        <v>2051</v>
      </c>
      <c r="AC287" t="s">
        <v>2051</v>
      </c>
      <c r="AD287" t="s">
        <v>2051</v>
      </c>
      <c r="AE287" t="s">
        <v>2051</v>
      </c>
      <c r="AF287" t="s">
        <v>2051</v>
      </c>
      <c r="AG287" t="s">
        <v>2051</v>
      </c>
      <c r="AH287" t="s">
        <v>2051</v>
      </c>
      <c r="AI287" t="s">
        <v>2051</v>
      </c>
      <c r="AJ287" t="s">
        <v>2051</v>
      </c>
      <c r="AK287" t="s">
        <v>2051</v>
      </c>
      <c r="AL287" t="s">
        <v>2051</v>
      </c>
      <c r="AM287" t="s">
        <v>2051</v>
      </c>
      <c r="AN287" t="s">
        <v>2051</v>
      </c>
      <c r="AO287" t="s">
        <v>2051</v>
      </c>
      <c r="AP287" t="s">
        <v>2051</v>
      </c>
      <c r="AQ287" t="s">
        <v>2051</v>
      </c>
      <c r="AR287" t="s">
        <v>2051</v>
      </c>
      <c r="AS287" t="s">
        <v>2051</v>
      </c>
      <c r="AT287" t="s">
        <v>2051</v>
      </c>
      <c r="AU287" t="s">
        <v>2051</v>
      </c>
      <c r="AV287" t="s">
        <v>2051</v>
      </c>
      <c r="AW287" t="s">
        <v>2051</v>
      </c>
      <c r="AX287" t="s">
        <v>2051</v>
      </c>
      <c r="AY287" t="s">
        <v>2051</v>
      </c>
      <c r="AZ287" t="s">
        <v>2051</v>
      </c>
    </row>
    <row r="288" spans="1:52" x14ac:dyDescent="0.2">
      <c r="A288" t="s">
        <v>2051</v>
      </c>
      <c r="B288" t="s">
        <v>2051</v>
      </c>
      <c r="C288" t="s">
        <v>2051</v>
      </c>
      <c r="D288" t="s">
        <v>2051</v>
      </c>
      <c r="E288" t="s">
        <v>2051</v>
      </c>
      <c r="F288" t="s">
        <v>2051</v>
      </c>
      <c r="G288" t="s">
        <v>2051</v>
      </c>
      <c r="H288" t="s">
        <v>2051</v>
      </c>
      <c r="I288" t="s">
        <v>2051</v>
      </c>
      <c r="J288" t="s">
        <v>2051</v>
      </c>
      <c r="K288" t="s">
        <v>2051</v>
      </c>
      <c r="L288" t="s">
        <v>2051</v>
      </c>
      <c r="M288" t="s">
        <v>2051</v>
      </c>
      <c r="N288" t="s">
        <v>2051</v>
      </c>
      <c r="O288" t="s">
        <v>2051</v>
      </c>
      <c r="P288" t="s">
        <v>2051</v>
      </c>
      <c r="Q288" t="s">
        <v>2051</v>
      </c>
      <c r="R288" t="s">
        <v>2051</v>
      </c>
      <c r="S288" t="s">
        <v>2051</v>
      </c>
      <c r="T288" t="s">
        <v>2051</v>
      </c>
      <c r="U288" t="s">
        <v>2051</v>
      </c>
      <c r="V288" t="s">
        <v>2051</v>
      </c>
      <c r="W288" t="s">
        <v>2051</v>
      </c>
      <c r="X288" t="s">
        <v>2051</v>
      </c>
      <c r="Y288" t="s">
        <v>2051</v>
      </c>
      <c r="Z288" t="s">
        <v>2051</v>
      </c>
      <c r="AA288" t="s">
        <v>2051</v>
      </c>
      <c r="AB288" t="s">
        <v>2051</v>
      </c>
      <c r="AC288" t="s">
        <v>2051</v>
      </c>
      <c r="AD288" t="s">
        <v>2051</v>
      </c>
      <c r="AE288" t="s">
        <v>2051</v>
      </c>
      <c r="AF288" t="s">
        <v>2051</v>
      </c>
      <c r="AG288" t="s">
        <v>2051</v>
      </c>
      <c r="AH288" t="s">
        <v>2051</v>
      </c>
      <c r="AI288" t="s">
        <v>2051</v>
      </c>
      <c r="AJ288" t="s">
        <v>2051</v>
      </c>
      <c r="AK288" t="s">
        <v>2051</v>
      </c>
      <c r="AL288" t="s">
        <v>2051</v>
      </c>
      <c r="AM288" t="s">
        <v>2051</v>
      </c>
      <c r="AN288" t="s">
        <v>2051</v>
      </c>
      <c r="AO288" t="s">
        <v>2051</v>
      </c>
      <c r="AP288" t="s">
        <v>2051</v>
      </c>
      <c r="AQ288" t="s">
        <v>2051</v>
      </c>
      <c r="AR288" t="s">
        <v>2051</v>
      </c>
      <c r="AS288" t="s">
        <v>2051</v>
      </c>
      <c r="AT288" t="s">
        <v>2051</v>
      </c>
      <c r="AU288" t="s">
        <v>2051</v>
      </c>
      <c r="AV288" t="s">
        <v>2051</v>
      </c>
      <c r="AW288" t="s">
        <v>2051</v>
      </c>
      <c r="AX288" t="s">
        <v>2051</v>
      </c>
      <c r="AY288" t="s">
        <v>2051</v>
      </c>
      <c r="AZ288" t="s">
        <v>2051</v>
      </c>
    </row>
    <row r="289" spans="1:52" x14ac:dyDescent="0.2">
      <c r="A289" t="s">
        <v>2051</v>
      </c>
      <c r="B289" t="s">
        <v>2051</v>
      </c>
      <c r="C289" t="s">
        <v>2051</v>
      </c>
      <c r="D289" t="s">
        <v>2051</v>
      </c>
      <c r="E289" t="s">
        <v>2051</v>
      </c>
      <c r="F289" t="s">
        <v>2051</v>
      </c>
      <c r="G289" t="s">
        <v>2051</v>
      </c>
      <c r="H289" t="s">
        <v>2051</v>
      </c>
      <c r="I289" t="s">
        <v>2051</v>
      </c>
      <c r="J289" t="s">
        <v>2051</v>
      </c>
      <c r="K289" t="s">
        <v>2051</v>
      </c>
      <c r="L289" t="s">
        <v>2051</v>
      </c>
      <c r="M289" t="s">
        <v>2051</v>
      </c>
      <c r="N289" t="s">
        <v>2051</v>
      </c>
      <c r="O289" t="s">
        <v>2051</v>
      </c>
      <c r="P289" t="s">
        <v>2051</v>
      </c>
      <c r="Q289" t="s">
        <v>2051</v>
      </c>
      <c r="R289" t="s">
        <v>2051</v>
      </c>
      <c r="S289" t="s">
        <v>2051</v>
      </c>
      <c r="T289" t="s">
        <v>2051</v>
      </c>
      <c r="U289" t="s">
        <v>2051</v>
      </c>
      <c r="V289" t="s">
        <v>2051</v>
      </c>
      <c r="W289" t="s">
        <v>2051</v>
      </c>
      <c r="X289" t="s">
        <v>2051</v>
      </c>
      <c r="Y289" t="s">
        <v>2051</v>
      </c>
      <c r="Z289" t="s">
        <v>2051</v>
      </c>
      <c r="AA289" t="s">
        <v>2051</v>
      </c>
      <c r="AB289" t="s">
        <v>2051</v>
      </c>
      <c r="AC289" t="s">
        <v>2051</v>
      </c>
      <c r="AD289" t="s">
        <v>2051</v>
      </c>
      <c r="AE289" t="s">
        <v>2051</v>
      </c>
      <c r="AF289" t="s">
        <v>2051</v>
      </c>
      <c r="AG289" t="s">
        <v>2051</v>
      </c>
      <c r="AH289" t="s">
        <v>2051</v>
      </c>
      <c r="AI289" t="s">
        <v>2051</v>
      </c>
      <c r="AJ289" t="s">
        <v>2051</v>
      </c>
      <c r="AK289" t="s">
        <v>2051</v>
      </c>
      <c r="AL289" t="s">
        <v>2051</v>
      </c>
      <c r="AM289" t="s">
        <v>2051</v>
      </c>
      <c r="AN289" t="s">
        <v>2051</v>
      </c>
      <c r="AO289" t="s">
        <v>2051</v>
      </c>
      <c r="AP289" t="s">
        <v>2051</v>
      </c>
      <c r="AQ289" t="s">
        <v>2051</v>
      </c>
      <c r="AR289" t="s">
        <v>2051</v>
      </c>
      <c r="AS289" t="s">
        <v>2051</v>
      </c>
      <c r="AT289" t="s">
        <v>2051</v>
      </c>
      <c r="AU289" t="s">
        <v>2051</v>
      </c>
      <c r="AV289" t="s">
        <v>2051</v>
      </c>
      <c r="AW289" t="s">
        <v>2051</v>
      </c>
      <c r="AX289" t="s">
        <v>2051</v>
      </c>
      <c r="AY289" t="s">
        <v>2051</v>
      </c>
      <c r="AZ289" t="s">
        <v>2051</v>
      </c>
    </row>
    <row r="290" spans="1:52" x14ac:dyDescent="0.2">
      <c r="A290" t="s">
        <v>2051</v>
      </c>
      <c r="B290" t="s">
        <v>2051</v>
      </c>
      <c r="C290" t="s">
        <v>2051</v>
      </c>
      <c r="D290" t="s">
        <v>2051</v>
      </c>
      <c r="E290" t="s">
        <v>2051</v>
      </c>
      <c r="F290" t="s">
        <v>2051</v>
      </c>
      <c r="G290" t="s">
        <v>2051</v>
      </c>
      <c r="H290" t="s">
        <v>2051</v>
      </c>
      <c r="I290" t="s">
        <v>2051</v>
      </c>
      <c r="J290" t="s">
        <v>2051</v>
      </c>
      <c r="K290" t="s">
        <v>2051</v>
      </c>
      <c r="L290" t="s">
        <v>2051</v>
      </c>
      <c r="M290" t="s">
        <v>2051</v>
      </c>
      <c r="N290" t="s">
        <v>2051</v>
      </c>
      <c r="O290" t="s">
        <v>2051</v>
      </c>
      <c r="P290" t="s">
        <v>2051</v>
      </c>
      <c r="Q290" t="s">
        <v>2051</v>
      </c>
      <c r="R290" t="s">
        <v>2051</v>
      </c>
      <c r="S290" t="s">
        <v>2051</v>
      </c>
      <c r="T290" t="s">
        <v>2051</v>
      </c>
      <c r="U290" t="s">
        <v>2051</v>
      </c>
      <c r="V290" t="s">
        <v>2051</v>
      </c>
      <c r="W290" t="s">
        <v>2051</v>
      </c>
      <c r="X290" t="s">
        <v>2051</v>
      </c>
      <c r="Y290" t="s">
        <v>2051</v>
      </c>
      <c r="Z290" t="s">
        <v>2051</v>
      </c>
      <c r="AA290" t="s">
        <v>2051</v>
      </c>
      <c r="AB290" t="s">
        <v>2051</v>
      </c>
      <c r="AC290" t="s">
        <v>2051</v>
      </c>
      <c r="AD290" t="s">
        <v>2051</v>
      </c>
      <c r="AE290" t="s">
        <v>2051</v>
      </c>
      <c r="AF290" t="s">
        <v>2051</v>
      </c>
      <c r="AG290" t="s">
        <v>2051</v>
      </c>
      <c r="AH290" t="s">
        <v>2051</v>
      </c>
      <c r="AI290" t="s">
        <v>2051</v>
      </c>
      <c r="AJ290" t="s">
        <v>2051</v>
      </c>
      <c r="AK290" t="s">
        <v>2051</v>
      </c>
      <c r="AL290" t="s">
        <v>2051</v>
      </c>
      <c r="AM290" t="s">
        <v>2051</v>
      </c>
      <c r="AN290" t="s">
        <v>2051</v>
      </c>
      <c r="AO290" t="s">
        <v>2051</v>
      </c>
      <c r="AP290" t="s">
        <v>2051</v>
      </c>
      <c r="AQ290" t="s">
        <v>2051</v>
      </c>
      <c r="AR290" t="s">
        <v>2051</v>
      </c>
      <c r="AS290" t="s">
        <v>2051</v>
      </c>
      <c r="AT290" t="s">
        <v>2051</v>
      </c>
      <c r="AU290" t="s">
        <v>2051</v>
      </c>
      <c r="AV290" t="s">
        <v>2051</v>
      </c>
      <c r="AW290" t="s">
        <v>2051</v>
      </c>
      <c r="AX290" t="s">
        <v>2051</v>
      </c>
      <c r="AY290" t="s">
        <v>2051</v>
      </c>
      <c r="AZ290" t="s">
        <v>2051</v>
      </c>
    </row>
    <row r="291" spans="1:52" x14ac:dyDescent="0.2">
      <c r="A291" t="s">
        <v>2051</v>
      </c>
      <c r="B291" t="s">
        <v>2051</v>
      </c>
      <c r="C291" t="s">
        <v>2051</v>
      </c>
      <c r="D291" t="s">
        <v>2051</v>
      </c>
      <c r="E291" t="s">
        <v>2051</v>
      </c>
      <c r="F291" t="s">
        <v>2051</v>
      </c>
      <c r="G291" t="s">
        <v>2051</v>
      </c>
      <c r="H291" t="s">
        <v>2051</v>
      </c>
      <c r="I291" t="s">
        <v>2051</v>
      </c>
      <c r="J291" t="s">
        <v>2051</v>
      </c>
      <c r="K291" t="s">
        <v>2051</v>
      </c>
      <c r="L291" t="s">
        <v>2051</v>
      </c>
      <c r="M291" t="s">
        <v>2051</v>
      </c>
      <c r="N291" t="s">
        <v>2051</v>
      </c>
      <c r="O291" t="s">
        <v>2051</v>
      </c>
      <c r="P291" t="s">
        <v>2051</v>
      </c>
      <c r="Q291" t="s">
        <v>2051</v>
      </c>
      <c r="R291" t="s">
        <v>2051</v>
      </c>
      <c r="S291" t="s">
        <v>2051</v>
      </c>
      <c r="T291" t="s">
        <v>2051</v>
      </c>
      <c r="U291" t="s">
        <v>2051</v>
      </c>
      <c r="V291" t="s">
        <v>2051</v>
      </c>
      <c r="W291" t="s">
        <v>2051</v>
      </c>
      <c r="X291" t="s">
        <v>2051</v>
      </c>
      <c r="Y291" t="s">
        <v>2051</v>
      </c>
      <c r="Z291" t="s">
        <v>2051</v>
      </c>
      <c r="AA291" t="s">
        <v>2051</v>
      </c>
      <c r="AB291" t="s">
        <v>2051</v>
      </c>
      <c r="AC291" t="s">
        <v>2051</v>
      </c>
      <c r="AD291" t="s">
        <v>2051</v>
      </c>
      <c r="AE291" t="s">
        <v>2051</v>
      </c>
      <c r="AF291" t="s">
        <v>2051</v>
      </c>
      <c r="AG291" t="s">
        <v>2051</v>
      </c>
      <c r="AH291" t="s">
        <v>2051</v>
      </c>
      <c r="AI291" t="s">
        <v>2051</v>
      </c>
      <c r="AJ291" t="s">
        <v>2051</v>
      </c>
      <c r="AK291" t="s">
        <v>2051</v>
      </c>
      <c r="AL291" t="s">
        <v>2051</v>
      </c>
      <c r="AM291" t="s">
        <v>2051</v>
      </c>
      <c r="AN291" t="s">
        <v>2051</v>
      </c>
      <c r="AO291" t="s">
        <v>2051</v>
      </c>
      <c r="AP291" t="s">
        <v>2051</v>
      </c>
      <c r="AQ291" t="s">
        <v>2051</v>
      </c>
      <c r="AR291" t="s">
        <v>2051</v>
      </c>
      <c r="AS291" t="s">
        <v>2051</v>
      </c>
      <c r="AT291" t="s">
        <v>2051</v>
      </c>
      <c r="AU291" t="s">
        <v>2051</v>
      </c>
      <c r="AV291" t="s">
        <v>2051</v>
      </c>
      <c r="AW291" t="s">
        <v>2051</v>
      </c>
      <c r="AX291" t="s">
        <v>2051</v>
      </c>
      <c r="AY291" t="s">
        <v>2051</v>
      </c>
      <c r="AZ291" t="s">
        <v>2051</v>
      </c>
    </row>
    <row r="292" spans="1:52" x14ac:dyDescent="0.2">
      <c r="A292" t="s">
        <v>2051</v>
      </c>
      <c r="B292" t="s">
        <v>2051</v>
      </c>
      <c r="C292" t="s">
        <v>2051</v>
      </c>
      <c r="D292" t="s">
        <v>2051</v>
      </c>
      <c r="E292" t="s">
        <v>2051</v>
      </c>
      <c r="F292" t="s">
        <v>2051</v>
      </c>
      <c r="G292" t="s">
        <v>2051</v>
      </c>
      <c r="H292" t="s">
        <v>2051</v>
      </c>
      <c r="I292" t="s">
        <v>2051</v>
      </c>
      <c r="J292" t="s">
        <v>2051</v>
      </c>
      <c r="K292" t="s">
        <v>2051</v>
      </c>
      <c r="L292" t="s">
        <v>2051</v>
      </c>
      <c r="M292" t="s">
        <v>2051</v>
      </c>
      <c r="N292" t="s">
        <v>2051</v>
      </c>
      <c r="O292" t="s">
        <v>2051</v>
      </c>
      <c r="P292" t="s">
        <v>2051</v>
      </c>
      <c r="Q292" t="s">
        <v>2051</v>
      </c>
      <c r="R292" t="s">
        <v>2051</v>
      </c>
      <c r="S292" t="s">
        <v>2051</v>
      </c>
      <c r="T292" t="s">
        <v>2051</v>
      </c>
      <c r="U292" t="s">
        <v>2051</v>
      </c>
      <c r="V292" t="s">
        <v>2051</v>
      </c>
      <c r="W292" t="s">
        <v>2051</v>
      </c>
      <c r="X292" t="s">
        <v>2051</v>
      </c>
      <c r="Y292" t="s">
        <v>2051</v>
      </c>
      <c r="Z292" t="s">
        <v>2051</v>
      </c>
      <c r="AA292" t="s">
        <v>2051</v>
      </c>
      <c r="AB292" t="s">
        <v>2051</v>
      </c>
      <c r="AC292" t="s">
        <v>2051</v>
      </c>
      <c r="AD292" t="s">
        <v>2051</v>
      </c>
      <c r="AE292" t="s">
        <v>2051</v>
      </c>
      <c r="AF292" t="s">
        <v>2051</v>
      </c>
      <c r="AG292" t="s">
        <v>2051</v>
      </c>
      <c r="AH292" t="s">
        <v>2051</v>
      </c>
      <c r="AI292" t="s">
        <v>2051</v>
      </c>
      <c r="AJ292" t="s">
        <v>2051</v>
      </c>
      <c r="AK292" t="s">
        <v>2051</v>
      </c>
      <c r="AL292" t="s">
        <v>2051</v>
      </c>
      <c r="AM292" t="s">
        <v>2051</v>
      </c>
      <c r="AN292" t="s">
        <v>2051</v>
      </c>
      <c r="AO292" t="s">
        <v>2051</v>
      </c>
      <c r="AP292" t="s">
        <v>2051</v>
      </c>
      <c r="AQ292" t="s">
        <v>2051</v>
      </c>
      <c r="AR292" t="s">
        <v>2051</v>
      </c>
      <c r="AS292" t="s">
        <v>2051</v>
      </c>
      <c r="AT292" t="s">
        <v>2051</v>
      </c>
      <c r="AU292" t="s">
        <v>2051</v>
      </c>
      <c r="AV292" t="s">
        <v>2051</v>
      </c>
      <c r="AW292" t="s">
        <v>2051</v>
      </c>
      <c r="AX292" t="s">
        <v>2051</v>
      </c>
      <c r="AY292" t="s">
        <v>2051</v>
      </c>
      <c r="AZ292" t="s">
        <v>2051</v>
      </c>
    </row>
    <row r="293" spans="1:52" x14ac:dyDescent="0.2">
      <c r="A293" t="s">
        <v>2051</v>
      </c>
      <c r="B293" t="s">
        <v>2051</v>
      </c>
      <c r="C293" t="s">
        <v>2051</v>
      </c>
      <c r="D293" t="s">
        <v>2051</v>
      </c>
      <c r="E293" t="s">
        <v>2051</v>
      </c>
      <c r="F293" t="s">
        <v>2051</v>
      </c>
      <c r="G293" t="s">
        <v>2051</v>
      </c>
      <c r="H293" t="s">
        <v>2051</v>
      </c>
      <c r="I293" t="s">
        <v>2051</v>
      </c>
      <c r="J293" t="s">
        <v>2051</v>
      </c>
      <c r="K293" t="s">
        <v>2051</v>
      </c>
      <c r="L293" t="s">
        <v>2051</v>
      </c>
      <c r="M293" t="s">
        <v>2051</v>
      </c>
      <c r="N293" t="s">
        <v>2051</v>
      </c>
      <c r="O293" t="s">
        <v>2051</v>
      </c>
      <c r="P293" t="s">
        <v>2051</v>
      </c>
      <c r="Q293" t="s">
        <v>2051</v>
      </c>
      <c r="R293" t="s">
        <v>2051</v>
      </c>
      <c r="S293" t="s">
        <v>2051</v>
      </c>
      <c r="T293" t="s">
        <v>2051</v>
      </c>
      <c r="U293" t="s">
        <v>2051</v>
      </c>
      <c r="V293" t="s">
        <v>2051</v>
      </c>
      <c r="W293" t="s">
        <v>2051</v>
      </c>
      <c r="X293" t="s">
        <v>2051</v>
      </c>
      <c r="Y293" t="s">
        <v>2051</v>
      </c>
      <c r="Z293" t="s">
        <v>2051</v>
      </c>
      <c r="AA293" t="s">
        <v>2051</v>
      </c>
      <c r="AB293" t="s">
        <v>2051</v>
      </c>
      <c r="AC293" t="s">
        <v>2051</v>
      </c>
      <c r="AD293" t="s">
        <v>2051</v>
      </c>
      <c r="AE293" t="s">
        <v>2051</v>
      </c>
      <c r="AF293" t="s">
        <v>2051</v>
      </c>
      <c r="AG293" t="s">
        <v>2051</v>
      </c>
      <c r="AH293" t="s">
        <v>2051</v>
      </c>
      <c r="AI293" t="s">
        <v>2051</v>
      </c>
      <c r="AJ293" t="s">
        <v>2051</v>
      </c>
      <c r="AK293" t="s">
        <v>2051</v>
      </c>
      <c r="AL293" t="s">
        <v>2051</v>
      </c>
      <c r="AM293" t="s">
        <v>2051</v>
      </c>
      <c r="AN293" t="s">
        <v>2051</v>
      </c>
      <c r="AO293" t="s">
        <v>2051</v>
      </c>
      <c r="AP293" t="s">
        <v>2051</v>
      </c>
      <c r="AQ293" t="s">
        <v>2051</v>
      </c>
      <c r="AR293" t="s">
        <v>2051</v>
      </c>
      <c r="AS293" t="s">
        <v>2051</v>
      </c>
      <c r="AT293" t="s">
        <v>2051</v>
      </c>
      <c r="AU293" t="s">
        <v>2051</v>
      </c>
      <c r="AV293" t="s">
        <v>2051</v>
      </c>
      <c r="AW293" t="s">
        <v>2051</v>
      </c>
      <c r="AX293" t="s">
        <v>2051</v>
      </c>
      <c r="AY293" t="s">
        <v>2051</v>
      </c>
      <c r="AZ293" t="s">
        <v>2051</v>
      </c>
    </row>
    <row r="294" spans="1:52" x14ac:dyDescent="0.2">
      <c r="A294" t="s">
        <v>2051</v>
      </c>
      <c r="B294" t="s">
        <v>2051</v>
      </c>
      <c r="C294" t="s">
        <v>2051</v>
      </c>
      <c r="D294" t="s">
        <v>2051</v>
      </c>
      <c r="E294" t="s">
        <v>2051</v>
      </c>
      <c r="F294" t="s">
        <v>2051</v>
      </c>
      <c r="G294" t="s">
        <v>2051</v>
      </c>
      <c r="H294" t="s">
        <v>2051</v>
      </c>
      <c r="I294" t="s">
        <v>2051</v>
      </c>
      <c r="J294" t="s">
        <v>2051</v>
      </c>
      <c r="K294" t="s">
        <v>2051</v>
      </c>
      <c r="L294" t="s">
        <v>2051</v>
      </c>
      <c r="M294" t="s">
        <v>2051</v>
      </c>
      <c r="N294" t="s">
        <v>2051</v>
      </c>
      <c r="O294" t="s">
        <v>2051</v>
      </c>
      <c r="P294" t="s">
        <v>2051</v>
      </c>
      <c r="Q294" t="s">
        <v>2051</v>
      </c>
      <c r="R294" t="s">
        <v>2051</v>
      </c>
      <c r="S294" t="s">
        <v>2051</v>
      </c>
      <c r="T294" t="s">
        <v>2051</v>
      </c>
      <c r="U294" t="s">
        <v>2051</v>
      </c>
      <c r="V294" t="s">
        <v>2051</v>
      </c>
      <c r="W294" t="s">
        <v>2051</v>
      </c>
      <c r="X294" t="s">
        <v>2051</v>
      </c>
      <c r="Y294" t="s">
        <v>2051</v>
      </c>
      <c r="Z294" t="s">
        <v>2051</v>
      </c>
      <c r="AA294" t="s">
        <v>2051</v>
      </c>
      <c r="AB294" t="s">
        <v>2051</v>
      </c>
      <c r="AC294" t="s">
        <v>2051</v>
      </c>
      <c r="AD294" t="s">
        <v>2051</v>
      </c>
      <c r="AE294" t="s">
        <v>2051</v>
      </c>
      <c r="AF294" t="s">
        <v>2051</v>
      </c>
      <c r="AG294" t="s">
        <v>2051</v>
      </c>
      <c r="AH294" t="s">
        <v>2051</v>
      </c>
      <c r="AI294" t="s">
        <v>2051</v>
      </c>
      <c r="AJ294" t="s">
        <v>2051</v>
      </c>
      <c r="AK294" t="s">
        <v>2051</v>
      </c>
      <c r="AL294" t="s">
        <v>2051</v>
      </c>
      <c r="AM294" t="s">
        <v>2051</v>
      </c>
      <c r="AN294" t="s">
        <v>2051</v>
      </c>
      <c r="AO294" t="s">
        <v>2051</v>
      </c>
      <c r="AP294" t="s">
        <v>2051</v>
      </c>
      <c r="AQ294" t="s">
        <v>2051</v>
      </c>
      <c r="AR294" t="s">
        <v>2051</v>
      </c>
      <c r="AS294" t="s">
        <v>2051</v>
      </c>
      <c r="AT294" t="s">
        <v>2051</v>
      </c>
      <c r="AU294" t="s">
        <v>2051</v>
      </c>
      <c r="AV294" t="s">
        <v>2051</v>
      </c>
      <c r="AW294" t="s">
        <v>2051</v>
      </c>
      <c r="AX294" t="s">
        <v>2051</v>
      </c>
      <c r="AY294" t="s">
        <v>2051</v>
      </c>
      <c r="AZ294" t="s">
        <v>2051</v>
      </c>
    </row>
    <row r="295" spans="1:52" x14ac:dyDescent="0.2">
      <c r="A295" t="s">
        <v>2051</v>
      </c>
      <c r="B295" t="s">
        <v>2051</v>
      </c>
      <c r="C295" t="s">
        <v>2051</v>
      </c>
      <c r="D295" t="s">
        <v>2051</v>
      </c>
      <c r="E295" t="s">
        <v>2051</v>
      </c>
      <c r="F295" t="s">
        <v>2051</v>
      </c>
      <c r="G295" t="s">
        <v>2051</v>
      </c>
      <c r="H295" t="s">
        <v>2051</v>
      </c>
      <c r="I295" t="s">
        <v>2051</v>
      </c>
      <c r="J295" t="s">
        <v>2051</v>
      </c>
      <c r="K295" t="s">
        <v>2051</v>
      </c>
      <c r="L295" t="s">
        <v>2051</v>
      </c>
      <c r="M295" t="s">
        <v>2051</v>
      </c>
      <c r="N295" t="s">
        <v>2051</v>
      </c>
      <c r="O295" t="s">
        <v>2051</v>
      </c>
      <c r="P295" t="s">
        <v>2051</v>
      </c>
      <c r="Q295" t="s">
        <v>2051</v>
      </c>
      <c r="R295" t="s">
        <v>2051</v>
      </c>
      <c r="S295" t="s">
        <v>2051</v>
      </c>
      <c r="T295" t="s">
        <v>2051</v>
      </c>
      <c r="U295" t="s">
        <v>2051</v>
      </c>
      <c r="V295" t="s">
        <v>2051</v>
      </c>
      <c r="W295" t="s">
        <v>2051</v>
      </c>
      <c r="X295" t="s">
        <v>2051</v>
      </c>
      <c r="Y295" t="s">
        <v>2051</v>
      </c>
      <c r="Z295" t="s">
        <v>2051</v>
      </c>
      <c r="AA295" t="s">
        <v>2051</v>
      </c>
      <c r="AB295" t="s">
        <v>2051</v>
      </c>
      <c r="AC295" t="s">
        <v>2051</v>
      </c>
      <c r="AD295" t="s">
        <v>2051</v>
      </c>
      <c r="AE295" t="s">
        <v>2051</v>
      </c>
      <c r="AF295" t="s">
        <v>2051</v>
      </c>
      <c r="AG295" t="s">
        <v>2051</v>
      </c>
      <c r="AH295" t="s">
        <v>2051</v>
      </c>
      <c r="AI295" t="s">
        <v>2051</v>
      </c>
      <c r="AJ295" t="s">
        <v>2051</v>
      </c>
      <c r="AK295" t="s">
        <v>2051</v>
      </c>
      <c r="AL295" t="s">
        <v>2051</v>
      </c>
      <c r="AM295" t="s">
        <v>2051</v>
      </c>
      <c r="AN295" t="s">
        <v>2051</v>
      </c>
      <c r="AO295" t="s">
        <v>2051</v>
      </c>
      <c r="AP295" t="s">
        <v>2051</v>
      </c>
      <c r="AQ295" t="s">
        <v>2051</v>
      </c>
      <c r="AR295" t="s">
        <v>2051</v>
      </c>
      <c r="AS295" t="s">
        <v>2051</v>
      </c>
      <c r="AT295" t="s">
        <v>2051</v>
      </c>
      <c r="AU295" t="s">
        <v>2051</v>
      </c>
      <c r="AV295" t="s">
        <v>2051</v>
      </c>
      <c r="AW295" t="s">
        <v>2051</v>
      </c>
      <c r="AX295" t="s">
        <v>2051</v>
      </c>
      <c r="AY295" t="s">
        <v>2051</v>
      </c>
      <c r="AZ295" t="s">
        <v>2051</v>
      </c>
    </row>
    <row r="296" spans="1:52" x14ac:dyDescent="0.2">
      <c r="A296" t="s">
        <v>2051</v>
      </c>
      <c r="B296" t="s">
        <v>2051</v>
      </c>
      <c r="C296" t="s">
        <v>2051</v>
      </c>
      <c r="D296" t="s">
        <v>2051</v>
      </c>
      <c r="E296" t="s">
        <v>2051</v>
      </c>
      <c r="F296" t="s">
        <v>2051</v>
      </c>
      <c r="G296" t="s">
        <v>2051</v>
      </c>
      <c r="H296" t="s">
        <v>2051</v>
      </c>
      <c r="I296" t="s">
        <v>2051</v>
      </c>
      <c r="J296" t="s">
        <v>2051</v>
      </c>
      <c r="K296" t="s">
        <v>2051</v>
      </c>
      <c r="L296" t="s">
        <v>2051</v>
      </c>
      <c r="M296" t="s">
        <v>2051</v>
      </c>
      <c r="N296" t="s">
        <v>2051</v>
      </c>
      <c r="O296" t="s">
        <v>2051</v>
      </c>
      <c r="P296" t="s">
        <v>2051</v>
      </c>
      <c r="Q296" t="s">
        <v>2051</v>
      </c>
      <c r="R296" t="s">
        <v>2051</v>
      </c>
      <c r="S296" t="s">
        <v>2051</v>
      </c>
      <c r="T296" t="s">
        <v>2051</v>
      </c>
      <c r="U296" t="s">
        <v>2051</v>
      </c>
      <c r="V296" t="s">
        <v>2051</v>
      </c>
      <c r="W296" t="s">
        <v>2051</v>
      </c>
      <c r="X296" t="s">
        <v>2051</v>
      </c>
      <c r="Y296" t="s">
        <v>2051</v>
      </c>
      <c r="Z296" t="s">
        <v>2051</v>
      </c>
      <c r="AA296" t="s">
        <v>2051</v>
      </c>
      <c r="AB296" t="s">
        <v>2051</v>
      </c>
      <c r="AC296" t="s">
        <v>2051</v>
      </c>
      <c r="AD296" t="s">
        <v>2051</v>
      </c>
      <c r="AE296" t="s">
        <v>2051</v>
      </c>
      <c r="AF296" t="s">
        <v>2051</v>
      </c>
      <c r="AG296" t="s">
        <v>2051</v>
      </c>
      <c r="AH296" t="s">
        <v>2051</v>
      </c>
      <c r="AI296" t="s">
        <v>2051</v>
      </c>
      <c r="AJ296" t="s">
        <v>2051</v>
      </c>
      <c r="AK296" t="s">
        <v>2051</v>
      </c>
      <c r="AL296" t="s">
        <v>2051</v>
      </c>
      <c r="AM296" t="s">
        <v>2051</v>
      </c>
      <c r="AN296" t="s">
        <v>2051</v>
      </c>
      <c r="AO296" t="s">
        <v>2051</v>
      </c>
      <c r="AP296" t="s">
        <v>2051</v>
      </c>
      <c r="AQ296" t="s">
        <v>2051</v>
      </c>
      <c r="AR296" t="s">
        <v>2051</v>
      </c>
      <c r="AS296" t="s">
        <v>2051</v>
      </c>
      <c r="AT296" t="s">
        <v>2051</v>
      </c>
      <c r="AU296" t="s">
        <v>2051</v>
      </c>
      <c r="AV296" t="s">
        <v>2051</v>
      </c>
      <c r="AW296" t="s">
        <v>2051</v>
      </c>
      <c r="AX296" t="s">
        <v>2051</v>
      </c>
      <c r="AY296" t="s">
        <v>2051</v>
      </c>
      <c r="AZ296" t="s">
        <v>2051</v>
      </c>
    </row>
    <row r="297" spans="1:52" x14ac:dyDescent="0.2">
      <c r="A297" t="s">
        <v>2051</v>
      </c>
      <c r="B297" t="s">
        <v>2051</v>
      </c>
      <c r="C297" t="s">
        <v>2051</v>
      </c>
      <c r="D297" t="s">
        <v>2051</v>
      </c>
      <c r="E297" t="s">
        <v>2051</v>
      </c>
      <c r="F297" t="s">
        <v>2051</v>
      </c>
      <c r="G297" t="s">
        <v>2051</v>
      </c>
      <c r="H297" t="s">
        <v>2051</v>
      </c>
      <c r="I297" t="s">
        <v>2051</v>
      </c>
      <c r="J297" t="s">
        <v>2051</v>
      </c>
      <c r="K297" t="s">
        <v>2051</v>
      </c>
      <c r="L297" t="s">
        <v>2051</v>
      </c>
      <c r="M297" t="s">
        <v>2051</v>
      </c>
      <c r="N297" t="s">
        <v>2051</v>
      </c>
      <c r="O297" t="s">
        <v>2051</v>
      </c>
      <c r="P297" t="s">
        <v>2051</v>
      </c>
      <c r="Q297" t="s">
        <v>2051</v>
      </c>
      <c r="R297" t="s">
        <v>2051</v>
      </c>
      <c r="S297" t="s">
        <v>2051</v>
      </c>
      <c r="T297" t="s">
        <v>2051</v>
      </c>
      <c r="U297" t="s">
        <v>2051</v>
      </c>
      <c r="V297" t="s">
        <v>2051</v>
      </c>
      <c r="W297" t="s">
        <v>2051</v>
      </c>
      <c r="X297" t="s">
        <v>2051</v>
      </c>
      <c r="Y297" t="s">
        <v>2051</v>
      </c>
      <c r="Z297" t="s">
        <v>2051</v>
      </c>
      <c r="AA297" t="s">
        <v>2051</v>
      </c>
      <c r="AB297" t="s">
        <v>2051</v>
      </c>
      <c r="AC297" t="s">
        <v>2051</v>
      </c>
      <c r="AD297" t="s">
        <v>2051</v>
      </c>
      <c r="AE297" t="s">
        <v>2051</v>
      </c>
      <c r="AF297" t="s">
        <v>2051</v>
      </c>
      <c r="AG297" t="s">
        <v>2051</v>
      </c>
      <c r="AH297" t="s">
        <v>2051</v>
      </c>
      <c r="AI297" t="s">
        <v>2051</v>
      </c>
      <c r="AJ297" t="s">
        <v>2051</v>
      </c>
      <c r="AK297" t="s">
        <v>2051</v>
      </c>
      <c r="AL297" t="s">
        <v>2051</v>
      </c>
      <c r="AM297" t="s">
        <v>2051</v>
      </c>
      <c r="AN297" t="s">
        <v>2051</v>
      </c>
      <c r="AO297" t="s">
        <v>2051</v>
      </c>
      <c r="AP297" t="s">
        <v>2051</v>
      </c>
      <c r="AQ297" t="s">
        <v>2051</v>
      </c>
      <c r="AR297" t="s">
        <v>2051</v>
      </c>
      <c r="AS297" t="s">
        <v>2051</v>
      </c>
      <c r="AT297" t="s">
        <v>2051</v>
      </c>
      <c r="AU297" t="s">
        <v>2051</v>
      </c>
      <c r="AV297" t="s">
        <v>2051</v>
      </c>
      <c r="AW297" t="s">
        <v>2051</v>
      </c>
      <c r="AX297" t="s">
        <v>2051</v>
      </c>
      <c r="AY297" t="s">
        <v>2051</v>
      </c>
      <c r="AZ297" t="s">
        <v>2051</v>
      </c>
    </row>
    <row r="298" spans="1:52" x14ac:dyDescent="0.2">
      <c r="A298" t="s">
        <v>2051</v>
      </c>
      <c r="B298" t="s">
        <v>2051</v>
      </c>
      <c r="C298" t="s">
        <v>2051</v>
      </c>
      <c r="D298" t="s">
        <v>2051</v>
      </c>
      <c r="E298" t="s">
        <v>2051</v>
      </c>
      <c r="F298" t="s">
        <v>2051</v>
      </c>
      <c r="G298" t="s">
        <v>2051</v>
      </c>
      <c r="H298" t="s">
        <v>2051</v>
      </c>
      <c r="I298" t="s">
        <v>2051</v>
      </c>
      <c r="J298" t="s">
        <v>2051</v>
      </c>
      <c r="K298" t="s">
        <v>2051</v>
      </c>
      <c r="L298" t="s">
        <v>2051</v>
      </c>
      <c r="M298" t="s">
        <v>2051</v>
      </c>
      <c r="N298" t="s">
        <v>2051</v>
      </c>
      <c r="O298" t="s">
        <v>2051</v>
      </c>
      <c r="P298" t="s">
        <v>2051</v>
      </c>
      <c r="Q298" t="s">
        <v>2051</v>
      </c>
      <c r="R298" t="s">
        <v>2051</v>
      </c>
      <c r="S298" t="s">
        <v>2051</v>
      </c>
      <c r="T298" t="s">
        <v>2051</v>
      </c>
      <c r="U298" t="s">
        <v>2051</v>
      </c>
      <c r="V298" t="s">
        <v>2051</v>
      </c>
      <c r="W298" t="s">
        <v>2051</v>
      </c>
      <c r="X298" t="s">
        <v>2051</v>
      </c>
      <c r="Y298" t="s">
        <v>2051</v>
      </c>
      <c r="Z298" t="s">
        <v>2051</v>
      </c>
      <c r="AA298" t="s">
        <v>2051</v>
      </c>
      <c r="AB298" t="s">
        <v>2051</v>
      </c>
      <c r="AC298" t="s">
        <v>2051</v>
      </c>
      <c r="AD298" t="s">
        <v>2051</v>
      </c>
      <c r="AE298" t="s">
        <v>2051</v>
      </c>
      <c r="AF298" t="s">
        <v>2051</v>
      </c>
      <c r="AG298" t="s">
        <v>2051</v>
      </c>
      <c r="AH298" t="s">
        <v>2051</v>
      </c>
      <c r="AI298" t="s">
        <v>2051</v>
      </c>
      <c r="AJ298" t="s">
        <v>2051</v>
      </c>
      <c r="AK298" t="s">
        <v>2051</v>
      </c>
      <c r="AL298" t="s">
        <v>2051</v>
      </c>
      <c r="AM298" t="s">
        <v>2051</v>
      </c>
      <c r="AN298" t="s">
        <v>2051</v>
      </c>
      <c r="AO298" t="s">
        <v>2051</v>
      </c>
      <c r="AP298" t="s">
        <v>2051</v>
      </c>
      <c r="AQ298" t="s">
        <v>2051</v>
      </c>
      <c r="AR298" t="s">
        <v>2051</v>
      </c>
      <c r="AS298" t="s">
        <v>2051</v>
      </c>
      <c r="AT298" t="s">
        <v>2051</v>
      </c>
      <c r="AU298" t="s">
        <v>2051</v>
      </c>
      <c r="AV298" t="s">
        <v>2051</v>
      </c>
      <c r="AW298" t="s">
        <v>2051</v>
      </c>
      <c r="AX298" t="s">
        <v>2051</v>
      </c>
      <c r="AY298" t="s">
        <v>2051</v>
      </c>
      <c r="AZ298" t="s">
        <v>2051</v>
      </c>
    </row>
    <row r="299" spans="1:52" x14ac:dyDescent="0.2">
      <c r="A299" t="s">
        <v>2051</v>
      </c>
      <c r="B299" t="s">
        <v>2051</v>
      </c>
      <c r="C299" t="s">
        <v>2051</v>
      </c>
      <c r="D299" t="s">
        <v>2051</v>
      </c>
      <c r="E299" t="s">
        <v>2051</v>
      </c>
      <c r="F299" t="s">
        <v>2051</v>
      </c>
      <c r="G299" t="s">
        <v>2051</v>
      </c>
      <c r="H299" t="s">
        <v>2051</v>
      </c>
      <c r="I299" t="s">
        <v>2051</v>
      </c>
      <c r="J299" t="s">
        <v>2051</v>
      </c>
      <c r="K299" t="s">
        <v>2051</v>
      </c>
      <c r="L299" t="s">
        <v>2051</v>
      </c>
      <c r="M299" t="s">
        <v>2051</v>
      </c>
      <c r="N299" t="s">
        <v>2051</v>
      </c>
      <c r="O299" t="s">
        <v>2051</v>
      </c>
      <c r="P299" t="s">
        <v>2051</v>
      </c>
      <c r="Q299" t="s">
        <v>2051</v>
      </c>
      <c r="R299" t="s">
        <v>2051</v>
      </c>
      <c r="S299" t="s">
        <v>2051</v>
      </c>
      <c r="T299" t="s">
        <v>2051</v>
      </c>
      <c r="U299" t="s">
        <v>2051</v>
      </c>
      <c r="V299" t="s">
        <v>2051</v>
      </c>
      <c r="W299" t="s">
        <v>2051</v>
      </c>
      <c r="X299" t="s">
        <v>2051</v>
      </c>
      <c r="Y299" t="s">
        <v>2051</v>
      </c>
      <c r="Z299" t="s">
        <v>2051</v>
      </c>
      <c r="AA299" t="s">
        <v>2051</v>
      </c>
      <c r="AB299" t="s">
        <v>2051</v>
      </c>
      <c r="AC299" t="s">
        <v>2051</v>
      </c>
      <c r="AD299" t="s">
        <v>2051</v>
      </c>
      <c r="AE299" t="s">
        <v>2051</v>
      </c>
      <c r="AF299" t="s">
        <v>2051</v>
      </c>
      <c r="AG299" t="s">
        <v>2051</v>
      </c>
      <c r="AH299" t="s">
        <v>2051</v>
      </c>
      <c r="AI299" t="s">
        <v>2051</v>
      </c>
      <c r="AJ299" t="s">
        <v>2051</v>
      </c>
      <c r="AK299" t="s">
        <v>2051</v>
      </c>
      <c r="AL299" t="s">
        <v>2051</v>
      </c>
      <c r="AM299" t="s">
        <v>2051</v>
      </c>
      <c r="AN299" t="s">
        <v>2051</v>
      </c>
      <c r="AO299" t="s">
        <v>2051</v>
      </c>
      <c r="AP299" t="s">
        <v>2051</v>
      </c>
      <c r="AQ299" t="s">
        <v>2051</v>
      </c>
      <c r="AR299" t="s">
        <v>2051</v>
      </c>
      <c r="AS299" t="s">
        <v>2051</v>
      </c>
      <c r="AT299" t="s">
        <v>2051</v>
      </c>
      <c r="AU299" t="s">
        <v>2051</v>
      </c>
      <c r="AV299" t="s">
        <v>2051</v>
      </c>
      <c r="AW299" t="s">
        <v>2051</v>
      </c>
      <c r="AX299" t="s">
        <v>2051</v>
      </c>
      <c r="AY299" t="s">
        <v>2051</v>
      </c>
      <c r="AZ299" t="s">
        <v>2051</v>
      </c>
    </row>
    <row r="300" spans="1:52" x14ac:dyDescent="0.2">
      <c r="A300" t="s">
        <v>2051</v>
      </c>
      <c r="B300" t="s">
        <v>2051</v>
      </c>
      <c r="C300" t="s">
        <v>2051</v>
      </c>
      <c r="D300" t="s">
        <v>2051</v>
      </c>
      <c r="E300" t="s">
        <v>2051</v>
      </c>
      <c r="F300" t="s">
        <v>2051</v>
      </c>
      <c r="G300" t="s">
        <v>2051</v>
      </c>
      <c r="H300" t="s">
        <v>2051</v>
      </c>
      <c r="I300" t="s">
        <v>2051</v>
      </c>
      <c r="J300" t="s">
        <v>2051</v>
      </c>
      <c r="K300" t="s">
        <v>2051</v>
      </c>
      <c r="L300" t="s">
        <v>2051</v>
      </c>
      <c r="M300" t="s">
        <v>2051</v>
      </c>
      <c r="N300" t="s">
        <v>2051</v>
      </c>
      <c r="O300" t="s">
        <v>2051</v>
      </c>
      <c r="P300" t="s">
        <v>2051</v>
      </c>
      <c r="Q300" t="s">
        <v>2051</v>
      </c>
      <c r="R300" t="s">
        <v>2051</v>
      </c>
      <c r="S300" t="s">
        <v>2051</v>
      </c>
      <c r="T300" t="s">
        <v>2051</v>
      </c>
      <c r="U300" t="s">
        <v>2051</v>
      </c>
      <c r="V300" t="s">
        <v>2051</v>
      </c>
      <c r="W300" t="s">
        <v>2051</v>
      </c>
      <c r="X300" t="s">
        <v>2051</v>
      </c>
      <c r="Y300" t="s">
        <v>2051</v>
      </c>
      <c r="Z300" t="s">
        <v>2051</v>
      </c>
      <c r="AA300" t="s">
        <v>2051</v>
      </c>
      <c r="AB300" t="s">
        <v>2051</v>
      </c>
      <c r="AC300" t="s">
        <v>2051</v>
      </c>
      <c r="AD300" t="s">
        <v>2051</v>
      </c>
      <c r="AE300" t="s">
        <v>2051</v>
      </c>
      <c r="AF300" t="s">
        <v>2051</v>
      </c>
      <c r="AG300" t="s">
        <v>2051</v>
      </c>
      <c r="AH300" t="s">
        <v>2051</v>
      </c>
      <c r="AI300" t="s">
        <v>2051</v>
      </c>
      <c r="AJ300" t="s">
        <v>2051</v>
      </c>
      <c r="AK300" t="s">
        <v>2051</v>
      </c>
      <c r="AL300" t="s">
        <v>2051</v>
      </c>
      <c r="AM300" t="s">
        <v>2051</v>
      </c>
      <c r="AN300" t="s">
        <v>2051</v>
      </c>
      <c r="AO300" t="s">
        <v>2051</v>
      </c>
      <c r="AP300" t="s">
        <v>2051</v>
      </c>
      <c r="AQ300" t="s">
        <v>2051</v>
      </c>
      <c r="AR300" t="s">
        <v>2051</v>
      </c>
      <c r="AS300" t="s">
        <v>2051</v>
      </c>
      <c r="AT300" t="s">
        <v>2051</v>
      </c>
      <c r="AU300" t="s">
        <v>2051</v>
      </c>
      <c r="AV300" t="s">
        <v>2051</v>
      </c>
      <c r="AW300" t="s">
        <v>2051</v>
      </c>
      <c r="AX300" t="s">
        <v>2051</v>
      </c>
      <c r="AY300" t="s">
        <v>2051</v>
      </c>
      <c r="AZ300" t="s">
        <v>2051</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BW798"/>
  <sheetViews>
    <sheetView zoomScaleNormal="100" workbookViewId="0">
      <pane xSplit="1" ySplit="5" topLeftCell="B6" activePane="bottomRight" state="frozen"/>
      <selection pane="topRight"/>
      <selection pane="bottomLeft"/>
      <selection pane="bottomRight"/>
    </sheetView>
  </sheetViews>
  <sheetFormatPr defaultColWidth="8.85546875" defaultRowHeight="12.75" x14ac:dyDescent="0.2"/>
  <cols>
    <col min="1" max="1" width="22.42578125" style="4" customWidth="1"/>
    <col min="2" max="3" width="8.28515625" style="4" bestFit="1" customWidth="1"/>
    <col min="4" max="4" width="8.28515625" style="4" customWidth="1"/>
    <col min="5" max="5" width="4.7109375" style="4" bestFit="1" customWidth="1"/>
    <col min="6" max="6" width="4.42578125" style="4" customWidth="1"/>
    <col min="7" max="7" width="4.42578125" style="4" bestFit="1" customWidth="1"/>
    <col min="8" max="8" width="4.42578125" style="4" customWidth="1"/>
    <col min="9" max="9" width="4.42578125" style="4" bestFit="1" customWidth="1"/>
    <col min="10" max="12" width="4.42578125" style="4" customWidth="1"/>
    <col min="13" max="13" width="6" style="4" customWidth="1"/>
    <col min="14" max="14" width="4.42578125" style="4" customWidth="1"/>
    <col min="15" max="15" width="6.85546875" style="4" customWidth="1"/>
    <col min="16" max="16" width="4.42578125" style="4" customWidth="1"/>
    <col min="17" max="17" width="6.7109375" style="4" customWidth="1"/>
    <col min="18" max="21" width="4.42578125" style="4" customWidth="1"/>
    <col min="22" max="22" width="11.28515625" style="4" customWidth="1"/>
    <col min="23" max="23" width="9.28515625" style="4" customWidth="1"/>
    <col min="24" max="24" width="4.42578125" style="4" customWidth="1"/>
    <col min="25" max="25" width="3.85546875" style="4" customWidth="1"/>
    <col min="26" max="37" width="8.42578125" style="4" customWidth="1"/>
    <col min="38" max="39" width="3.85546875" style="4" customWidth="1"/>
    <col min="40" max="40" width="11.140625" style="4" customWidth="1"/>
    <col min="41" max="54" width="8.7109375" style="4" customWidth="1"/>
    <col min="55" max="58" width="5.7109375" style="4" customWidth="1"/>
    <col min="59" max="62" width="6.42578125" style="4" customWidth="1"/>
    <col min="63" max="63" width="3.7109375" customWidth="1"/>
    <col min="64" max="64" width="6.42578125" style="4" customWidth="1"/>
    <col min="65" max="65" width="3.7109375" style="4" customWidth="1"/>
    <col min="66" max="67" width="6.42578125" style="4" customWidth="1"/>
    <col min="68" max="68" width="3.7109375" style="4" customWidth="1"/>
    <col min="69" max="70" width="6.42578125" style="4" customWidth="1"/>
    <col min="71" max="71" width="3.7109375" style="4" customWidth="1"/>
    <col min="72" max="73" width="6.42578125" style="4" customWidth="1"/>
    <col min="74" max="74" width="3.7109375" style="4" customWidth="1"/>
    <col min="75" max="75" width="6.42578125" style="4" customWidth="1"/>
    <col min="76" max="76" width="3.7109375" style="4" customWidth="1"/>
    <col min="77" max="78" width="6.42578125" style="4" customWidth="1"/>
    <col min="79" max="79" width="3.7109375" style="4" customWidth="1"/>
    <col min="80" max="16384" width="8.85546875" style="4"/>
  </cols>
  <sheetData>
    <row r="1" spans="1:75" x14ac:dyDescent="0.2">
      <c r="E1" s="4" t="s">
        <v>910</v>
      </c>
      <c r="M1" s="4" t="s">
        <v>912</v>
      </c>
      <c r="V1" s="4" t="s">
        <v>913</v>
      </c>
      <c r="Z1" s="4" t="s">
        <v>808</v>
      </c>
      <c r="AG1" s="11"/>
      <c r="AI1" s="4" t="s">
        <v>907</v>
      </c>
      <c r="AN1" s="11"/>
      <c r="AO1" s="4" t="s">
        <v>812</v>
      </c>
      <c r="AP1" s="11"/>
      <c r="AV1" s="4" t="s">
        <v>815</v>
      </c>
      <c r="AW1" s="11"/>
      <c r="BN1" s="11"/>
      <c r="BQ1" s="11"/>
    </row>
    <row r="2" spans="1:75" x14ac:dyDescent="0.2">
      <c r="E2" s="4" t="s">
        <v>911</v>
      </c>
      <c r="V2" s="4" t="s">
        <v>914</v>
      </c>
      <c r="Z2" s="4" t="s">
        <v>813</v>
      </c>
      <c r="BN2" s="11"/>
      <c r="BQ2" s="11"/>
      <c r="BW2" s="74"/>
    </row>
    <row r="3" spans="1:75" x14ac:dyDescent="0.2">
      <c r="E3" s="4" t="s">
        <v>809</v>
      </c>
      <c r="G3" s="4" t="s">
        <v>810</v>
      </c>
      <c r="I3" s="4" t="s">
        <v>811</v>
      </c>
      <c r="M3" s="4" t="s">
        <v>809</v>
      </c>
      <c r="O3" s="4" t="s">
        <v>810</v>
      </c>
      <c r="Q3" s="4" t="s">
        <v>811</v>
      </c>
      <c r="Z3" s="4" t="s">
        <v>809</v>
      </c>
      <c r="AC3" s="4" t="s">
        <v>810</v>
      </c>
      <c r="AF3" s="4" t="s">
        <v>811</v>
      </c>
      <c r="AO3" s="4" t="s">
        <v>809</v>
      </c>
      <c r="AQ3" s="4" t="s">
        <v>810</v>
      </c>
      <c r="AS3" s="4" t="s">
        <v>811</v>
      </c>
      <c r="AV3" s="4" t="s">
        <v>809</v>
      </c>
      <c r="AX3" s="4" t="s">
        <v>810</v>
      </c>
      <c r="AZ3" s="4" t="s">
        <v>811</v>
      </c>
    </row>
    <row r="4" spans="1:75" x14ac:dyDescent="0.2">
      <c r="A4" s="4" t="s">
        <v>42</v>
      </c>
      <c r="B4" s="4" t="s">
        <v>0</v>
      </c>
      <c r="C4" s="4" t="s">
        <v>0</v>
      </c>
      <c r="D4" s="4" t="s">
        <v>715</v>
      </c>
      <c r="E4" s="4" t="str">
        <f>'C'!B2</f>
        <v>MM04 04 (100-150) 05 (100-150)</v>
      </c>
      <c r="F4" s="9"/>
      <c r="G4" s="4" t="str">
        <f>'C'!E2</f>
        <v>MM05 04 (150-200) 05 (150-200)</v>
      </c>
      <c r="H4" s="9"/>
      <c r="I4" s="4" t="str">
        <f>'C'!H2</f>
        <v>MM06 04 (200-250) 04 (250-300) 05 (200-250) 05 (250-300)</v>
      </c>
      <c r="J4" s="9"/>
      <c r="K4" s="9"/>
      <c r="L4" s="9"/>
      <c r="M4" s="9"/>
      <c r="N4" s="9"/>
      <c r="O4" s="9"/>
      <c r="P4" s="9"/>
      <c r="Q4" s="9"/>
      <c r="R4" s="9"/>
      <c r="S4" s="9"/>
      <c r="T4" s="9"/>
      <c r="U4" s="9"/>
      <c r="V4" s="9"/>
      <c r="W4" s="9"/>
      <c r="X4" s="9"/>
      <c r="Z4" s="4" t="str">
        <f>E4</f>
        <v>MM04 04 (100-150) 05 (100-150)</v>
      </c>
      <c r="AC4" s="4" t="str">
        <f>G4</f>
        <v>MM05 04 (150-200) 05 (150-200)</v>
      </c>
      <c r="AF4" s="4" t="str">
        <f>I4</f>
        <v>MM06 04 (200-250) 04 (250-300) 05 (200-250) 05 (250-300)</v>
      </c>
      <c r="AI4" s="4" t="s">
        <v>884</v>
      </c>
      <c r="AJ4" s="4" t="s">
        <v>885</v>
      </c>
      <c r="AK4" s="4" t="s">
        <v>886</v>
      </c>
      <c r="AO4" s="4" t="str">
        <f>E4</f>
        <v>MM04 04 (100-150) 05 (100-150)</v>
      </c>
      <c r="AQ4" s="4" t="str">
        <f>G4</f>
        <v>MM05 04 (150-200) 05 (150-200)</v>
      </c>
      <c r="AS4" s="4" t="str">
        <f>I4</f>
        <v>MM06 04 (200-250) 04 (250-300) 05 (200-250) 05 (250-300)</v>
      </c>
      <c r="AV4" s="4" t="str">
        <f>E4</f>
        <v>MM04 04 (100-150) 05 (100-150)</v>
      </c>
      <c r="AX4" s="4" t="str">
        <f>G4</f>
        <v>MM05 04 (150-200) 05 (150-200)</v>
      </c>
      <c r="AZ4" s="4" t="str">
        <f>I4</f>
        <v>MM06 04 (200-250) 04 (250-300) 05 (200-250) 05 (250-300)</v>
      </c>
    </row>
    <row r="5" spans="1:75" x14ac:dyDescent="0.2">
      <c r="C5" s="4" t="s">
        <v>379</v>
      </c>
      <c r="F5" s="10"/>
      <c r="H5" s="10"/>
      <c r="J5" s="10"/>
      <c r="K5" s="10"/>
      <c r="L5" s="10"/>
      <c r="M5" s="10"/>
      <c r="N5" s="10"/>
      <c r="O5" s="10"/>
      <c r="P5" s="10"/>
      <c r="Q5" s="10"/>
      <c r="R5" s="10"/>
      <c r="S5" s="10"/>
      <c r="T5" s="10"/>
      <c r="U5" s="10"/>
      <c r="V5" s="10"/>
      <c r="W5" s="10"/>
      <c r="X5" s="10"/>
    </row>
    <row r="6" spans="1:75" x14ac:dyDescent="0.2">
      <c r="F6" s="10"/>
      <c r="H6" s="10"/>
      <c r="I6" s="73"/>
      <c r="J6" s="10"/>
      <c r="K6" s="10"/>
      <c r="L6" s="10"/>
      <c r="M6" s="10"/>
      <c r="N6" s="10"/>
      <c r="O6" s="10"/>
      <c r="P6" s="10"/>
      <c r="Q6" s="10"/>
      <c r="R6" s="10"/>
      <c r="S6" s="10"/>
      <c r="T6" s="10"/>
      <c r="U6" s="10"/>
      <c r="V6" s="10"/>
      <c r="W6" s="10"/>
      <c r="X6" s="10"/>
      <c r="AN6" s="4" t="s">
        <v>905</v>
      </c>
      <c r="AO6" s="4">
        <f>IF(Invoer!D27&lt;E!$AI3,E!$AI3,Invoer!D27)</f>
        <v>2</v>
      </c>
      <c r="AQ6" s="4">
        <f>IF(Invoer!F27&lt;E!$AI3,E!$AI3,Invoer!F27)</f>
        <v>2</v>
      </c>
      <c r="AS6" s="4">
        <f>IF(Invoer!H27&lt;E!$AI3,E!$AI3,Invoer!H27)</f>
        <v>2</v>
      </c>
    </row>
    <row r="7" spans="1:75" x14ac:dyDescent="0.2">
      <c r="A7" s="4" t="s">
        <v>40</v>
      </c>
      <c r="B7" s="4">
        <v>692</v>
      </c>
      <c r="C7" s="4" t="str">
        <f>CONCATENATE("urn:immetingen:parameter:id:",B7)</f>
        <v>urn:immetingen:parameter:id:692</v>
      </c>
      <c r="D7" s="4">
        <f>IFERROR(IF(VLOOKUP($C7,'C'!$A$1:$N$1998,4,FALSE)=0,IF(VLOOKUP($C7,'C'!$A$1:$N$1998,7,FALSE)=0,VLOOKUP($C7,'C'!$A$1:$N$1998,10,FALSE),VLOOKUP($C7,'C'!$A$1:$N$1998,7,FALSE)),VLOOKUP($C7,'C'!$A$1:$N$1998,4,FALSE)),"")</f>
        <v>1</v>
      </c>
      <c r="E7" s="4">
        <f>VLOOKUP($C7,'C'!$A$1:$N$1998,2,FALSE)</f>
        <v>78.5</v>
      </c>
      <c r="G7" s="4">
        <f>VLOOKUP($C7,'C'!$A$1:$N$1998,5,FALSE)</f>
        <v>79.5</v>
      </c>
      <c r="I7" s="4">
        <f>VLOOKUP($C7,'C'!$A$1:$N$1998,8,FALSE)</f>
        <v>76.900000000000006</v>
      </c>
      <c r="AN7" s="4" t="s">
        <v>906</v>
      </c>
      <c r="AO7" s="4">
        <f>IF(Invoer!D28&lt;E!$AK3,E!$AK3,Invoer!D28)</f>
        <v>2</v>
      </c>
      <c r="AQ7" s="4">
        <f>IF(Invoer!F28&lt;E!$AK3,E!$AK3,Invoer!F28)</f>
        <v>11</v>
      </c>
      <c r="AS7" s="4">
        <f>IF(Invoer!H28&lt;E!$AK3,E!$AK3,Invoer!H28)</f>
        <v>5.8</v>
      </c>
    </row>
    <row r="8" spans="1:75" x14ac:dyDescent="0.2">
      <c r="A8" s="4" t="s">
        <v>39</v>
      </c>
      <c r="B8" s="4">
        <v>1319</v>
      </c>
      <c r="C8" s="4" t="str">
        <f t="shared" ref="C8:C171" si="0">CONCATENATE("urn:immetingen:parameter:id:",B8)</f>
        <v>urn:immetingen:parameter:id:1319</v>
      </c>
      <c r="D8" s="4">
        <f>IFERROR(IF(VLOOKUP($C8,'C'!$A$1:$N$1998,4,FALSE)=0,IF(VLOOKUP($C8,'C'!$A$1:$N$1998,7,FALSE)=0,VLOOKUP($C8,'C'!$A$1:$N$1998,10,FALSE),VLOOKUP($C8,'C'!$A$1:$N$1998,7,FALSE)),VLOOKUP($C8,'C'!$A$1:$N$1998,4,FALSE)),"")</f>
        <v>1</v>
      </c>
      <c r="E8" s="4">
        <f>Invoer!D27</f>
        <v>0.2</v>
      </c>
      <c r="F8" s="4" t="str">
        <f>Invoer!C27</f>
        <v/>
      </c>
      <c r="G8" s="4">
        <f>Invoer!F27</f>
        <v>1.2</v>
      </c>
      <c r="H8" s="4" t="str">
        <f>Invoer!E27</f>
        <v/>
      </c>
      <c r="I8" s="4">
        <f>Invoer!H27</f>
        <v>1.4</v>
      </c>
      <c r="J8" s="4" t="str">
        <f>Invoer!G27</f>
        <v/>
      </c>
      <c r="AN8" s="11" t="s">
        <v>32</v>
      </c>
      <c r="AO8" s="4">
        <f>IF(Invoer!D27&lt;E!$AI34,E!$AI34,IF(Invoer!D27&gt;E!$AJ34,E!$AJ34,Invoer!D27))</f>
        <v>10</v>
      </c>
      <c r="AQ8" s="4">
        <f>IF(Invoer!F27&lt;E!$AI34,E!$AI34,IF(Invoer!F27&gt;E!$AJ34,E!$AJ34,Invoer!F27))</f>
        <v>10</v>
      </c>
      <c r="AS8" s="4">
        <f>IF(Invoer!H27&lt;E!$AI34,E!$AI34,IF(Invoer!H27&gt;E!$AJ34,E!$AJ34,Invoer!H27))</f>
        <v>10</v>
      </c>
    </row>
    <row r="9" spans="1:75" x14ac:dyDescent="0.2">
      <c r="A9" s="4" t="s">
        <v>41</v>
      </c>
      <c r="B9" s="15">
        <v>2</v>
      </c>
      <c r="C9" s="15" t="str">
        <f>CONCATENATE("urn:immetingen:hoedanigheid:id:",B9)</f>
        <v>urn:immetingen:hoedanigheid:id:2</v>
      </c>
      <c r="D9" s="15">
        <f>IFERROR(IF(VLOOKUP($C9,'C'!$S$1:$AC$1998,4,FALSE)=0,IF(VLOOKUP($C9,'C'!$S$1:$AC$1998,7,FALSE)=0,VLOOKUP($C9,'C'!$S$1:$AC$1998,10,FALSE),VLOOKUP($C9,'C'!$S$1:$AC$1998,7,FALSE)),VLOOKUP($C9,'C'!$S$1:$AC$1998,4,FALSE)), "")</f>
        <v>1</v>
      </c>
      <c r="E9" s="4">
        <f>Invoer!D28</f>
        <v>2</v>
      </c>
      <c r="F9" s="4" t="str">
        <f>Invoer!C28</f>
        <v>&lt;</v>
      </c>
      <c r="G9" s="4">
        <f>Invoer!F28</f>
        <v>11</v>
      </c>
      <c r="H9" s="4" t="str">
        <f>Invoer!E28</f>
        <v/>
      </c>
      <c r="I9" s="4">
        <f>Invoer!H28</f>
        <v>5.8</v>
      </c>
      <c r="J9" s="4" t="str">
        <f>Invoer!G28</f>
        <v/>
      </c>
      <c r="AN9" s="4" t="s">
        <v>904</v>
      </c>
      <c r="AO9" s="4">
        <f>IF(Invoer!D27&lt;E!$AI24,E!$AI24,IF(Invoer!D27&gt;E!$AJ24,E!$AJ24,Invoer!D27))</f>
        <v>10</v>
      </c>
      <c r="AQ9" s="4">
        <f>IF(Invoer!F27&lt;E!$AI24,E!$AI24,IF(Invoer!F27&gt;E!$AJ24,E!$AJ24,Invoer!F27))</f>
        <v>10</v>
      </c>
      <c r="AS9" s="4">
        <f>IF(Invoer!H27&lt;E!$AI24,E!$AI24,IF(Invoer!H27&gt;E!$AJ24,E!$AJ24,Invoer!H27))</f>
        <v>10</v>
      </c>
    </row>
    <row r="10" spans="1:75" x14ac:dyDescent="0.2">
      <c r="A10" s="4" t="s">
        <v>763</v>
      </c>
      <c r="B10" s="4">
        <v>1401</v>
      </c>
      <c r="C10" s="4" t="str">
        <f t="shared" ref="C10:C12" si="1">CONCATENATE("urn:immetingen:parameter:id:",B10)</f>
        <v>urn:immetingen:parameter:id:1401</v>
      </c>
      <c r="D10" s="4" t="str">
        <f>IFERROR(IF(VLOOKUP($C10,'C'!$A$1:$N$1998,4,FALSE)=0,IF(VLOOKUP($C10,'C'!$A$1:$N$1998,7,FALSE)=0,VLOOKUP($C10,'C'!$A$1:$N$1998,10,FALSE),VLOOKUP($C10,'C'!$A$1:$N$1998,7,FALSE)),VLOOKUP($C10,'C'!$A$1:$N$1998,4,FALSE)),"")</f>
        <v/>
      </c>
      <c r="E10" s="4" t="str">
        <f>IFERROR(VLOOKUP($C10,'C'!$A$1:$N$1998,2,FALSE),"")</f>
        <v/>
      </c>
      <c r="F10" s="4" t="str">
        <f>IFERROR(IF(VLOOKUP($C10,'C'!$A$1:$N$1998,3,FALSE)=1,"&lt;",""),"")</f>
        <v/>
      </c>
      <c r="G10" s="4" t="str">
        <f>IFERROR(VLOOKUP($C10,'C'!$A$1:$N$1998,5,FALSE),"")</f>
        <v/>
      </c>
      <c r="H10" s="4" t="str">
        <f>IFERROR(IF(VLOOKUP($C10,'C'!$A$1:$N$1998,6,FALSE)=1,"&lt;",""),"")</f>
        <v/>
      </c>
      <c r="I10" s="4" t="str">
        <f>IFERROR(VLOOKUP($C10,'C'!$A$1:$N$1998,8,FALSE),"")</f>
        <v/>
      </c>
      <c r="J10" s="4" t="str">
        <f>IFERROR(IF(VLOOKUP($C10,'C'!$A$1:$N$1998,9,FALSE)=1,"&lt;",""),"")</f>
        <v/>
      </c>
      <c r="AN10" s="11"/>
    </row>
    <row r="11" spans="1:75" x14ac:dyDescent="0.2">
      <c r="A11" s="4" t="s">
        <v>764</v>
      </c>
      <c r="B11" s="4">
        <v>1138</v>
      </c>
      <c r="C11" s="4" t="str">
        <f t="shared" si="1"/>
        <v>urn:immetingen:parameter:id:1138</v>
      </c>
      <c r="D11" s="4" t="str">
        <f>IFERROR(IF(VLOOKUP($C11,'C'!$A$1:$N$1998,4,FALSE)=0,IF(VLOOKUP($C11,'C'!$A$1:$N$1998,7,FALSE)=0,VLOOKUP($C11,'C'!$A$1:$N$1998,10,FALSE),VLOOKUP($C11,'C'!$A$1:$N$1998,7,FALSE)),VLOOKUP($C11,'C'!$A$1:$N$1998,4,FALSE)),"")</f>
        <v/>
      </c>
      <c r="E11" s="4" t="str">
        <f>IFERROR(VLOOKUP($C11,'C'!$A$1:$N$1998,2,FALSE),"")</f>
        <v/>
      </c>
      <c r="F11" s="4" t="str">
        <f>IFERROR(IF(VLOOKUP($C11,'C'!$A$1:$N$1998,3,FALSE)=1,"&lt;",""),"")</f>
        <v/>
      </c>
      <c r="G11" s="4" t="str">
        <f>IFERROR(VLOOKUP($C11,'C'!$A$1:$N$1998,5,FALSE),"")</f>
        <v/>
      </c>
      <c r="H11" s="4" t="str">
        <f>IFERROR(IF(VLOOKUP($C11,'C'!$A$1:$N$1998,6,FALSE)=1,"&lt;",""),"")</f>
        <v/>
      </c>
      <c r="I11" s="4" t="str">
        <f>IFERROR(VLOOKUP($C11,'C'!$A$1:$N$1998,8,FALSE),"")</f>
        <v/>
      </c>
      <c r="J11" s="4" t="str">
        <f>IFERROR(IF(VLOOKUP($C11,'C'!$A$1:$N$1998,9,FALSE)=1,"&lt;",""),"")</f>
        <v/>
      </c>
      <c r="AN11" s="11"/>
    </row>
    <row r="12" spans="1:75" x14ac:dyDescent="0.2">
      <c r="A12" s="4" t="s">
        <v>591</v>
      </c>
      <c r="B12" s="4">
        <v>301</v>
      </c>
      <c r="C12" s="4" t="str">
        <f t="shared" si="1"/>
        <v>urn:immetingen:parameter:id:301</v>
      </c>
      <c r="D12" s="4" t="str">
        <f>IFERROR(IF(VLOOKUP($C12,'C'!$A$1:$N$1998,4,FALSE)=0,IF(VLOOKUP($C12,'C'!$A$1:$N$1998,7,FALSE)=0,VLOOKUP($C12,'C'!$A$1:$N$1998,10,FALSE),VLOOKUP($C12,'C'!$A$1:$N$1998,7,FALSE)),VLOOKUP($C12,'C'!$A$1:$N$1998,4,FALSE)),"")</f>
        <v/>
      </c>
      <c r="E12" s="4" t="str">
        <f>IFERROR(VLOOKUP($C12,'C'!$A$1:$N$1998,2,FALSE),"")</f>
        <v/>
      </c>
      <c r="F12" s="4" t="str">
        <f>IFERROR(IF(VLOOKUP($C12,'C'!$A$1:$N$1998,3,FALSE)=1,"&lt;",""),"")</f>
        <v/>
      </c>
      <c r="G12" s="4" t="str">
        <f>IFERROR(VLOOKUP($C12,'C'!$A$1:$N$1998,5,FALSE),"")</f>
        <v/>
      </c>
      <c r="H12" s="4" t="str">
        <f>IFERROR(IF(VLOOKUP($C12,'C'!$A$1:$N$1998,6,FALSE)=1,"&lt;",""),"")</f>
        <v/>
      </c>
      <c r="I12" s="4" t="str">
        <f>IFERROR(VLOOKUP($C12,'C'!$A$1:$N$1998,8,FALSE),"")</f>
        <v/>
      </c>
      <c r="J12" s="4" t="str">
        <f>IFERROR(IF(VLOOKUP($C12,'C'!$A$1:$N$1998,9,FALSE)=1,"&lt;",""),"")</f>
        <v/>
      </c>
      <c r="M12" s="4" t="str">
        <f t="shared" ref="M12:M75" si="2">IF(E12="","",IF($D12=131,E12/1000,E12))</f>
        <v/>
      </c>
      <c r="N12" s="4" t="str">
        <f>IF(F12="","",F12)</f>
        <v/>
      </c>
      <c r="O12" s="4" t="str">
        <f t="shared" ref="O12:O15" si="3">IF(G12="","",IF($D12=131,G12/1000,G12))</f>
        <v/>
      </c>
      <c r="P12" s="4" t="str">
        <f t="shared" ref="N12:R76" si="4">IF(H12="","",H12)</f>
        <v/>
      </c>
      <c r="Q12" s="4" t="str">
        <f t="shared" ref="Q12:Q15" si="5">IF(I12="","",IF($D12=131,I12/1000,I12))</f>
        <v/>
      </c>
      <c r="R12" s="4" t="str">
        <f t="shared" si="4"/>
        <v/>
      </c>
      <c r="V12" s="4">
        <f>IFERROR(IF(VLOOKUP(B12,E!$B$1:$AK$300,4,FALSE)=0,1000000,VLOOKUP(B12,E!$B$1:$AK$300,4,FALSE)),1000000)</f>
        <v>1.5</v>
      </c>
      <c r="Z12" s="4" t="str">
        <f>IF(M12="","",IF(AND(N12="&lt;",M12&lt;=$V12),-1,(IF(N12="&lt;",0.7*M12,M12))))</f>
        <v/>
      </c>
      <c r="AC12" s="4" t="str">
        <f t="shared" ref="AC12:AC32" si="6">IF(O12="","",IF(AND(P12="&lt;",O12&lt;=$V12),-1,(IF(P12="&lt;",0.7*O12,O12))))</f>
        <v/>
      </c>
      <c r="AF12" s="4" t="str">
        <f>IF(Q12="","",IF(AND(R12="&lt;",Q12&lt;=$V12),-1,(IF(R12="&lt;",0.7*Q12,Q12))))</f>
        <v/>
      </c>
      <c r="AI12" s="77">
        <v>1</v>
      </c>
      <c r="AJ12" s="77">
        <v>0</v>
      </c>
      <c r="AK12" s="77">
        <v>0</v>
      </c>
      <c r="AO12" s="4">
        <f>($AI12+($AJ12*25)+($AK12*10))/($AI12+($AJ12*AO$7)+($AK12*AO$6))</f>
        <v>1</v>
      </c>
      <c r="AQ12" s="4">
        <f>($AI12+($AJ12*25)+($AK12*10))/($AI12+($AJ12*AQ$7)+($AK12*AQ$6))</f>
        <v>1</v>
      </c>
      <c r="AS12" s="4">
        <f>($AI12+($AJ12*25)+($AK12*10))/($AI12+($AJ12*AS$7)+($AK12*AS$6))</f>
        <v>1</v>
      </c>
      <c r="AV12" s="4" t="str">
        <f>IFERROR(IF(F12="&lt;",0.7*M12*AO12,M12*AO12),"")</f>
        <v/>
      </c>
      <c r="AX12" s="4" t="str">
        <f>IFERROR(IF(H12="&lt;",0.7*O12*AQ12,O12*AQ12),"")</f>
        <v/>
      </c>
      <c r="AZ12" s="4" t="str">
        <f>IFERROR(IF(J12="&lt;",0.7*Q12*AS12,Q12*AS12),"")</f>
        <v/>
      </c>
    </row>
    <row r="13" spans="1:75" x14ac:dyDescent="0.2">
      <c r="A13" s="4" t="s">
        <v>55</v>
      </c>
      <c r="B13" s="4">
        <v>310</v>
      </c>
      <c r="C13" s="4" t="str">
        <f t="shared" si="0"/>
        <v>urn:immetingen:parameter:id:310</v>
      </c>
      <c r="D13" s="4">
        <f>IFERROR(IF(VLOOKUP($C13,'C'!$A$1:$N$1998,4,FALSE)=0,IF(VLOOKUP($C13,'C'!$A$1:$N$1998,7,FALSE)=0,VLOOKUP($C13,'C'!$A$1:$N$1998,10,FALSE),VLOOKUP($C13,'C'!$A$1:$N$1998,7,FALSE)),VLOOKUP($C13,'C'!$A$1:$N$1998,4,FALSE)),"")</f>
        <v>58</v>
      </c>
      <c r="E13" s="4">
        <f>IFERROR(VLOOKUP($C13,'C'!$A$1:$N$1998,2,FALSE),"")</f>
        <v>4</v>
      </c>
      <c r="F13" s="4" t="str">
        <f>IFERROR(IF(VLOOKUP($C13,'C'!$A$1:$N$1998,3,FALSE)=1,"&lt;",""),"")</f>
        <v>&lt;</v>
      </c>
      <c r="G13" s="4">
        <f>IFERROR(VLOOKUP($C13,'C'!$A$1:$N$1998,5,FALSE),"")</f>
        <v>4.4000000000000004</v>
      </c>
      <c r="H13" s="4" t="str">
        <f>IFERROR(IF(VLOOKUP($C13,'C'!$A$1:$N$1998,6,FALSE)=1,"&lt;",""),"")</f>
        <v/>
      </c>
      <c r="I13" s="4">
        <f>IFERROR(VLOOKUP($C13,'C'!$A$1:$N$1998,8,FALSE),"")</f>
        <v>5</v>
      </c>
      <c r="J13" s="4" t="str">
        <f>IFERROR(IF(VLOOKUP($C13,'C'!$A$1:$N$1998,9,FALSE)=1,"&lt;",""),"")</f>
        <v/>
      </c>
      <c r="M13" s="4">
        <f t="shared" si="2"/>
        <v>4</v>
      </c>
      <c r="N13" s="4" t="str">
        <f t="shared" si="4"/>
        <v>&lt;</v>
      </c>
      <c r="O13" s="4">
        <f t="shared" si="3"/>
        <v>4.4000000000000004</v>
      </c>
      <c r="P13" s="4" t="str">
        <f t="shared" si="4"/>
        <v/>
      </c>
      <c r="Q13" s="4">
        <f t="shared" si="5"/>
        <v>5</v>
      </c>
      <c r="R13" s="4" t="str">
        <f t="shared" si="4"/>
        <v/>
      </c>
      <c r="V13" s="4">
        <f>IFERROR(IF(VLOOKUP(B13,E!$B$1:$AK$300,4,FALSE)=0,1000000,VLOOKUP(B13,E!$B$1:$AK$300,4,FALSE)),1000000)</f>
        <v>4</v>
      </c>
      <c r="Z13" s="4">
        <f t="shared" ref="Z13:Z32" si="7">IF(M13="","",IF(AND(N13="&lt;",M13&lt;=$V13),-1,(IF(N13="&lt;",0.7*M13,M13))))</f>
        <v>-1</v>
      </c>
      <c r="AC13" s="4">
        <f t="shared" si="6"/>
        <v>4.4000000000000004</v>
      </c>
      <c r="AF13" s="4">
        <f t="shared" ref="AF13:AF32" si="8">IF(Q13="","",IF(AND(R13="&lt;",Q13&lt;=$V13),-1,(IF(R13="&lt;",0.7*Q13,Q13))))</f>
        <v>5</v>
      </c>
      <c r="AI13" s="77">
        <v>15</v>
      </c>
      <c r="AJ13" s="77">
        <v>0.4</v>
      </c>
      <c r="AK13" s="77">
        <v>0.4</v>
      </c>
      <c r="AO13" s="4">
        <f t="shared" ref="AO13:AO76" si="9">($AI13+($AJ13*25)+($AK13*10))/($AI13+($AJ13*AO$7)+($AK13*AO$6))</f>
        <v>1.7469879518072287</v>
      </c>
      <c r="AQ13" s="4">
        <f t="shared" ref="AQ13:AQ76" si="10">($AI13+($AJ13*25)+($AK13*10))/($AI13+($AJ13*AQ$7)+($AK13*AQ$6))</f>
        <v>1.4356435643564356</v>
      </c>
      <c r="AS13" s="4">
        <f t="shared" ref="AS13:AS76" si="11">($AI13+($AJ13*25)+($AK13*10))/($AI13+($AJ13*AS$7)+($AK13*AS$6))</f>
        <v>1.6004415011037527</v>
      </c>
      <c r="AV13" s="4">
        <f t="shared" ref="AV13:AV76" si="12">IFERROR(IF(F13="&lt;",0.7*M13*AO13,M13*AO13),"")</f>
        <v>4.8915662650602396</v>
      </c>
      <c r="AX13" s="4">
        <f t="shared" ref="AX13:AX76" si="13">IFERROR(IF(H13="&lt;",0.7*O13*AQ13,O13*AQ13),"")</f>
        <v>6.3168316831683171</v>
      </c>
      <c r="AZ13" s="4">
        <f t="shared" ref="AZ13:AZ76" si="14">IFERROR(IF(J13="&lt;",0.7*Q13*AS13,Q13*AS13),"")</f>
        <v>8.0022075055187631</v>
      </c>
    </row>
    <row r="14" spans="1:75" x14ac:dyDescent="0.2">
      <c r="A14" s="4" t="s">
        <v>1</v>
      </c>
      <c r="B14" s="4">
        <v>333</v>
      </c>
      <c r="C14" s="4" t="str">
        <f t="shared" si="0"/>
        <v>urn:immetingen:parameter:id:333</v>
      </c>
      <c r="D14" s="4">
        <f>IFERROR(IF(VLOOKUP($C14,'C'!$A$1:$N$1998,4,FALSE)=0,IF(VLOOKUP($C14,'C'!$A$1:$N$1998,7,FALSE)=0,VLOOKUP($C14,'C'!$A$1:$N$1998,10,FALSE),VLOOKUP($C14,'C'!$A$1:$N$1998,7,FALSE)),VLOOKUP($C14,'C'!$A$1:$N$1998,4,FALSE)),"")</f>
        <v>58</v>
      </c>
      <c r="E14" s="4">
        <f>IFERROR(VLOOKUP($C14,'C'!$A$1:$N$1998,2,FALSE),"")</f>
        <v>20</v>
      </c>
      <c r="F14" s="4" t="str">
        <f>IFERROR(IF(VLOOKUP($C14,'C'!$A$1:$N$1998,3,FALSE)=1,"&lt;",""),"")</f>
        <v>&lt;</v>
      </c>
      <c r="G14" s="4">
        <f>IFERROR(VLOOKUP($C14,'C'!$A$1:$N$1998,5,FALSE),"")</f>
        <v>20</v>
      </c>
      <c r="H14" s="4" t="str">
        <f>IFERROR(IF(VLOOKUP($C14,'C'!$A$1:$N$1998,6,FALSE)=1,"&lt;",""),"")</f>
        <v>&lt;</v>
      </c>
      <c r="I14" s="4">
        <f>IFERROR(VLOOKUP($C14,'C'!$A$1:$N$1998,8,FALSE),"")</f>
        <v>20</v>
      </c>
      <c r="J14" s="4" t="str">
        <f>IFERROR(IF(VLOOKUP($C14,'C'!$A$1:$N$1998,9,FALSE)=1,"&lt;",""),"")</f>
        <v>&lt;</v>
      </c>
      <c r="M14" s="4">
        <f t="shared" si="2"/>
        <v>20</v>
      </c>
      <c r="N14" s="4" t="str">
        <f t="shared" si="4"/>
        <v>&lt;</v>
      </c>
      <c r="O14" s="4">
        <f t="shared" si="3"/>
        <v>20</v>
      </c>
      <c r="P14" s="4" t="str">
        <f t="shared" si="4"/>
        <v>&lt;</v>
      </c>
      <c r="Q14" s="4">
        <f t="shared" si="5"/>
        <v>20</v>
      </c>
      <c r="R14" s="4" t="str">
        <f t="shared" si="4"/>
        <v>&lt;</v>
      </c>
      <c r="V14" s="4">
        <f>IFERROR(IF(VLOOKUP(B14,E!$B$1:$AK$300,4,FALSE)=0,1000000,VLOOKUP(B14,E!$B$1:$AK$300,4,FALSE)),1000000)</f>
        <v>20</v>
      </c>
      <c r="Z14" s="4">
        <f t="shared" si="7"/>
        <v>-1</v>
      </c>
      <c r="AC14" s="4">
        <f>IF(O14="","",IF(AND(P14="&lt;",O14&lt;=$V14),-1,(IF(P14="&lt;",0.7*O14,O14))))</f>
        <v>-1</v>
      </c>
      <c r="AF14" s="4">
        <f t="shared" si="8"/>
        <v>-1</v>
      </c>
      <c r="AI14" s="77">
        <v>30</v>
      </c>
      <c r="AJ14" s="77">
        <v>5</v>
      </c>
      <c r="AK14" s="77">
        <v>0</v>
      </c>
      <c r="AO14" s="4">
        <f t="shared" si="9"/>
        <v>3.875</v>
      </c>
      <c r="AQ14" s="4">
        <f t="shared" si="10"/>
        <v>1.8235294117647058</v>
      </c>
      <c r="AS14" s="4">
        <f t="shared" si="11"/>
        <v>2.6271186440677967</v>
      </c>
      <c r="AV14" s="4">
        <f t="shared" si="12"/>
        <v>54.25</v>
      </c>
      <c r="AX14" s="4">
        <f t="shared" si="13"/>
        <v>25.52941176470588</v>
      </c>
      <c r="AZ14" s="4">
        <f t="shared" si="14"/>
        <v>36.779661016949156</v>
      </c>
    </row>
    <row r="15" spans="1:75" x14ac:dyDescent="0.2">
      <c r="A15" s="4" t="s">
        <v>592</v>
      </c>
      <c r="B15" s="4">
        <v>362</v>
      </c>
      <c r="C15" s="4" t="str">
        <f t="shared" si="0"/>
        <v>urn:immetingen:parameter:id:362</v>
      </c>
      <c r="D15" s="4" t="str">
        <f>IFERROR(IF(VLOOKUP($C15,'C'!$A$1:$N$1998,4,FALSE)=0,IF(VLOOKUP($C15,'C'!$A$1:$N$1998,7,FALSE)=0,VLOOKUP($C15,'C'!$A$1:$N$1998,10,FALSE),VLOOKUP($C15,'C'!$A$1:$N$1998,7,FALSE)),VLOOKUP($C15,'C'!$A$1:$N$1998,4,FALSE)),"")</f>
        <v/>
      </c>
      <c r="E15" s="4" t="str">
        <f>IFERROR(VLOOKUP($C15,'C'!$A$1:$N$1998,2,FALSE),"")</f>
        <v/>
      </c>
      <c r="F15" s="4" t="str">
        <f>IFERROR(IF(VLOOKUP($C15,'C'!$A$1:$N$1998,3,FALSE)=1,"&lt;",""),"")</f>
        <v/>
      </c>
      <c r="G15" s="4" t="str">
        <f>IFERROR(VLOOKUP($C15,'C'!$A$1:$N$1998,5,FALSE),"")</f>
        <v/>
      </c>
      <c r="H15" s="4" t="str">
        <f>IFERROR(IF(VLOOKUP($C15,'C'!$A$1:$N$1998,6,FALSE)=1,"&lt;",""),"")</f>
        <v/>
      </c>
      <c r="I15" s="4" t="str">
        <f>IFERROR(VLOOKUP($C15,'C'!$A$1:$N$1998,8,FALSE),"")</f>
        <v/>
      </c>
      <c r="J15" s="4" t="str">
        <f>IFERROR(IF(VLOOKUP($C15,'C'!$A$1:$N$1998,9,FALSE)=1,"&lt;",""),"")</f>
        <v/>
      </c>
      <c r="M15" s="4" t="str">
        <f t="shared" si="2"/>
        <v/>
      </c>
      <c r="N15" s="4" t="str">
        <f t="shared" si="4"/>
        <v/>
      </c>
      <c r="O15" s="4" t="str">
        <f t="shared" si="3"/>
        <v/>
      </c>
      <c r="P15" s="4" t="str">
        <f t="shared" si="4"/>
        <v/>
      </c>
      <c r="Q15" s="4" t="str">
        <f t="shared" si="5"/>
        <v/>
      </c>
      <c r="R15" s="4" t="str">
        <f t="shared" si="4"/>
        <v/>
      </c>
      <c r="V15" s="4">
        <f>IFERROR(IF(VLOOKUP(B15,E!$B$1:$AK$300,4,FALSE)=0,1000000,VLOOKUP(B15,E!$B$1:$AK$300,4,FALSE)),1000000)</f>
        <v>1</v>
      </c>
      <c r="Z15" s="4" t="str">
        <f t="shared" si="7"/>
        <v/>
      </c>
      <c r="AC15" s="4" t="str">
        <f t="shared" si="6"/>
        <v/>
      </c>
      <c r="AF15" s="4" t="str">
        <f t="shared" si="8"/>
        <v/>
      </c>
      <c r="AI15" s="86">
        <v>8</v>
      </c>
      <c r="AJ15" s="86">
        <v>0.9</v>
      </c>
      <c r="AK15" s="86">
        <v>0</v>
      </c>
      <c r="AO15" s="4">
        <f t="shared" si="9"/>
        <v>3.1122448979591835</v>
      </c>
      <c r="AQ15" s="4">
        <f t="shared" si="10"/>
        <v>1.7039106145251397</v>
      </c>
      <c r="AS15" s="4">
        <f t="shared" si="11"/>
        <v>2.3071104387291985</v>
      </c>
      <c r="AV15" s="4" t="str">
        <f t="shared" si="12"/>
        <v/>
      </c>
      <c r="AX15" s="4" t="str">
        <f t="shared" si="13"/>
        <v/>
      </c>
      <c r="AZ15" s="4" t="str">
        <f t="shared" si="14"/>
        <v/>
      </c>
    </row>
    <row r="16" spans="1:75" x14ac:dyDescent="0.2">
      <c r="A16" s="4" t="s">
        <v>2</v>
      </c>
      <c r="B16" s="4">
        <v>441</v>
      </c>
      <c r="C16" s="4" t="str">
        <f t="shared" si="0"/>
        <v>urn:immetingen:parameter:id:441</v>
      </c>
      <c r="D16" s="4">
        <f>IFERROR(IF(VLOOKUP($C16,'C'!$A$1:$N$1998,4,FALSE)=0,IF(VLOOKUP($C16,'C'!$A$1:$N$1998,7,FALSE)=0,VLOOKUP($C16,'C'!$A$1:$N$1998,10,FALSE),VLOOKUP($C16,'C'!$A$1:$N$1998,7,FALSE)),VLOOKUP($C16,'C'!$A$1:$N$1998,4,FALSE)),"")</f>
        <v>58</v>
      </c>
      <c r="E16" s="4">
        <f>IFERROR(VLOOKUP($C16,'C'!$A$1:$N$1998,2,FALSE),"")</f>
        <v>0.2</v>
      </c>
      <c r="F16" s="4" t="str">
        <f>IFERROR(IF(VLOOKUP($C16,'C'!$A$1:$N$1998,3,FALSE)=1,"&lt;",""),"")</f>
        <v>&lt;</v>
      </c>
      <c r="G16" s="4">
        <f>IFERROR(VLOOKUP($C16,'C'!$A$1:$N$1998,5,FALSE),"")</f>
        <v>0.2</v>
      </c>
      <c r="H16" s="4" t="str">
        <f>IFERROR(IF(VLOOKUP($C16,'C'!$A$1:$N$1998,6,FALSE)=1,"&lt;",""),"")</f>
        <v>&lt;</v>
      </c>
      <c r="I16" s="4">
        <f>IFERROR(VLOOKUP($C16,'C'!$A$1:$N$1998,8,FALSE),"")</f>
        <v>0.2</v>
      </c>
      <c r="J16" s="4" t="str">
        <f>IFERROR(IF(VLOOKUP($C16,'C'!$A$1:$N$1998,9,FALSE)=1,"&lt;",""),"")</f>
        <v>&lt;</v>
      </c>
      <c r="M16" s="4">
        <f>IF(E16="","",IF($D16=131,E16/1000,E16))</f>
        <v>0.2</v>
      </c>
      <c r="N16" s="4" t="str">
        <f t="shared" si="4"/>
        <v>&lt;</v>
      </c>
      <c r="O16" s="4">
        <f>IF(G16="","",IF($D16=131,G16/1000,G16))</f>
        <v>0.2</v>
      </c>
      <c r="P16" s="4" t="str">
        <f t="shared" si="4"/>
        <v>&lt;</v>
      </c>
      <c r="Q16" s="4">
        <f>IF(I16="","",IF($D16=131,I16/1000,I16))</f>
        <v>0.2</v>
      </c>
      <c r="R16" s="4" t="str">
        <f t="shared" si="4"/>
        <v>&lt;</v>
      </c>
      <c r="V16" s="4">
        <f>IFERROR(IF(VLOOKUP(B16,E!$B$1:$AK$300,4,FALSE)=0,1000000,VLOOKUP(B16,E!$B$1:$AK$300,4,FALSE)),1000000)</f>
        <v>0.2</v>
      </c>
      <c r="Z16" s="4">
        <f t="shared" si="7"/>
        <v>-1</v>
      </c>
      <c r="AC16" s="4">
        <f t="shared" si="6"/>
        <v>-1</v>
      </c>
      <c r="AF16" s="4">
        <f t="shared" si="8"/>
        <v>-1</v>
      </c>
      <c r="AI16" s="86">
        <v>0.4</v>
      </c>
      <c r="AJ16" s="86">
        <v>7.0000000000000001E-3</v>
      </c>
      <c r="AK16" s="86">
        <v>2.1000000000000001E-2</v>
      </c>
      <c r="AO16" s="4">
        <f t="shared" si="9"/>
        <v>1.7214912280701757</v>
      </c>
      <c r="AQ16" s="4">
        <f t="shared" si="10"/>
        <v>1.5125240847784203</v>
      </c>
      <c r="AS16" s="4">
        <f t="shared" si="11"/>
        <v>1.6266058847907174</v>
      </c>
      <c r="AV16" s="4">
        <f t="shared" si="12"/>
        <v>0.24100877192982459</v>
      </c>
      <c r="AX16" s="4">
        <f t="shared" si="13"/>
        <v>0.2117533718689788</v>
      </c>
      <c r="AZ16" s="4">
        <f t="shared" si="14"/>
        <v>0.22772482387070042</v>
      </c>
    </row>
    <row r="17" spans="1:52" x14ac:dyDescent="0.2">
      <c r="A17" s="4" t="s">
        <v>56</v>
      </c>
      <c r="B17" s="4">
        <v>517</v>
      </c>
      <c r="C17" s="4" t="str">
        <f t="shared" si="0"/>
        <v>urn:immetingen:parameter:id:517</v>
      </c>
      <c r="D17" s="4" t="str">
        <f>IFERROR(IF(VLOOKUP($C17,'C'!$A$1:$N$1998,4,FALSE)=0,IF(VLOOKUP($C17,'C'!$A$1:$N$1998,7,FALSE)=0,VLOOKUP($C17,'C'!$A$1:$N$1998,10,FALSE),VLOOKUP($C17,'C'!$A$1:$N$1998,7,FALSE)),VLOOKUP($C17,'C'!$A$1:$N$1998,4,FALSE)),"")</f>
        <v/>
      </c>
      <c r="E17" s="4" t="str">
        <f>IFERROR(VLOOKUP($C17,'C'!$A$1:$N$1998,2,FALSE),"")</f>
        <v/>
      </c>
      <c r="F17" s="4" t="str">
        <f>IFERROR(IF(VLOOKUP($C17,'C'!$A$1:$N$1998,3,FALSE)=1,"&lt;",""),"")</f>
        <v/>
      </c>
      <c r="G17" s="4" t="str">
        <f>IFERROR(VLOOKUP($C17,'C'!$A$1:$N$1998,5,FALSE),"")</f>
        <v/>
      </c>
      <c r="H17" s="4" t="str">
        <f>IFERROR(IF(VLOOKUP($C17,'C'!$A$1:$N$1998,6,FALSE)=1,"&lt;",""),"")</f>
        <v/>
      </c>
      <c r="I17" s="4" t="str">
        <f>IFERROR(VLOOKUP($C17,'C'!$A$1:$N$1998,8,FALSE),"")</f>
        <v/>
      </c>
      <c r="J17" s="4" t="str">
        <f>IFERROR(IF(VLOOKUP($C17,'C'!$A$1:$N$1998,9,FALSE)=1,"&lt;",""),"")</f>
        <v/>
      </c>
      <c r="M17" s="4" t="str">
        <f t="shared" si="2"/>
        <v/>
      </c>
      <c r="N17" s="4" t="str">
        <f t="shared" si="4"/>
        <v/>
      </c>
      <c r="O17" s="4" t="str">
        <f t="shared" ref="O17:O80" si="15">IF(G17="","",IF($D17=131,G17/1000,G17))</f>
        <v/>
      </c>
      <c r="P17" s="4" t="str">
        <f t="shared" si="4"/>
        <v/>
      </c>
      <c r="Q17" s="4" t="str">
        <f t="shared" ref="Q17:Q80" si="16">IF(I17="","",IF($D17=131,I17/1000,I17))</f>
        <v/>
      </c>
      <c r="R17" s="4" t="str">
        <f t="shared" si="4"/>
        <v/>
      </c>
      <c r="V17" s="4">
        <f>IFERROR(IF(VLOOKUP(B17,E!$B$1:$AK$300,4,FALSE)=0,1000000,VLOOKUP(B17,E!$B$1:$AK$300,4,FALSE)),1000000)</f>
        <v>10</v>
      </c>
      <c r="Z17" s="4" t="str">
        <f t="shared" si="7"/>
        <v/>
      </c>
      <c r="AC17" s="4" t="str">
        <f t="shared" si="6"/>
        <v/>
      </c>
      <c r="AF17" s="4" t="str">
        <f t="shared" si="8"/>
        <v/>
      </c>
      <c r="AI17" s="86">
        <v>50</v>
      </c>
      <c r="AJ17" s="86">
        <v>2</v>
      </c>
      <c r="AK17" s="86">
        <v>0</v>
      </c>
      <c r="AO17" s="4">
        <f t="shared" si="9"/>
        <v>1.8518518518518519</v>
      </c>
      <c r="AQ17" s="4">
        <f t="shared" si="10"/>
        <v>1.3888888888888888</v>
      </c>
      <c r="AS17" s="4">
        <f t="shared" si="11"/>
        <v>1.6233766233766234</v>
      </c>
      <c r="AV17" s="4" t="str">
        <f t="shared" si="12"/>
        <v/>
      </c>
      <c r="AX17" s="4" t="str">
        <f t="shared" si="13"/>
        <v/>
      </c>
      <c r="AZ17" s="4" t="str">
        <f t="shared" si="14"/>
        <v/>
      </c>
    </row>
    <row r="18" spans="1:52" x14ac:dyDescent="0.2">
      <c r="A18" s="81" t="s">
        <v>804</v>
      </c>
      <c r="B18" s="4">
        <v>3510</v>
      </c>
      <c r="C18" s="4" t="str">
        <f t="shared" si="0"/>
        <v>urn:immetingen:parameter:id:3510</v>
      </c>
      <c r="D18" s="4" t="str">
        <f>IFERROR(IF(VLOOKUP($C18,'C'!$A$1:$N$1998,4,FALSE)=0,IF(VLOOKUP($C18,'C'!$A$1:$N$1998,7,FALSE)=0,VLOOKUP($C18,'C'!$A$1:$N$1998,10,FALSE),VLOOKUP($C18,'C'!$A$1:$N$1998,7,FALSE)),VLOOKUP($C18,'C'!$A$1:$N$1998,4,FALSE)),"")</f>
        <v/>
      </c>
      <c r="E18" s="4" t="str">
        <f>IFERROR(VLOOKUP($C18,'C'!$A$1:$N$1998,2,FALSE),"")</f>
        <v/>
      </c>
      <c r="F18" s="4" t="str">
        <f>IFERROR(IF(VLOOKUP($C18,'C'!$A$1:$N$1998,3,FALSE)=1,"&lt;",""),"")</f>
        <v/>
      </c>
      <c r="G18" s="4" t="str">
        <f>IFERROR(VLOOKUP($C18,'C'!$A$1:$N$1998,5,FALSE),"")</f>
        <v/>
      </c>
      <c r="H18" s="4" t="str">
        <f>IFERROR(IF(VLOOKUP($C18,'C'!$A$1:$N$1998,6,FALSE)=1,"&lt;",""),"")</f>
        <v/>
      </c>
      <c r="I18" s="4" t="str">
        <f>IFERROR(VLOOKUP($C18,'C'!$A$1:$N$1998,8,FALSE),"")</f>
        <v/>
      </c>
      <c r="J18" s="4" t="str">
        <f>IFERROR(IF(VLOOKUP($C18,'C'!$A$1:$N$1998,9,FALSE)=1,"&lt;",""),"")</f>
        <v/>
      </c>
      <c r="M18" s="4" t="str">
        <f t="shared" si="2"/>
        <v/>
      </c>
      <c r="N18" s="4" t="str">
        <f t="shared" si="4"/>
        <v/>
      </c>
      <c r="O18" s="4" t="str">
        <f t="shared" si="15"/>
        <v/>
      </c>
      <c r="P18" s="4" t="str">
        <f t="shared" si="4"/>
        <v/>
      </c>
      <c r="Q18" s="4" t="str">
        <f t="shared" si="16"/>
        <v/>
      </c>
      <c r="R18" s="4" t="str">
        <f t="shared" si="4"/>
        <v/>
      </c>
      <c r="V18" s="4">
        <v>10</v>
      </c>
      <c r="Z18" s="4" t="str">
        <f t="shared" si="7"/>
        <v/>
      </c>
      <c r="AC18" s="4" t="str">
        <f t="shared" si="6"/>
        <v/>
      </c>
      <c r="AF18" s="4" t="str">
        <f t="shared" si="8"/>
        <v/>
      </c>
      <c r="AI18" s="86">
        <v>50</v>
      </c>
      <c r="AJ18" s="86">
        <v>2</v>
      </c>
      <c r="AK18" s="86">
        <v>0</v>
      </c>
      <c r="AO18" s="4">
        <f t="shared" si="9"/>
        <v>1.8518518518518519</v>
      </c>
      <c r="AQ18" s="4">
        <f t="shared" si="10"/>
        <v>1.3888888888888888</v>
      </c>
      <c r="AS18" s="4">
        <f t="shared" si="11"/>
        <v>1.6233766233766234</v>
      </c>
      <c r="AV18" s="4" t="str">
        <f t="shared" si="12"/>
        <v/>
      </c>
      <c r="AX18" s="4" t="str">
        <f t="shared" si="13"/>
        <v/>
      </c>
      <c r="AZ18" s="4" t="str">
        <f t="shared" si="14"/>
        <v/>
      </c>
    </row>
    <row r="19" spans="1:52" x14ac:dyDescent="0.2">
      <c r="A19" s="81" t="s">
        <v>805</v>
      </c>
      <c r="B19" s="4">
        <v>516</v>
      </c>
      <c r="C19" s="4" t="str">
        <f t="shared" si="0"/>
        <v>urn:immetingen:parameter:id:516</v>
      </c>
      <c r="D19" s="4" t="str">
        <f>IFERROR(IF(VLOOKUP($C19,'C'!$A$1:$N$1998,4,FALSE)=0,IF(VLOOKUP($C19,'C'!$A$1:$N$1998,7,FALSE)=0,VLOOKUP($C19,'C'!$A$1:$N$1998,10,FALSE),VLOOKUP($C19,'C'!$A$1:$N$1998,7,FALSE)),VLOOKUP($C19,'C'!$A$1:$N$1998,4,FALSE)),"")</f>
        <v/>
      </c>
      <c r="E19" s="4" t="str">
        <f>IFERROR(VLOOKUP($C19,'C'!$A$1:$N$1998,2,FALSE),"")</f>
        <v/>
      </c>
      <c r="F19" s="4" t="str">
        <f>IFERROR(IF(VLOOKUP($C19,'C'!$A$1:$N$1998,3,FALSE)=1,"&lt;",""),"")</f>
        <v/>
      </c>
      <c r="G19" s="4" t="str">
        <f>IFERROR(VLOOKUP($C19,'C'!$A$1:$N$1998,5,FALSE),"")</f>
        <v/>
      </c>
      <c r="H19" s="4" t="str">
        <f>IFERROR(IF(VLOOKUP($C19,'C'!$A$1:$N$1998,6,FALSE)=1,"&lt;",""),"")</f>
        <v/>
      </c>
      <c r="I19" s="4" t="str">
        <f>IFERROR(VLOOKUP($C19,'C'!$A$1:$N$1998,8,FALSE),"")</f>
        <v/>
      </c>
      <c r="J19" s="4" t="str">
        <f>IFERROR(IF(VLOOKUP($C19,'C'!$A$1:$N$1998,9,FALSE)=1,"&lt;",""),"")</f>
        <v/>
      </c>
      <c r="M19" s="4" t="str">
        <f t="shared" si="2"/>
        <v/>
      </c>
      <c r="N19" s="4" t="str">
        <f t="shared" si="4"/>
        <v/>
      </c>
      <c r="O19" s="4" t="str">
        <f t="shared" si="15"/>
        <v/>
      </c>
      <c r="P19" s="4" t="str">
        <f t="shared" si="4"/>
        <v/>
      </c>
      <c r="Q19" s="4" t="str">
        <f t="shared" si="16"/>
        <v/>
      </c>
      <c r="R19" s="4" t="str">
        <f t="shared" si="4"/>
        <v/>
      </c>
      <c r="V19" s="4">
        <v>10</v>
      </c>
      <c r="Z19" s="4" t="str">
        <f t="shared" si="7"/>
        <v/>
      </c>
      <c r="AC19" s="4" t="str">
        <f t="shared" si="6"/>
        <v/>
      </c>
      <c r="AF19" s="4" t="str">
        <f t="shared" si="8"/>
        <v/>
      </c>
      <c r="AI19" s="86">
        <v>50</v>
      </c>
      <c r="AJ19" s="86">
        <v>2</v>
      </c>
      <c r="AK19" s="86">
        <v>0</v>
      </c>
      <c r="AO19" s="4">
        <f t="shared" si="9"/>
        <v>1.8518518518518519</v>
      </c>
      <c r="AQ19" s="4">
        <f t="shared" si="10"/>
        <v>1.3888888888888888</v>
      </c>
      <c r="AS19" s="4">
        <f t="shared" si="11"/>
        <v>1.6233766233766234</v>
      </c>
      <c r="AV19" s="4" t="str">
        <f t="shared" si="12"/>
        <v/>
      </c>
      <c r="AX19" s="4" t="str">
        <f t="shared" si="13"/>
        <v/>
      </c>
      <c r="AZ19" s="4" t="str">
        <f t="shared" si="14"/>
        <v/>
      </c>
    </row>
    <row r="20" spans="1:52" x14ac:dyDescent="0.2">
      <c r="A20" s="4" t="s">
        <v>761</v>
      </c>
      <c r="B20" s="4">
        <v>920</v>
      </c>
      <c r="C20" s="4" t="str">
        <f t="shared" si="0"/>
        <v>urn:immetingen:parameter:id:920</v>
      </c>
      <c r="D20" s="4" t="str">
        <f>IFERROR(IF(VLOOKUP($C20,'C'!$A$1:$N$1998,4,FALSE)=0,IF(VLOOKUP($C20,'C'!$A$1:$N$1998,7,FALSE)=0,VLOOKUP($C20,'C'!$A$1:$N$1998,10,FALSE),VLOOKUP($C20,'C'!$A$1:$N$1998,7,FALSE)),VLOOKUP($C20,'C'!$A$1:$N$1998,4,FALSE)),"")</f>
        <v/>
      </c>
      <c r="E20" s="4" t="str">
        <f>IFERROR(VLOOKUP($C20,'C'!$A$1:$N$1998,2,FALSE),"")</f>
        <v/>
      </c>
      <c r="F20" s="4" t="str">
        <f>IFERROR(IF(VLOOKUP($C20,'C'!$A$1:$N$1998,3,FALSE)=1,"&lt;",""),"")</f>
        <v/>
      </c>
      <c r="G20" s="4" t="str">
        <f>IFERROR(VLOOKUP($C20,'C'!$A$1:$N$1998,5,FALSE),"")</f>
        <v/>
      </c>
      <c r="H20" s="4" t="str">
        <f>IFERROR(IF(VLOOKUP($C20,'C'!$A$1:$N$1998,6,FALSE)=1,"&lt;",""),"")</f>
        <v/>
      </c>
      <c r="I20" s="4" t="str">
        <f>IFERROR(VLOOKUP($C20,'C'!$A$1:$N$1998,8,FALSE),"")</f>
        <v/>
      </c>
      <c r="J20" s="4" t="str">
        <f>IFERROR(IF(VLOOKUP($C20,'C'!$A$1:$N$1998,9,FALSE)=1,"&lt;",""),"")</f>
        <v/>
      </c>
      <c r="M20" s="4" t="str">
        <f t="shared" si="2"/>
        <v/>
      </c>
      <c r="N20" s="4" t="str">
        <f t="shared" si="4"/>
        <v/>
      </c>
      <c r="O20" s="4" t="str">
        <f t="shared" si="15"/>
        <v/>
      </c>
      <c r="P20" s="4" t="str">
        <f t="shared" si="4"/>
        <v/>
      </c>
      <c r="Q20" s="4" t="str">
        <f t="shared" si="16"/>
        <v/>
      </c>
      <c r="R20" s="4" t="str">
        <f t="shared" si="4"/>
        <v/>
      </c>
      <c r="V20" s="4">
        <f>IFERROR(IF(VLOOKUP(B20,E!$B$1:$AK$300,4,FALSE)=0,1000000,VLOOKUP(B20,E!$B$1:$AK$300,4,FALSE)),1000000)</f>
        <v>1000000</v>
      </c>
      <c r="Z20" s="4" t="str">
        <f t="shared" si="7"/>
        <v/>
      </c>
      <c r="AC20" s="4" t="str">
        <f t="shared" si="6"/>
        <v/>
      </c>
      <c r="AF20" s="4" t="str">
        <f t="shared" si="8"/>
        <v/>
      </c>
      <c r="AI20" s="86">
        <v>1</v>
      </c>
      <c r="AJ20" s="86">
        <v>0</v>
      </c>
      <c r="AK20" s="86">
        <v>0</v>
      </c>
      <c r="AO20" s="4">
        <f t="shared" si="9"/>
        <v>1</v>
      </c>
      <c r="AQ20" s="4">
        <f t="shared" si="10"/>
        <v>1</v>
      </c>
      <c r="AS20" s="4">
        <f t="shared" si="11"/>
        <v>1</v>
      </c>
      <c r="AV20" s="4" t="str">
        <f t="shared" si="12"/>
        <v/>
      </c>
      <c r="AX20" s="4" t="str">
        <f t="shared" si="13"/>
        <v/>
      </c>
      <c r="AZ20" s="4" t="str">
        <f t="shared" si="14"/>
        <v/>
      </c>
    </row>
    <row r="21" spans="1:52" x14ac:dyDescent="0.2">
      <c r="A21" s="4" t="s">
        <v>3</v>
      </c>
      <c r="B21" s="4">
        <v>527</v>
      </c>
      <c r="C21" s="4" t="str">
        <f t="shared" si="0"/>
        <v>urn:immetingen:parameter:id:527</v>
      </c>
      <c r="D21" s="4">
        <f>IFERROR(IF(VLOOKUP($C21,'C'!$A$1:$N$1998,4,FALSE)=0,IF(VLOOKUP($C21,'C'!$A$1:$N$1998,7,FALSE)=0,VLOOKUP($C21,'C'!$A$1:$N$1998,10,FALSE),VLOOKUP($C21,'C'!$A$1:$N$1998,7,FALSE)),VLOOKUP($C21,'C'!$A$1:$N$1998,4,FALSE)),"")</f>
        <v>58</v>
      </c>
      <c r="E21" s="4">
        <f>IFERROR(VLOOKUP($C21,'C'!$A$1:$N$1998,2,FALSE),"")</f>
        <v>3</v>
      </c>
      <c r="F21" s="4" t="str">
        <f>IFERROR(IF(VLOOKUP($C21,'C'!$A$1:$N$1998,3,FALSE)=1,"&lt;",""),"")</f>
        <v>&lt;</v>
      </c>
      <c r="G21" s="4">
        <f>IFERROR(VLOOKUP($C21,'C'!$A$1:$N$1998,5,FALSE),"")</f>
        <v>4.0999999999999996</v>
      </c>
      <c r="H21" s="4" t="str">
        <f>IFERROR(IF(VLOOKUP($C21,'C'!$A$1:$N$1998,6,FALSE)=1,"&lt;",""),"")</f>
        <v/>
      </c>
      <c r="I21" s="4">
        <f>IFERROR(VLOOKUP($C21,'C'!$A$1:$N$1998,8,FALSE),"")</f>
        <v>3.4</v>
      </c>
      <c r="J21" s="4" t="str">
        <f>IFERROR(IF(VLOOKUP($C21,'C'!$A$1:$N$1998,9,FALSE)=1,"&lt;",""),"")</f>
        <v/>
      </c>
      <c r="M21" s="4">
        <f t="shared" si="2"/>
        <v>3</v>
      </c>
      <c r="N21" s="4" t="str">
        <f t="shared" si="4"/>
        <v>&lt;</v>
      </c>
      <c r="O21" s="4">
        <f t="shared" si="15"/>
        <v>4.0999999999999996</v>
      </c>
      <c r="P21" s="4" t="str">
        <f t="shared" si="4"/>
        <v/>
      </c>
      <c r="Q21" s="4">
        <f t="shared" si="16"/>
        <v>3.4</v>
      </c>
      <c r="R21" s="4" t="str">
        <f t="shared" si="4"/>
        <v/>
      </c>
      <c r="V21" s="4">
        <f>IFERROR(IF(VLOOKUP(B21,E!$B$1:$AK$300,4,FALSE)=0,1000000,VLOOKUP(B21,E!$B$1:$AK$300,4,FALSE)),1000000)</f>
        <v>3</v>
      </c>
      <c r="Z21" s="4">
        <f t="shared" si="7"/>
        <v>-1</v>
      </c>
      <c r="AC21" s="4">
        <f t="shared" si="6"/>
        <v>4.0999999999999996</v>
      </c>
      <c r="AF21" s="4">
        <f t="shared" si="8"/>
        <v>3.4</v>
      </c>
      <c r="AI21" s="86">
        <v>2</v>
      </c>
      <c r="AJ21" s="86">
        <v>0.28000000000000003</v>
      </c>
      <c r="AK21" s="86">
        <v>0</v>
      </c>
      <c r="AO21" s="4">
        <f t="shared" si="9"/>
        <v>3.515625</v>
      </c>
      <c r="AQ21" s="4">
        <f t="shared" si="10"/>
        <v>1.7716535433070866</v>
      </c>
      <c r="AS21" s="4">
        <f t="shared" si="11"/>
        <v>2.4834437086092715</v>
      </c>
      <c r="AV21" s="4">
        <f t="shared" si="12"/>
        <v>7.3828124999999991</v>
      </c>
      <c r="AX21" s="4">
        <f t="shared" si="13"/>
        <v>7.2637795275590546</v>
      </c>
      <c r="AZ21" s="4">
        <f t="shared" si="14"/>
        <v>8.443708609271523</v>
      </c>
    </row>
    <row r="22" spans="1:52" x14ac:dyDescent="0.2">
      <c r="A22" s="4" t="s">
        <v>4</v>
      </c>
      <c r="B22" s="4">
        <v>971</v>
      </c>
      <c r="C22" s="4" t="str">
        <f>CONCATENATE("urn:immetingen:parameter:id:",B22)</f>
        <v>urn:immetingen:parameter:id:971</v>
      </c>
      <c r="D22" s="4">
        <f>IFERROR(IF(VLOOKUP($C22,'C'!$A$1:$N$1998,4,FALSE)=0,IF(VLOOKUP($C22,'C'!$A$1:$N$1998,7,FALSE)=0,VLOOKUP($C22,'C'!$A$1:$N$1998,10,FALSE),VLOOKUP($C22,'C'!$A$1:$N$1998,7,FALSE)),VLOOKUP($C22,'C'!$A$1:$N$1998,4,FALSE)),"")</f>
        <v>58</v>
      </c>
      <c r="E22" s="4">
        <f>IFERROR(VLOOKUP($C22,'C'!$A$1:$N$1998,2,FALSE),"")</f>
        <v>5</v>
      </c>
      <c r="F22" s="4" t="str">
        <f>IFERROR(IF(VLOOKUP($C22,'C'!$A$1:$N$1998,3,FALSE)=1,"&lt;",""),"")</f>
        <v>&lt;</v>
      </c>
      <c r="G22" s="4">
        <f>IFERROR(VLOOKUP($C22,'C'!$A$1:$N$1998,5,FALSE),"")</f>
        <v>5</v>
      </c>
      <c r="H22" s="4" t="str">
        <f>IFERROR(IF(VLOOKUP($C22,'C'!$A$1:$N$1998,6,FALSE)=1,"&lt;",""),"")</f>
        <v>&lt;</v>
      </c>
      <c r="I22" s="4">
        <f>IFERROR(VLOOKUP($C22,'C'!$A$1:$N$1998,8,FALSE),"")</f>
        <v>5</v>
      </c>
      <c r="J22" s="4" t="str">
        <f>IFERROR(IF(VLOOKUP($C22,'C'!$A$1:$N$1998,9,FALSE)=1,"&lt;",""),"")</f>
        <v>&lt;</v>
      </c>
      <c r="M22" s="4">
        <f t="shared" si="2"/>
        <v>5</v>
      </c>
      <c r="N22" s="4" t="str">
        <f t="shared" si="4"/>
        <v>&lt;</v>
      </c>
      <c r="O22" s="4">
        <f t="shared" si="15"/>
        <v>5</v>
      </c>
      <c r="P22" s="4" t="str">
        <f t="shared" si="4"/>
        <v>&lt;</v>
      </c>
      <c r="Q22" s="4">
        <f t="shared" si="16"/>
        <v>5</v>
      </c>
      <c r="R22" s="4" t="str">
        <f t="shared" si="4"/>
        <v>&lt;</v>
      </c>
      <c r="V22" s="4">
        <f>IFERROR(IF(VLOOKUP(B22,E!$B$1:$AK$300,4,FALSE)=0,1000000,VLOOKUP(B22,E!$B$1:$AK$300,4,FALSE)),1000000)</f>
        <v>5</v>
      </c>
      <c r="Z22" s="4">
        <f t="shared" si="7"/>
        <v>-1</v>
      </c>
      <c r="AC22" s="4">
        <f t="shared" si="6"/>
        <v>-1</v>
      </c>
      <c r="AF22" s="4">
        <f t="shared" si="8"/>
        <v>-1</v>
      </c>
      <c r="AI22" s="86">
        <v>15</v>
      </c>
      <c r="AJ22" s="86">
        <v>0.6</v>
      </c>
      <c r="AK22" s="86">
        <v>0.6</v>
      </c>
      <c r="AO22" s="4">
        <f t="shared" si="9"/>
        <v>2.0689655172413794</v>
      </c>
      <c r="AQ22" s="4">
        <f t="shared" si="10"/>
        <v>1.5789473684210527</v>
      </c>
      <c r="AS22" s="4">
        <f t="shared" si="11"/>
        <v>1.8292682926829269</v>
      </c>
      <c r="AV22" s="4">
        <f t="shared" si="12"/>
        <v>7.2413793103448283</v>
      </c>
      <c r="AX22" s="4">
        <f t="shared" si="13"/>
        <v>5.5263157894736841</v>
      </c>
      <c r="AZ22" s="4">
        <f t="shared" si="14"/>
        <v>6.4024390243902438</v>
      </c>
    </row>
    <row r="23" spans="1:52" x14ac:dyDescent="0.2">
      <c r="A23" s="4" t="s">
        <v>5</v>
      </c>
      <c r="B23" s="4">
        <v>1097</v>
      </c>
      <c r="C23" s="4" t="str">
        <f t="shared" si="0"/>
        <v>urn:immetingen:parameter:id:1097</v>
      </c>
      <c r="D23" s="4">
        <f>IFERROR(IF(VLOOKUP($C23,'C'!$A$1:$N$1998,4,FALSE)=0,IF(VLOOKUP($C23,'C'!$A$1:$N$1998,7,FALSE)=0,VLOOKUP($C23,'C'!$A$1:$N$1998,10,FALSE),VLOOKUP($C23,'C'!$A$1:$N$1998,7,FALSE)),VLOOKUP($C23,'C'!$A$1:$N$1998,4,FALSE)),"")</f>
        <v>58</v>
      </c>
      <c r="E23" s="4">
        <f>IFERROR(VLOOKUP($C23,'C'!$A$1:$N$1998,2,FALSE),"")</f>
        <v>0.05</v>
      </c>
      <c r="F23" s="4" t="str">
        <f>IFERROR(IF(VLOOKUP($C23,'C'!$A$1:$N$1998,3,FALSE)=1,"&lt;",""),"")</f>
        <v>&lt;</v>
      </c>
      <c r="G23" s="4">
        <f>IFERROR(VLOOKUP($C23,'C'!$A$1:$N$1998,5,FALSE),"")</f>
        <v>0.05</v>
      </c>
      <c r="H23" s="4" t="str">
        <f>IFERROR(IF(VLOOKUP($C23,'C'!$A$1:$N$1998,6,FALSE)=1,"&lt;",""),"")</f>
        <v>&lt;</v>
      </c>
      <c r="I23" s="4">
        <f>IFERROR(VLOOKUP($C23,'C'!$A$1:$N$1998,8,FALSE),"")</f>
        <v>0.05</v>
      </c>
      <c r="J23" s="4" t="str">
        <f>IFERROR(IF(VLOOKUP($C23,'C'!$A$1:$N$1998,9,FALSE)=1,"&lt;",""),"")</f>
        <v>&lt;</v>
      </c>
      <c r="M23" s="4">
        <f t="shared" si="2"/>
        <v>0.05</v>
      </c>
      <c r="N23" s="4" t="str">
        <f t="shared" si="4"/>
        <v>&lt;</v>
      </c>
      <c r="O23" s="4">
        <f t="shared" si="15"/>
        <v>0.05</v>
      </c>
      <c r="P23" s="4" t="str">
        <f t="shared" si="4"/>
        <v>&lt;</v>
      </c>
      <c r="Q23" s="4">
        <f t="shared" si="16"/>
        <v>0.05</v>
      </c>
      <c r="R23" s="4" t="str">
        <f t="shared" si="4"/>
        <v>&lt;</v>
      </c>
      <c r="V23" s="4">
        <f>IFERROR(IF(VLOOKUP(B23,E!$B$1:$AK$300,4,FALSE)=0,1000000,VLOOKUP(B23,E!$B$1:$AK$300,4,FALSE)),1000000)</f>
        <v>0.05</v>
      </c>
      <c r="Z23" s="4">
        <f t="shared" si="7"/>
        <v>-1</v>
      </c>
      <c r="AC23" s="4">
        <f t="shared" si="6"/>
        <v>-1</v>
      </c>
      <c r="AF23" s="4">
        <f t="shared" si="8"/>
        <v>-1</v>
      </c>
      <c r="AI23" s="86">
        <v>0.2</v>
      </c>
      <c r="AJ23" s="86">
        <v>3.3999999999999998E-3</v>
      </c>
      <c r="AK23" s="86">
        <v>1.6999999999999999E-3</v>
      </c>
      <c r="AO23" s="4">
        <f t="shared" si="9"/>
        <v>1.4367269267364418</v>
      </c>
      <c r="AQ23" s="4">
        <f t="shared" si="10"/>
        <v>1.2541528239202659</v>
      </c>
      <c r="AS23" s="4">
        <f t="shared" si="11"/>
        <v>1.353531731803514</v>
      </c>
      <c r="AV23" s="4">
        <f t="shared" si="12"/>
        <v>5.0285442435775457E-2</v>
      </c>
      <c r="AX23" s="4">
        <f t="shared" si="13"/>
        <v>4.3895348837209303E-2</v>
      </c>
      <c r="AZ23" s="4">
        <f t="shared" si="14"/>
        <v>4.7373610613122986E-2</v>
      </c>
    </row>
    <row r="24" spans="1:52" x14ac:dyDescent="0.2">
      <c r="A24" s="81" t="s">
        <v>806</v>
      </c>
      <c r="B24" s="4">
        <v>2574</v>
      </c>
      <c r="C24" s="4" t="str">
        <f t="shared" si="0"/>
        <v>urn:immetingen:parameter:id:2574</v>
      </c>
      <c r="D24" s="4" t="str">
        <f>IFERROR(IF(VLOOKUP($C24,'C'!$A$1:$N$1998,4,FALSE)=0,IF(VLOOKUP($C24,'C'!$A$1:$N$1998,7,FALSE)=0,VLOOKUP($C24,'C'!$A$1:$N$1998,10,FALSE),VLOOKUP($C24,'C'!$A$1:$N$1998,7,FALSE)),VLOOKUP($C24,'C'!$A$1:$N$1998,4,FALSE)),"")</f>
        <v/>
      </c>
      <c r="E24" s="4" t="str">
        <f>IFERROR(VLOOKUP($C24,'C'!$A$1:$N$1998,2,FALSE),"")</f>
        <v/>
      </c>
      <c r="F24" s="4" t="str">
        <f>IFERROR(IF(VLOOKUP($C24,'C'!$A$1:$N$1998,3,FALSE)=1,"&lt;",""),"")</f>
        <v/>
      </c>
      <c r="G24" s="4" t="str">
        <f>IFERROR(VLOOKUP($C24,'C'!$A$1:$N$1998,5,FALSE),"")</f>
        <v/>
      </c>
      <c r="H24" s="4" t="str">
        <f>IFERROR(IF(VLOOKUP($C24,'C'!$A$1:$N$1998,6,FALSE)=1,"&lt;",""),"")</f>
        <v/>
      </c>
      <c r="I24" s="4" t="str">
        <f>IFERROR(VLOOKUP($C24,'C'!$A$1:$N$1998,8,FALSE),"")</f>
        <v/>
      </c>
      <c r="J24" s="4" t="str">
        <f>IFERROR(IF(VLOOKUP($C24,'C'!$A$1:$N$1998,9,FALSE)=1,"&lt;",""),"")</f>
        <v/>
      </c>
      <c r="M24" s="4" t="str">
        <f t="shared" si="2"/>
        <v/>
      </c>
      <c r="N24" s="4" t="str">
        <f t="shared" si="4"/>
        <v/>
      </c>
      <c r="O24" s="4" t="str">
        <f t="shared" si="15"/>
        <v/>
      </c>
      <c r="P24" s="4" t="str">
        <f t="shared" si="4"/>
        <v/>
      </c>
      <c r="Q24" s="4" t="str">
        <f t="shared" si="16"/>
        <v/>
      </c>
      <c r="R24" s="4" t="str">
        <f t="shared" si="4"/>
        <v/>
      </c>
      <c r="V24" s="4">
        <v>0.05</v>
      </c>
      <c r="Z24" s="4" t="str">
        <f t="shared" si="7"/>
        <v/>
      </c>
      <c r="AC24" s="4" t="str">
        <f t="shared" si="6"/>
        <v/>
      </c>
      <c r="AF24" s="4" t="str">
        <f t="shared" si="8"/>
        <v/>
      </c>
      <c r="AI24" s="85">
        <v>0.2</v>
      </c>
      <c r="AJ24" s="86">
        <v>3.3999999999999998E-3</v>
      </c>
      <c r="AK24" s="86">
        <v>1.6999999999999999E-3</v>
      </c>
      <c r="AO24" s="4">
        <f t="shared" si="9"/>
        <v>1.4367269267364418</v>
      </c>
      <c r="AQ24" s="4">
        <f t="shared" si="10"/>
        <v>1.2541528239202659</v>
      </c>
      <c r="AS24" s="4">
        <f t="shared" si="11"/>
        <v>1.353531731803514</v>
      </c>
      <c r="AV24" s="4" t="str">
        <f t="shared" si="12"/>
        <v/>
      </c>
      <c r="AX24" s="4" t="str">
        <f t="shared" si="13"/>
        <v/>
      </c>
      <c r="AZ24" s="4" t="str">
        <f t="shared" si="14"/>
        <v/>
      </c>
    </row>
    <row r="25" spans="1:52" x14ac:dyDescent="0.2">
      <c r="A25" s="81" t="s">
        <v>807</v>
      </c>
      <c r="B25" s="4">
        <v>2575</v>
      </c>
      <c r="C25" s="4" t="str">
        <f t="shared" si="0"/>
        <v>urn:immetingen:parameter:id:2575</v>
      </c>
      <c r="D25" s="4" t="str">
        <f>IFERROR(IF(VLOOKUP($C25,'C'!$A$1:$N$1998,4,FALSE)=0,IF(VLOOKUP($C25,'C'!$A$1:$N$1998,7,FALSE)=0,VLOOKUP($C25,'C'!$A$1:$N$1998,10,FALSE),VLOOKUP($C25,'C'!$A$1:$N$1998,7,FALSE)),VLOOKUP($C25,'C'!$A$1:$N$1998,4,FALSE)),"")</f>
        <v/>
      </c>
      <c r="E25" s="4" t="str">
        <f>IFERROR(VLOOKUP($C25,'C'!$A$1:$N$1998,2,FALSE),"")</f>
        <v/>
      </c>
      <c r="F25" s="4" t="str">
        <f>IFERROR(IF(VLOOKUP($C25,'C'!$A$1:$N$1998,3,FALSE)=1,"&lt;",""),"")</f>
        <v/>
      </c>
      <c r="G25" s="4" t="str">
        <f>IFERROR(VLOOKUP($C25,'C'!$A$1:$N$1998,5,FALSE),"")</f>
        <v/>
      </c>
      <c r="H25" s="4" t="str">
        <f>IFERROR(IF(VLOOKUP($C25,'C'!$A$1:$N$1998,6,FALSE)=1,"&lt;",""),"")</f>
        <v/>
      </c>
      <c r="I25" s="4" t="str">
        <f>IFERROR(VLOOKUP($C25,'C'!$A$1:$N$1998,8,FALSE),"")</f>
        <v/>
      </c>
      <c r="J25" s="4" t="str">
        <f>IFERROR(IF(VLOOKUP($C25,'C'!$A$1:$N$1998,9,FALSE)=1,"&lt;",""),"")</f>
        <v/>
      </c>
      <c r="M25" s="4" t="str">
        <f t="shared" si="2"/>
        <v/>
      </c>
      <c r="N25" s="4" t="str">
        <f t="shared" si="4"/>
        <v/>
      </c>
      <c r="O25" s="4" t="str">
        <f t="shared" si="15"/>
        <v/>
      </c>
      <c r="P25" s="4" t="str">
        <f t="shared" si="4"/>
        <v/>
      </c>
      <c r="Q25" s="4" t="str">
        <f t="shared" si="16"/>
        <v/>
      </c>
      <c r="R25" s="4" t="str">
        <f t="shared" si="4"/>
        <v/>
      </c>
      <c r="V25" s="4">
        <v>0.05</v>
      </c>
      <c r="Z25" s="4" t="str">
        <f t="shared" si="7"/>
        <v/>
      </c>
      <c r="AC25" s="4" t="str">
        <f t="shared" si="6"/>
        <v/>
      </c>
      <c r="AF25" s="4" t="str">
        <f t="shared" si="8"/>
        <v/>
      </c>
      <c r="AI25" s="85">
        <v>0.2</v>
      </c>
      <c r="AJ25" s="86">
        <v>3.3999999999999998E-3</v>
      </c>
      <c r="AK25" s="86">
        <v>1.6999999999999999E-3</v>
      </c>
      <c r="AO25" s="4">
        <f t="shared" si="9"/>
        <v>1.4367269267364418</v>
      </c>
      <c r="AQ25" s="4">
        <f t="shared" si="10"/>
        <v>1.2541528239202659</v>
      </c>
      <c r="AS25" s="4">
        <f t="shared" si="11"/>
        <v>1.353531731803514</v>
      </c>
      <c r="AV25" s="4" t="str">
        <f t="shared" si="12"/>
        <v/>
      </c>
      <c r="AX25" s="4" t="str">
        <f t="shared" si="13"/>
        <v/>
      </c>
      <c r="AZ25" s="4" t="str">
        <f t="shared" si="14"/>
        <v/>
      </c>
    </row>
    <row r="26" spans="1:52" x14ac:dyDescent="0.2">
      <c r="A26" s="4" t="s">
        <v>6</v>
      </c>
      <c r="B26" s="4">
        <v>1116</v>
      </c>
      <c r="C26" s="4" t="str">
        <f t="shared" si="0"/>
        <v>urn:immetingen:parameter:id:1116</v>
      </c>
      <c r="D26" s="4">
        <f>IFERROR(IF(VLOOKUP($C26,'C'!$A$1:$N$1998,4,FALSE)=0,IF(VLOOKUP($C26,'C'!$A$1:$N$1998,7,FALSE)=0,VLOOKUP($C26,'C'!$A$1:$N$1998,10,FALSE),VLOOKUP($C26,'C'!$A$1:$N$1998,7,FALSE)),VLOOKUP($C26,'C'!$A$1:$N$1998,4,FALSE)),"")</f>
        <v>58</v>
      </c>
      <c r="E26" s="4">
        <f>IFERROR(VLOOKUP($C26,'C'!$A$1:$N$1998,2,FALSE),"")</f>
        <v>10</v>
      </c>
      <c r="F26" s="4" t="str">
        <f>IFERROR(IF(VLOOKUP($C26,'C'!$A$1:$N$1998,3,FALSE)=1,"&lt;",""),"")</f>
        <v>&lt;</v>
      </c>
      <c r="G26" s="4">
        <f>IFERROR(VLOOKUP($C26,'C'!$A$1:$N$1998,5,FALSE),"")</f>
        <v>10</v>
      </c>
      <c r="H26" s="4" t="str">
        <f>IFERROR(IF(VLOOKUP($C26,'C'!$A$1:$N$1998,6,FALSE)=1,"&lt;",""),"")</f>
        <v>&lt;</v>
      </c>
      <c r="I26" s="4">
        <f>IFERROR(VLOOKUP($C26,'C'!$A$1:$N$1998,8,FALSE),"")</f>
        <v>10</v>
      </c>
      <c r="J26" s="4" t="str">
        <f>IFERROR(IF(VLOOKUP($C26,'C'!$A$1:$N$1998,9,FALSE)=1,"&lt;",""),"")</f>
        <v>&lt;</v>
      </c>
      <c r="M26" s="4">
        <f t="shared" si="2"/>
        <v>10</v>
      </c>
      <c r="N26" s="4" t="str">
        <f t="shared" si="4"/>
        <v>&lt;</v>
      </c>
      <c r="O26" s="4">
        <f t="shared" si="15"/>
        <v>10</v>
      </c>
      <c r="P26" s="4" t="str">
        <f t="shared" si="4"/>
        <v>&lt;</v>
      </c>
      <c r="Q26" s="4">
        <f t="shared" si="16"/>
        <v>10</v>
      </c>
      <c r="R26" s="4" t="str">
        <f t="shared" si="4"/>
        <v>&lt;</v>
      </c>
      <c r="V26" s="4">
        <f>IFERROR(IF(VLOOKUP(B26,E!$B$1:$AK$300,4,FALSE)=0,1000000,VLOOKUP(B26,E!$B$1:$AK$300,4,FALSE)),1000000)</f>
        <v>10</v>
      </c>
      <c r="Z26" s="4">
        <f t="shared" si="7"/>
        <v>-1</v>
      </c>
      <c r="AC26" s="4">
        <f t="shared" si="6"/>
        <v>-1</v>
      </c>
      <c r="AF26" s="4">
        <f t="shared" si="8"/>
        <v>-1</v>
      </c>
      <c r="AI26" s="86">
        <v>50</v>
      </c>
      <c r="AJ26" s="86">
        <v>1</v>
      </c>
      <c r="AK26" s="86">
        <v>1</v>
      </c>
      <c r="AO26" s="4">
        <f t="shared" si="9"/>
        <v>1.5740740740740742</v>
      </c>
      <c r="AQ26" s="4">
        <f t="shared" si="10"/>
        <v>1.3492063492063493</v>
      </c>
      <c r="AS26" s="4">
        <f t="shared" si="11"/>
        <v>1.4705882352941178</v>
      </c>
      <c r="AV26" s="4">
        <f t="shared" si="12"/>
        <v>11.018518518518519</v>
      </c>
      <c r="AX26" s="4">
        <f t="shared" si="13"/>
        <v>9.4444444444444446</v>
      </c>
      <c r="AZ26" s="4">
        <f t="shared" si="14"/>
        <v>10.294117647058824</v>
      </c>
    </row>
    <row r="27" spans="1:52" x14ac:dyDescent="0.2">
      <c r="A27" s="4" t="s">
        <v>7</v>
      </c>
      <c r="B27" s="4">
        <v>1243</v>
      </c>
      <c r="C27" s="4" t="str">
        <f t="shared" si="0"/>
        <v>urn:immetingen:parameter:id:1243</v>
      </c>
      <c r="D27" s="4">
        <f>IFERROR(IF(VLOOKUP($C27,'C'!$A$1:$N$1998,4,FALSE)=0,IF(VLOOKUP($C27,'C'!$A$1:$N$1998,7,FALSE)=0,VLOOKUP($C27,'C'!$A$1:$N$1998,10,FALSE),VLOOKUP($C27,'C'!$A$1:$N$1998,7,FALSE)),VLOOKUP($C27,'C'!$A$1:$N$1998,4,FALSE)),"")</f>
        <v>58</v>
      </c>
      <c r="E27" s="4">
        <f>IFERROR(VLOOKUP($C27,'C'!$A$1:$N$1998,2,FALSE),"")</f>
        <v>1.5</v>
      </c>
      <c r="F27" s="4" t="str">
        <f>IFERROR(IF(VLOOKUP($C27,'C'!$A$1:$N$1998,3,FALSE)=1,"&lt;",""),"")</f>
        <v>&lt;</v>
      </c>
      <c r="G27" s="4">
        <f>IFERROR(VLOOKUP($C27,'C'!$A$1:$N$1998,5,FALSE),"")</f>
        <v>1.5</v>
      </c>
      <c r="H27" s="4" t="str">
        <f>IFERROR(IF(VLOOKUP($C27,'C'!$A$1:$N$1998,6,FALSE)=1,"&lt;",""),"")</f>
        <v>&lt;</v>
      </c>
      <c r="I27" s="4">
        <f>IFERROR(VLOOKUP($C27,'C'!$A$1:$N$1998,8,FALSE),"")</f>
        <v>1.5</v>
      </c>
      <c r="J27" s="4" t="str">
        <f>IFERROR(IF(VLOOKUP($C27,'C'!$A$1:$N$1998,9,FALSE)=1,"&lt;",""),"")</f>
        <v>&lt;</v>
      </c>
      <c r="M27" s="4">
        <f t="shared" si="2"/>
        <v>1.5</v>
      </c>
      <c r="N27" s="4" t="str">
        <f t="shared" si="4"/>
        <v>&lt;</v>
      </c>
      <c r="O27" s="4">
        <f t="shared" si="15"/>
        <v>1.5</v>
      </c>
      <c r="P27" s="4" t="str">
        <f t="shared" si="4"/>
        <v>&lt;</v>
      </c>
      <c r="Q27" s="4">
        <f t="shared" si="16"/>
        <v>1.5</v>
      </c>
      <c r="R27" s="4" t="str">
        <f t="shared" si="4"/>
        <v>&lt;</v>
      </c>
      <c r="V27" s="4">
        <f>IFERROR(IF(VLOOKUP(B27,E!$B$1:$AK$300,4,FALSE)=0,1000000,VLOOKUP(B27,E!$B$1:$AK$300,4,FALSE)),1000000)</f>
        <v>1.5</v>
      </c>
      <c r="Z27" s="4">
        <f t="shared" si="7"/>
        <v>-1</v>
      </c>
      <c r="AC27" s="4">
        <f t="shared" si="6"/>
        <v>-1</v>
      </c>
      <c r="AF27" s="4">
        <f t="shared" si="8"/>
        <v>-1</v>
      </c>
      <c r="AI27" s="86">
        <v>1</v>
      </c>
      <c r="AJ27" s="86">
        <v>0</v>
      </c>
      <c r="AK27" s="86">
        <v>0</v>
      </c>
      <c r="AO27" s="4">
        <f t="shared" si="9"/>
        <v>1</v>
      </c>
      <c r="AQ27" s="4">
        <f t="shared" si="10"/>
        <v>1</v>
      </c>
      <c r="AS27" s="4">
        <f t="shared" si="11"/>
        <v>1</v>
      </c>
      <c r="AV27" s="4">
        <f t="shared" si="12"/>
        <v>1.0499999999999998</v>
      </c>
      <c r="AX27" s="4">
        <f t="shared" si="13"/>
        <v>1.0499999999999998</v>
      </c>
      <c r="AZ27" s="4">
        <f t="shared" si="14"/>
        <v>1.0499999999999998</v>
      </c>
    </row>
    <row r="28" spans="1:52" x14ac:dyDescent="0.2">
      <c r="A28" s="4" t="s">
        <v>8</v>
      </c>
      <c r="B28" s="4">
        <v>1267</v>
      </c>
      <c r="C28" s="4" t="str">
        <f t="shared" si="0"/>
        <v>urn:immetingen:parameter:id:1267</v>
      </c>
      <c r="D28" s="4">
        <f>IFERROR(IF(VLOOKUP($C28,'C'!$A$1:$N$1998,4,FALSE)=0,IF(VLOOKUP($C28,'C'!$A$1:$N$1998,7,FALSE)=0,VLOOKUP($C28,'C'!$A$1:$N$1998,10,FALSE),VLOOKUP($C28,'C'!$A$1:$N$1998,7,FALSE)),VLOOKUP($C28,'C'!$A$1:$N$1998,4,FALSE)),"")</f>
        <v>58</v>
      </c>
      <c r="E28" s="4">
        <f>IFERROR(VLOOKUP($C28,'C'!$A$1:$N$1998,2,FALSE),"")</f>
        <v>8</v>
      </c>
      <c r="F28" s="4" t="str">
        <f>IFERROR(IF(VLOOKUP($C28,'C'!$A$1:$N$1998,3,FALSE)=1,"&lt;",""),"")</f>
        <v/>
      </c>
      <c r="G28" s="4">
        <f>IFERROR(VLOOKUP($C28,'C'!$A$1:$N$1998,5,FALSE),"")</f>
        <v>13</v>
      </c>
      <c r="H28" s="4" t="str">
        <f>IFERROR(IF(VLOOKUP($C28,'C'!$A$1:$N$1998,6,FALSE)=1,"&lt;",""),"")</f>
        <v/>
      </c>
      <c r="I28" s="4">
        <f>IFERROR(VLOOKUP($C28,'C'!$A$1:$N$1998,8,FALSE),"")</f>
        <v>10</v>
      </c>
      <c r="J28" s="4" t="str">
        <f>IFERROR(IF(VLOOKUP($C28,'C'!$A$1:$N$1998,9,FALSE)=1,"&lt;",""),"")</f>
        <v/>
      </c>
      <c r="M28" s="4">
        <f t="shared" si="2"/>
        <v>8</v>
      </c>
      <c r="N28" s="4" t="str">
        <f t="shared" si="4"/>
        <v/>
      </c>
      <c r="O28" s="4">
        <f t="shared" si="15"/>
        <v>13</v>
      </c>
      <c r="P28" s="4" t="str">
        <f t="shared" si="4"/>
        <v/>
      </c>
      <c r="Q28" s="4">
        <f t="shared" si="16"/>
        <v>10</v>
      </c>
      <c r="R28" s="4" t="str">
        <f t="shared" si="4"/>
        <v/>
      </c>
      <c r="V28" s="4">
        <f>IFERROR(IF(VLOOKUP(B28,E!$B$1:$AK$300,4,FALSE)=0,1000000,VLOOKUP(B28,E!$B$1:$AK$300,4,FALSE)),1000000)</f>
        <v>4</v>
      </c>
      <c r="Z28" s="4">
        <f t="shared" si="7"/>
        <v>8</v>
      </c>
      <c r="AC28" s="4">
        <f t="shared" si="6"/>
        <v>13</v>
      </c>
      <c r="AF28" s="4">
        <f t="shared" si="8"/>
        <v>10</v>
      </c>
      <c r="AI28" s="77">
        <v>10</v>
      </c>
      <c r="AJ28" s="77">
        <v>1</v>
      </c>
      <c r="AK28" s="77">
        <v>0</v>
      </c>
      <c r="AO28" s="4">
        <f t="shared" si="9"/>
        <v>2.9166666666666665</v>
      </c>
      <c r="AQ28" s="4">
        <f t="shared" si="10"/>
        <v>1.6666666666666667</v>
      </c>
      <c r="AS28" s="4">
        <f t="shared" si="11"/>
        <v>2.2151898734177213</v>
      </c>
      <c r="AV28" s="4">
        <f t="shared" si="12"/>
        <v>23.333333333333332</v>
      </c>
      <c r="AX28" s="4">
        <f t="shared" si="13"/>
        <v>21.666666666666668</v>
      </c>
      <c r="AZ28" s="4">
        <f t="shared" si="14"/>
        <v>22.151898734177212</v>
      </c>
    </row>
    <row r="29" spans="1:52" x14ac:dyDescent="0.2">
      <c r="A29" s="4" t="s">
        <v>593</v>
      </c>
      <c r="B29" s="4">
        <v>1476</v>
      </c>
      <c r="C29" s="4" t="str">
        <f t="shared" si="0"/>
        <v>urn:immetingen:parameter:id:1476</v>
      </c>
      <c r="D29" s="4" t="str">
        <f>IFERROR(IF(VLOOKUP($C29,'C'!$A$1:$N$1998,4,FALSE)=0,IF(VLOOKUP($C29,'C'!$A$1:$N$1998,7,FALSE)=0,VLOOKUP($C29,'C'!$A$1:$N$1998,10,FALSE),VLOOKUP($C29,'C'!$A$1:$N$1998,7,FALSE)),VLOOKUP($C29,'C'!$A$1:$N$1998,4,FALSE)),"")</f>
        <v/>
      </c>
      <c r="E29" s="4" t="str">
        <f>IFERROR(VLOOKUP($C29,'C'!$A$1:$N$1998,2,FALSE),"")</f>
        <v/>
      </c>
      <c r="F29" s="4" t="str">
        <f>IFERROR(IF(VLOOKUP($C29,'C'!$A$1:$N$1998,3,FALSE)=1,"&lt;",""),"")</f>
        <v/>
      </c>
      <c r="G29" s="4" t="str">
        <f>IFERROR(VLOOKUP($C29,'C'!$A$1:$N$1998,5,FALSE),"")</f>
        <v/>
      </c>
      <c r="H29" s="4" t="str">
        <f>IFERROR(IF(VLOOKUP($C29,'C'!$A$1:$N$1998,6,FALSE)=1,"&lt;",""),"")</f>
        <v/>
      </c>
      <c r="I29" s="4" t="str">
        <f>IFERROR(VLOOKUP($C29,'C'!$A$1:$N$1998,8,FALSE),"")</f>
        <v/>
      </c>
      <c r="J29" s="4" t="str">
        <f>IFERROR(IF(VLOOKUP($C29,'C'!$A$1:$N$1998,9,FALSE)=1,"&lt;",""),"")</f>
        <v/>
      </c>
      <c r="M29" s="4" t="str">
        <f t="shared" si="2"/>
        <v/>
      </c>
      <c r="N29" s="4" t="str">
        <f t="shared" si="4"/>
        <v/>
      </c>
      <c r="O29" s="4" t="str">
        <f>IF(G29="","",IF($D29=131,G29/1000,G29))</f>
        <v/>
      </c>
      <c r="P29" s="4" t="str">
        <f t="shared" si="4"/>
        <v/>
      </c>
      <c r="Q29" s="4" t="str">
        <f t="shared" si="16"/>
        <v/>
      </c>
      <c r="R29" s="4" t="str">
        <f t="shared" si="4"/>
        <v/>
      </c>
      <c r="V29" s="4">
        <f>IFERROR(IF(VLOOKUP(B29,E!$B$1:$AK$300,4,FALSE)=0,1000000,VLOOKUP(B29,E!$B$1:$AK$300,4,FALSE)),1000000)</f>
        <v>1000000</v>
      </c>
      <c r="Z29" s="4" t="str">
        <f t="shared" si="7"/>
        <v/>
      </c>
      <c r="AC29" s="4" t="str">
        <f t="shared" si="6"/>
        <v/>
      </c>
      <c r="AF29" s="4" t="str">
        <f t="shared" si="8"/>
        <v/>
      </c>
      <c r="AI29" s="77">
        <v>1</v>
      </c>
      <c r="AJ29" s="77">
        <v>0</v>
      </c>
      <c r="AK29" s="77">
        <v>0</v>
      </c>
      <c r="AO29" s="4">
        <f t="shared" si="9"/>
        <v>1</v>
      </c>
      <c r="AQ29" s="4">
        <f t="shared" si="10"/>
        <v>1</v>
      </c>
      <c r="AS29" s="4">
        <f t="shared" si="11"/>
        <v>1</v>
      </c>
      <c r="AV29" s="4" t="str">
        <f t="shared" si="12"/>
        <v/>
      </c>
      <c r="AX29" s="4" t="str">
        <f t="shared" si="13"/>
        <v/>
      </c>
      <c r="AZ29" s="4" t="str">
        <f t="shared" si="14"/>
        <v/>
      </c>
    </row>
    <row r="30" spans="1:52" x14ac:dyDescent="0.2">
      <c r="A30" s="4" t="s">
        <v>594</v>
      </c>
      <c r="B30" s="4">
        <v>1564</v>
      </c>
      <c r="C30" s="4" t="str">
        <f t="shared" si="0"/>
        <v>urn:immetingen:parameter:id:1564</v>
      </c>
      <c r="D30" s="4" t="str">
        <f>IFERROR(IF(VLOOKUP($C30,'C'!$A$1:$N$1998,4,FALSE)=0,IF(VLOOKUP($C30,'C'!$A$1:$N$1998,7,FALSE)=0,VLOOKUP($C30,'C'!$A$1:$N$1998,10,FALSE),VLOOKUP($C30,'C'!$A$1:$N$1998,7,FALSE)),VLOOKUP($C30,'C'!$A$1:$N$1998,4,FALSE)),"")</f>
        <v/>
      </c>
      <c r="E30" s="4" t="str">
        <f>IFERROR(VLOOKUP($C30,'C'!$A$1:$N$1998,2,FALSE),"")</f>
        <v/>
      </c>
      <c r="F30" s="4" t="str">
        <f>IFERROR(IF(VLOOKUP($C30,'C'!$A$1:$N$1998,3,FALSE)=1,"&lt;",""),"")</f>
        <v/>
      </c>
      <c r="G30" s="4" t="str">
        <f>IFERROR(VLOOKUP($C30,'C'!$A$1:$N$1998,5,FALSE),"")</f>
        <v/>
      </c>
      <c r="H30" s="4" t="str">
        <f>IFERROR(IF(VLOOKUP($C30,'C'!$A$1:$N$1998,6,FALSE)=1,"&lt;",""),"")</f>
        <v/>
      </c>
      <c r="I30" s="4" t="str">
        <f>IFERROR(VLOOKUP($C30,'C'!$A$1:$N$1998,8,FALSE),"")</f>
        <v/>
      </c>
      <c r="J30" s="4" t="str">
        <f>IFERROR(IF(VLOOKUP($C30,'C'!$A$1:$N$1998,9,FALSE)=1,"&lt;",""),"")</f>
        <v/>
      </c>
      <c r="M30" s="4" t="str">
        <f t="shared" si="2"/>
        <v/>
      </c>
      <c r="N30" s="4" t="str">
        <f t="shared" si="4"/>
        <v/>
      </c>
      <c r="O30" s="4" t="str">
        <f t="shared" si="15"/>
        <v/>
      </c>
      <c r="P30" s="4" t="str">
        <f t="shared" si="4"/>
        <v/>
      </c>
      <c r="Q30" s="4" t="str">
        <f t="shared" si="16"/>
        <v/>
      </c>
      <c r="R30" s="4" t="str">
        <f t="shared" si="4"/>
        <v/>
      </c>
      <c r="V30" s="4">
        <f>IFERROR(IF(VLOOKUP(B30,E!$B$1:$AK$300,4,FALSE)=0,1000000,VLOOKUP(B30,E!$B$1:$AK$300,4,FALSE)),1000000)</f>
        <v>1.5</v>
      </c>
      <c r="Z30" s="4" t="str">
        <f t="shared" si="7"/>
        <v/>
      </c>
      <c r="AC30" s="4" t="str">
        <f t="shared" si="6"/>
        <v/>
      </c>
      <c r="AF30" s="4" t="str">
        <f t="shared" si="8"/>
        <v/>
      </c>
      <c r="AI30" s="77">
        <v>4</v>
      </c>
      <c r="AJ30" s="77">
        <v>0.6</v>
      </c>
      <c r="AK30" s="77">
        <v>0</v>
      </c>
      <c r="AO30" s="4">
        <f t="shared" si="9"/>
        <v>3.6538461538461537</v>
      </c>
      <c r="AQ30" s="4">
        <f t="shared" si="10"/>
        <v>1.7924528301886793</v>
      </c>
      <c r="AS30" s="4">
        <f t="shared" si="11"/>
        <v>2.5401069518716577</v>
      </c>
      <c r="AV30" s="4" t="str">
        <f t="shared" si="12"/>
        <v/>
      </c>
      <c r="AX30" s="4" t="str">
        <f t="shared" si="13"/>
        <v/>
      </c>
      <c r="AZ30" s="4" t="str">
        <f t="shared" si="14"/>
        <v/>
      </c>
    </row>
    <row r="31" spans="1:52" x14ac:dyDescent="0.2">
      <c r="A31" s="4" t="s">
        <v>595</v>
      </c>
      <c r="B31" s="4">
        <v>1642</v>
      </c>
      <c r="C31" s="4" t="str">
        <f t="shared" si="0"/>
        <v>urn:immetingen:parameter:id:1642</v>
      </c>
      <c r="D31" s="4" t="str">
        <f>IFERROR(IF(VLOOKUP($C31,'C'!$A$1:$N$1998,4,FALSE)=0,IF(VLOOKUP($C31,'C'!$A$1:$N$1998,7,FALSE)=0,VLOOKUP($C31,'C'!$A$1:$N$1998,10,FALSE),VLOOKUP($C31,'C'!$A$1:$N$1998,7,FALSE)),VLOOKUP($C31,'C'!$A$1:$N$1998,4,FALSE)),"")</f>
        <v/>
      </c>
      <c r="E31" s="4" t="str">
        <f>IFERROR(VLOOKUP($C31,'C'!$A$1:$N$1998,2,FALSE),"")</f>
        <v/>
      </c>
      <c r="F31" s="4" t="str">
        <f>IFERROR(IF(VLOOKUP($C31,'C'!$A$1:$N$1998,3,FALSE)=1,"&lt;",""),"")</f>
        <v/>
      </c>
      <c r="G31" s="4" t="str">
        <f>IFERROR(VLOOKUP($C31,'C'!$A$1:$N$1998,5,FALSE),"")</f>
        <v/>
      </c>
      <c r="H31" s="4" t="str">
        <f>IFERROR(IF(VLOOKUP($C31,'C'!$A$1:$N$1998,6,FALSE)=1,"&lt;",""),"")</f>
        <v/>
      </c>
      <c r="I31" s="4" t="str">
        <f>IFERROR(VLOOKUP($C31,'C'!$A$1:$N$1998,8,FALSE),"")</f>
        <v/>
      </c>
      <c r="J31" s="4" t="str">
        <f>IFERROR(IF(VLOOKUP($C31,'C'!$A$1:$N$1998,9,FALSE)=1,"&lt;",""),"")</f>
        <v/>
      </c>
      <c r="M31" s="4" t="str">
        <f t="shared" si="2"/>
        <v/>
      </c>
      <c r="N31" s="4" t="str">
        <f t="shared" si="4"/>
        <v/>
      </c>
      <c r="O31" s="4" t="str">
        <f t="shared" si="15"/>
        <v/>
      </c>
      <c r="P31" s="4" t="str">
        <f t="shared" si="4"/>
        <v/>
      </c>
      <c r="Q31" s="4" t="str">
        <f t="shared" si="16"/>
        <v/>
      </c>
      <c r="R31" s="4" t="str">
        <f t="shared" si="4"/>
        <v/>
      </c>
      <c r="V31" s="4">
        <f>IFERROR(IF(VLOOKUP(B31,E!$B$1:$AK$300,4,FALSE)=0,1000000,VLOOKUP(B31,E!$B$1:$AK$300,4,FALSE)),1000000)</f>
        <v>10</v>
      </c>
      <c r="Z31" s="4" t="str">
        <f t="shared" si="7"/>
        <v/>
      </c>
      <c r="AC31" s="4" t="str">
        <f t="shared" si="6"/>
        <v/>
      </c>
      <c r="AF31" s="4" t="str">
        <f t="shared" si="8"/>
        <v/>
      </c>
      <c r="AI31" s="77">
        <v>12</v>
      </c>
      <c r="AJ31" s="77">
        <v>1.2</v>
      </c>
      <c r="AK31" s="77">
        <v>0</v>
      </c>
      <c r="AO31" s="4">
        <f t="shared" si="9"/>
        <v>2.9166666666666665</v>
      </c>
      <c r="AQ31" s="4">
        <f t="shared" si="10"/>
        <v>1.6666666666666667</v>
      </c>
      <c r="AS31" s="4">
        <f t="shared" si="11"/>
        <v>2.2151898734177213</v>
      </c>
      <c r="AV31" s="4" t="str">
        <f t="shared" si="12"/>
        <v/>
      </c>
      <c r="AX31" s="4" t="str">
        <f t="shared" si="13"/>
        <v/>
      </c>
      <c r="AZ31" s="4" t="str">
        <f t="shared" si="14"/>
        <v/>
      </c>
    </row>
    <row r="32" spans="1:52" x14ac:dyDescent="0.2">
      <c r="A32" s="4" t="s">
        <v>9</v>
      </c>
      <c r="B32" s="4">
        <v>1693</v>
      </c>
      <c r="C32" s="4" t="str">
        <f t="shared" si="0"/>
        <v>urn:immetingen:parameter:id:1693</v>
      </c>
      <c r="D32" s="4">
        <f>IFERROR(IF(VLOOKUP($C32,'C'!$A$1:$N$1998,4,FALSE)=0,IF(VLOOKUP($C32,'C'!$A$1:$N$1998,7,FALSE)=0,VLOOKUP($C32,'C'!$A$1:$N$1998,10,FALSE),VLOOKUP($C32,'C'!$A$1:$N$1998,7,FALSE)),VLOOKUP($C32,'C'!$A$1:$N$1998,4,FALSE)),"")</f>
        <v>58</v>
      </c>
      <c r="E32" s="4">
        <f>IFERROR(VLOOKUP($C32,'C'!$A$1:$N$1998,2,FALSE),"")</f>
        <v>20</v>
      </c>
      <c r="F32" s="4" t="str">
        <f>IFERROR(IF(VLOOKUP($C32,'C'!$A$1:$N$1998,3,FALSE)=1,"&lt;",""),"")</f>
        <v>&lt;</v>
      </c>
      <c r="G32" s="4">
        <f>IFERROR(VLOOKUP($C32,'C'!$A$1:$N$1998,5,FALSE),"")</f>
        <v>21</v>
      </c>
      <c r="H32" s="4" t="str">
        <f>IFERROR(IF(VLOOKUP($C32,'C'!$A$1:$N$1998,6,FALSE)=1,"&lt;",""),"")</f>
        <v/>
      </c>
      <c r="I32" s="4">
        <f>IFERROR(VLOOKUP($C32,'C'!$A$1:$N$1998,8,FALSE),"")</f>
        <v>20</v>
      </c>
      <c r="J32" s="4" t="str">
        <f>IFERROR(IF(VLOOKUP($C32,'C'!$A$1:$N$1998,9,FALSE)=1,"&lt;",""),"")</f>
        <v/>
      </c>
      <c r="M32" s="4">
        <f t="shared" si="2"/>
        <v>20</v>
      </c>
      <c r="N32" s="4" t="str">
        <f t="shared" si="4"/>
        <v>&lt;</v>
      </c>
      <c r="O32" s="4">
        <f t="shared" si="15"/>
        <v>21</v>
      </c>
      <c r="P32" s="4" t="str">
        <f t="shared" si="4"/>
        <v/>
      </c>
      <c r="Q32" s="4">
        <f t="shared" si="16"/>
        <v>20</v>
      </c>
      <c r="R32" s="4" t="str">
        <f t="shared" si="4"/>
        <v/>
      </c>
      <c r="V32" s="4">
        <f>IFERROR(IF(VLOOKUP(B32,E!$B$1:$AK$300,4,FALSE)=0,1000000,VLOOKUP(B32,E!$B$1:$AK$300,4,FALSE)),1000000)</f>
        <v>20</v>
      </c>
      <c r="Z32" s="4">
        <f t="shared" si="7"/>
        <v>-1</v>
      </c>
      <c r="AC32" s="4">
        <f t="shared" si="6"/>
        <v>21</v>
      </c>
      <c r="AF32" s="4">
        <f t="shared" si="8"/>
        <v>20</v>
      </c>
      <c r="AI32" s="77">
        <v>50</v>
      </c>
      <c r="AJ32" s="77">
        <v>3</v>
      </c>
      <c r="AK32" s="77">
        <v>1.5</v>
      </c>
      <c r="AO32" s="4">
        <f t="shared" si="9"/>
        <v>2.3728813559322033</v>
      </c>
      <c r="AQ32" s="4">
        <f t="shared" si="10"/>
        <v>1.6279069767441861</v>
      </c>
      <c r="AS32" s="4">
        <f t="shared" si="11"/>
        <v>1.9886363636363635</v>
      </c>
      <c r="AV32" s="4">
        <f t="shared" si="12"/>
        <v>33.220338983050844</v>
      </c>
      <c r="AX32" s="4">
        <f t="shared" si="13"/>
        <v>34.186046511627907</v>
      </c>
      <c r="AZ32" s="4">
        <f t="shared" si="14"/>
        <v>39.772727272727273</v>
      </c>
    </row>
    <row r="33" spans="1:52" x14ac:dyDescent="0.2">
      <c r="A33" s="4" t="s">
        <v>10</v>
      </c>
      <c r="B33" s="4">
        <v>1259</v>
      </c>
      <c r="C33" s="4" t="str">
        <f t="shared" si="0"/>
        <v>urn:immetingen:parameter:id:1259</v>
      </c>
      <c r="D33" s="4">
        <f>IFERROR(IF(VLOOKUP($C33,'C'!$A$1:$N$1998,4,FALSE)=0,IF(VLOOKUP($C33,'C'!$A$1:$N$1998,7,FALSE)=0,VLOOKUP($C33,'C'!$A$1:$N$1998,10,FALSE),VLOOKUP($C33,'C'!$A$1:$N$1998,7,FALSE)),VLOOKUP($C33,'C'!$A$1:$N$1998,4,FALSE)),"")</f>
        <v>58</v>
      </c>
      <c r="E33" s="4">
        <f>IFERROR(VLOOKUP($C33,'C'!$A$1:$N$1998,2,FALSE),"")</f>
        <v>0.01</v>
      </c>
      <c r="F33" s="4" t="str">
        <f>IFERROR(IF(VLOOKUP($C33,'C'!$A$1:$N$1998,3,FALSE)=1,"&lt;",""),"")</f>
        <v>&lt;</v>
      </c>
      <c r="G33" s="4">
        <f>IFERROR(VLOOKUP($C33,'C'!$A$1:$N$1998,5,FALSE),"")</f>
        <v>0.01</v>
      </c>
      <c r="H33" s="4" t="str">
        <f>IFERROR(IF(VLOOKUP($C33,'C'!$A$1:$N$1998,6,FALSE)=1,"&lt;",""),"")</f>
        <v>&lt;</v>
      </c>
      <c r="I33" s="4">
        <f>IFERROR(VLOOKUP($C33,'C'!$A$1:$N$1998,8,FALSE),"")</f>
        <v>0.01</v>
      </c>
      <c r="J33" s="4" t="str">
        <f>IFERROR(IF(VLOOKUP($C33,'C'!$A$1:$N$1998,9,FALSE)=1,"&lt;",""),"")</f>
        <v>&lt;</v>
      </c>
      <c r="M33" s="4">
        <f t="shared" si="2"/>
        <v>0.01</v>
      </c>
      <c r="N33" s="4" t="str">
        <f t="shared" si="4"/>
        <v>&lt;</v>
      </c>
      <c r="O33" s="4">
        <f t="shared" si="15"/>
        <v>0.01</v>
      </c>
      <c r="P33" s="4" t="str">
        <f t="shared" si="4"/>
        <v>&lt;</v>
      </c>
      <c r="Q33" s="4">
        <f t="shared" si="16"/>
        <v>0.01</v>
      </c>
      <c r="R33" s="4" t="str">
        <f t="shared" si="4"/>
        <v>&lt;</v>
      </c>
      <c r="V33" s="4">
        <f>IFERROR(IF(VLOOKUP(B33,E!$B$1:$AK$300,4,FALSE)=0,1000000,VLOOKUP(B33,E!$B$1:$AK$300,4,FALSE)),1000000)</f>
        <v>0.05</v>
      </c>
      <c r="Z33" s="17">
        <f>IF(AA33=-1,IF(SUM(AA$33:AA$42)=-10,0,(0.7*M33)),AA33)</f>
        <v>0</v>
      </c>
      <c r="AA33" s="17">
        <f>IF(N33="&lt;",IF((M33&lt;=$V33),-1,0.7*M33),M33)</f>
        <v>-1</v>
      </c>
      <c r="AC33" s="17">
        <f>IF(AD33=-1,IF(SUM(AD$33:AD$42)=-10,0,(0.7*O33)),AD33)</f>
        <v>0</v>
      </c>
      <c r="AD33" s="17">
        <f>IF(P33="&lt;",IF((O33&lt;=$V33),-1,0.7*O33),O33)</f>
        <v>-1</v>
      </c>
      <c r="AF33" s="17">
        <f>IF(AG33=-1,IF(SUM(AG$33:AG$42)=-10,0,(0.7*Q33)),AG33)</f>
        <v>0</v>
      </c>
      <c r="AG33" s="17">
        <f>IF(R33="&lt;",IF((Q33&lt;=$V33),-1,0.7*Q33),Q33)</f>
        <v>-1</v>
      </c>
      <c r="AI33" s="77">
        <v>0</v>
      </c>
      <c r="AJ33" s="77">
        <v>0</v>
      </c>
      <c r="AK33" s="77">
        <v>1</v>
      </c>
      <c r="AO33" s="4">
        <f>($AI33+($AJ33*25)+($AK33*10))/($AI33+($AJ33*AO$7)+($AK33*AO$9))</f>
        <v>1</v>
      </c>
      <c r="AQ33" s="4">
        <f>($AI33+($AJ33*25)+($AK33*10))/($AI33+($AJ33*AQ$7)+($AK33*AQ$9))</f>
        <v>1</v>
      </c>
      <c r="AS33" s="4">
        <f>($AI33+($AJ33*25)+($AK33*10))/($AI33+($AJ33*AS$7)+($AK33*AS$9))</f>
        <v>1</v>
      </c>
      <c r="AV33" s="4">
        <f t="shared" si="12"/>
        <v>6.9999999999999993E-3</v>
      </c>
      <c r="AX33" s="4">
        <f t="shared" si="13"/>
        <v>6.9999999999999993E-3</v>
      </c>
      <c r="AZ33" s="4">
        <f t="shared" si="14"/>
        <v>6.9999999999999993E-3</v>
      </c>
    </row>
    <row r="34" spans="1:52" x14ac:dyDescent="0.2">
      <c r="A34" s="4" t="s">
        <v>11</v>
      </c>
      <c r="B34" s="4">
        <v>299</v>
      </c>
      <c r="C34" s="4" t="str">
        <f t="shared" si="0"/>
        <v>urn:immetingen:parameter:id:299</v>
      </c>
      <c r="D34" s="4">
        <f>IFERROR(IF(VLOOKUP($C34,'C'!$A$1:$N$1998,4,FALSE)=0,IF(VLOOKUP($C34,'C'!$A$1:$N$1998,7,FALSE)=0,VLOOKUP($C34,'C'!$A$1:$N$1998,10,FALSE),VLOOKUP($C34,'C'!$A$1:$N$1998,7,FALSE)),VLOOKUP($C34,'C'!$A$1:$N$1998,4,FALSE)),"")</f>
        <v>58</v>
      </c>
      <c r="E34" s="4">
        <f>IFERROR(VLOOKUP($C34,'C'!$A$1:$N$1998,2,FALSE),"")</f>
        <v>0.01</v>
      </c>
      <c r="F34" s="4" t="str">
        <f>IFERROR(IF(VLOOKUP($C34,'C'!$A$1:$N$1998,3,FALSE)=1,"&lt;",""),"")</f>
        <v>&lt;</v>
      </c>
      <c r="G34" s="4">
        <f>IFERROR(VLOOKUP($C34,'C'!$A$1:$N$1998,5,FALSE),"")</f>
        <v>0.01</v>
      </c>
      <c r="H34" s="4" t="str">
        <f>IFERROR(IF(VLOOKUP($C34,'C'!$A$1:$N$1998,6,FALSE)=1,"&lt;",""),"")</f>
        <v>&lt;</v>
      </c>
      <c r="I34" s="4">
        <f>IFERROR(VLOOKUP($C34,'C'!$A$1:$N$1998,8,FALSE),"")</f>
        <v>0.01</v>
      </c>
      <c r="J34" s="4" t="str">
        <f>IFERROR(IF(VLOOKUP($C34,'C'!$A$1:$N$1998,9,FALSE)=1,"&lt;",""),"")</f>
        <v>&lt;</v>
      </c>
      <c r="M34" s="4">
        <f t="shared" si="2"/>
        <v>0.01</v>
      </c>
      <c r="N34" s="4" t="str">
        <f t="shared" si="4"/>
        <v>&lt;</v>
      </c>
      <c r="O34" s="4">
        <f t="shared" si="15"/>
        <v>0.01</v>
      </c>
      <c r="P34" s="4" t="str">
        <f t="shared" si="4"/>
        <v>&lt;</v>
      </c>
      <c r="Q34" s="4">
        <f t="shared" si="16"/>
        <v>0.01</v>
      </c>
      <c r="R34" s="4" t="str">
        <f t="shared" si="4"/>
        <v>&lt;</v>
      </c>
      <c r="V34" s="4">
        <f>IFERROR(IF(VLOOKUP(B34,E!$B$1:$AK$300,4,FALSE)=0,1000000,VLOOKUP(B34,E!$B$1:$AK$300,4,FALSE)),1000000)</f>
        <v>0.05</v>
      </c>
      <c r="Z34" s="17">
        <f t="shared" ref="Z34:Z42" si="17">IF(AA34=-1,IF(SUM(AA$33:AA$42)=-10,0,(0.7*M34)),AA34)</f>
        <v>0</v>
      </c>
      <c r="AA34" s="17">
        <f t="shared" ref="AA34:AA42" si="18">IF(N34="&lt;",IF((M34&lt;=$V34),-1,0.7*M34),M34)</f>
        <v>-1</v>
      </c>
      <c r="AC34" s="17">
        <f t="shared" ref="AC34:AC42" si="19">IF(AD34=-1,IF(SUM(AD$33:AD$42)=-10,0,(0.7*O34)),AD34)</f>
        <v>0</v>
      </c>
      <c r="AD34" s="17">
        <f t="shared" ref="AD34:AD42" si="20">IF(P34="&lt;",IF((O34&lt;=$V34),-1,0.7*O34),O34)</f>
        <v>-1</v>
      </c>
      <c r="AF34" s="17">
        <f t="shared" ref="AF34:AF42" si="21">IF(AG34=-1,IF(SUM(AG$33:AG$42)=-10,0,(0.7*Q34)),AG34)</f>
        <v>0</v>
      </c>
      <c r="AG34" s="17">
        <f t="shared" ref="AG34:AG42" si="22">IF(R34="&lt;",IF((Q34&lt;=$V34),-1,0.7*Q34),Q34)</f>
        <v>-1</v>
      </c>
      <c r="AI34" s="77">
        <v>0</v>
      </c>
      <c r="AJ34" s="77">
        <v>0</v>
      </c>
      <c r="AK34" s="77">
        <v>1</v>
      </c>
      <c r="AO34" s="4">
        <f t="shared" ref="AO34:AO48" si="23">($AI34+($AJ34*25)+($AK34*10))/($AI34+($AJ34*AO$7)+($AK34*AO$9))</f>
        <v>1</v>
      </c>
      <c r="AQ34" s="4">
        <f t="shared" ref="AQ34:AQ49" si="24">($AI34+($AJ34*25)+($AK34*10))/($AI34+($AJ34*AQ$7)+($AK34*AQ$9))</f>
        <v>1</v>
      </c>
      <c r="AS34" s="4">
        <f t="shared" ref="AS34:AS49" si="25">($AI34+($AJ34*25)+($AK34*10))/($AI34+($AJ34*AS$7)+($AK34*AS$9))</f>
        <v>1</v>
      </c>
      <c r="AV34" s="4">
        <f t="shared" si="12"/>
        <v>6.9999999999999993E-3</v>
      </c>
      <c r="AX34" s="4">
        <f t="shared" si="13"/>
        <v>6.9999999999999993E-3</v>
      </c>
      <c r="AZ34" s="4">
        <f t="shared" si="14"/>
        <v>6.9999999999999993E-3</v>
      </c>
    </row>
    <row r="35" spans="1:52" x14ac:dyDescent="0.2">
      <c r="A35" s="4" t="s">
        <v>12</v>
      </c>
      <c r="B35" s="4">
        <v>746</v>
      </c>
      <c r="C35" s="4" t="str">
        <f t="shared" si="0"/>
        <v>urn:immetingen:parameter:id:746</v>
      </c>
      <c r="D35" s="4">
        <f>IFERROR(IF(VLOOKUP($C35,'C'!$A$1:$N$1998,4,FALSE)=0,IF(VLOOKUP($C35,'C'!$A$1:$N$1998,7,FALSE)=0,VLOOKUP($C35,'C'!$A$1:$N$1998,10,FALSE),VLOOKUP($C35,'C'!$A$1:$N$1998,7,FALSE)),VLOOKUP($C35,'C'!$A$1:$N$1998,4,FALSE)),"")</f>
        <v>58</v>
      </c>
      <c r="E35" s="4">
        <f>IFERROR(VLOOKUP($C35,'C'!$A$1:$N$1998,2,FALSE),"")</f>
        <v>0.01</v>
      </c>
      <c r="F35" s="4" t="str">
        <f>IFERROR(IF(VLOOKUP($C35,'C'!$A$1:$N$1998,3,FALSE)=1,"&lt;",""),"")</f>
        <v>&lt;</v>
      </c>
      <c r="G35" s="4">
        <f>IFERROR(VLOOKUP($C35,'C'!$A$1:$N$1998,5,FALSE),"")</f>
        <v>0.01</v>
      </c>
      <c r="H35" s="4" t="str">
        <f>IFERROR(IF(VLOOKUP($C35,'C'!$A$1:$N$1998,6,FALSE)=1,"&lt;",""),"")</f>
        <v>&lt;</v>
      </c>
      <c r="I35" s="4">
        <f>IFERROR(VLOOKUP($C35,'C'!$A$1:$N$1998,8,FALSE),"")</f>
        <v>0.01</v>
      </c>
      <c r="J35" s="4" t="str">
        <f>IFERROR(IF(VLOOKUP($C35,'C'!$A$1:$N$1998,9,FALSE)=1,"&lt;",""),"")</f>
        <v>&lt;</v>
      </c>
      <c r="M35" s="4">
        <f t="shared" si="2"/>
        <v>0.01</v>
      </c>
      <c r="N35" s="4" t="str">
        <f t="shared" si="4"/>
        <v>&lt;</v>
      </c>
      <c r="O35" s="4">
        <f t="shared" si="15"/>
        <v>0.01</v>
      </c>
      <c r="P35" s="4" t="str">
        <f t="shared" si="4"/>
        <v>&lt;</v>
      </c>
      <c r="Q35" s="4">
        <f t="shared" si="16"/>
        <v>0.01</v>
      </c>
      <c r="R35" s="4" t="str">
        <f t="shared" si="4"/>
        <v>&lt;</v>
      </c>
      <c r="V35" s="4">
        <f>IFERROR(IF(VLOOKUP(B35,E!$B$1:$AK$300,4,FALSE)=0,1000000,VLOOKUP(B35,E!$B$1:$AK$300,4,FALSE)),1000000)</f>
        <v>0.05</v>
      </c>
      <c r="Z35" s="17">
        <f t="shared" si="17"/>
        <v>0</v>
      </c>
      <c r="AA35" s="17">
        <f t="shared" si="18"/>
        <v>-1</v>
      </c>
      <c r="AC35" s="17">
        <f t="shared" si="19"/>
        <v>0</v>
      </c>
      <c r="AD35" s="17">
        <f t="shared" si="20"/>
        <v>-1</v>
      </c>
      <c r="AF35" s="17">
        <f t="shared" si="21"/>
        <v>0</v>
      </c>
      <c r="AG35" s="17">
        <f t="shared" si="22"/>
        <v>-1</v>
      </c>
      <c r="AI35" s="77">
        <v>0</v>
      </c>
      <c r="AJ35" s="77">
        <v>0</v>
      </c>
      <c r="AK35" s="77">
        <v>1</v>
      </c>
      <c r="AO35" s="4">
        <f t="shared" si="23"/>
        <v>1</v>
      </c>
      <c r="AQ35" s="4">
        <f t="shared" si="24"/>
        <v>1</v>
      </c>
      <c r="AS35" s="4">
        <f t="shared" si="25"/>
        <v>1</v>
      </c>
      <c r="AV35" s="4">
        <f t="shared" si="12"/>
        <v>6.9999999999999993E-3</v>
      </c>
      <c r="AX35" s="4">
        <f t="shared" si="13"/>
        <v>6.9999999999999993E-3</v>
      </c>
      <c r="AZ35" s="4">
        <f t="shared" si="14"/>
        <v>6.9999999999999993E-3</v>
      </c>
    </row>
    <row r="36" spans="1:52" x14ac:dyDescent="0.2">
      <c r="A36" s="4" t="s">
        <v>13</v>
      </c>
      <c r="B36" s="4">
        <v>775</v>
      </c>
      <c r="C36" s="4" t="str">
        <f t="shared" si="0"/>
        <v>urn:immetingen:parameter:id:775</v>
      </c>
      <c r="D36" s="4">
        <f>IFERROR(IF(VLOOKUP($C36,'C'!$A$1:$N$1998,4,FALSE)=0,IF(VLOOKUP($C36,'C'!$A$1:$N$1998,7,FALSE)=0,VLOOKUP($C36,'C'!$A$1:$N$1998,10,FALSE),VLOOKUP($C36,'C'!$A$1:$N$1998,7,FALSE)),VLOOKUP($C36,'C'!$A$1:$N$1998,4,FALSE)),"")</f>
        <v>58</v>
      </c>
      <c r="E36" s="4">
        <f>IFERROR(VLOOKUP($C36,'C'!$A$1:$N$1998,2,FALSE),"")</f>
        <v>0.01</v>
      </c>
      <c r="F36" s="4" t="str">
        <f>IFERROR(IF(VLOOKUP($C36,'C'!$A$1:$N$1998,3,FALSE)=1,"&lt;",""),"")</f>
        <v>&lt;</v>
      </c>
      <c r="G36" s="4">
        <f>IFERROR(VLOOKUP($C36,'C'!$A$1:$N$1998,5,FALSE),"")</f>
        <v>0.01</v>
      </c>
      <c r="H36" s="4" t="str">
        <f>IFERROR(IF(VLOOKUP($C36,'C'!$A$1:$N$1998,6,FALSE)=1,"&lt;",""),"")</f>
        <v>&lt;</v>
      </c>
      <c r="I36" s="4">
        <f>IFERROR(VLOOKUP($C36,'C'!$A$1:$N$1998,8,FALSE),"")</f>
        <v>0.01</v>
      </c>
      <c r="J36" s="4" t="str">
        <f>IFERROR(IF(VLOOKUP($C36,'C'!$A$1:$N$1998,9,FALSE)=1,"&lt;",""),"")</f>
        <v>&lt;</v>
      </c>
      <c r="M36" s="4">
        <f t="shared" si="2"/>
        <v>0.01</v>
      </c>
      <c r="N36" s="4" t="str">
        <f t="shared" si="4"/>
        <v>&lt;</v>
      </c>
      <c r="O36" s="4">
        <f t="shared" si="15"/>
        <v>0.01</v>
      </c>
      <c r="P36" s="4" t="str">
        <f t="shared" si="4"/>
        <v>&lt;</v>
      </c>
      <c r="Q36" s="4">
        <f t="shared" si="16"/>
        <v>0.01</v>
      </c>
      <c r="R36" s="4" t="str">
        <f t="shared" si="4"/>
        <v>&lt;</v>
      </c>
      <c r="V36" s="4">
        <f>IFERROR(IF(VLOOKUP(B36,E!$B$1:$AK$300,4,FALSE)=0,1000000,VLOOKUP(B36,E!$B$1:$AK$300,4,FALSE)),1000000)</f>
        <v>0.05</v>
      </c>
      <c r="Z36" s="17">
        <f t="shared" si="17"/>
        <v>0</v>
      </c>
      <c r="AA36" s="17">
        <f t="shared" si="18"/>
        <v>-1</v>
      </c>
      <c r="AC36" s="17">
        <f t="shared" si="19"/>
        <v>0</v>
      </c>
      <c r="AD36" s="17">
        <f t="shared" si="20"/>
        <v>-1</v>
      </c>
      <c r="AF36" s="17">
        <f t="shared" si="21"/>
        <v>0</v>
      </c>
      <c r="AG36" s="17">
        <f t="shared" si="22"/>
        <v>-1</v>
      </c>
      <c r="AI36" s="77">
        <v>0</v>
      </c>
      <c r="AJ36" s="77">
        <v>0</v>
      </c>
      <c r="AK36" s="77">
        <v>1</v>
      </c>
      <c r="AO36" s="4">
        <f t="shared" si="23"/>
        <v>1</v>
      </c>
      <c r="AQ36" s="4">
        <f t="shared" si="24"/>
        <v>1</v>
      </c>
      <c r="AS36" s="4">
        <f t="shared" si="25"/>
        <v>1</v>
      </c>
      <c r="AV36" s="4">
        <f t="shared" si="12"/>
        <v>6.9999999999999993E-3</v>
      </c>
      <c r="AX36" s="4">
        <f t="shared" si="13"/>
        <v>6.9999999999999993E-3</v>
      </c>
      <c r="AZ36" s="4">
        <f t="shared" si="14"/>
        <v>6.9999999999999993E-3</v>
      </c>
    </row>
    <row r="37" spans="1:52" x14ac:dyDescent="0.2">
      <c r="A37" s="4" t="s">
        <v>14</v>
      </c>
      <c r="B37" s="4">
        <v>345</v>
      </c>
      <c r="C37" s="4" t="str">
        <f t="shared" si="0"/>
        <v>urn:immetingen:parameter:id:345</v>
      </c>
      <c r="D37" s="4">
        <f>IFERROR(IF(VLOOKUP($C37,'C'!$A$1:$N$1998,4,FALSE)=0,IF(VLOOKUP($C37,'C'!$A$1:$N$1998,7,FALSE)=0,VLOOKUP($C37,'C'!$A$1:$N$1998,10,FALSE),VLOOKUP($C37,'C'!$A$1:$N$1998,7,FALSE)),VLOOKUP($C37,'C'!$A$1:$N$1998,4,FALSE)),"")</f>
        <v>58</v>
      </c>
      <c r="E37" s="4">
        <f>IFERROR(VLOOKUP($C37,'C'!$A$1:$N$1998,2,FALSE),"")</f>
        <v>0.01</v>
      </c>
      <c r="F37" s="4" t="str">
        <f>IFERROR(IF(VLOOKUP($C37,'C'!$A$1:$N$1998,3,FALSE)=1,"&lt;",""),"")</f>
        <v>&lt;</v>
      </c>
      <c r="G37" s="4">
        <f>IFERROR(VLOOKUP($C37,'C'!$A$1:$N$1998,5,FALSE),"")</f>
        <v>0.01</v>
      </c>
      <c r="H37" s="4" t="str">
        <f>IFERROR(IF(VLOOKUP($C37,'C'!$A$1:$N$1998,6,FALSE)=1,"&lt;",""),"")</f>
        <v>&lt;</v>
      </c>
      <c r="I37" s="4">
        <f>IFERROR(VLOOKUP($C37,'C'!$A$1:$N$1998,8,FALSE),"")</f>
        <v>0.01</v>
      </c>
      <c r="J37" s="4" t="str">
        <f>IFERROR(IF(VLOOKUP($C37,'C'!$A$1:$N$1998,9,FALSE)=1,"&lt;",""),"")</f>
        <v>&lt;</v>
      </c>
      <c r="M37" s="4">
        <f t="shared" si="2"/>
        <v>0.01</v>
      </c>
      <c r="N37" s="4" t="str">
        <f t="shared" si="4"/>
        <v>&lt;</v>
      </c>
      <c r="O37" s="4">
        <f t="shared" si="15"/>
        <v>0.01</v>
      </c>
      <c r="P37" s="4" t="str">
        <f t="shared" si="4"/>
        <v>&lt;</v>
      </c>
      <c r="Q37" s="4">
        <f t="shared" si="16"/>
        <v>0.01</v>
      </c>
      <c r="R37" s="4" t="str">
        <f t="shared" si="4"/>
        <v>&lt;</v>
      </c>
      <c r="V37" s="4">
        <f>IFERROR(IF(VLOOKUP(B37,E!$B$1:$AK$300,4,FALSE)=0,1000000,VLOOKUP(B37,E!$B$1:$AK$300,4,FALSE)),1000000)</f>
        <v>0.05</v>
      </c>
      <c r="Z37" s="17">
        <f t="shared" si="17"/>
        <v>0</v>
      </c>
      <c r="AA37" s="17">
        <f t="shared" si="18"/>
        <v>-1</v>
      </c>
      <c r="AC37" s="17">
        <f t="shared" si="19"/>
        <v>0</v>
      </c>
      <c r="AD37" s="17">
        <f t="shared" si="20"/>
        <v>-1</v>
      </c>
      <c r="AF37" s="17">
        <f t="shared" si="21"/>
        <v>0</v>
      </c>
      <c r="AG37" s="17">
        <f t="shared" si="22"/>
        <v>-1</v>
      </c>
      <c r="AI37" s="77">
        <v>0</v>
      </c>
      <c r="AJ37" s="77">
        <v>0</v>
      </c>
      <c r="AK37" s="77">
        <v>1</v>
      </c>
      <c r="AO37" s="4">
        <f t="shared" si="23"/>
        <v>1</v>
      </c>
      <c r="AQ37" s="4">
        <f t="shared" si="24"/>
        <v>1</v>
      </c>
      <c r="AS37" s="4">
        <f t="shared" si="25"/>
        <v>1</v>
      </c>
      <c r="AV37" s="4">
        <f t="shared" si="12"/>
        <v>6.9999999999999993E-3</v>
      </c>
      <c r="AX37" s="4">
        <f t="shared" si="13"/>
        <v>6.9999999999999993E-3</v>
      </c>
      <c r="AZ37" s="4">
        <f t="shared" si="14"/>
        <v>6.9999999999999993E-3</v>
      </c>
    </row>
    <row r="38" spans="1:52" x14ac:dyDescent="0.2">
      <c r="A38" s="4" t="s">
        <v>15</v>
      </c>
      <c r="B38" s="4">
        <v>518</v>
      </c>
      <c r="C38" s="4" t="str">
        <f t="shared" si="0"/>
        <v>urn:immetingen:parameter:id:518</v>
      </c>
      <c r="D38" s="4">
        <f>IFERROR(IF(VLOOKUP($C38,'C'!$A$1:$N$1998,4,FALSE)=0,IF(VLOOKUP($C38,'C'!$A$1:$N$1998,7,FALSE)=0,VLOOKUP($C38,'C'!$A$1:$N$1998,10,FALSE),VLOOKUP($C38,'C'!$A$1:$N$1998,7,FALSE)),VLOOKUP($C38,'C'!$A$1:$N$1998,4,FALSE)),"")</f>
        <v>58</v>
      </c>
      <c r="E38" s="4">
        <f>IFERROR(VLOOKUP($C38,'C'!$A$1:$N$1998,2,FALSE),"")</f>
        <v>0.01</v>
      </c>
      <c r="F38" s="4" t="str">
        <f>IFERROR(IF(VLOOKUP($C38,'C'!$A$1:$N$1998,3,FALSE)=1,"&lt;",""),"")</f>
        <v>&lt;</v>
      </c>
      <c r="G38" s="4">
        <f>IFERROR(VLOOKUP($C38,'C'!$A$1:$N$1998,5,FALSE),"")</f>
        <v>0.01</v>
      </c>
      <c r="H38" s="4" t="str">
        <f>IFERROR(IF(VLOOKUP($C38,'C'!$A$1:$N$1998,6,FALSE)=1,"&lt;",""),"")</f>
        <v>&lt;</v>
      </c>
      <c r="I38" s="4">
        <f>IFERROR(VLOOKUP($C38,'C'!$A$1:$N$1998,8,FALSE),"")</f>
        <v>0.01</v>
      </c>
      <c r="J38" s="4" t="str">
        <f>IFERROR(IF(VLOOKUP($C38,'C'!$A$1:$N$1998,9,FALSE)=1,"&lt;",""),"")</f>
        <v>&lt;</v>
      </c>
      <c r="M38" s="4">
        <f t="shared" si="2"/>
        <v>0.01</v>
      </c>
      <c r="N38" s="4" t="str">
        <f t="shared" si="4"/>
        <v>&lt;</v>
      </c>
      <c r="O38" s="4">
        <f t="shared" si="15"/>
        <v>0.01</v>
      </c>
      <c r="P38" s="4" t="str">
        <f t="shared" si="4"/>
        <v>&lt;</v>
      </c>
      <c r="Q38" s="4">
        <f t="shared" si="16"/>
        <v>0.01</v>
      </c>
      <c r="R38" s="4" t="str">
        <f t="shared" si="4"/>
        <v>&lt;</v>
      </c>
      <c r="V38" s="4">
        <f>IFERROR(IF(VLOOKUP(B38,E!$B$1:$AK$300,4,FALSE)=0,1000000,VLOOKUP(B38,E!$B$1:$AK$300,4,FALSE)),1000000)</f>
        <v>0.05</v>
      </c>
      <c r="Z38" s="17">
        <f t="shared" si="17"/>
        <v>0</v>
      </c>
      <c r="AA38" s="17">
        <f t="shared" si="18"/>
        <v>-1</v>
      </c>
      <c r="AC38" s="17">
        <f t="shared" si="19"/>
        <v>0</v>
      </c>
      <c r="AD38" s="17">
        <f t="shared" si="20"/>
        <v>-1</v>
      </c>
      <c r="AF38" s="17">
        <f t="shared" si="21"/>
        <v>0</v>
      </c>
      <c r="AG38" s="17">
        <f t="shared" si="22"/>
        <v>-1</v>
      </c>
      <c r="AI38" s="77">
        <v>0</v>
      </c>
      <c r="AJ38" s="77">
        <v>0</v>
      </c>
      <c r="AK38" s="77">
        <v>1</v>
      </c>
      <c r="AO38" s="4">
        <f t="shared" si="23"/>
        <v>1</v>
      </c>
      <c r="AQ38" s="4">
        <f t="shared" si="24"/>
        <v>1</v>
      </c>
      <c r="AS38" s="4">
        <f t="shared" si="25"/>
        <v>1</v>
      </c>
      <c r="AV38" s="4">
        <f t="shared" si="12"/>
        <v>6.9999999999999993E-3</v>
      </c>
      <c r="AX38" s="4">
        <f t="shared" si="13"/>
        <v>6.9999999999999993E-3</v>
      </c>
      <c r="AZ38" s="4">
        <f t="shared" si="14"/>
        <v>6.9999999999999993E-3</v>
      </c>
    </row>
    <row r="39" spans="1:52" x14ac:dyDescent="0.2">
      <c r="A39" s="4" t="s">
        <v>16</v>
      </c>
      <c r="B39" s="4">
        <v>346</v>
      </c>
      <c r="C39" s="4" t="str">
        <f t="shared" si="0"/>
        <v>urn:immetingen:parameter:id:346</v>
      </c>
      <c r="D39" s="4">
        <f>IFERROR(IF(VLOOKUP($C39,'C'!$A$1:$N$1998,4,FALSE)=0,IF(VLOOKUP($C39,'C'!$A$1:$N$1998,7,FALSE)=0,VLOOKUP($C39,'C'!$A$1:$N$1998,10,FALSE),VLOOKUP($C39,'C'!$A$1:$N$1998,7,FALSE)),VLOOKUP($C39,'C'!$A$1:$N$1998,4,FALSE)),"")</f>
        <v>58</v>
      </c>
      <c r="E39" s="4">
        <f>IFERROR(VLOOKUP($C39,'C'!$A$1:$N$1998,2,FALSE),"")</f>
        <v>0.01</v>
      </c>
      <c r="F39" s="4" t="str">
        <f>IFERROR(IF(VLOOKUP($C39,'C'!$A$1:$N$1998,3,FALSE)=1,"&lt;",""),"")</f>
        <v>&lt;</v>
      </c>
      <c r="G39" s="4">
        <f>IFERROR(VLOOKUP($C39,'C'!$A$1:$N$1998,5,FALSE),"")</f>
        <v>0.01</v>
      </c>
      <c r="H39" s="4" t="str">
        <f>IFERROR(IF(VLOOKUP($C39,'C'!$A$1:$N$1998,6,FALSE)=1,"&lt;",""),"")</f>
        <v>&lt;</v>
      </c>
      <c r="I39" s="4">
        <f>IFERROR(VLOOKUP($C39,'C'!$A$1:$N$1998,8,FALSE),"")</f>
        <v>0.01</v>
      </c>
      <c r="J39" s="4" t="str">
        <f>IFERROR(IF(VLOOKUP($C39,'C'!$A$1:$N$1998,9,FALSE)=1,"&lt;",""),"")</f>
        <v>&lt;</v>
      </c>
      <c r="M39" s="4">
        <f t="shared" si="2"/>
        <v>0.01</v>
      </c>
      <c r="N39" s="4" t="str">
        <f t="shared" si="4"/>
        <v>&lt;</v>
      </c>
      <c r="O39" s="4">
        <f t="shared" si="15"/>
        <v>0.01</v>
      </c>
      <c r="P39" s="4" t="str">
        <f t="shared" si="4"/>
        <v>&lt;</v>
      </c>
      <c r="Q39" s="4">
        <f t="shared" si="16"/>
        <v>0.01</v>
      </c>
      <c r="R39" s="4" t="str">
        <f t="shared" si="4"/>
        <v>&lt;</v>
      </c>
      <c r="V39" s="4">
        <f>IFERROR(IF(VLOOKUP(B39,E!$B$1:$AK$300,4,FALSE)=0,1000000,VLOOKUP(B39,E!$B$1:$AK$300,4,FALSE)),1000000)</f>
        <v>0.05</v>
      </c>
      <c r="Z39" s="17">
        <f t="shared" si="17"/>
        <v>0</v>
      </c>
      <c r="AA39" s="17">
        <f t="shared" si="18"/>
        <v>-1</v>
      </c>
      <c r="AC39" s="17">
        <f t="shared" si="19"/>
        <v>0</v>
      </c>
      <c r="AD39" s="17">
        <f t="shared" si="20"/>
        <v>-1</v>
      </c>
      <c r="AF39" s="17">
        <f t="shared" si="21"/>
        <v>0</v>
      </c>
      <c r="AG39" s="17">
        <f t="shared" si="22"/>
        <v>-1</v>
      </c>
      <c r="AI39" s="77">
        <v>0</v>
      </c>
      <c r="AJ39" s="77">
        <v>0</v>
      </c>
      <c r="AK39" s="77">
        <v>1</v>
      </c>
      <c r="AO39" s="4">
        <f t="shared" si="23"/>
        <v>1</v>
      </c>
      <c r="AQ39" s="4">
        <f t="shared" si="24"/>
        <v>1</v>
      </c>
      <c r="AS39" s="4">
        <f t="shared" si="25"/>
        <v>1</v>
      </c>
      <c r="AV39" s="4">
        <f t="shared" si="12"/>
        <v>6.9999999999999993E-3</v>
      </c>
      <c r="AX39" s="4">
        <f t="shared" si="13"/>
        <v>6.9999999999999993E-3</v>
      </c>
      <c r="AZ39" s="4">
        <f t="shared" si="14"/>
        <v>6.9999999999999993E-3</v>
      </c>
    </row>
    <row r="40" spans="1:52" x14ac:dyDescent="0.2">
      <c r="A40" s="4" t="s">
        <v>17</v>
      </c>
      <c r="B40" s="4">
        <v>351</v>
      </c>
      <c r="C40" s="4" t="str">
        <f t="shared" si="0"/>
        <v>urn:immetingen:parameter:id:351</v>
      </c>
      <c r="D40" s="4">
        <f>IFERROR(IF(VLOOKUP($C40,'C'!$A$1:$N$1998,4,FALSE)=0,IF(VLOOKUP($C40,'C'!$A$1:$N$1998,7,FALSE)=0,VLOOKUP($C40,'C'!$A$1:$N$1998,10,FALSE),VLOOKUP($C40,'C'!$A$1:$N$1998,7,FALSE)),VLOOKUP($C40,'C'!$A$1:$N$1998,4,FALSE)),"")</f>
        <v>58</v>
      </c>
      <c r="E40" s="4">
        <f>IFERROR(VLOOKUP($C40,'C'!$A$1:$N$1998,2,FALSE),"")</f>
        <v>0.01</v>
      </c>
      <c r="F40" s="4" t="str">
        <f>IFERROR(IF(VLOOKUP($C40,'C'!$A$1:$N$1998,3,FALSE)=1,"&lt;",""),"")</f>
        <v>&lt;</v>
      </c>
      <c r="G40" s="4">
        <f>IFERROR(VLOOKUP($C40,'C'!$A$1:$N$1998,5,FALSE),"")</f>
        <v>0.01</v>
      </c>
      <c r="H40" s="4" t="str">
        <f>IFERROR(IF(VLOOKUP($C40,'C'!$A$1:$N$1998,6,FALSE)=1,"&lt;",""),"")</f>
        <v>&lt;</v>
      </c>
      <c r="I40" s="4">
        <f>IFERROR(VLOOKUP($C40,'C'!$A$1:$N$1998,8,FALSE),"")</f>
        <v>0.01</v>
      </c>
      <c r="J40" s="4" t="str">
        <f>IFERROR(IF(VLOOKUP($C40,'C'!$A$1:$N$1998,9,FALSE)=1,"&lt;",""),"")</f>
        <v>&lt;</v>
      </c>
      <c r="M40" s="4">
        <f t="shared" si="2"/>
        <v>0.01</v>
      </c>
      <c r="N40" s="4" t="str">
        <f t="shared" si="4"/>
        <v>&lt;</v>
      </c>
      <c r="O40" s="4">
        <f t="shared" si="15"/>
        <v>0.01</v>
      </c>
      <c r="P40" s="4" t="str">
        <f t="shared" si="4"/>
        <v>&lt;</v>
      </c>
      <c r="Q40" s="4">
        <f t="shared" si="16"/>
        <v>0.01</v>
      </c>
      <c r="R40" s="4" t="str">
        <f t="shared" si="4"/>
        <v>&lt;</v>
      </c>
      <c r="V40" s="4">
        <f>IFERROR(IF(VLOOKUP(B40,E!$B$1:$AK$300,4,FALSE)=0,1000000,VLOOKUP(B40,E!$B$1:$AK$300,4,FALSE)),1000000)</f>
        <v>0.05</v>
      </c>
      <c r="Z40" s="17">
        <f t="shared" si="17"/>
        <v>0</v>
      </c>
      <c r="AA40" s="17">
        <f t="shared" si="18"/>
        <v>-1</v>
      </c>
      <c r="AC40" s="17">
        <f t="shared" si="19"/>
        <v>0</v>
      </c>
      <c r="AD40" s="17">
        <f t="shared" si="20"/>
        <v>-1</v>
      </c>
      <c r="AF40" s="17">
        <f t="shared" si="21"/>
        <v>0</v>
      </c>
      <c r="AG40" s="17">
        <f t="shared" si="22"/>
        <v>-1</v>
      </c>
      <c r="AI40" s="77">
        <v>0</v>
      </c>
      <c r="AJ40" s="77">
        <v>0</v>
      </c>
      <c r="AK40" s="77">
        <v>1</v>
      </c>
      <c r="AO40" s="4">
        <f t="shared" si="23"/>
        <v>1</v>
      </c>
      <c r="AQ40" s="4">
        <f t="shared" si="24"/>
        <v>1</v>
      </c>
      <c r="AS40" s="4">
        <f t="shared" si="25"/>
        <v>1</v>
      </c>
      <c r="AV40" s="4">
        <f t="shared" si="12"/>
        <v>6.9999999999999993E-3</v>
      </c>
      <c r="AX40" s="4">
        <f t="shared" si="13"/>
        <v>6.9999999999999993E-3</v>
      </c>
      <c r="AZ40" s="4">
        <f t="shared" si="14"/>
        <v>6.9999999999999993E-3</v>
      </c>
    </row>
    <row r="41" spans="1:52" x14ac:dyDescent="0.2">
      <c r="A41" s="4" t="s">
        <v>18</v>
      </c>
      <c r="B41" s="4">
        <v>353</v>
      </c>
      <c r="C41" s="4" t="str">
        <f t="shared" si="0"/>
        <v>urn:immetingen:parameter:id:353</v>
      </c>
      <c r="D41" s="4">
        <f>IFERROR(IF(VLOOKUP($C41,'C'!$A$1:$N$1998,4,FALSE)=0,IF(VLOOKUP($C41,'C'!$A$1:$N$1998,7,FALSE)=0,VLOOKUP($C41,'C'!$A$1:$N$1998,10,FALSE),VLOOKUP($C41,'C'!$A$1:$N$1998,7,FALSE)),VLOOKUP($C41,'C'!$A$1:$N$1998,4,FALSE)),"")</f>
        <v>58</v>
      </c>
      <c r="E41" s="4">
        <f>IFERROR(VLOOKUP($C41,'C'!$A$1:$N$1998,2,FALSE),"")</f>
        <v>0.01</v>
      </c>
      <c r="F41" s="4" t="str">
        <f>IFERROR(IF(VLOOKUP($C41,'C'!$A$1:$N$1998,3,FALSE)=1,"&lt;",""),"")</f>
        <v>&lt;</v>
      </c>
      <c r="G41" s="4">
        <f>IFERROR(VLOOKUP($C41,'C'!$A$1:$N$1998,5,FALSE),"")</f>
        <v>0.01</v>
      </c>
      <c r="H41" s="4" t="str">
        <f>IFERROR(IF(VLOOKUP($C41,'C'!$A$1:$N$1998,6,FALSE)=1,"&lt;",""),"")</f>
        <v>&lt;</v>
      </c>
      <c r="I41" s="4">
        <f>IFERROR(VLOOKUP($C41,'C'!$A$1:$N$1998,8,FALSE),"")</f>
        <v>0.01</v>
      </c>
      <c r="J41" s="4" t="str">
        <f>IFERROR(IF(VLOOKUP($C41,'C'!$A$1:$N$1998,9,FALSE)=1,"&lt;",""),"")</f>
        <v>&lt;</v>
      </c>
      <c r="M41" s="4">
        <f t="shared" si="2"/>
        <v>0.01</v>
      </c>
      <c r="N41" s="4" t="str">
        <f t="shared" si="4"/>
        <v>&lt;</v>
      </c>
      <c r="O41" s="4">
        <f t="shared" si="15"/>
        <v>0.01</v>
      </c>
      <c r="P41" s="4" t="str">
        <f t="shared" si="4"/>
        <v>&lt;</v>
      </c>
      <c r="Q41" s="4">
        <f t="shared" si="16"/>
        <v>0.01</v>
      </c>
      <c r="R41" s="4" t="str">
        <f t="shared" si="4"/>
        <v>&lt;</v>
      </c>
      <c r="V41" s="4">
        <f>IFERROR(IF(VLOOKUP(B41,E!$B$1:$AK$300,4,FALSE)=0,1000000,VLOOKUP(B41,E!$B$1:$AK$300,4,FALSE)),1000000)</f>
        <v>0.05</v>
      </c>
      <c r="Z41" s="17">
        <f t="shared" si="17"/>
        <v>0</v>
      </c>
      <c r="AA41" s="17">
        <f t="shared" si="18"/>
        <v>-1</v>
      </c>
      <c r="AC41" s="17">
        <f t="shared" si="19"/>
        <v>0</v>
      </c>
      <c r="AD41" s="17">
        <f t="shared" si="20"/>
        <v>-1</v>
      </c>
      <c r="AF41" s="17">
        <f t="shared" si="21"/>
        <v>0</v>
      </c>
      <c r="AG41" s="17">
        <f t="shared" si="22"/>
        <v>-1</v>
      </c>
      <c r="AI41" s="77">
        <v>0</v>
      </c>
      <c r="AJ41" s="77">
        <v>0</v>
      </c>
      <c r="AK41" s="77">
        <v>1</v>
      </c>
      <c r="AO41" s="4">
        <f t="shared" si="23"/>
        <v>1</v>
      </c>
      <c r="AQ41" s="4">
        <f t="shared" si="24"/>
        <v>1</v>
      </c>
      <c r="AS41" s="4">
        <f t="shared" si="25"/>
        <v>1</v>
      </c>
      <c r="AV41" s="4">
        <f t="shared" si="12"/>
        <v>6.9999999999999993E-3</v>
      </c>
      <c r="AX41" s="4">
        <f t="shared" si="13"/>
        <v>6.9999999999999993E-3</v>
      </c>
      <c r="AZ41" s="4">
        <f t="shared" si="14"/>
        <v>6.9999999999999993E-3</v>
      </c>
    </row>
    <row r="42" spans="1:52" x14ac:dyDescent="0.2">
      <c r="A42" s="4" t="s">
        <v>19</v>
      </c>
      <c r="B42" s="4">
        <v>882</v>
      </c>
      <c r="C42" s="4" t="str">
        <f t="shared" si="0"/>
        <v>urn:immetingen:parameter:id:882</v>
      </c>
      <c r="D42" s="4">
        <f>IFERROR(IF(VLOOKUP($C42,'C'!$A$1:$N$1998,4,FALSE)=0,IF(VLOOKUP($C42,'C'!$A$1:$N$1998,7,FALSE)=0,VLOOKUP($C42,'C'!$A$1:$N$1998,10,FALSE),VLOOKUP($C42,'C'!$A$1:$N$1998,7,FALSE)),VLOOKUP($C42,'C'!$A$1:$N$1998,4,FALSE)),"")</f>
        <v>58</v>
      </c>
      <c r="E42" s="4">
        <f>IFERROR(VLOOKUP($C42,'C'!$A$1:$N$1998,2,FALSE),"")</f>
        <v>0.01</v>
      </c>
      <c r="F42" s="4" t="str">
        <f>IFERROR(IF(VLOOKUP($C42,'C'!$A$1:$N$1998,3,FALSE)=1,"&lt;",""),"")</f>
        <v>&lt;</v>
      </c>
      <c r="G42" s="4">
        <f>IFERROR(VLOOKUP($C42,'C'!$A$1:$N$1998,5,FALSE),"")</f>
        <v>0.01</v>
      </c>
      <c r="H42" s="4" t="str">
        <f>IFERROR(IF(VLOOKUP($C42,'C'!$A$1:$N$1998,6,FALSE)=1,"&lt;",""),"")</f>
        <v>&lt;</v>
      </c>
      <c r="I42" s="4">
        <f>IFERROR(VLOOKUP($C42,'C'!$A$1:$N$1998,8,FALSE),"")</f>
        <v>0.01</v>
      </c>
      <c r="J42" s="4" t="str">
        <f>IFERROR(IF(VLOOKUP($C42,'C'!$A$1:$N$1998,9,FALSE)=1,"&lt;",""),"")</f>
        <v>&lt;</v>
      </c>
      <c r="M42" s="4">
        <f t="shared" si="2"/>
        <v>0.01</v>
      </c>
      <c r="N42" s="4" t="str">
        <f t="shared" si="4"/>
        <v>&lt;</v>
      </c>
      <c r="O42" s="4">
        <f t="shared" si="15"/>
        <v>0.01</v>
      </c>
      <c r="P42" s="4" t="str">
        <f t="shared" si="4"/>
        <v>&lt;</v>
      </c>
      <c r="Q42" s="4">
        <f t="shared" si="16"/>
        <v>0.01</v>
      </c>
      <c r="R42" s="4" t="str">
        <f t="shared" si="4"/>
        <v>&lt;</v>
      </c>
      <c r="V42" s="4">
        <f>IFERROR(IF(VLOOKUP(B42,E!$B$1:$AK$300,4,FALSE)=0,1000000,VLOOKUP(B42,E!$B$1:$AK$300,4,FALSE)),1000000)</f>
        <v>0.05</v>
      </c>
      <c r="Z42" s="17">
        <f t="shared" si="17"/>
        <v>0</v>
      </c>
      <c r="AA42" s="17">
        <f t="shared" si="18"/>
        <v>-1</v>
      </c>
      <c r="AC42" s="17">
        <f t="shared" si="19"/>
        <v>0</v>
      </c>
      <c r="AD42" s="17">
        <f t="shared" si="20"/>
        <v>-1</v>
      </c>
      <c r="AF42" s="17">
        <f t="shared" si="21"/>
        <v>0</v>
      </c>
      <c r="AG42" s="17">
        <f t="shared" si="22"/>
        <v>-1</v>
      </c>
      <c r="AI42" s="77">
        <v>0</v>
      </c>
      <c r="AJ42" s="77">
        <v>0</v>
      </c>
      <c r="AK42" s="77">
        <v>1</v>
      </c>
      <c r="AO42" s="4">
        <f t="shared" si="23"/>
        <v>1</v>
      </c>
      <c r="AQ42" s="4">
        <f t="shared" si="24"/>
        <v>1</v>
      </c>
      <c r="AS42" s="4">
        <f t="shared" si="25"/>
        <v>1</v>
      </c>
      <c r="AV42" s="4">
        <f t="shared" si="12"/>
        <v>6.9999999999999993E-3</v>
      </c>
      <c r="AX42" s="4">
        <f t="shared" si="13"/>
        <v>6.9999999999999993E-3</v>
      </c>
      <c r="AZ42" s="4">
        <f t="shared" si="14"/>
        <v>6.9999999999999993E-3</v>
      </c>
    </row>
    <row r="43" spans="1:52" x14ac:dyDescent="0.2">
      <c r="A43" s="4" t="s">
        <v>603</v>
      </c>
      <c r="B43" s="4">
        <v>248</v>
      </c>
      <c r="C43" s="4" t="str">
        <f t="shared" si="0"/>
        <v>urn:immetingen:parameter:id:248</v>
      </c>
      <c r="D43" s="4" t="str">
        <f>IFERROR(IF(VLOOKUP($C43,'C'!$A$1:$N$1998,4,FALSE)=0,IF(VLOOKUP($C43,'C'!$A$1:$N$1998,7,FALSE)=0,VLOOKUP($C43,'C'!$A$1:$N$1998,10,FALSE),VLOOKUP($C43,'C'!$A$1:$N$1998,7,FALSE)),VLOOKUP($C43,'C'!$A$1:$N$1998,4,FALSE)),"")</f>
        <v/>
      </c>
      <c r="E43" s="4" t="str">
        <f>IFERROR(VLOOKUP($C43,'C'!$A$1:$N$1998,2,FALSE),"")</f>
        <v/>
      </c>
      <c r="F43" s="4" t="str">
        <f>IFERROR(IF(VLOOKUP($C43,'C'!$A$1:$N$1998,3,FALSE)=1,"&lt;",""),"")</f>
        <v/>
      </c>
      <c r="G43" s="4" t="str">
        <f>IFERROR(VLOOKUP($C43,'C'!$A$1:$N$1998,5,FALSE),"")</f>
        <v/>
      </c>
      <c r="H43" s="4" t="str">
        <f>IFERROR(IF(VLOOKUP($C43,'C'!$A$1:$N$1998,6,FALSE)=1,"&lt;",""),"")</f>
        <v/>
      </c>
      <c r="I43" s="4" t="str">
        <f>IFERROR(VLOOKUP($C43,'C'!$A$1:$N$1998,8,FALSE),"")</f>
        <v/>
      </c>
      <c r="J43" s="4" t="str">
        <f>IFERROR(IF(VLOOKUP($C43,'C'!$A$1:$N$1998,9,FALSE)=1,"&lt;",""),"")</f>
        <v/>
      </c>
      <c r="M43" s="4" t="str">
        <f t="shared" si="2"/>
        <v/>
      </c>
      <c r="N43" s="4" t="str">
        <f t="shared" si="4"/>
        <v/>
      </c>
      <c r="O43" s="4" t="str">
        <f t="shared" si="15"/>
        <v/>
      </c>
      <c r="P43" s="4" t="str">
        <f t="shared" si="4"/>
        <v/>
      </c>
      <c r="Q43" s="4" t="str">
        <f t="shared" si="16"/>
        <v/>
      </c>
      <c r="R43" s="4" t="str">
        <f t="shared" si="4"/>
        <v/>
      </c>
      <c r="V43" s="4">
        <f>IFERROR(IF(VLOOKUP(B43,E!$B$1:$AK$300,4,FALSE)=0,1000000,VLOOKUP(B43,E!$B$1:$AK$300,4,FALSE)),1000000)</f>
        <v>1000000</v>
      </c>
      <c r="Z43" s="4" t="str">
        <f t="shared" ref="Z43:Z71" si="26">IF(M43="","",IF(AND(N43="&lt;",M43&lt;=$V43),-1,(IF(N43="&lt;",0.7*M43,M43))))</f>
        <v/>
      </c>
      <c r="AA43" s="82"/>
      <c r="AC43" s="4" t="str">
        <f t="shared" ref="AC43:AC71" si="27">IF(O43="","",IF(AND(P43="&lt;",O43&lt;=$V43),-1,(IF(P43="&lt;",0.7*O43,O43))))</f>
        <v/>
      </c>
      <c r="AF43" s="4" t="str">
        <f t="shared" ref="AF43:AF71" si="28">IF(Q43="","",IF(AND(R43="&lt;",Q43&lt;=$V43),-1,(IF(R43="&lt;",0.7*Q43,Q43))))</f>
        <v/>
      </c>
      <c r="AI43" s="77">
        <v>0</v>
      </c>
      <c r="AJ43" s="77">
        <v>0</v>
      </c>
      <c r="AK43" s="77">
        <v>1</v>
      </c>
      <c r="AO43" s="4">
        <f t="shared" si="23"/>
        <v>1</v>
      </c>
      <c r="AQ43" s="4">
        <f t="shared" si="24"/>
        <v>1</v>
      </c>
      <c r="AS43" s="4">
        <f t="shared" si="25"/>
        <v>1</v>
      </c>
      <c r="AV43" s="4" t="str">
        <f t="shared" si="12"/>
        <v/>
      </c>
      <c r="AX43" s="4" t="str">
        <f t="shared" si="13"/>
        <v/>
      </c>
      <c r="AZ43" s="4" t="str">
        <f t="shared" si="14"/>
        <v/>
      </c>
    </row>
    <row r="44" spans="1:52" x14ac:dyDescent="0.2">
      <c r="A44" s="4" t="s">
        <v>604</v>
      </c>
      <c r="B44" s="4">
        <v>247</v>
      </c>
      <c r="C44" s="4" t="str">
        <f t="shared" si="0"/>
        <v>urn:immetingen:parameter:id:247</v>
      </c>
      <c r="D44" s="4" t="str">
        <f>IFERROR(IF(VLOOKUP($C44,'C'!$A$1:$N$1998,4,FALSE)=0,IF(VLOOKUP($C44,'C'!$A$1:$N$1998,7,FALSE)=0,VLOOKUP($C44,'C'!$A$1:$N$1998,10,FALSE),VLOOKUP($C44,'C'!$A$1:$N$1998,7,FALSE)),VLOOKUP($C44,'C'!$A$1:$N$1998,4,FALSE)),"")</f>
        <v/>
      </c>
      <c r="E44" s="4" t="str">
        <f>IFERROR(VLOOKUP($C44,'C'!$A$1:$N$1998,2,FALSE),"")</f>
        <v/>
      </c>
      <c r="F44" s="4" t="str">
        <f>IFERROR(IF(VLOOKUP($C44,'C'!$A$1:$N$1998,3,FALSE)=1,"&lt;",""),"")</f>
        <v/>
      </c>
      <c r="G44" s="4" t="str">
        <f>IFERROR(VLOOKUP($C44,'C'!$A$1:$N$1998,5,FALSE),"")</f>
        <v/>
      </c>
      <c r="H44" s="4" t="str">
        <f>IFERROR(IF(VLOOKUP($C44,'C'!$A$1:$N$1998,6,FALSE)=1,"&lt;",""),"")</f>
        <v/>
      </c>
      <c r="I44" s="4" t="str">
        <f>IFERROR(VLOOKUP($C44,'C'!$A$1:$N$1998,8,FALSE),"")</f>
        <v/>
      </c>
      <c r="J44" s="4" t="str">
        <f>IFERROR(IF(VLOOKUP($C44,'C'!$A$1:$N$1998,9,FALSE)=1,"&lt;",""),"")</f>
        <v/>
      </c>
      <c r="M44" s="4" t="str">
        <f t="shared" si="2"/>
        <v/>
      </c>
      <c r="N44" s="4" t="str">
        <f t="shared" si="4"/>
        <v/>
      </c>
      <c r="O44" s="4" t="str">
        <f t="shared" si="15"/>
        <v/>
      </c>
      <c r="P44" s="4" t="str">
        <f t="shared" si="4"/>
        <v/>
      </c>
      <c r="Q44" s="4" t="str">
        <f t="shared" si="16"/>
        <v/>
      </c>
      <c r="R44" s="4" t="str">
        <f t="shared" si="4"/>
        <v/>
      </c>
      <c r="V44" s="4">
        <f>IFERROR(IF(VLOOKUP(B44,E!$B$1:$AK$300,4,FALSE)=0,1000000,VLOOKUP(B44,E!$B$1:$AK$300,4,FALSE)),1000000)</f>
        <v>1000000</v>
      </c>
      <c r="Z44" s="4" t="str">
        <f t="shared" si="26"/>
        <v/>
      </c>
      <c r="AC44" s="4" t="str">
        <f t="shared" si="27"/>
        <v/>
      </c>
      <c r="AF44" s="4" t="str">
        <f t="shared" si="28"/>
        <v/>
      </c>
      <c r="AI44" s="77">
        <v>0</v>
      </c>
      <c r="AJ44" s="77">
        <v>0</v>
      </c>
      <c r="AK44" s="77">
        <v>1</v>
      </c>
      <c r="AO44" s="4">
        <f t="shared" si="23"/>
        <v>1</v>
      </c>
      <c r="AQ44" s="4">
        <f t="shared" si="24"/>
        <v>1</v>
      </c>
      <c r="AS44" s="4">
        <f t="shared" si="25"/>
        <v>1</v>
      </c>
      <c r="AV44" s="4" t="str">
        <f t="shared" si="12"/>
        <v/>
      </c>
      <c r="AX44" s="4" t="str">
        <f t="shared" si="13"/>
        <v/>
      </c>
      <c r="AZ44" s="4" t="str">
        <f t="shared" si="14"/>
        <v/>
      </c>
    </row>
    <row r="45" spans="1:52" x14ac:dyDescent="0.2">
      <c r="A45" s="4" t="s">
        <v>605</v>
      </c>
      <c r="B45" s="4">
        <v>777</v>
      </c>
      <c r="C45" s="4" t="str">
        <f t="shared" si="0"/>
        <v>urn:immetingen:parameter:id:777</v>
      </c>
      <c r="D45" s="4" t="str">
        <f>IFERROR(IF(VLOOKUP($C45,'C'!$A$1:$N$1998,4,FALSE)=0,IF(VLOOKUP($C45,'C'!$A$1:$N$1998,7,FALSE)=0,VLOOKUP($C45,'C'!$A$1:$N$1998,10,FALSE),VLOOKUP($C45,'C'!$A$1:$N$1998,7,FALSE)),VLOOKUP($C45,'C'!$A$1:$N$1998,4,FALSE)),"")</f>
        <v/>
      </c>
      <c r="E45" s="4" t="str">
        <f>IFERROR(VLOOKUP($C45,'C'!$A$1:$N$1998,2,FALSE),"")</f>
        <v/>
      </c>
      <c r="F45" s="4" t="str">
        <f>IFERROR(IF(VLOOKUP($C45,'C'!$A$1:$N$1998,3,FALSE)=1,"&lt;",""),"")</f>
        <v/>
      </c>
      <c r="G45" s="4" t="str">
        <f>IFERROR(VLOOKUP($C45,'C'!$A$1:$N$1998,5,FALSE),"")</f>
        <v/>
      </c>
      <c r="H45" s="4" t="str">
        <f>IFERROR(IF(VLOOKUP($C45,'C'!$A$1:$N$1998,6,FALSE)=1,"&lt;",""),"")</f>
        <v/>
      </c>
      <c r="I45" s="4" t="str">
        <f>IFERROR(VLOOKUP($C45,'C'!$A$1:$N$1998,8,FALSE),"")</f>
        <v/>
      </c>
      <c r="J45" s="4" t="str">
        <f>IFERROR(IF(VLOOKUP($C45,'C'!$A$1:$N$1998,9,FALSE)=1,"&lt;",""),"")</f>
        <v/>
      </c>
      <c r="M45" s="4" t="str">
        <f t="shared" si="2"/>
        <v/>
      </c>
      <c r="N45" s="4" t="str">
        <f t="shared" si="4"/>
        <v/>
      </c>
      <c r="O45" s="4" t="str">
        <f t="shared" si="15"/>
        <v/>
      </c>
      <c r="P45" s="4" t="str">
        <f t="shared" si="4"/>
        <v/>
      </c>
      <c r="Q45" s="4" t="str">
        <f t="shared" si="16"/>
        <v/>
      </c>
      <c r="R45" s="4" t="str">
        <f t="shared" si="4"/>
        <v/>
      </c>
      <c r="V45" s="4">
        <f>IFERROR(IF(VLOOKUP(B45,E!$B$1:$AK$300,4,FALSE)=0,1000000,VLOOKUP(B45,E!$B$1:$AK$300,4,FALSE)),1000000)</f>
        <v>1000000</v>
      </c>
      <c r="Z45" s="4" t="str">
        <f t="shared" si="26"/>
        <v/>
      </c>
      <c r="AC45" s="4" t="str">
        <f t="shared" si="27"/>
        <v/>
      </c>
      <c r="AF45" s="4" t="str">
        <f t="shared" si="28"/>
        <v/>
      </c>
      <c r="AI45" s="77">
        <v>0</v>
      </c>
      <c r="AJ45" s="77">
        <v>0</v>
      </c>
      <c r="AK45" s="77">
        <v>1</v>
      </c>
      <c r="AO45" s="4">
        <f t="shared" si="23"/>
        <v>1</v>
      </c>
      <c r="AQ45" s="4">
        <f t="shared" si="24"/>
        <v>1</v>
      </c>
      <c r="AS45" s="4">
        <f t="shared" si="25"/>
        <v>1</v>
      </c>
      <c r="AV45" s="4" t="str">
        <f t="shared" si="12"/>
        <v/>
      </c>
      <c r="AX45" s="4" t="str">
        <f t="shared" si="13"/>
        <v/>
      </c>
      <c r="AZ45" s="4" t="str">
        <f t="shared" si="14"/>
        <v/>
      </c>
    </row>
    <row r="46" spans="1:52" x14ac:dyDescent="0.2">
      <c r="A46" s="4" t="s">
        <v>606</v>
      </c>
      <c r="B46" s="4">
        <v>1445</v>
      </c>
      <c r="C46" s="4" t="str">
        <f t="shared" si="0"/>
        <v>urn:immetingen:parameter:id:1445</v>
      </c>
      <c r="D46" s="4" t="str">
        <f>IFERROR(IF(VLOOKUP($C46,'C'!$A$1:$N$1998,4,FALSE)=0,IF(VLOOKUP($C46,'C'!$A$1:$N$1998,7,FALSE)=0,VLOOKUP($C46,'C'!$A$1:$N$1998,10,FALSE),VLOOKUP($C46,'C'!$A$1:$N$1998,7,FALSE)),VLOOKUP($C46,'C'!$A$1:$N$1998,4,FALSE)),"")</f>
        <v/>
      </c>
      <c r="E46" s="4" t="str">
        <f>IFERROR(VLOOKUP($C46,'C'!$A$1:$N$1998,2,FALSE),"")</f>
        <v/>
      </c>
      <c r="F46" s="4" t="str">
        <f>IFERROR(IF(VLOOKUP($C46,'C'!$A$1:$N$1998,3,FALSE)=1,"&lt;",""),"")</f>
        <v/>
      </c>
      <c r="G46" s="4" t="str">
        <f>IFERROR(VLOOKUP($C46,'C'!$A$1:$N$1998,5,FALSE),"")</f>
        <v/>
      </c>
      <c r="H46" s="4" t="str">
        <f>IFERROR(IF(VLOOKUP($C46,'C'!$A$1:$N$1998,6,FALSE)=1,"&lt;",""),"")</f>
        <v/>
      </c>
      <c r="I46" s="4" t="str">
        <f>IFERROR(VLOOKUP($C46,'C'!$A$1:$N$1998,8,FALSE),"")</f>
        <v/>
      </c>
      <c r="J46" s="4" t="str">
        <f>IFERROR(IF(VLOOKUP($C46,'C'!$A$1:$N$1998,9,FALSE)=1,"&lt;",""),"")</f>
        <v/>
      </c>
      <c r="M46" s="4" t="str">
        <f t="shared" si="2"/>
        <v/>
      </c>
      <c r="N46" s="4" t="str">
        <f t="shared" si="4"/>
        <v/>
      </c>
      <c r="O46" s="4" t="str">
        <f t="shared" si="15"/>
        <v/>
      </c>
      <c r="P46" s="4" t="str">
        <f t="shared" si="4"/>
        <v/>
      </c>
      <c r="Q46" s="4" t="str">
        <f t="shared" si="16"/>
        <v/>
      </c>
      <c r="R46" s="4" t="str">
        <f t="shared" si="4"/>
        <v/>
      </c>
      <c r="V46" s="4">
        <f>IFERROR(IF(VLOOKUP(B46,E!$B$1:$AK$300,4,FALSE)=0,1000000,VLOOKUP(B46,E!$B$1:$AK$300,4,FALSE)),1000000)</f>
        <v>1000000</v>
      </c>
      <c r="Z46" s="4" t="str">
        <f t="shared" si="26"/>
        <v/>
      </c>
      <c r="AC46" s="4" t="str">
        <f t="shared" si="27"/>
        <v/>
      </c>
      <c r="AF46" s="4" t="str">
        <f t="shared" si="28"/>
        <v/>
      </c>
      <c r="AI46" s="77">
        <v>0</v>
      </c>
      <c r="AJ46" s="77">
        <v>0</v>
      </c>
      <c r="AK46" s="77">
        <v>1</v>
      </c>
      <c r="AO46" s="4">
        <f t="shared" si="23"/>
        <v>1</v>
      </c>
      <c r="AQ46" s="4">
        <f t="shared" si="24"/>
        <v>1</v>
      </c>
      <c r="AS46" s="4">
        <f t="shared" si="25"/>
        <v>1</v>
      </c>
      <c r="AV46" s="4" t="str">
        <f t="shared" si="12"/>
        <v/>
      </c>
      <c r="AX46" s="4" t="str">
        <f t="shared" si="13"/>
        <v/>
      </c>
      <c r="AZ46" s="4" t="str">
        <f t="shared" si="14"/>
        <v/>
      </c>
    </row>
    <row r="47" spans="1:52" x14ac:dyDescent="0.2">
      <c r="A47" s="4" t="s">
        <v>607</v>
      </c>
      <c r="B47" s="4">
        <v>348</v>
      </c>
      <c r="C47" s="4" t="str">
        <f t="shared" si="0"/>
        <v>urn:immetingen:parameter:id:348</v>
      </c>
      <c r="D47" s="4" t="str">
        <f>IFERROR(IF(VLOOKUP($C47,'C'!$A$1:$N$1998,4,FALSE)=0,IF(VLOOKUP($C47,'C'!$A$1:$N$1998,7,FALSE)=0,VLOOKUP($C47,'C'!$A$1:$N$1998,10,FALSE),VLOOKUP($C47,'C'!$A$1:$N$1998,7,FALSE)),VLOOKUP($C47,'C'!$A$1:$N$1998,4,FALSE)),"")</f>
        <v/>
      </c>
      <c r="E47" s="4" t="str">
        <f>IFERROR(VLOOKUP($C47,'C'!$A$1:$N$1998,2,FALSE),"")</f>
        <v/>
      </c>
      <c r="F47" s="4" t="str">
        <f>IFERROR(IF(VLOOKUP($C47,'C'!$A$1:$N$1998,3,FALSE)=1,"&lt;",""),"")</f>
        <v/>
      </c>
      <c r="G47" s="4" t="str">
        <f>IFERROR(VLOOKUP($C47,'C'!$A$1:$N$1998,5,FALSE),"")</f>
        <v/>
      </c>
      <c r="H47" s="4" t="str">
        <f>IFERROR(IF(VLOOKUP($C47,'C'!$A$1:$N$1998,6,FALSE)=1,"&lt;",""),"")</f>
        <v/>
      </c>
      <c r="I47" s="4" t="str">
        <f>IFERROR(VLOOKUP($C47,'C'!$A$1:$N$1998,8,FALSE),"")</f>
        <v/>
      </c>
      <c r="J47" s="4" t="str">
        <f>IFERROR(IF(VLOOKUP($C47,'C'!$A$1:$N$1998,9,FALSE)=1,"&lt;",""),"")</f>
        <v/>
      </c>
      <c r="M47" s="4" t="str">
        <f t="shared" si="2"/>
        <v/>
      </c>
      <c r="N47" s="4" t="str">
        <f t="shared" si="4"/>
        <v/>
      </c>
      <c r="O47" s="4" t="str">
        <f t="shared" si="15"/>
        <v/>
      </c>
      <c r="P47" s="4" t="str">
        <f t="shared" si="4"/>
        <v/>
      </c>
      <c r="Q47" s="4" t="str">
        <f t="shared" si="16"/>
        <v/>
      </c>
      <c r="R47" s="4" t="str">
        <f t="shared" si="4"/>
        <v/>
      </c>
      <c r="V47" s="4">
        <f>IFERROR(IF(VLOOKUP(B47,E!$B$1:$AK$300,4,FALSE)=0,1000000,VLOOKUP(B47,E!$B$1:$AK$300,4,FALSE)),1000000)</f>
        <v>1000000</v>
      </c>
      <c r="Z47" s="4" t="str">
        <f t="shared" si="26"/>
        <v/>
      </c>
      <c r="AC47" s="4" t="str">
        <f t="shared" si="27"/>
        <v/>
      </c>
      <c r="AF47" s="4" t="str">
        <f t="shared" si="28"/>
        <v/>
      </c>
      <c r="AI47" s="77">
        <v>0</v>
      </c>
      <c r="AJ47" s="77">
        <v>0</v>
      </c>
      <c r="AK47" s="77">
        <v>1</v>
      </c>
      <c r="AO47" s="4">
        <f t="shared" si="23"/>
        <v>1</v>
      </c>
      <c r="AQ47" s="4">
        <f t="shared" si="24"/>
        <v>1</v>
      </c>
      <c r="AS47" s="4">
        <f t="shared" si="25"/>
        <v>1</v>
      </c>
      <c r="AV47" s="4" t="str">
        <f t="shared" si="12"/>
        <v/>
      </c>
      <c r="AX47" s="4" t="str">
        <f t="shared" si="13"/>
        <v/>
      </c>
      <c r="AZ47" s="4" t="str">
        <f t="shared" si="14"/>
        <v/>
      </c>
    </row>
    <row r="48" spans="1:52" x14ac:dyDescent="0.2">
      <c r="A48" s="4" t="s">
        <v>608</v>
      </c>
      <c r="B48" s="4">
        <v>593</v>
      </c>
      <c r="C48" s="4" t="str">
        <f t="shared" si="0"/>
        <v>urn:immetingen:parameter:id:593</v>
      </c>
      <c r="D48" s="4" t="str">
        <f>IFERROR(IF(VLOOKUP($C48,'C'!$A$1:$N$1998,4,FALSE)=0,IF(VLOOKUP($C48,'C'!$A$1:$N$1998,7,FALSE)=0,VLOOKUP($C48,'C'!$A$1:$N$1998,10,FALSE),VLOOKUP($C48,'C'!$A$1:$N$1998,7,FALSE)),VLOOKUP($C48,'C'!$A$1:$N$1998,4,FALSE)),"")</f>
        <v/>
      </c>
      <c r="E48" s="4" t="str">
        <f>IFERROR(VLOOKUP($C48,'C'!$A$1:$N$1998,2,FALSE),"")</f>
        <v/>
      </c>
      <c r="F48" s="4" t="str">
        <f>IFERROR(IF(VLOOKUP($C48,'C'!$A$1:$N$1998,3,FALSE)=1,"&lt;",""),"")</f>
        <v/>
      </c>
      <c r="G48" s="4" t="str">
        <f>IFERROR(VLOOKUP($C48,'C'!$A$1:$N$1998,5,FALSE),"")</f>
        <v/>
      </c>
      <c r="H48" s="4" t="str">
        <f>IFERROR(IF(VLOOKUP($C48,'C'!$A$1:$N$1998,6,FALSE)=1,"&lt;",""),"")</f>
        <v/>
      </c>
      <c r="I48" s="4" t="str">
        <f>IFERROR(VLOOKUP($C48,'C'!$A$1:$N$1998,8,FALSE),"")</f>
        <v/>
      </c>
      <c r="J48" s="4" t="str">
        <f>IFERROR(IF(VLOOKUP($C48,'C'!$A$1:$N$1998,9,FALSE)=1,"&lt;",""),"")</f>
        <v/>
      </c>
      <c r="M48" s="4" t="str">
        <f t="shared" si="2"/>
        <v/>
      </c>
      <c r="N48" s="4" t="str">
        <f t="shared" si="4"/>
        <v/>
      </c>
      <c r="O48" s="4" t="str">
        <f t="shared" si="15"/>
        <v/>
      </c>
      <c r="P48" s="4" t="str">
        <f t="shared" si="4"/>
        <v/>
      </c>
      <c r="Q48" s="4" t="str">
        <f t="shared" si="16"/>
        <v/>
      </c>
      <c r="R48" s="4" t="str">
        <f t="shared" si="4"/>
        <v/>
      </c>
      <c r="V48" s="4">
        <f>IFERROR(IF(VLOOKUP(B48,E!$B$1:$AK$300,4,FALSE)=0,1000000,VLOOKUP(B48,E!$B$1:$AK$300,4,FALSE)),1000000)</f>
        <v>1000000</v>
      </c>
      <c r="Z48" s="4" t="str">
        <f t="shared" si="26"/>
        <v/>
      </c>
      <c r="AC48" s="4" t="str">
        <f t="shared" si="27"/>
        <v/>
      </c>
      <c r="AF48" s="4" t="str">
        <f t="shared" si="28"/>
        <v/>
      </c>
      <c r="AI48" s="77">
        <v>0</v>
      </c>
      <c r="AJ48" s="77">
        <v>0</v>
      </c>
      <c r="AK48" s="77">
        <v>1</v>
      </c>
      <c r="AO48" s="4">
        <f t="shared" si="23"/>
        <v>1</v>
      </c>
      <c r="AQ48" s="4">
        <f t="shared" si="24"/>
        <v>1</v>
      </c>
      <c r="AS48" s="4">
        <f t="shared" si="25"/>
        <v>1</v>
      </c>
      <c r="AV48" s="4" t="str">
        <f t="shared" si="12"/>
        <v/>
      </c>
      <c r="AX48" s="4" t="str">
        <f t="shared" si="13"/>
        <v/>
      </c>
      <c r="AZ48" s="4" t="str">
        <f t="shared" si="14"/>
        <v/>
      </c>
    </row>
    <row r="49" spans="1:52" x14ac:dyDescent="0.2">
      <c r="A49" s="4" t="s">
        <v>162</v>
      </c>
      <c r="B49" s="4">
        <v>1352</v>
      </c>
      <c r="C49" s="4" t="str">
        <f t="shared" si="0"/>
        <v>urn:immetingen:parameter:id:1352</v>
      </c>
      <c r="D49" s="17">
        <f>D34</f>
        <v>58</v>
      </c>
      <c r="E49" s="17">
        <f>IFERROR(IF($D49=131,IF(AND(F33="&lt;",F34="&lt;",F35="&lt;",F36="&lt;",F37="&lt;",F38="&lt;",F39="&lt;",F40="&lt;",F41="&lt;",F42="&lt;"),SUM(E33:E42),AA49*1000),IF(AND(F33="&lt;",F34="&lt;",F35="&lt;",F36="&lt;",F37="&lt;",F38="&lt;",F39="&lt;",F40="&lt;",F41="&lt;",F42="&lt;"),SUM(E33:E42),AA49)),"")</f>
        <v>9.9999999999999992E-2</v>
      </c>
      <c r="F49" s="17" t="str">
        <f>IFERROR(IF(AND(F33="&lt;",F34="&lt;",F35="&lt;",F36="&lt;",F37="&lt;",F38="&lt;",F39="&lt;",F40="&lt;",F41="&lt;",F42="&lt;"),"&lt;",""),"")</f>
        <v>&lt;</v>
      </c>
      <c r="G49" s="17">
        <f>IFERROR(IF($D49=131,IF(AND(H33="&lt;",H34="&lt;",H35="&lt;",H36="&lt;",H37="&lt;",H38="&lt;",H39="&lt;",H40="&lt;",H41="&lt;",H42="&lt;"),SUM(G33:G42),AD49*1000),IF(AND(H33="&lt;",H34="&lt;",H35="&lt;",H36="&lt;",H37="&lt;",H38="&lt;",H39="&lt;",H40="&lt;",H41="&lt;",H42="&lt;"),SUM(G33:G42),AD49)),"")</f>
        <v>9.9999999999999992E-2</v>
      </c>
      <c r="H49" s="17" t="str">
        <f>IFERROR(IF(AND(H33="&lt;",H34="&lt;",H35="&lt;",H36="&lt;",H37="&lt;",H38="&lt;",H39="&lt;",H40="&lt;",H41="&lt;",H42="&lt;"),"&lt;",""),"")</f>
        <v>&lt;</v>
      </c>
      <c r="I49" s="17">
        <f>IFERROR(IF($D49=131,IF(AND(J33="&lt;",J34="&lt;",J35="&lt;",J36="&lt;",J37="&lt;",J38="&lt;",J39="&lt;",J40="&lt;",J41="&lt;",J42="&lt;"),SUM(I33:I42),AG49*1000),IF(AND(J33="&lt;",J34="&lt;",J35="&lt;",J36="&lt;",J37="&lt;",J38="&lt;",J39="&lt;",J40="&lt;",J41="&lt;",J42="&lt;"),SUM(I33:I42),AG49)),"")</f>
        <v>9.9999999999999992E-2</v>
      </c>
      <c r="J49" s="17" t="str">
        <f>IFERROR(IF(AND(J33="&lt;",J34="&lt;",J35="&lt;",J36="&lt;",J37="&lt;",J38="&lt;",J39="&lt;",J40="&lt;",J41="&lt;",J42="&lt;"),"&lt;",""),"")</f>
        <v>&lt;</v>
      </c>
      <c r="M49" s="4">
        <f t="shared" si="2"/>
        <v>9.9999999999999992E-2</v>
      </c>
      <c r="N49" s="4" t="str">
        <f t="shared" si="4"/>
        <v>&lt;</v>
      </c>
      <c r="O49" s="4">
        <f t="shared" si="15"/>
        <v>9.9999999999999992E-2</v>
      </c>
      <c r="P49" s="4" t="str">
        <f t="shared" si="4"/>
        <v>&lt;</v>
      </c>
      <c r="Q49" s="4">
        <f t="shared" si="16"/>
        <v>9.9999999999999992E-2</v>
      </c>
      <c r="R49" s="4" t="str">
        <f t="shared" si="4"/>
        <v>&lt;</v>
      </c>
      <c r="S49" s="17"/>
      <c r="T49" s="17"/>
      <c r="U49" s="17"/>
      <c r="V49" s="4">
        <f>IFERROR(IF(VLOOKUP(B49,E!$B$1:$AK$300,4,FALSE)=0,1000000,VLOOKUP(B49,E!$B$1:$AK$300,4,FALSE)),1000000)</f>
        <v>0.5</v>
      </c>
      <c r="W49" s="17"/>
      <c r="X49" s="17"/>
      <c r="Z49" s="17">
        <f>SUM(Z33:Z42)</f>
        <v>0</v>
      </c>
      <c r="AA49" s="83">
        <f>IF(M34="","",IF(Z49=0,SUM(M33:M42),IF(M34="","",Z49)))</f>
        <v>9.9999999999999992E-2</v>
      </c>
      <c r="AC49" s="17">
        <f>SUM(AC33:AC42)</f>
        <v>0</v>
      </c>
      <c r="AD49" s="83">
        <f>IF(O34="","",IF(AC49=0,SUM(O33:O42),IF(O34="","",AC49)))</f>
        <v>9.9999999999999992E-2</v>
      </c>
      <c r="AF49" s="17">
        <f>SUM(AF33:AF42)</f>
        <v>0</v>
      </c>
      <c r="AG49" s="83">
        <f>IF(Q34="","",IF(AF49=0,SUM(Q33:Q42),IF(Q34="","",AF49)))</f>
        <v>9.9999999999999992E-2</v>
      </c>
      <c r="AI49" s="77">
        <v>0</v>
      </c>
      <c r="AJ49" s="77">
        <v>0</v>
      </c>
      <c r="AK49" s="77">
        <v>1</v>
      </c>
      <c r="AO49" s="4">
        <f>($AI49+($AJ49*25)+($AK49*10))/($AI49+($AJ49*AO$7)+($AK49*AO$9))</f>
        <v>1</v>
      </c>
      <c r="AQ49" s="4">
        <f t="shared" si="24"/>
        <v>1</v>
      </c>
      <c r="AS49" s="4">
        <f t="shared" si="25"/>
        <v>1</v>
      </c>
      <c r="AV49" s="4">
        <f t="shared" si="12"/>
        <v>6.9999999999999993E-2</v>
      </c>
      <c r="AX49" s="4">
        <f t="shared" si="13"/>
        <v>6.9999999999999993E-2</v>
      </c>
      <c r="AZ49" s="4">
        <f t="shared" si="14"/>
        <v>6.9999999999999993E-2</v>
      </c>
    </row>
    <row r="50" spans="1:52" x14ac:dyDescent="0.2">
      <c r="A50" s="4" t="s">
        <v>20</v>
      </c>
      <c r="B50" s="4">
        <v>1381</v>
      </c>
      <c r="C50" s="4" t="str">
        <f t="shared" si="0"/>
        <v>urn:immetingen:parameter:id:1381</v>
      </c>
      <c r="D50" s="4">
        <f>IFERROR(IF(VLOOKUP($C50,'C'!$A$1:$N$1998,4,FALSE)=0,IF(VLOOKUP($C50,'C'!$A$1:$N$1998,7,FALSE)=0,VLOOKUP($C50,'C'!$A$1:$N$1998,10,FALSE),VLOOKUP($C50,'C'!$A$1:$N$1998,7,FALSE)),VLOOKUP($C50,'C'!$A$1:$N$1998,4,FALSE)),"")</f>
        <v>131</v>
      </c>
      <c r="E50" s="4">
        <f>IFERROR(VLOOKUP($C50,'C'!$A$1:$N$1998,2,FALSE),"")</f>
        <v>1</v>
      </c>
      <c r="F50" s="4" t="str">
        <f>IFERROR(IF(VLOOKUP($C50,'C'!$A$1:$N$1998,3,FALSE)=1,"&lt;",""),"")</f>
        <v>&lt;</v>
      </c>
      <c r="G50" s="4">
        <f>IFERROR(VLOOKUP($C50,'C'!$A$1:$N$1998,5,FALSE),"")</f>
        <v>1</v>
      </c>
      <c r="H50" s="4" t="str">
        <f>IFERROR(IF(VLOOKUP($C50,'C'!$A$1:$N$1998,6,FALSE)=1,"&lt;",""),"")</f>
        <v>&lt;</v>
      </c>
      <c r="I50" s="4">
        <f>IFERROR(VLOOKUP($C50,'C'!$A$1:$N$1998,8,FALSE),"")</f>
        <v>1</v>
      </c>
      <c r="J50" s="4" t="str">
        <f>IFERROR(IF(VLOOKUP($C50,'C'!$A$1:$N$1998,9,FALSE)=1,"&lt;",""),"")</f>
        <v>&lt;</v>
      </c>
      <c r="M50" s="4">
        <f>IF(E50="","",IF($D50=131,E50/1000,E50))</f>
        <v>1E-3</v>
      </c>
      <c r="N50" s="4" t="str">
        <f t="shared" si="4"/>
        <v>&lt;</v>
      </c>
      <c r="O50" s="4">
        <f t="shared" si="15"/>
        <v>1E-3</v>
      </c>
      <c r="P50" s="4" t="str">
        <f t="shared" si="4"/>
        <v>&lt;</v>
      </c>
      <c r="Q50" s="4">
        <f t="shared" si="16"/>
        <v>1E-3</v>
      </c>
      <c r="R50" s="4" t="str">
        <f t="shared" si="4"/>
        <v>&lt;</v>
      </c>
      <c r="V50" s="4">
        <f>IFERROR(IF(VLOOKUP(B50,E!$B$1:$AK$300,4,FALSE)=0,1000000,VLOOKUP(B50,E!$B$1:$AK$300,4,FALSE)),1000000)</f>
        <v>1E-3</v>
      </c>
      <c r="Z50" s="17">
        <f>IF(AA50=-1,IF(SUM(AA$50:AA$56)=-7,0,(0.7*M50)),AA50)</f>
        <v>0</v>
      </c>
      <c r="AA50" s="17">
        <f>IF(N50="&lt;",IF((M50&lt;=$V50),-1,0.7*M50),M50)</f>
        <v>-1</v>
      </c>
      <c r="AC50" s="17">
        <f>IF(AD50=-1,IF(SUM(AD$50:AD$56)=-7,0,(0.7*O50)),AD50)</f>
        <v>0</v>
      </c>
      <c r="AD50" s="17">
        <f>IF(P50="&lt;",IF((O50&lt;=$V50),-1,0.7*O50),O50)</f>
        <v>-1</v>
      </c>
      <c r="AF50" s="17">
        <f>IF(AG50=-1,IF(SUM(AG$50:AG$56)=-7,0,(0.7*Q50)),AG50)</f>
        <v>0</v>
      </c>
      <c r="AG50" s="17">
        <f>IF(R50="&lt;",IF((Q50&lt;=$V50),-1,0.7*Q50),Q50)</f>
        <v>-1</v>
      </c>
      <c r="AI50" s="77">
        <v>0</v>
      </c>
      <c r="AJ50" s="77">
        <v>0</v>
      </c>
      <c r="AK50" s="77">
        <v>1</v>
      </c>
      <c r="AO50" s="4">
        <f t="shared" si="9"/>
        <v>5</v>
      </c>
      <c r="AQ50" s="4">
        <f t="shared" si="10"/>
        <v>5</v>
      </c>
      <c r="AS50" s="4">
        <f t="shared" si="11"/>
        <v>5</v>
      </c>
      <c r="AV50" s="4">
        <f t="shared" si="12"/>
        <v>3.5000000000000001E-3</v>
      </c>
      <c r="AX50" s="4">
        <f t="shared" si="13"/>
        <v>3.5000000000000001E-3</v>
      </c>
      <c r="AZ50" s="4">
        <f t="shared" si="14"/>
        <v>3.5000000000000001E-3</v>
      </c>
    </row>
    <row r="51" spans="1:52" x14ac:dyDescent="0.2">
      <c r="A51" s="4" t="s">
        <v>21</v>
      </c>
      <c r="B51" s="4">
        <v>1382</v>
      </c>
      <c r="C51" s="4" t="str">
        <f t="shared" si="0"/>
        <v>urn:immetingen:parameter:id:1382</v>
      </c>
      <c r="D51" s="4">
        <f>IFERROR(IF(VLOOKUP($C51,'C'!$A$1:$N$1998,4,FALSE)=0,IF(VLOOKUP($C51,'C'!$A$1:$N$1998,7,FALSE)=0,VLOOKUP($C51,'C'!$A$1:$N$1998,10,FALSE),VLOOKUP($C51,'C'!$A$1:$N$1998,7,FALSE)),VLOOKUP($C51,'C'!$A$1:$N$1998,4,FALSE)),"")</f>
        <v>131</v>
      </c>
      <c r="E51" s="4">
        <f>IFERROR(VLOOKUP($C51,'C'!$A$1:$N$1998,2,FALSE),"")</f>
        <v>1</v>
      </c>
      <c r="F51" s="4" t="str">
        <f>IFERROR(IF(VLOOKUP($C51,'C'!$A$1:$N$1998,3,FALSE)=1,"&lt;",""),"")</f>
        <v>&lt;</v>
      </c>
      <c r="G51" s="4">
        <f>IFERROR(VLOOKUP($C51,'C'!$A$1:$N$1998,5,FALSE),"")</f>
        <v>1</v>
      </c>
      <c r="H51" s="4" t="str">
        <f>IFERROR(IF(VLOOKUP($C51,'C'!$A$1:$N$1998,6,FALSE)=1,"&lt;",""),"")</f>
        <v>&lt;</v>
      </c>
      <c r="I51" s="4">
        <f>IFERROR(VLOOKUP($C51,'C'!$A$1:$N$1998,8,FALSE),"")</f>
        <v>1</v>
      </c>
      <c r="J51" s="4" t="str">
        <f>IFERROR(IF(VLOOKUP($C51,'C'!$A$1:$N$1998,9,FALSE)=1,"&lt;",""),"")</f>
        <v>&lt;</v>
      </c>
      <c r="M51" s="4">
        <f t="shared" si="2"/>
        <v>1E-3</v>
      </c>
      <c r="N51" s="4" t="str">
        <f t="shared" si="4"/>
        <v>&lt;</v>
      </c>
      <c r="O51" s="4">
        <f t="shared" si="15"/>
        <v>1E-3</v>
      </c>
      <c r="P51" s="4" t="str">
        <f t="shared" si="4"/>
        <v>&lt;</v>
      </c>
      <c r="Q51" s="4">
        <f t="shared" si="16"/>
        <v>1E-3</v>
      </c>
      <c r="R51" s="4" t="str">
        <f t="shared" si="4"/>
        <v>&lt;</v>
      </c>
      <c r="V51" s="4">
        <f>IFERROR(IF(VLOOKUP(B51,E!$B$1:$AK$300,4,FALSE)=0,1000000,VLOOKUP(B51,E!$B$1:$AK$300,4,FALSE)),1000000)</f>
        <v>1E-3</v>
      </c>
      <c r="Z51" s="17">
        <f t="shared" ref="Z51:Z56" si="29">IF(AA51=-1,IF(SUM(AA$50:AA$56)=-7,0,(0.7*M51)),AA51)</f>
        <v>0</v>
      </c>
      <c r="AA51" s="17">
        <f t="shared" ref="AA51:AA56" si="30">IF(N51="&lt;",IF((M51&lt;=$V51),-1,0.7*M51),M51)</f>
        <v>-1</v>
      </c>
      <c r="AC51" s="17">
        <f t="shared" ref="AC51:AC56" si="31">IF(AD51=-1,IF(SUM(AD$50:AD$56)=-7,0,(0.7*O51)),AD51)</f>
        <v>0</v>
      </c>
      <c r="AD51" s="17">
        <f t="shared" ref="AD51:AD56" si="32">IF(P51="&lt;",IF((O51&lt;=$V51),-1,0.7*O51),O51)</f>
        <v>-1</v>
      </c>
      <c r="AF51" s="17">
        <f t="shared" ref="AF51:AF56" si="33">IF(AG51=-1,IF(SUM(AG$50:AG$56)=-7,0,(0.7*Q51)),AG51)</f>
        <v>0</v>
      </c>
      <c r="AG51" s="17">
        <f t="shared" ref="AG51:AG56" si="34">IF(R51="&lt;",IF((Q51&lt;=$V51),-1,0.7*Q51),Q51)</f>
        <v>-1</v>
      </c>
      <c r="AI51" s="77">
        <v>0</v>
      </c>
      <c r="AJ51" s="77">
        <v>0</v>
      </c>
      <c r="AK51" s="77">
        <v>1</v>
      </c>
      <c r="AO51" s="4">
        <f t="shared" si="9"/>
        <v>5</v>
      </c>
      <c r="AQ51" s="4">
        <f t="shared" si="10"/>
        <v>5</v>
      </c>
      <c r="AS51" s="4">
        <f t="shared" si="11"/>
        <v>5</v>
      </c>
      <c r="AV51" s="4">
        <f t="shared" si="12"/>
        <v>3.5000000000000001E-3</v>
      </c>
      <c r="AX51" s="4">
        <f t="shared" si="13"/>
        <v>3.5000000000000001E-3</v>
      </c>
      <c r="AZ51" s="4">
        <f t="shared" si="14"/>
        <v>3.5000000000000001E-3</v>
      </c>
    </row>
    <row r="52" spans="1:52" x14ac:dyDescent="0.2">
      <c r="A52" s="4" t="s">
        <v>22</v>
      </c>
      <c r="B52" s="4">
        <v>1372</v>
      </c>
      <c r="C52" s="4" t="str">
        <f t="shared" si="0"/>
        <v>urn:immetingen:parameter:id:1372</v>
      </c>
      <c r="D52" s="4">
        <f>IFERROR(IF(VLOOKUP($C52,'C'!$A$1:$N$1998,4,FALSE)=0,IF(VLOOKUP($C52,'C'!$A$1:$N$1998,7,FALSE)=0,VLOOKUP($C52,'C'!$A$1:$N$1998,10,FALSE),VLOOKUP($C52,'C'!$A$1:$N$1998,7,FALSE)),VLOOKUP($C52,'C'!$A$1:$N$1998,4,FALSE)),"")</f>
        <v>131</v>
      </c>
      <c r="E52" s="4">
        <f>IFERROR(VLOOKUP($C52,'C'!$A$1:$N$1998,2,FALSE),"")</f>
        <v>1</v>
      </c>
      <c r="F52" s="4" t="str">
        <f>IFERROR(IF(VLOOKUP($C52,'C'!$A$1:$N$1998,3,FALSE)=1,"&lt;",""),"")</f>
        <v>&lt;</v>
      </c>
      <c r="G52" s="4">
        <f>IFERROR(VLOOKUP($C52,'C'!$A$1:$N$1998,5,FALSE),"")</f>
        <v>1</v>
      </c>
      <c r="H52" s="4" t="str">
        <f>IFERROR(IF(VLOOKUP($C52,'C'!$A$1:$N$1998,6,FALSE)=1,"&lt;",""),"")</f>
        <v>&lt;</v>
      </c>
      <c r="I52" s="4">
        <f>IFERROR(VLOOKUP($C52,'C'!$A$1:$N$1998,8,FALSE),"")</f>
        <v>1</v>
      </c>
      <c r="J52" s="4" t="str">
        <f>IFERROR(IF(VLOOKUP($C52,'C'!$A$1:$N$1998,9,FALSE)=1,"&lt;",""),"")</f>
        <v>&lt;</v>
      </c>
      <c r="M52" s="4">
        <f t="shared" si="2"/>
        <v>1E-3</v>
      </c>
      <c r="N52" s="4" t="str">
        <f t="shared" si="4"/>
        <v>&lt;</v>
      </c>
      <c r="O52" s="4">
        <f t="shared" si="15"/>
        <v>1E-3</v>
      </c>
      <c r="P52" s="4" t="str">
        <f t="shared" si="4"/>
        <v>&lt;</v>
      </c>
      <c r="Q52" s="4">
        <f t="shared" si="16"/>
        <v>1E-3</v>
      </c>
      <c r="R52" s="4" t="str">
        <f t="shared" si="4"/>
        <v>&lt;</v>
      </c>
      <c r="V52" s="4">
        <f>IFERROR(IF(VLOOKUP(B52,E!$B$1:$AK$300,4,FALSE)=0,1000000,VLOOKUP(B52,E!$B$1:$AK$300,4,FALSE)),1000000)</f>
        <v>1E-3</v>
      </c>
      <c r="Z52" s="17">
        <f t="shared" si="29"/>
        <v>0</v>
      </c>
      <c r="AA52" s="17">
        <f t="shared" si="30"/>
        <v>-1</v>
      </c>
      <c r="AC52" s="17">
        <f t="shared" si="31"/>
        <v>0</v>
      </c>
      <c r="AD52" s="17">
        <f t="shared" si="32"/>
        <v>-1</v>
      </c>
      <c r="AF52" s="17">
        <f t="shared" si="33"/>
        <v>0</v>
      </c>
      <c r="AG52" s="17">
        <f t="shared" si="34"/>
        <v>-1</v>
      </c>
      <c r="AI52" s="77">
        <v>0</v>
      </c>
      <c r="AJ52" s="77">
        <v>0</v>
      </c>
      <c r="AK52" s="77">
        <v>1</v>
      </c>
      <c r="AO52" s="4">
        <f t="shared" si="9"/>
        <v>5</v>
      </c>
      <c r="AQ52" s="4">
        <f t="shared" si="10"/>
        <v>5</v>
      </c>
      <c r="AS52" s="4">
        <f t="shared" si="11"/>
        <v>5</v>
      </c>
      <c r="AV52" s="4">
        <f t="shared" si="12"/>
        <v>3.5000000000000001E-3</v>
      </c>
      <c r="AX52" s="4">
        <f t="shared" si="13"/>
        <v>3.5000000000000001E-3</v>
      </c>
      <c r="AZ52" s="4">
        <f t="shared" si="14"/>
        <v>3.5000000000000001E-3</v>
      </c>
    </row>
    <row r="53" spans="1:52" x14ac:dyDescent="0.2">
      <c r="A53" s="4" t="s">
        <v>23</v>
      </c>
      <c r="B53" s="4">
        <v>1374</v>
      </c>
      <c r="C53" s="4" t="str">
        <f t="shared" si="0"/>
        <v>urn:immetingen:parameter:id:1374</v>
      </c>
      <c r="D53" s="4">
        <f>IFERROR(IF(VLOOKUP($C53,'C'!$A$1:$N$1998,4,FALSE)=0,IF(VLOOKUP($C53,'C'!$A$1:$N$1998,7,FALSE)=0,VLOOKUP($C53,'C'!$A$1:$N$1998,10,FALSE),VLOOKUP($C53,'C'!$A$1:$N$1998,7,FALSE)),VLOOKUP($C53,'C'!$A$1:$N$1998,4,FALSE)),"")</f>
        <v>131</v>
      </c>
      <c r="E53" s="4">
        <f>IFERROR(VLOOKUP($C53,'C'!$A$1:$N$1998,2,FALSE),"")</f>
        <v>1</v>
      </c>
      <c r="F53" s="4" t="str">
        <f>IFERROR(IF(VLOOKUP($C53,'C'!$A$1:$N$1998,3,FALSE)=1,"&lt;",""),"")</f>
        <v>&lt;</v>
      </c>
      <c r="G53" s="4">
        <f>IFERROR(VLOOKUP($C53,'C'!$A$1:$N$1998,5,FALSE),"")</f>
        <v>1</v>
      </c>
      <c r="H53" s="4" t="str">
        <f>IFERROR(IF(VLOOKUP($C53,'C'!$A$1:$N$1998,6,FALSE)=1,"&lt;",""),"")</f>
        <v>&lt;</v>
      </c>
      <c r="I53" s="4">
        <f>IFERROR(VLOOKUP($C53,'C'!$A$1:$N$1998,8,FALSE),"")</f>
        <v>1</v>
      </c>
      <c r="J53" s="4" t="str">
        <f>IFERROR(IF(VLOOKUP($C53,'C'!$A$1:$N$1998,9,FALSE)=1,"&lt;",""),"")</f>
        <v>&lt;</v>
      </c>
      <c r="M53" s="4">
        <f t="shared" si="2"/>
        <v>1E-3</v>
      </c>
      <c r="N53" s="4" t="str">
        <f t="shared" si="4"/>
        <v>&lt;</v>
      </c>
      <c r="O53" s="4">
        <f t="shared" si="15"/>
        <v>1E-3</v>
      </c>
      <c r="P53" s="4" t="str">
        <f t="shared" si="4"/>
        <v>&lt;</v>
      </c>
      <c r="Q53" s="4">
        <f t="shared" si="16"/>
        <v>1E-3</v>
      </c>
      <c r="R53" s="4" t="str">
        <f t="shared" si="4"/>
        <v>&lt;</v>
      </c>
      <c r="V53" s="4">
        <f>IFERROR(IF(VLOOKUP(B53,E!$B$1:$AK$300,4,FALSE)=0,1000000,VLOOKUP(B53,E!$B$1:$AK$300,4,FALSE)),1000000)</f>
        <v>1E-3</v>
      </c>
      <c r="Z53" s="17">
        <f t="shared" si="29"/>
        <v>0</v>
      </c>
      <c r="AA53" s="17">
        <f t="shared" si="30"/>
        <v>-1</v>
      </c>
      <c r="AC53" s="17">
        <f t="shared" si="31"/>
        <v>0</v>
      </c>
      <c r="AD53" s="17">
        <f t="shared" si="32"/>
        <v>-1</v>
      </c>
      <c r="AF53" s="17">
        <f t="shared" si="33"/>
        <v>0</v>
      </c>
      <c r="AG53" s="17">
        <f t="shared" si="34"/>
        <v>-1</v>
      </c>
      <c r="AI53" s="77">
        <v>0</v>
      </c>
      <c r="AJ53" s="77">
        <v>0</v>
      </c>
      <c r="AK53" s="77">
        <v>1</v>
      </c>
      <c r="AO53" s="4">
        <f t="shared" si="9"/>
        <v>5</v>
      </c>
      <c r="AQ53" s="4">
        <f t="shared" si="10"/>
        <v>5</v>
      </c>
      <c r="AS53" s="4">
        <f t="shared" si="11"/>
        <v>5</v>
      </c>
      <c r="AV53" s="4">
        <f t="shared" si="12"/>
        <v>3.5000000000000001E-3</v>
      </c>
      <c r="AX53" s="4">
        <f t="shared" si="13"/>
        <v>3.5000000000000001E-3</v>
      </c>
      <c r="AZ53" s="4">
        <f t="shared" si="14"/>
        <v>3.5000000000000001E-3</v>
      </c>
    </row>
    <row r="54" spans="1:52" x14ac:dyDescent="0.2">
      <c r="A54" s="4" t="s">
        <v>24</v>
      </c>
      <c r="B54" s="4">
        <v>1376</v>
      </c>
      <c r="C54" s="4" t="str">
        <f t="shared" si="0"/>
        <v>urn:immetingen:parameter:id:1376</v>
      </c>
      <c r="D54" s="4">
        <f>IFERROR(IF(VLOOKUP($C54,'C'!$A$1:$N$1998,4,FALSE)=0,IF(VLOOKUP($C54,'C'!$A$1:$N$1998,7,FALSE)=0,VLOOKUP($C54,'C'!$A$1:$N$1998,10,FALSE),VLOOKUP($C54,'C'!$A$1:$N$1998,7,FALSE)),VLOOKUP($C54,'C'!$A$1:$N$1998,4,FALSE)),"")</f>
        <v>131</v>
      </c>
      <c r="E54" s="4">
        <f>IFERROR(VLOOKUP($C54,'C'!$A$1:$N$1998,2,FALSE),"")</f>
        <v>1</v>
      </c>
      <c r="F54" s="4" t="str">
        <f>IFERROR(IF(VLOOKUP($C54,'C'!$A$1:$N$1998,3,FALSE)=1,"&lt;",""),"")</f>
        <v>&lt;</v>
      </c>
      <c r="G54" s="4">
        <f>IFERROR(VLOOKUP($C54,'C'!$A$1:$N$1998,5,FALSE),"")</f>
        <v>1</v>
      </c>
      <c r="H54" s="4" t="str">
        <f>IFERROR(IF(VLOOKUP($C54,'C'!$A$1:$N$1998,6,FALSE)=1,"&lt;",""),"")</f>
        <v>&lt;</v>
      </c>
      <c r="I54" s="4">
        <f>IFERROR(VLOOKUP($C54,'C'!$A$1:$N$1998,8,FALSE),"")</f>
        <v>1</v>
      </c>
      <c r="J54" s="4" t="str">
        <f>IFERROR(IF(VLOOKUP($C54,'C'!$A$1:$N$1998,9,FALSE)=1,"&lt;",""),"")</f>
        <v>&lt;</v>
      </c>
      <c r="M54" s="4">
        <f t="shared" si="2"/>
        <v>1E-3</v>
      </c>
      <c r="N54" s="4" t="str">
        <f t="shared" si="4"/>
        <v>&lt;</v>
      </c>
      <c r="O54" s="4">
        <f t="shared" si="15"/>
        <v>1E-3</v>
      </c>
      <c r="P54" s="4" t="str">
        <f t="shared" si="4"/>
        <v>&lt;</v>
      </c>
      <c r="Q54" s="4">
        <f t="shared" si="16"/>
        <v>1E-3</v>
      </c>
      <c r="R54" s="4" t="str">
        <f t="shared" si="4"/>
        <v>&lt;</v>
      </c>
      <c r="V54" s="4">
        <f>IFERROR(IF(VLOOKUP(B54,E!$B$1:$AK$300,4,FALSE)=0,1000000,VLOOKUP(B54,E!$B$1:$AK$300,4,FALSE)),1000000)</f>
        <v>1E-3</v>
      </c>
      <c r="Z54" s="17">
        <f t="shared" si="29"/>
        <v>0</v>
      </c>
      <c r="AA54" s="17">
        <f t="shared" si="30"/>
        <v>-1</v>
      </c>
      <c r="AC54" s="17">
        <f t="shared" si="31"/>
        <v>0</v>
      </c>
      <c r="AD54" s="17">
        <f t="shared" si="32"/>
        <v>-1</v>
      </c>
      <c r="AF54" s="17">
        <f t="shared" si="33"/>
        <v>0</v>
      </c>
      <c r="AG54" s="17">
        <f t="shared" si="34"/>
        <v>-1</v>
      </c>
      <c r="AI54" s="77">
        <v>0</v>
      </c>
      <c r="AJ54" s="77">
        <v>0</v>
      </c>
      <c r="AK54" s="77">
        <v>1</v>
      </c>
      <c r="AO54" s="4">
        <f t="shared" si="9"/>
        <v>5</v>
      </c>
      <c r="AQ54" s="4">
        <f t="shared" si="10"/>
        <v>5</v>
      </c>
      <c r="AS54" s="4">
        <f t="shared" si="11"/>
        <v>5</v>
      </c>
      <c r="AV54" s="4">
        <f t="shared" si="12"/>
        <v>3.5000000000000001E-3</v>
      </c>
      <c r="AX54" s="4">
        <f t="shared" si="13"/>
        <v>3.5000000000000001E-3</v>
      </c>
      <c r="AZ54" s="4">
        <f t="shared" si="14"/>
        <v>3.5000000000000001E-3</v>
      </c>
    </row>
    <row r="55" spans="1:52" x14ac:dyDescent="0.2">
      <c r="A55" s="4" t="s">
        <v>25</v>
      </c>
      <c r="B55" s="4">
        <v>1377</v>
      </c>
      <c r="C55" s="4" t="str">
        <f t="shared" si="0"/>
        <v>urn:immetingen:parameter:id:1377</v>
      </c>
      <c r="D55" s="4">
        <f>IFERROR(IF(VLOOKUP($C55,'C'!$A$1:$N$1998,4,FALSE)=0,IF(VLOOKUP($C55,'C'!$A$1:$N$1998,7,FALSE)=0,VLOOKUP($C55,'C'!$A$1:$N$1998,10,FALSE),VLOOKUP($C55,'C'!$A$1:$N$1998,7,FALSE)),VLOOKUP($C55,'C'!$A$1:$N$1998,4,FALSE)),"")</f>
        <v>131</v>
      </c>
      <c r="E55" s="4">
        <f>IFERROR(VLOOKUP($C55,'C'!$A$1:$N$1998,2,FALSE),"")</f>
        <v>1</v>
      </c>
      <c r="F55" s="4" t="str">
        <f>IFERROR(IF(VLOOKUP($C55,'C'!$A$1:$N$1998,3,FALSE)=1,"&lt;",""),"")</f>
        <v>&lt;</v>
      </c>
      <c r="G55" s="4">
        <f>IFERROR(VLOOKUP($C55,'C'!$A$1:$N$1998,5,FALSE),"")</f>
        <v>1</v>
      </c>
      <c r="H55" s="4" t="str">
        <f>IFERROR(IF(VLOOKUP($C55,'C'!$A$1:$N$1998,6,FALSE)=1,"&lt;",""),"")</f>
        <v>&lt;</v>
      </c>
      <c r="I55" s="4">
        <f>IFERROR(VLOOKUP($C55,'C'!$A$1:$N$1998,8,FALSE),"")</f>
        <v>1</v>
      </c>
      <c r="J55" s="4" t="str">
        <f>IFERROR(IF(VLOOKUP($C55,'C'!$A$1:$N$1998,9,FALSE)=1,"&lt;",""),"")</f>
        <v>&lt;</v>
      </c>
      <c r="M55" s="4">
        <f t="shared" si="2"/>
        <v>1E-3</v>
      </c>
      <c r="N55" s="4" t="str">
        <f t="shared" si="4"/>
        <v>&lt;</v>
      </c>
      <c r="O55" s="4">
        <f t="shared" si="15"/>
        <v>1E-3</v>
      </c>
      <c r="P55" s="4" t="str">
        <f t="shared" si="4"/>
        <v>&lt;</v>
      </c>
      <c r="Q55" s="4">
        <f t="shared" si="16"/>
        <v>1E-3</v>
      </c>
      <c r="R55" s="4" t="str">
        <f t="shared" si="4"/>
        <v>&lt;</v>
      </c>
      <c r="V55" s="4">
        <f>IFERROR(IF(VLOOKUP(B55,E!$B$1:$AK$300,4,FALSE)=0,1000000,VLOOKUP(B55,E!$B$1:$AK$300,4,FALSE)),1000000)</f>
        <v>1E-3</v>
      </c>
      <c r="Z55" s="17">
        <f t="shared" si="29"/>
        <v>0</v>
      </c>
      <c r="AA55" s="17">
        <f t="shared" si="30"/>
        <v>-1</v>
      </c>
      <c r="AC55" s="17">
        <f t="shared" si="31"/>
        <v>0</v>
      </c>
      <c r="AD55" s="17">
        <f t="shared" si="32"/>
        <v>-1</v>
      </c>
      <c r="AF55" s="17">
        <f t="shared" si="33"/>
        <v>0</v>
      </c>
      <c r="AG55" s="17">
        <f t="shared" si="34"/>
        <v>-1</v>
      </c>
      <c r="AI55" s="77">
        <v>0</v>
      </c>
      <c r="AJ55" s="77">
        <v>0</v>
      </c>
      <c r="AK55" s="77">
        <v>1</v>
      </c>
      <c r="AO55" s="4">
        <f t="shared" si="9"/>
        <v>5</v>
      </c>
      <c r="AQ55" s="4">
        <f t="shared" si="10"/>
        <v>5</v>
      </c>
      <c r="AS55" s="4">
        <f t="shared" si="11"/>
        <v>5</v>
      </c>
      <c r="AV55" s="4">
        <f t="shared" si="12"/>
        <v>3.5000000000000001E-3</v>
      </c>
      <c r="AX55" s="4">
        <f t="shared" si="13"/>
        <v>3.5000000000000001E-3</v>
      </c>
      <c r="AZ55" s="4">
        <f t="shared" si="14"/>
        <v>3.5000000000000001E-3</v>
      </c>
    </row>
    <row r="56" spans="1:52" x14ac:dyDescent="0.2">
      <c r="A56" s="4" t="s">
        <v>26</v>
      </c>
      <c r="B56" s="4">
        <v>1380</v>
      </c>
      <c r="C56" s="4" t="str">
        <f t="shared" si="0"/>
        <v>urn:immetingen:parameter:id:1380</v>
      </c>
      <c r="D56" s="4">
        <f>IFERROR(IF(VLOOKUP($C56,'C'!$A$1:$N$1998,4,FALSE)=0,IF(VLOOKUP($C56,'C'!$A$1:$N$1998,7,FALSE)=0,VLOOKUP($C56,'C'!$A$1:$N$1998,10,FALSE),VLOOKUP($C56,'C'!$A$1:$N$1998,7,FALSE)),VLOOKUP($C56,'C'!$A$1:$N$1998,4,FALSE)),"")</f>
        <v>131</v>
      </c>
      <c r="E56" s="4">
        <f>IFERROR(VLOOKUP($C56,'C'!$A$1:$N$1998,2,FALSE),"")</f>
        <v>1</v>
      </c>
      <c r="F56" s="4" t="str">
        <f>IFERROR(IF(VLOOKUP($C56,'C'!$A$1:$N$1998,3,FALSE)=1,"&lt;",""),"")</f>
        <v>&lt;</v>
      </c>
      <c r="G56" s="4">
        <f>IFERROR(VLOOKUP($C56,'C'!$A$1:$N$1998,5,FALSE),"")</f>
        <v>1</v>
      </c>
      <c r="H56" s="4" t="str">
        <f>IFERROR(IF(VLOOKUP($C56,'C'!$A$1:$N$1998,6,FALSE)=1,"&lt;",""),"")</f>
        <v>&lt;</v>
      </c>
      <c r="I56" s="4">
        <f>IFERROR(VLOOKUP($C56,'C'!$A$1:$N$1998,8,FALSE),"")</f>
        <v>1</v>
      </c>
      <c r="J56" s="4" t="str">
        <f>IFERROR(IF(VLOOKUP($C56,'C'!$A$1:$N$1998,9,FALSE)=1,"&lt;",""),"")</f>
        <v>&lt;</v>
      </c>
      <c r="M56" s="4">
        <f t="shared" si="2"/>
        <v>1E-3</v>
      </c>
      <c r="N56" s="4" t="str">
        <f t="shared" si="4"/>
        <v>&lt;</v>
      </c>
      <c r="O56" s="4">
        <f t="shared" si="15"/>
        <v>1E-3</v>
      </c>
      <c r="P56" s="4" t="str">
        <f t="shared" si="4"/>
        <v>&lt;</v>
      </c>
      <c r="Q56" s="4">
        <f t="shared" si="16"/>
        <v>1E-3</v>
      </c>
      <c r="R56" s="4" t="str">
        <f t="shared" si="4"/>
        <v>&lt;</v>
      </c>
      <c r="V56" s="4">
        <f>IFERROR(IF(VLOOKUP(B56,E!$B$1:$AK$300,4,FALSE)=0,1000000,VLOOKUP(B56,E!$B$1:$AK$300,4,FALSE)),1000000)</f>
        <v>1E-3</v>
      </c>
      <c r="Z56" s="17">
        <f t="shared" si="29"/>
        <v>0</v>
      </c>
      <c r="AA56" s="17">
        <f t="shared" si="30"/>
        <v>-1</v>
      </c>
      <c r="AC56" s="17">
        <f t="shared" si="31"/>
        <v>0</v>
      </c>
      <c r="AD56" s="17">
        <f t="shared" si="32"/>
        <v>-1</v>
      </c>
      <c r="AF56" s="17">
        <f t="shared" si="33"/>
        <v>0</v>
      </c>
      <c r="AG56" s="17">
        <f t="shared" si="34"/>
        <v>-1</v>
      </c>
      <c r="AI56" s="77">
        <v>0</v>
      </c>
      <c r="AJ56" s="77">
        <v>0</v>
      </c>
      <c r="AK56" s="77">
        <v>1</v>
      </c>
      <c r="AO56" s="4">
        <f t="shared" si="9"/>
        <v>5</v>
      </c>
      <c r="AQ56" s="4">
        <f t="shared" si="10"/>
        <v>5</v>
      </c>
      <c r="AS56" s="4">
        <f t="shared" si="11"/>
        <v>5</v>
      </c>
      <c r="AV56" s="4">
        <f t="shared" si="12"/>
        <v>3.5000000000000001E-3</v>
      </c>
      <c r="AX56" s="4">
        <f t="shared" si="13"/>
        <v>3.5000000000000001E-3</v>
      </c>
      <c r="AZ56" s="4">
        <f t="shared" si="14"/>
        <v>3.5000000000000001E-3</v>
      </c>
    </row>
    <row r="57" spans="1:52" x14ac:dyDescent="0.2">
      <c r="A57" s="4" t="s">
        <v>163</v>
      </c>
      <c r="B57" s="4">
        <v>1365</v>
      </c>
      <c r="C57" s="4" t="str">
        <f t="shared" si="0"/>
        <v>urn:immetingen:parameter:id:1365</v>
      </c>
      <c r="D57" s="17">
        <f>D51</f>
        <v>131</v>
      </c>
      <c r="E57" s="17">
        <f>IFERROR(IF($D57=131,IF(AND(F50="&lt;",F51="&lt;",F52="&lt;",F53="&lt;",F54="&lt;",F55="&lt;",F56="&lt;"),SUM(E50:E56),AA57*1000),IF(AND(F50="&lt;",F51="&lt;",F52="&lt;",F53="&lt;",F54="&lt;",F55="&lt;",F56="&lt;"),SUM(E50:E56),AA57)),"")</f>
        <v>7</v>
      </c>
      <c r="F57" s="17" t="str">
        <f>IFERROR(IF(AND(F50="&lt;",F51="&lt;",F52="&lt;",F53="&lt;",F54="&lt;",F55="&lt;",F56="&lt;"),"&lt;",""),"")</f>
        <v>&lt;</v>
      </c>
      <c r="G57" s="17">
        <f>IFERROR(IF($D57=131,IF(AND(H50="&lt;",H51="&lt;",H52="&lt;",H53="&lt;",H54="&lt;",H55="&lt;",H56="&lt;"),SUM(G50:G56),AD57*1000),IF(AND(H50="&lt;",H51="&lt;",H52="&lt;",H53="&lt;",H54="&lt;",H55="&lt;",H56="&lt;"),SUM(G50:G56),AD57)),"")</f>
        <v>7</v>
      </c>
      <c r="H57" s="17" t="str">
        <f>IFERROR(IF(AND(H50="&lt;",H51="&lt;",H52="&lt;",H53="&lt;",H54="&lt;",H55="&lt;",H56="&lt;"),"&lt;",""),"")</f>
        <v>&lt;</v>
      </c>
      <c r="I57" s="17">
        <f>IFERROR(IF($D57=131,IF(AND(J50="&lt;",J51="&lt;",J52="&lt;",J53="&lt;",J54="&lt;",J55="&lt;",J56="&lt;"),SUM(I50:I56),AG57*1000),IF(AND(J50="&lt;",J51="&lt;",J52="&lt;",J53="&lt;",J54="&lt;",J55="&lt;",J56="&lt;"),SUM(I50:I56),AG57)),"")</f>
        <v>7</v>
      </c>
      <c r="J57" s="17" t="str">
        <f>IFERROR(IF(AND(J50="&lt;",J51="&lt;",J52="&lt;",J53="&lt;",J54="&lt;",J55="&lt;",J56="&lt;"),"&lt;",""),"")</f>
        <v>&lt;</v>
      </c>
      <c r="M57" s="4">
        <f t="shared" si="2"/>
        <v>7.0000000000000001E-3</v>
      </c>
      <c r="N57" s="4" t="str">
        <f t="shared" si="4"/>
        <v>&lt;</v>
      </c>
      <c r="O57" s="4">
        <f t="shared" si="15"/>
        <v>7.0000000000000001E-3</v>
      </c>
      <c r="P57" s="4" t="str">
        <f t="shared" si="4"/>
        <v>&lt;</v>
      </c>
      <c r="Q57" s="4">
        <f t="shared" si="16"/>
        <v>7.0000000000000001E-3</v>
      </c>
      <c r="R57" s="4" t="str">
        <f t="shared" si="4"/>
        <v>&lt;</v>
      </c>
      <c r="V57" s="4">
        <f>IFERROR(IF(VLOOKUP(B57,E!$B$1:$AK$300,4,FALSE)=0,1000000,VLOOKUP(B57,E!$B$1:$AK$300,4,FALSE)),1000000)</f>
        <v>7.0000000000000001E-3</v>
      </c>
      <c r="Z57" s="17">
        <f>SUM(Z50:Z56)</f>
        <v>0</v>
      </c>
      <c r="AA57" s="64">
        <f>IF(M50="","",IF(Z57=0,SUM(M50:M56),Z57))</f>
        <v>7.0000000000000001E-3</v>
      </c>
      <c r="AC57" s="17">
        <f>SUM(AC50:AC56)</f>
        <v>0</v>
      </c>
      <c r="AD57" s="64">
        <f>IF(O50="","",IF(AC57=0,SUM(O50:O56),AC57))</f>
        <v>7.0000000000000001E-3</v>
      </c>
      <c r="AF57" s="17">
        <f>SUM(AF50:AF56)</f>
        <v>0</v>
      </c>
      <c r="AG57" s="64">
        <f>IF(Q50="","",IF(AF57=0,SUM(Q50:Q56),AF57))</f>
        <v>7.0000000000000001E-3</v>
      </c>
      <c r="AI57" s="77">
        <v>0</v>
      </c>
      <c r="AJ57" s="77">
        <v>0</v>
      </c>
      <c r="AK57" s="77">
        <v>1</v>
      </c>
      <c r="AO57" s="4">
        <f t="shared" si="9"/>
        <v>5</v>
      </c>
      <c r="AQ57" s="4">
        <f t="shared" si="10"/>
        <v>5</v>
      </c>
      <c r="AS57" s="4">
        <f t="shared" si="11"/>
        <v>5</v>
      </c>
      <c r="AV57" s="4">
        <f t="shared" si="12"/>
        <v>2.4500000000000001E-2</v>
      </c>
      <c r="AX57" s="4">
        <f t="shared" si="13"/>
        <v>2.4500000000000001E-2</v>
      </c>
      <c r="AZ57" s="4">
        <f t="shared" si="14"/>
        <v>2.4500000000000001E-2</v>
      </c>
    </row>
    <row r="58" spans="1:52" x14ac:dyDescent="0.2">
      <c r="A58" s="4" t="s">
        <v>117</v>
      </c>
      <c r="B58" s="4">
        <v>342</v>
      </c>
      <c r="C58" s="4" t="str">
        <f t="shared" si="0"/>
        <v>urn:immetingen:parameter:id:342</v>
      </c>
      <c r="D58" s="4" t="str">
        <f>IFERROR(IF(VLOOKUP($C58,'C'!$A$1:$N$1998,4,FALSE)=0,IF(VLOOKUP($C58,'C'!$A$1:$N$1998,7,FALSE)=0,VLOOKUP($C58,'C'!$A$1:$N$1998,10,FALSE),VLOOKUP($C58,'C'!$A$1:$N$1998,7,FALSE)),VLOOKUP($C58,'C'!$A$1:$N$1998,4,FALSE)),"")</f>
        <v/>
      </c>
      <c r="E58" s="4" t="str">
        <f>IFERROR(VLOOKUP($C58,'C'!$A$1:$N$1998,2,FALSE),"")</f>
        <v/>
      </c>
      <c r="F58" s="4" t="str">
        <f>IFERROR(IF(VLOOKUP($C58,'C'!$A$1:$N$1998,3,FALSE)=1,"&lt;",""),"")</f>
        <v/>
      </c>
      <c r="G58" s="4" t="str">
        <f>IFERROR(VLOOKUP($C58,'C'!$A$1:$N$1998,5,FALSE),"")</f>
        <v/>
      </c>
      <c r="H58" s="4" t="str">
        <f>IFERROR(IF(VLOOKUP($C58,'C'!$A$1:$N$1998,6,FALSE)=1,"&lt;",""),"")</f>
        <v/>
      </c>
      <c r="I58" s="4" t="str">
        <f>IFERROR(VLOOKUP($C58,'C'!$A$1:$N$1998,8,FALSE),"")</f>
        <v/>
      </c>
      <c r="J58" s="4" t="str">
        <f>IFERROR(IF(VLOOKUP($C58,'C'!$A$1:$N$1998,9,FALSE)=1,"&lt;",""),"")</f>
        <v/>
      </c>
      <c r="M58" s="4" t="str">
        <f t="shared" si="2"/>
        <v/>
      </c>
      <c r="N58" s="4" t="str">
        <f t="shared" si="4"/>
        <v/>
      </c>
      <c r="O58" s="4" t="str">
        <f t="shared" si="15"/>
        <v/>
      </c>
      <c r="P58" s="4" t="str">
        <f t="shared" si="4"/>
        <v/>
      </c>
      <c r="Q58" s="4" t="str">
        <f t="shared" si="16"/>
        <v/>
      </c>
      <c r="R58" s="4" t="str">
        <f t="shared" si="4"/>
        <v/>
      </c>
      <c r="V58" s="4">
        <f>IFERROR(IF(VLOOKUP(B58,E!$B$1:$AK$300,4,FALSE)=0,1000000,VLOOKUP(B58,E!$B$1:$AK$300,4,FALSE)),1000000)</f>
        <v>0.05</v>
      </c>
      <c r="Z58" s="4" t="str">
        <f t="shared" si="26"/>
        <v/>
      </c>
      <c r="AC58" s="4" t="str">
        <f t="shared" si="27"/>
        <v/>
      </c>
      <c r="AF58" s="4" t="str">
        <f t="shared" si="28"/>
        <v/>
      </c>
      <c r="AI58" s="77">
        <v>0</v>
      </c>
      <c r="AJ58" s="77">
        <v>0</v>
      </c>
      <c r="AK58" s="77">
        <v>1</v>
      </c>
      <c r="AO58" s="4">
        <f t="shared" si="9"/>
        <v>5</v>
      </c>
      <c r="AQ58" s="4">
        <f t="shared" si="10"/>
        <v>5</v>
      </c>
      <c r="AS58" s="4">
        <f t="shared" si="11"/>
        <v>5</v>
      </c>
      <c r="AV58" s="4" t="str">
        <f t="shared" si="12"/>
        <v/>
      </c>
      <c r="AX58" s="4" t="str">
        <f t="shared" si="13"/>
        <v/>
      </c>
      <c r="AZ58" s="4" t="str">
        <f t="shared" si="14"/>
        <v/>
      </c>
    </row>
    <row r="59" spans="1:52" x14ac:dyDescent="0.2">
      <c r="A59" s="4" t="s">
        <v>118</v>
      </c>
      <c r="B59" s="4">
        <v>1568</v>
      </c>
      <c r="C59" s="4" t="str">
        <f t="shared" si="0"/>
        <v>urn:immetingen:parameter:id:1568</v>
      </c>
      <c r="D59" s="4" t="str">
        <f>IFERROR(IF(VLOOKUP($C59,'C'!$A$1:$N$1998,4,FALSE)=0,IF(VLOOKUP($C59,'C'!$A$1:$N$1998,7,FALSE)=0,VLOOKUP($C59,'C'!$A$1:$N$1998,10,FALSE),VLOOKUP($C59,'C'!$A$1:$N$1998,7,FALSE)),VLOOKUP($C59,'C'!$A$1:$N$1998,4,FALSE)),"")</f>
        <v/>
      </c>
      <c r="E59" s="4" t="str">
        <f>IFERROR(VLOOKUP($C59,'C'!$A$1:$N$1998,2,FALSE),"")</f>
        <v/>
      </c>
      <c r="F59" s="4" t="str">
        <f>IFERROR(IF(VLOOKUP($C59,'C'!$A$1:$N$1998,3,FALSE)=1,"&lt;",""),"")</f>
        <v/>
      </c>
      <c r="G59" s="4" t="str">
        <f>IFERROR(VLOOKUP($C59,'C'!$A$1:$N$1998,5,FALSE),"")</f>
        <v/>
      </c>
      <c r="H59" s="4" t="str">
        <f>IFERROR(IF(VLOOKUP($C59,'C'!$A$1:$N$1998,6,FALSE)=1,"&lt;",""),"")</f>
        <v/>
      </c>
      <c r="I59" s="4" t="str">
        <f>IFERROR(VLOOKUP($C59,'C'!$A$1:$N$1998,8,FALSE),"")</f>
        <v/>
      </c>
      <c r="J59" s="4" t="str">
        <f>IFERROR(IF(VLOOKUP($C59,'C'!$A$1:$N$1998,9,FALSE)=1,"&lt;",""),"")</f>
        <v/>
      </c>
      <c r="M59" s="4" t="str">
        <f t="shared" si="2"/>
        <v/>
      </c>
      <c r="N59" s="4" t="str">
        <f t="shared" si="4"/>
        <v/>
      </c>
      <c r="O59" s="4" t="str">
        <f t="shared" si="15"/>
        <v/>
      </c>
      <c r="P59" s="4" t="str">
        <f t="shared" si="4"/>
        <v/>
      </c>
      <c r="Q59" s="4" t="str">
        <f t="shared" si="16"/>
        <v/>
      </c>
      <c r="R59" s="4" t="str">
        <f t="shared" si="4"/>
        <v/>
      </c>
      <c r="V59" s="4">
        <f>IFERROR(IF(VLOOKUP(B59,E!$B$1:$AK$300,4,FALSE)=0,1000000,VLOOKUP(B59,E!$B$1:$AK$300,4,FALSE)),1000000)</f>
        <v>0.05</v>
      </c>
      <c r="Z59" s="4" t="str">
        <f t="shared" si="26"/>
        <v/>
      </c>
      <c r="AC59" s="4" t="str">
        <f t="shared" si="27"/>
        <v/>
      </c>
      <c r="AF59" s="4" t="str">
        <f t="shared" si="28"/>
        <v/>
      </c>
      <c r="AI59" s="77">
        <v>0</v>
      </c>
      <c r="AJ59" s="77">
        <v>0</v>
      </c>
      <c r="AK59" s="77">
        <v>1</v>
      </c>
      <c r="AO59" s="4">
        <f t="shared" si="9"/>
        <v>5</v>
      </c>
      <c r="AQ59" s="4">
        <f t="shared" si="10"/>
        <v>5</v>
      </c>
      <c r="AS59" s="4">
        <f t="shared" si="11"/>
        <v>5</v>
      </c>
      <c r="AV59" s="4" t="str">
        <f t="shared" si="12"/>
        <v/>
      </c>
      <c r="AX59" s="4" t="str">
        <f t="shared" si="13"/>
        <v/>
      </c>
      <c r="AZ59" s="4" t="str">
        <f t="shared" si="14"/>
        <v/>
      </c>
    </row>
    <row r="60" spans="1:52" x14ac:dyDescent="0.2">
      <c r="A60" s="4" t="s">
        <v>119</v>
      </c>
      <c r="B60" s="4">
        <v>728</v>
      </c>
      <c r="C60" s="4" t="str">
        <f t="shared" si="0"/>
        <v>urn:immetingen:parameter:id:728</v>
      </c>
      <c r="D60" s="4" t="str">
        <f>IFERROR(IF(VLOOKUP($C60,'C'!$A$1:$N$1998,4,FALSE)=0,IF(VLOOKUP($C60,'C'!$A$1:$N$1998,7,FALSE)=0,VLOOKUP($C60,'C'!$A$1:$N$1998,10,FALSE),VLOOKUP($C60,'C'!$A$1:$N$1998,7,FALSE)),VLOOKUP($C60,'C'!$A$1:$N$1998,4,FALSE)),"")</f>
        <v/>
      </c>
      <c r="E60" s="4" t="str">
        <f>IFERROR(VLOOKUP($C60,'C'!$A$1:$N$1998,2,FALSE),"")</f>
        <v/>
      </c>
      <c r="F60" s="4" t="str">
        <f>IFERROR(IF(VLOOKUP($C60,'C'!$A$1:$N$1998,3,FALSE)=1,"&lt;",""),"")</f>
        <v/>
      </c>
      <c r="G60" s="4" t="str">
        <f>IFERROR(VLOOKUP($C60,'C'!$A$1:$N$1998,5,FALSE),"")</f>
        <v/>
      </c>
      <c r="H60" s="4" t="str">
        <f>IFERROR(IF(VLOOKUP($C60,'C'!$A$1:$N$1998,6,FALSE)=1,"&lt;",""),"")</f>
        <v/>
      </c>
      <c r="I60" s="4" t="str">
        <f>IFERROR(VLOOKUP($C60,'C'!$A$1:$N$1998,8,FALSE),"")</f>
        <v/>
      </c>
      <c r="J60" s="4" t="str">
        <f>IFERROR(IF(VLOOKUP($C60,'C'!$A$1:$N$1998,9,FALSE)=1,"&lt;",""),"")</f>
        <v/>
      </c>
      <c r="M60" s="4" t="str">
        <f t="shared" si="2"/>
        <v/>
      </c>
      <c r="N60" s="4" t="str">
        <f t="shared" si="4"/>
        <v/>
      </c>
      <c r="O60" s="4" t="str">
        <f t="shared" si="15"/>
        <v/>
      </c>
      <c r="P60" s="4" t="str">
        <f t="shared" si="4"/>
        <v/>
      </c>
      <c r="Q60" s="4" t="str">
        <f t="shared" si="16"/>
        <v/>
      </c>
      <c r="R60" s="4" t="str">
        <f t="shared" si="4"/>
        <v/>
      </c>
      <c r="V60" s="4">
        <f>IFERROR(IF(VLOOKUP(B60,E!$B$1:$AK$300,4,FALSE)=0,1000000,VLOOKUP(B60,E!$B$1:$AK$300,4,FALSE)),1000000)</f>
        <v>0.05</v>
      </c>
      <c r="Z60" s="4" t="str">
        <f t="shared" si="26"/>
        <v/>
      </c>
      <c r="AC60" s="4" t="str">
        <f t="shared" si="27"/>
        <v/>
      </c>
      <c r="AF60" s="4" t="str">
        <f t="shared" si="28"/>
        <v/>
      </c>
      <c r="AI60" s="77">
        <v>0</v>
      </c>
      <c r="AJ60" s="77">
        <v>0</v>
      </c>
      <c r="AK60" s="77">
        <v>1</v>
      </c>
      <c r="AO60" s="4">
        <f t="shared" si="9"/>
        <v>5</v>
      </c>
      <c r="AQ60" s="4">
        <f t="shared" si="10"/>
        <v>5</v>
      </c>
      <c r="AS60" s="4">
        <f t="shared" si="11"/>
        <v>5</v>
      </c>
      <c r="AV60" s="4" t="str">
        <f t="shared" si="12"/>
        <v/>
      </c>
      <c r="AX60" s="4" t="str">
        <f t="shared" si="13"/>
        <v/>
      </c>
      <c r="AZ60" s="4" t="str">
        <f t="shared" si="14"/>
        <v/>
      </c>
    </row>
    <row r="61" spans="1:52" x14ac:dyDescent="0.2">
      <c r="A61" s="4" t="s">
        <v>120</v>
      </c>
      <c r="B61" s="4">
        <v>1341</v>
      </c>
      <c r="C61" s="4" t="str">
        <f t="shared" si="0"/>
        <v>urn:immetingen:parameter:id:1341</v>
      </c>
      <c r="D61" s="4" t="str">
        <f>IFERROR(IF(VLOOKUP($C61,'C'!$A$1:$N$1998,4,FALSE)=0,IF(VLOOKUP($C61,'C'!$A$1:$N$1998,7,FALSE)=0,VLOOKUP($C61,'C'!$A$1:$N$1998,10,FALSE),VLOOKUP($C61,'C'!$A$1:$N$1998,7,FALSE)),VLOOKUP($C61,'C'!$A$1:$N$1998,4,FALSE)),"")</f>
        <v/>
      </c>
      <c r="E61" s="4" t="str">
        <f>IFERROR(VLOOKUP($C61,'C'!$A$1:$N$1998,2,FALSE),"")</f>
        <v/>
      </c>
      <c r="F61" s="4" t="str">
        <f>IFERROR(IF(VLOOKUP($C61,'C'!$A$1:$N$1998,3,FALSE)=1,"&lt;",""),"")</f>
        <v/>
      </c>
      <c r="G61" s="4" t="str">
        <f>IFERROR(VLOOKUP($C61,'C'!$A$1:$N$1998,5,FALSE),"")</f>
        <v/>
      </c>
      <c r="H61" s="4" t="str">
        <f>IFERROR(IF(VLOOKUP($C61,'C'!$A$1:$N$1998,6,FALSE)=1,"&lt;",""),"")</f>
        <v/>
      </c>
      <c r="I61" s="4" t="str">
        <f>IFERROR(VLOOKUP($C61,'C'!$A$1:$N$1998,8,FALSE),"")</f>
        <v/>
      </c>
      <c r="J61" s="4" t="str">
        <f>IFERROR(IF(VLOOKUP($C61,'C'!$A$1:$N$1998,9,FALSE)=1,"&lt;",""),"")</f>
        <v/>
      </c>
      <c r="M61" s="4" t="str">
        <f t="shared" si="2"/>
        <v/>
      </c>
      <c r="N61" s="4" t="str">
        <f t="shared" si="4"/>
        <v/>
      </c>
      <c r="O61" s="4" t="str">
        <f t="shared" si="15"/>
        <v/>
      </c>
      <c r="P61" s="4" t="str">
        <f t="shared" si="4"/>
        <v/>
      </c>
      <c r="Q61" s="4" t="str">
        <f t="shared" si="16"/>
        <v/>
      </c>
      <c r="R61" s="4" t="str">
        <f t="shared" si="4"/>
        <v/>
      </c>
      <c r="V61" s="4">
        <v>0.05</v>
      </c>
      <c r="Z61" s="17" t="str">
        <f>IF(AA61=-1,IF(SUM(AA$61:AA$62)=-2,0,(0.7*M61)),AA61)</f>
        <v/>
      </c>
      <c r="AA61" s="17" t="str">
        <f>IF(N61="&lt;",IF((M61&lt;=$V61),-1,0.7*M61),M61)</f>
        <v/>
      </c>
      <c r="AC61" s="17" t="str">
        <f>IF(AD61=-1,IF(SUM(AD$61:AD$62)=-2,0,(0.7*O61)),AD61)</f>
        <v/>
      </c>
      <c r="AD61" s="17" t="str">
        <f>IF(P61="&lt;",IF((O61&lt;=$V61),-1,0.7*O61),O61)</f>
        <v/>
      </c>
      <c r="AF61" s="17" t="str">
        <f>IF(AG61=-1,IF(SUM(AG$61:AG$62)=-2,0,(0.7*Q61)),AG61)</f>
        <v/>
      </c>
      <c r="AG61" s="17" t="str">
        <f>IF(R61="&lt;",IF((Q61&lt;=$V61),-1,0.7*Q61),Q61)</f>
        <v/>
      </c>
      <c r="AI61" s="77">
        <v>0</v>
      </c>
      <c r="AJ61" s="77">
        <v>0</v>
      </c>
      <c r="AK61" s="77">
        <v>1</v>
      </c>
      <c r="AO61" s="4">
        <f t="shared" si="9"/>
        <v>5</v>
      </c>
      <c r="AQ61" s="4">
        <f t="shared" si="10"/>
        <v>5</v>
      </c>
      <c r="AS61" s="4">
        <f t="shared" si="11"/>
        <v>5</v>
      </c>
      <c r="AV61" s="4" t="str">
        <f t="shared" si="12"/>
        <v/>
      </c>
      <c r="AX61" s="4" t="str">
        <f t="shared" si="13"/>
        <v/>
      </c>
      <c r="AZ61" s="4" t="str">
        <f t="shared" si="14"/>
        <v/>
      </c>
    </row>
    <row r="62" spans="1:52" x14ac:dyDescent="0.2">
      <c r="A62" s="4" t="s">
        <v>121</v>
      </c>
      <c r="B62" s="4">
        <v>1143</v>
      </c>
      <c r="C62" s="4" t="str">
        <f t="shared" si="0"/>
        <v>urn:immetingen:parameter:id:1143</v>
      </c>
      <c r="D62" s="4" t="str">
        <f>IFERROR(IF(VLOOKUP($C62,'C'!$A$1:$N$1998,4,FALSE)=0,IF(VLOOKUP($C62,'C'!$A$1:$N$1998,7,FALSE)=0,VLOOKUP($C62,'C'!$A$1:$N$1998,10,FALSE),VLOOKUP($C62,'C'!$A$1:$N$1998,7,FALSE)),VLOOKUP($C62,'C'!$A$1:$N$1998,4,FALSE)),"")</f>
        <v/>
      </c>
      <c r="E62" s="4" t="str">
        <f>IFERROR(VLOOKUP($C62,'C'!$A$1:$N$1998,2,FALSE),"")</f>
        <v/>
      </c>
      <c r="F62" s="4" t="str">
        <f>IFERROR(IF(VLOOKUP($C62,'C'!$A$1:$N$1998,3,FALSE)=1,"&lt;",""),"")</f>
        <v/>
      </c>
      <c r="G62" s="4" t="str">
        <f>IFERROR(VLOOKUP($C62,'C'!$A$1:$N$1998,5,FALSE),"")</f>
        <v/>
      </c>
      <c r="H62" s="4" t="str">
        <f>IFERROR(IF(VLOOKUP($C62,'C'!$A$1:$N$1998,6,FALSE)=1,"&lt;",""),"")</f>
        <v/>
      </c>
      <c r="I62" s="4" t="str">
        <f>IFERROR(VLOOKUP($C62,'C'!$A$1:$N$1998,8,FALSE),"")</f>
        <v/>
      </c>
      <c r="J62" s="4" t="str">
        <f>IFERROR(IF(VLOOKUP($C62,'C'!$A$1:$N$1998,9,FALSE)=1,"&lt;",""),"")</f>
        <v/>
      </c>
      <c r="M62" s="4" t="str">
        <f t="shared" si="2"/>
        <v/>
      </c>
      <c r="N62" s="4" t="str">
        <f t="shared" si="4"/>
        <v/>
      </c>
      <c r="O62" s="4" t="str">
        <f t="shared" si="15"/>
        <v/>
      </c>
      <c r="P62" s="4" t="str">
        <f t="shared" si="4"/>
        <v/>
      </c>
      <c r="Q62" s="4" t="str">
        <f t="shared" si="16"/>
        <v/>
      </c>
      <c r="R62" s="4" t="str">
        <f t="shared" si="4"/>
        <v/>
      </c>
      <c r="V62" s="4">
        <v>0.1</v>
      </c>
      <c r="Z62" s="17" t="str">
        <f>IF(AA62=-1,IF(SUM(AA$61:AA$62)=-2,0,(0.7*M62)),AA62)</f>
        <v/>
      </c>
      <c r="AA62" s="17" t="str">
        <f>IF(N62="&lt;",IF((M62&lt;=$V62),-1,0.7*M62),M62)</f>
        <v/>
      </c>
      <c r="AC62" s="17" t="str">
        <f>IF(AD62=-1,IF(SUM(AD$61:AD$62)=-2,0,(0.7*O62)),AD62)</f>
        <v/>
      </c>
      <c r="AD62" s="17" t="str">
        <f>IF(P62="&lt;",IF((O62&lt;=$V62),-1,0.7*O62),O62)</f>
        <v/>
      </c>
      <c r="AF62" s="17" t="str">
        <f>IF(AG62=-1,IF(SUM(AG$61:AG$62)=-2,0,(0.7*Q62)),AG62)</f>
        <v/>
      </c>
      <c r="AG62" s="17" t="str">
        <f>IF(R62="&lt;",IF((Q62&lt;=$V62),-1,0.7*Q62),Q62)</f>
        <v/>
      </c>
      <c r="AI62" s="77">
        <v>0</v>
      </c>
      <c r="AJ62" s="77">
        <v>0</v>
      </c>
      <c r="AK62" s="77">
        <v>1</v>
      </c>
      <c r="AO62" s="4">
        <f t="shared" si="9"/>
        <v>5</v>
      </c>
      <c r="AQ62" s="4">
        <f t="shared" si="10"/>
        <v>5</v>
      </c>
      <c r="AS62" s="4">
        <f t="shared" si="11"/>
        <v>5</v>
      </c>
      <c r="AV62" s="4" t="str">
        <f t="shared" si="12"/>
        <v/>
      </c>
      <c r="AX62" s="4" t="str">
        <f t="shared" si="13"/>
        <v/>
      </c>
      <c r="AZ62" s="4" t="str">
        <f t="shared" si="14"/>
        <v/>
      </c>
    </row>
    <row r="63" spans="1:52" x14ac:dyDescent="0.2">
      <c r="A63" s="4" t="s">
        <v>164</v>
      </c>
      <c r="B63" s="4">
        <v>1686</v>
      </c>
      <c r="C63" s="4" t="str">
        <f t="shared" si="0"/>
        <v>urn:immetingen:parameter:id:1686</v>
      </c>
      <c r="D63" s="4" t="str">
        <f>IFERROR(IF(VLOOKUP($C63,'C'!$A$1:$N$1998,4,FALSE)=0,IF(VLOOKUP($C63,'C'!$A$1:$N$1998,7,FALSE)=0,VLOOKUP($C63,'C'!$A$1:$N$1998,10,FALSE),VLOOKUP($C63,'C'!$A$1:$N$1998,7,FALSE)),VLOOKUP($C63,'C'!$A$1:$N$1998,4,FALSE)),"")</f>
        <v/>
      </c>
      <c r="E63" s="4" t="str">
        <f>IFERROR(VLOOKUP($C63,'C'!$A$1:$N$1998,2,FALSE),"")</f>
        <v/>
      </c>
      <c r="F63" s="4" t="str">
        <f>IFERROR(IF(VLOOKUP($C63,'C'!$A$1:$N$1998,3,FALSE)=1,"&lt;",""),"")</f>
        <v/>
      </c>
      <c r="G63" s="4" t="str">
        <f>IFERROR(VLOOKUP($C63,'C'!$A$1:$N$1998,5,FALSE),"")</f>
        <v/>
      </c>
      <c r="H63" s="4" t="str">
        <f>IFERROR(IF(VLOOKUP($C63,'C'!$A$1:$N$1998,6,FALSE)=1,"&lt;",""),"")</f>
        <v/>
      </c>
      <c r="I63" s="4" t="str">
        <f>IFERROR(VLOOKUP($C63,'C'!$A$1:$N$1998,8,FALSE),"")</f>
        <v/>
      </c>
      <c r="J63" s="4" t="str">
        <f>IFERROR(IF(VLOOKUP($C63,'C'!$A$1:$N$1998,9,FALSE)=1,"&lt;",""),"")</f>
        <v/>
      </c>
      <c r="M63" s="4" t="str">
        <f t="shared" si="2"/>
        <v/>
      </c>
      <c r="N63" s="4" t="str">
        <f t="shared" si="4"/>
        <v/>
      </c>
      <c r="O63" s="4" t="str">
        <f t="shared" si="15"/>
        <v/>
      </c>
      <c r="P63" s="4" t="str">
        <f t="shared" si="4"/>
        <v/>
      </c>
      <c r="Q63" s="4" t="str">
        <f t="shared" si="16"/>
        <v/>
      </c>
      <c r="R63" s="4" t="str">
        <f t="shared" si="4"/>
        <v/>
      </c>
      <c r="V63" s="4">
        <f>IFERROR(IF(VLOOKUP(B63,E!$B$1:$AK$300,4,FALSE)=0,1000000,VLOOKUP(B63,E!$B$1:$AK$300,4,FALSE)),1000000)</f>
        <v>0.15</v>
      </c>
      <c r="Z63" s="17" t="str">
        <f t="shared" si="26"/>
        <v/>
      </c>
      <c r="AA63" s="17">
        <f>SUM(AA61:AA62)</f>
        <v>0</v>
      </c>
      <c r="AC63" s="17" t="str">
        <f>IF(O63="","",IF(AND(P63="&lt;",O63&lt;=$V63),-1,(IF(P63="&lt;",0.7*O63,O63))))</f>
        <v/>
      </c>
      <c r="AD63" s="17">
        <f>SUM(AD61:AD62)</f>
        <v>0</v>
      </c>
      <c r="AF63" s="17" t="str">
        <f>IF(Q63="","",IF(AND(R63="&lt;",Q63&lt;=$V63),-1,(IF(R63="&lt;",0.7*Q63,Q63))))</f>
        <v/>
      </c>
      <c r="AG63" s="17">
        <f>SUM(AG61:AG62)</f>
        <v>0</v>
      </c>
      <c r="AI63" s="77">
        <v>0</v>
      </c>
      <c r="AJ63" s="77">
        <v>0</v>
      </c>
      <c r="AK63" s="77">
        <v>1</v>
      </c>
      <c r="AO63" s="4">
        <f t="shared" si="9"/>
        <v>5</v>
      </c>
      <c r="AQ63" s="4">
        <f t="shared" si="10"/>
        <v>5</v>
      </c>
      <c r="AS63" s="4">
        <f t="shared" si="11"/>
        <v>5</v>
      </c>
      <c r="AV63" s="4" t="str">
        <f t="shared" si="12"/>
        <v/>
      </c>
      <c r="AX63" s="4" t="str">
        <f t="shared" si="13"/>
        <v/>
      </c>
      <c r="AZ63" s="4" t="str">
        <f t="shared" si="14"/>
        <v/>
      </c>
    </row>
    <row r="64" spans="1:52" x14ac:dyDescent="0.2">
      <c r="A64" s="4" t="s">
        <v>165</v>
      </c>
      <c r="B64" s="4">
        <v>401</v>
      </c>
      <c r="C64" s="4" t="str">
        <f t="shared" si="0"/>
        <v>urn:immetingen:parameter:id:401</v>
      </c>
      <c r="D64" s="4" t="str">
        <f>IFERROR(IF(VLOOKUP($C64,'C'!$A$1:$N$1998,4,FALSE)=0,IF(VLOOKUP($C64,'C'!$A$1:$N$1998,7,FALSE)=0,VLOOKUP($C64,'C'!$A$1:$N$1998,10,FALSE),VLOOKUP($C64,'C'!$A$1:$N$1998,7,FALSE)),VLOOKUP($C64,'C'!$A$1:$N$1998,4,FALSE)),"")</f>
        <v/>
      </c>
      <c r="E64" s="4" t="str">
        <f>IFERROR(VLOOKUP($C64,'C'!$A$1:$N$1998,2,FALSE),"")</f>
        <v/>
      </c>
      <c r="F64" s="4" t="str">
        <f>IFERROR(IF(VLOOKUP($C64,'C'!$A$1:$N$1998,3,FALSE)=1,"&lt;",""),"")</f>
        <v/>
      </c>
      <c r="G64" s="4" t="str">
        <f>IFERROR(VLOOKUP($C64,'C'!$A$1:$N$1998,5,FALSE),"")</f>
        <v/>
      </c>
      <c r="H64" s="4" t="str">
        <f>IFERROR(IF(VLOOKUP($C64,'C'!$A$1:$N$1998,6,FALSE)=1,"&lt;",""),"")</f>
        <v/>
      </c>
      <c r="I64" s="4" t="str">
        <f>IFERROR(VLOOKUP($C64,'C'!$A$1:$N$1998,8,FALSE),"")</f>
        <v/>
      </c>
      <c r="J64" s="4" t="str">
        <f>IFERROR(IF(VLOOKUP($C64,'C'!$A$1:$N$1998,9,FALSE)=1,"&lt;",""),"")</f>
        <v/>
      </c>
      <c r="M64" s="4" t="str">
        <f t="shared" si="2"/>
        <v/>
      </c>
      <c r="N64" s="4" t="str">
        <f t="shared" si="4"/>
        <v/>
      </c>
      <c r="O64" s="4" t="str">
        <f t="shared" si="15"/>
        <v/>
      </c>
      <c r="P64" s="4" t="str">
        <f t="shared" si="4"/>
        <v/>
      </c>
      <c r="Q64" s="4" t="str">
        <f t="shared" si="16"/>
        <v/>
      </c>
      <c r="R64" s="4" t="str">
        <f t="shared" si="4"/>
        <v/>
      </c>
      <c r="V64" s="4">
        <f>IFERROR(IF(VLOOKUP(B64,E!$B$1:$AK$300,4,FALSE)=0,1000000,VLOOKUP(B64,E!$B$1:$AK$300,4,FALSE)),1000000)</f>
        <v>1000000</v>
      </c>
      <c r="Z64" s="4" t="str">
        <f t="shared" si="26"/>
        <v/>
      </c>
      <c r="AC64" s="4" t="str">
        <f t="shared" si="27"/>
        <v/>
      </c>
      <c r="AF64" s="4" t="str">
        <f t="shared" si="28"/>
        <v/>
      </c>
      <c r="AI64" s="77">
        <v>0</v>
      </c>
      <c r="AJ64" s="77">
        <v>0</v>
      </c>
      <c r="AK64" s="77">
        <v>1</v>
      </c>
      <c r="AO64" s="4">
        <f t="shared" si="9"/>
        <v>5</v>
      </c>
      <c r="AQ64" s="4">
        <f t="shared" si="10"/>
        <v>5</v>
      </c>
      <c r="AS64" s="4">
        <f t="shared" si="11"/>
        <v>5</v>
      </c>
      <c r="AV64" s="4" t="str">
        <f t="shared" si="12"/>
        <v/>
      </c>
      <c r="AX64" s="4" t="str">
        <f t="shared" si="13"/>
        <v/>
      </c>
      <c r="AZ64" s="4" t="str">
        <f t="shared" si="14"/>
        <v/>
      </c>
    </row>
    <row r="65" spans="1:52" x14ac:dyDescent="0.2">
      <c r="A65" s="76" t="s">
        <v>820</v>
      </c>
      <c r="B65" s="4">
        <v>1503</v>
      </c>
      <c r="C65" s="4" t="str">
        <f t="shared" si="0"/>
        <v>urn:immetingen:parameter:id:1503</v>
      </c>
      <c r="D65" s="4" t="str">
        <f>IFERROR(IF(VLOOKUP($C65,'C'!$A$1:$N$1998,4,FALSE)=0,IF(VLOOKUP($C65,'C'!$A$1:$N$1998,7,FALSE)=0,VLOOKUP($C65,'C'!$A$1:$N$1998,10,FALSE),VLOOKUP($C65,'C'!$A$1:$N$1998,7,FALSE)),VLOOKUP($C65,'C'!$A$1:$N$1998,4,FALSE)),"")</f>
        <v/>
      </c>
      <c r="E65" s="4" t="str">
        <f>IFERROR(VLOOKUP($C65,'C'!$A$1:$N$1998,2,FALSE),"")</f>
        <v/>
      </c>
      <c r="F65" s="4" t="str">
        <f>IFERROR(IF(VLOOKUP($C65,'C'!$A$1:$N$1998,3,FALSE)=1,"&lt;",""),"")</f>
        <v/>
      </c>
      <c r="G65" s="4" t="str">
        <f>IFERROR(VLOOKUP($C65,'C'!$A$1:$N$1998,5,FALSE),"")</f>
        <v/>
      </c>
      <c r="H65" s="4" t="str">
        <f>IFERROR(IF(VLOOKUP($C65,'C'!$A$1:$N$1998,6,FALSE)=1,"&lt;",""),"")</f>
        <v/>
      </c>
      <c r="I65" s="4" t="str">
        <f>IFERROR(VLOOKUP($C65,'C'!$A$1:$N$1998,8,FALSE),"")</f>
        <v/>
      </c>
      <c r="J65" s="4" t="str">
        <f>IFERROR(IF(VLOOKUP($C65,'C'!$A$1:$N$1998,9,FALSE)=1,"&lt;",""),"")</f>
        <v/>
      </c>
      <c r="M65" s="4" t="str">
        <f t="shared" si="2"/>
        <v/>
      </c>
      <c r="N65" s="4" t="str">
        <f t="shared" si="4"/>
        <v/>
      </c>
      <c r="O65" s="4" t="str">
        <f t="shared" si="15"/>
        <v/>
      </c>
      <c r="P65" s="4" t="str">
        <f t="shared" si="4"/>
        <v/>
      </c>
      <c r="Q65" s="4" t="str">
        <f t="shared" si="16"/>
        <v/>
      </c>
      <c r="R65" s="4" t="str">
        <f t="shared" si="4"/>
        <v/>
      </c>
      <c r="V65" s="4">
        <f>IFERROR(IF(VLOOKUP(B65,E!$B$1:$AK$300,4,FALSE)=0,1000000,VLOOKUP(B65,E!$B$1:$AK$300,4,FALSE)),1000000)</f>
        <v>0.05</v>
      </c>
      <c r="Z65" s="4" t="str">
        <f t="shared" si="26"/>
        <v/>
      </c>
      <c r="AC65" s="4" t="str">
        <f t="shared" si="27"/>
        <v/>
      </c>
      <c r="AF65" s="4" t="str">
        <f t="shared" si="28"/>
        <v/>
      </c>
      <c r="AI65" s="77">
        <v>0</v>
      </c>
      <c r="AJ65" s="77">
        <v>0</v>
      </c>
      <c r="AK65" s="77">
        <v>1</v>
      </c>
      <c r="AO65" s="4">
        <f t="shared" si="9"/>
        <v>5</v>
      </c>
      <c r="AQ65" s="4">
        <f t="shared" si="10"/>
        <v>5</v>
      </c>
      <c r="AS65" s="4">
        <f t="shared" si="11"/>
        <v>5</v>
      </c>
      <c r="AV65" s="4" t="str">
        <f t="shared" si="12"/>
        <v/>
      </c>
      <c r="AX65" s="4" t="str">
        <f t="shared" si="13"/>
        <v/>
      </c>
      <c r="AZ65" s="4" t="str">
        <f t="shared" si="14"/>
        <v/>
      </c>
    </row>
    <row r="66" spans="1:52" x14ac:dyDescent="0.2">
      <c r="A66" s="81" t="s">
        <v>564</v>
      </c>
      <c r="B66" s="4">
        <v>29</v>
      </c>
      <c r="C66" s="4" t="str">
        <f t="shared" si="0"/>
        <v>urn:immetingen:parameter:id:29</v>
      </c>
      <c r="D66" s="4" t="str">
        <f>IFERROR(IF(VLOOKUP($C66,'C'!$A$1:$N$1998,4,FALSE)=0,IF(VLOOKUP($C66,'C'!$A$1:$N$1998,7,FALSE)=0,VLOOKUP($C66,'C'!$A$1:$N$1998,10,FALSE),VLOOKUP($C66,'C'!$A$1:$N$1998,7,FALSE)),VLOOKUP($C66,'C'!$A$1:$N$1998,4,FALSE)),"")</f>
        <v/>
      </c>
      <c r="E66" s="4" t="str">
        <f>IFERROR(VLOOKUP($C66,'C'!$A$1:$N$1998,2,FALSE),"")</f>
        <v/>
      </c>
      <c r="F66" s="4" t="str">
        <f>IFERROR(IF(VLOOKUP($C66,'C'!$A$1:$N$1998,3,FALSE)=1,"&lt;",""),"")</f>
        <v/>
      </c>
      <c r="G66" s="4" t="str">
        <f>IFERROR(VLOOKUP($C66,'C'!$A$1:$N$1998,5,FALSE),"")</f>
        <v/>
      </c>
      <c r="H66" s="4" t="str">
        <f>IFERROR(IF(VLOOKUP($C66,'C'!$A$1:$N$1998,6,FALSE)=1,"&lt;",""),"")</f>
        <v/>
      </c>
      <c r="I66" s="4" t="str">
        <f>IFERROR(VLOOKUP($C66,'C'!$A$1:$N$1998,8,FALSE),"")</f>
        <v/>
      </c>
      <c r="J66" s="4" t="str">
        <f>IFERROR(IF(VLOOKUP($C66,'C'!$A$1:$N$1998,9,FALSE)=1,"&lt;",""),"")</f>
        <v/>
      </c>
      <c r="M66" s="4" t="str">
        <f t="shared" si="2"/>
        <v/>
      </c>
      <c r="N66" s="4" t="str">
        <f t="shared" si="4"/>
        <v/>
      </c>
      <c r="O66" s="4" t="str">
        <f t="shared" si="15"/>
        <v/>
      </c>
      <c r="P66" s="4" t="str">
        <f t="shared" si="4"/>
        <v/>
      </c>
      <c r="Q66" s="4" t="str">
        <f t="shared" si="16"/>
        <v/>
      </c>
      <c r="R66" s="4" t="str">
        <f t="shared" si="4"/>
        <v/>
      </c>
      <c r="V66" s="4">
        <f>IFERROR(IF(VLOOKUP(B66,E!$B$1:$AK$300,4,FALSE)=0,1000000,VLOOKUP(B66,E!$B$1:$AK$300,4,FALSE)),1000000)</f>
        <v>0.1</v>
      </c>
      <c r="Z66" s="4" t="str">
        <f t="shared" si="26"/>
        <v/>
      </c>
      <c r="AC66" s="4" t="str">
        <f t="shared" si="27"/>
        <v/>
      </c>
      <c r="AF66" s="4" t="str">
        <f t="shared" si="28"/>
        <v/>
      </c>
      <c r="AI66" s="77">
        <v>0</v>
      </c>
      <c r="AJ66" s="77">
        <v>0</v>
      </c>
      <c r="AK66" s="77">
        <v>1</v>
      </c>
      <c r="AO66" s="4">
        <f t="shared" si="9"/>
        <v>5</v>
      </c>
      <c r="AQ66" s="4">
        <f t="shared" si="10"/>
        <v>5</v>
      </c>
      <c r="AS66" s="4">
        <f t="shared" si="11"/>
        <v>5</v>
      </c>
      <c r="AV66" s="4" t="str">
        <f t="shared" si="12"/>
        <v/>
      </c>
      <c r="AX66" s="4" t="str">
        <f t="shared" si="13"/>
        <v/>
      </c>
      <c r="AZ66" s="4" t="str">
        <f t="shared" si="14"/>
        <v/>
      </c>
    </row>
    <row r="67" spans="1:52" x14ac:dyDescent="0.2">
      <c r="A67" s="4" t="s">
        <v>542</v>
      </c>
      <c r="B67" s="4">
        <v>1654</v>
      </c>
      <c r="C67" s="4" t="str">
        <f t="shared" si="0"/>
        <v>urn:immetingen:parameter:id:1654</v>
      </c>
      <c r="D67" s="4" t="str">
        <f>IFERROR(IF(VLOOKUP($C67,'C'!$A$1:$N$1998,4,FALSE)=0,IF(VLOOKUP($C67,'C'!$A$1:$N$1998,7,FALSE)=0,VLOOKUP($C67,'C'!$A$1:$N$1998,10,FALSE),VLOOKUP($C67,'C'!$A$1:$N$1998,7,FALSE)),VLOOKUP($C67,'C'!$A$1:$N$1998,4,FALSE)),"")</f>
        <v/>
      </c>
      <c r="E67" s="4" t="str">
        <f>IFERROR(VLOOKUP($C67,'C'!$A$1:$N$1998,2,FALSE),"")</f>
        <v/>
      </c>
      <c r="F67" s="4" t="str">
        <f>IFERROR(IF(VLOOKUP($C67,'C'!$A$1:$N$1998,3,FALSE)=1,"&lt;",""),"")</f>
        <v/>
      </c>
      <c r="G67" s="4" t="str">
        <f>IFERROR(VLOOKUP($C67,'C'!$A$1:$N$1998,5,FALSE),"")</f>
        <v/>
      </c>
      <c r="H67" s="4" t="str">
        <f>IFERROR(IF(VLOOKUP($C67,'C'!$A$1:$N$1998,6,FALSE)=1,"&lt;",""),"")</f>
        <v/>
      </c>
      <c r="I67" s="4" t="str">
        <f>IFERROR(VLOOKUP($C67,'C'!$A$1:$N$1998,8,FALSE),"")</f>
        <v/>
      </c>
      <c r="J67" s="4" t="str">
        <f>IFERROR(IF(VLOOKUP($C67,'C'!$A$1:$N$1998,9,FALSE)=1,"&lt;",""),"")</f>
        <v/>
      </c>
      <c r="M67" s="4" t="str">
        <f t="shared" si="2"/>
        <v/>
      </c>
      <c r="N67" s="4" t="str">
        <f t="shared" si="4"/>
        <v/>
      </c>
      <c r="O67" s="4" t="str">
        <f t="shared" si="15"/>
        <v/>
      </c>
      <c r="P67" s="4" t="str">
        <f t="shared" si="4"/>
        <v/>
      </c>
      <c r="Q67" s="4" t="str">
        <f t="shared" si="16"/>
        <v/>
      </c>
      <c r="R67" s="4" t="str">
        <f t="shared" si="4"/>
        <v/>
      </c>
      <c r="V67" s="4">
        <f>IFERROR(IF(VLOOKUP(B67,E!$B$1:$AK$300,4,FALSE)=0,1000000,VLOOKUP(B67,E!$B$1:$AK$300,4,FALSE)),1000000)</f>
        <v>0.05</v>
      </c>
      <c r="Z67" s="81" t="str">
        <f t="shared" si="26"/>
        <v/>
      </c>
      <c r="AA67" s="81">
        <f>IF(AND(N67="&lt;",Z67&lt;=$V67),0,1)</f>
        <v>1</v>
      </c>
      <c r="AC67" s="81" t="str">
        <f t="shared" si="27"/>
        <v/>
      </c>
      <c r="AD67" s="81">
        <f>IF(AND(P67="&lt;",AC67&lt;=$V67),0,1)</f>
        <v>1</v>
      </c>
      <c r="AF67" s="81" t="str">
        <f t="shared" si="28"/>
        <v/>
      </c>
      <c r="AG67" s="81">
        <f>IF(AND(R67="&lt;",AF67&lt;=$V67),0,1)</f>
        <v>1</v>
      </c>
      <c r="AI67" s="77">
        <v>0</v>
      </c>
      <c r="AJ67" s="77">
        <v>0</v>
      </c>
      <c r="AK67" s="77">
        <v>1</v>
      </c>
      <c r="AO67" s="4">
        <f t="shared" si="9"/>
        <v>5</v>
      </c>
      <c r="AQ67" s="4">
        <f t="shared" si="10"/>
        <v>5</v>
      </c>
      <c r="AS67" s="4">
        <f t="shared" si="11"/>
        <v>5</v>
      </c>
      <c r="AV67" s="4" t="str">
        <f t="shared" si="12"/>
        <v/>
      </c>
      <c r="AX67" s="4" t="str">
        <f t="shared" si="13"/>
        <v/>
      </c>
      <c r="AZ67" s="4" t="str">
        <f t="shared" si="14"/>
        <v/>
      </c>
    </row>
    <row r="68" spans="1:52" x14ac:dyDescent="0.2">
      <c r="A68" s="4" t="s">
        <v>543</v>
      </c>
      <c r="B68" s="4">
        <v>619</v>
      </c>
      <c r="C68" s="4" t="str">
        <f t="shared" si="0"/>
        <v>urn:immetingen:parameter:id:619</v>
      </c>
      <c r="D68" s="4" t="str">
        <f>IFERROR(IF(VLOOKUP($C68,'C'!$A$1:$N$1998,4,FALSE)=0,IF(VLOOKUP($C68,'C'!$A$1:$N$1998,7,FALSE)=0,VLOOKUP($C68,'C'!$A$1:$N$1998,10,FALSE),VLOOKUP($C68,'C'!$A$1:$N$1998,7,FALSE)),VLOOKUP($C68,'C'!$A$1:$N$1998,4,FALSE)),"")</f>
        <v/>
      </c>
      <c r="E68" s="4" t="str">
        <f>IFERROR(VLOOKUP($C68,'C'!$A$1:$N$1998,2,FALSE),"")</f>
        <v/>
      </c>
      <c r="F68" s="4" t="str">
        <f>IFERROR(IF(VLOOKUP($C68,'C'!$A$1:$N$1998,3,FALSE)=1,"&lt;",""),"")</f>
        <v/>
      </c>
      <c r="G68" s="4" t="str">
        <f>IFERROR(VLOOKUP($C68,'C'!$A$1:$N$1998,5,FALSE),"")</f>
        <v/>
      </c>
      <c r="H68" s="4" t="str">
        <f>IFERROR(IF(VLOOKUP($C68,'C'!$A$1:$N$1998,6,FALSE)=1,"&lt;",""),"")</f>
        <v/>
      </c>
      <c r="I68" s="4" t="str">
        <f>IFERROR(VLOOKUP($C68,'C'!$A$1:$N$1998,8,FALSE),"")</f>
        <v/>
      </c>
      <c r="J68" s="4" t="str">
        <f>IFERROR(IF(VLOOKUP($C68,'C'!$A$1:$N$1998,9,FALSE)=1,"&lt;",""),"")</f>
        <v/>
      </c>
      <c r="M68" s="4" t="str">
        <f t="shared" si="2"/>
        <v/>
      </c>
      <c r="N68" s="4" t="str">
        <f t="shared" si="4"/>
        <v/>
      </c>
      <c r="O68" s="4" t="str">
        <f t="shared" si="15"/>
        <v/>
      </c>
      <c r="P68" s="4" t="str">
        <f t="shared" si="4"/>
        <v/>
      </c>
      <c r="Q68" s="4" t="str">
        <f t="shared" si="16"/>
        <v/>
      </c>
      <c r="R68" s="4" t="str">
        <f t="shared" si="4"/>
        <v/>
      </c>
      <c r="V68" s="4">
        <f>IFERROR(IF(VLOOKUP(B68,E!$B$1:$AK$300,4,FALSE)=0,1000000,VLOOKUP(B68,E!$B$1:$AK$300,4,FALSE)),1000000)</f>
        <v>0.05</v>
      </c>
      <c r="Z68" s="81" t="str">
        <f t="shared" si="26"/>
        <v/>
      </c>
      <c r="AA68" s="81">
        <f t="shared" ref="AA68:AA71" si="35">IF(AND(N68="&lt;",Z68&lt;=$V68),0,1)</f>
        <v>1</v>
      </c>
      <c r="AC68" s="81" t="str">
        <f t="shared" si="27"/>
        <v/>
      </c>
      <c r="AD68" s="81">
        <f>IF(AND(H68="&lt;",AC68&lt;=BH68),0,1)</f>
        <v>1</v>
      </c>
      <c r="AF68" s="81" t="str">
        <f t="shared" si="28"/>
        <v/>
      </c>
      <c r="AG68" s="81">
        <f t="shared" ref="AG68:AG71" si="36">IF(AND(R68="&lt;",AF68&lt;=$V68),0,1)</f>
        <v>1</v>
      </c>
      <c r="AI68" s="77">
        <v>0</v>
      </c>
      <c r="AJ68" s="77">
        <v>0</v>
      </c>
      <c r="AK68" s="77">
        <v>1</v>
      </c>
      <c r="AO68" s="4">
        <f t="shared" si="9"/>
        <v>5</v>
      </c>
      <c r="AQ68" s="4">
        <f t="shared" si="10"/>
        <v>5</v>
      </c>
      <c r="AS68" s="4">
        <f t="shared" si="11"/>
        <v>5</v>
      </c>
      <c r="AV68" s="4" t="str">
        <f t="shared" si="12"/>
        <v/>
      </c>
      <c r="AX68" s="4" t="str">
        <f t="shared" si="13"/>
        <v/>
      </c>
      <c r="AZ68" s="4" t="str">
        <f t="shared" si="14"/>
        <v/>
      </c>
    </row>
    <row r="69" spans="1:52" x14ac:dyDescent="0.2">
      <c r="A69" s="4" t="s">
        <v>541</v>
      </c>
      <c r="B69" s="4">
        <v>8</v>
      </c>
      <c r="C69" s="4" t="str">
        <f t="shared" si="0"/>
        <v>urn:immetingen:parameter:id:8</v>
      </c>
      <c r="D69" s="4" t="str">
        <f>IFERROR(IF(VLOOKUP($C69,'C'!$A$1:$N$1998,4,FALSE)=0,IF(VLOOKUP($C69,'C'!$A$1:$N$1998,7,FALSE)=0,VLOOKUP($C69,'C'!$A$1:$N$1998,10,FALSE),VLOOKUP($C69,'C'!$A$1:$N$1998,7,FALSE)),VLOOKUP($C69,'C'!$A$1:$N$1998,4,FALSE)),"")</f>
        <v/>
      </c>
      <c r="E69" s="4" t="str">
        <f>IFERROR(VLOOKUP($C69,'C'!$A$1:$N$1998,2,FALSE),"")</f>
        <v/>
      </c>
      <c r="F69" s="4" t="str">
        <f>IFERROR(IF(VLOOKUP($C69,'C'!$A$1:$N$1998,3,FALSE)=1,"&lt;",""),"")</f>
        <v/>
      </c>
      <c r="G69" s="4" t="str">
        <f>IFERROR(VLOOKUP($C69,'C'!$A$1:$N$1998,5,FALSE),"")</f>
        <v/>
      </c>
      <c r="H69" s="4" t="str">
        <f>IFERROR(IF(VLOOKUP($C69,'C'!$A$1:$N$1998,6,FALSE)=1,"&lt;",""),"")</f>
        <v/>
      </c>
      <c r="I69" s="4" t="str">
        <f>IFERROR(VLOOKUP($C69,'C'!$A$1:$N$1998,8,FALSE),"")</f>
        <v/>
      </c>
      <c r="J69" s="4" t="str">
        <f>IFERROR(IF(VLOOKUP($C69,'C'!$A$1:$N$1998,9,FALSE)=1,"&lt;",""),"")</f>
        <v/>
      </c>
      <c r="M69" s="4" t="str">
        <f t="shared" si="2"/>
        <v/>
      </c>
      <c r="N69" s="4" t="str">
        <f t="shared" si="4"/>
        <v/>
      </c>
      <c r="O69" s="4" t="str">
        <f t="shared" si="15"/>
        <v/>
      </c>
      <c r="P69" s="4" t="str">
        <f t="shared" si="4"/>
        <v/>
      </c>
      <c r="Q69" s="4" t="str">
        <f t="shared" si="16"/>
        <v/>
      </c>
      <c r="R69" s="4" t="str">
        <f t="shared" si="4"/>
        <v/>
      </c>
      <c r="V69" s="4">
        <f>IFERROR(IF(VLOOKUP(B69,E!$B$1:$AK$300,4,FALSE)=0,1000000,VLOOKUP(B69,E!$B$1:$AK$300,4,FALSE)),1000000)</f>
        <v>0.1</v>
      </c>
      <c r="Z69" s="81" t="str">
        <f t="shared" si="26"/>
        <v/>
      </c>
      <c r="AA69" s="81">
        <f t="shared" si="35"/>
        <v>1</v>
      </c>
      <c r="AC69" s="81" t="str">
        <f t="shared" si="27"/>
        <v/>
      </c>
      <c r="AD69" s="81">
        <f>IF(AND(H69="&lt;",AC69&lt;=BH69),0,1)</f>
        <v>1</v>
      </c>
      <c r="AF69" s="81" t="str">
        <f t="shared" si="28"/>
        <v/>
      </c>
      <c r="AG69" s="81">
        <f t="shared" si="36"/>
        <v>1</v>
      </c>
      <c r="AI69" s="77">
        <v>0</v>
      </c>
      <c r="AJ69" s="77">
        <v>0</v>
      </c>
      <c r="AK69" s="77">
        <v>1</v>
      </c>
      <c r="AO69" s="4">
        <f t="shared" si="9"/>
        <v>5</v>
      </c>
      <c r="AQ69" s="4">
        <f t="shared" si="10"/>
        <v>5</v>
      </c>
      <c r="AS69" s="4">
        <f t="shared" si="11"/>
        <v>5</v>
      </c>
      <c r="AV69" s="4" t="str">
        <f t="shared" si="12"/>
        <v/>
      </c>
      <c r="AX69" s="4" t="str">
        <f t="shared" si="13"/>
        <v/>
      </c>
      <c r="AZ69" s="4" t="str">
        <f t="shared" si="14"/>
        <v/>
      </c>
    </row>
    <row r="70" spans="1:52" x14ac:dyDescent="0.2">
      <c r="A70" s="4" t="s">
        <v>544</v>
      </c>
      <c r="B70" s="4">
        <v>36</v>
      </c>
      <c r="C70" s="4" t="str">
        <f t="shared" si="0"/>
        <v>urn:immetingen:parameter:id:36</v>
      </c>
      <c r="D70" s="4" t="str">
        <f>IFERROR(IF(VLOOKUP($C70,'C'!$A$1:$N$1998,4,FALSE)=0,IF(VLOOKUP($C70,'C'!$A$1:$N$1998,7,FALSE)=0,VLOOKUP($C70,'C'!$A$1:$N$1998,10,FALSE),VLOOKUP($C70,'C'!$A$1:$N$1998,7,FALSE)),VLOOKUP($C70,'C'!$A$1:$N$1998,4,FALSE)),"")</f>
        <v/>
      </c>
      <c r="E70" s="4" t="str">
        <f>IFERROR(VLOOKUP($C70,'C'!$A$1:$N$1998,2,FALSE),"")</f>
        <v/>
      </c>
      <c r="F70" s="4" t="str">
        <f>IFERROR(IF(VLOOKUP($C70,'C'!$A$1:$N$1998,3,FALSE)=1,"&lt;",""),"")</f>
        <v/>
      </c>
      <c r="G70" s="4" t="str">
        <f>IFERROR(VLOOKUP($C70,'C'!$A$1:$N$1998,5,FALSE),"")</f>
        <v/>
      </c>
      <c r="H70" s="4" t="str">
        <f>IFERROR(IF(VLOOKUP($C70,'C'!$A$1:$N$1998,6,FALSE)=1,"&lt;",""),"")</f>
        <v/>
      </c>
      <c r="I70" s="4" t="str">
        <f>IFERROR(VLOOKUP($C70,'C'!$A$1:$N$1998,8,FALSE),"")</f>
        <v/>
      </c>
      <c r="J70" s="4" t="str">
        <f>IFERROR(IF(VLOOKUP($C70,'C'!$A$1:$N$1998,9,FALSE)=1,"&lt;",""),"")</f>
        <v/>
      </c>
      <c r="M70" s="4" t="str">
        <f t="shared" si="2"/>
        <v/>
      </c>
      <c r="N70" s="4" t="str">
        <f t="shared" si="4"/>
        <v/>
      </c>
      <c r="O70" s="4" t="str">
        <f t="shared" si="15"/>
        <v/>
      </c>
      <c r="P70" s="4" t="str">
        <f t="shared" si="4"/>
        <v/>
      </c>
      <c r="Q70" s="4" t="str">
        <f t="shared" si="16"/>
        <v/>
      </c>
      <c r="R70" s="4" t="str">
        <f t="shared" si="4"/>
        <v/>
      </c>
      <c r="V70" s="4">
        <f>IFERROR(IF(VLOOKUP(B70,E!$B$1:$AK$300,4,FALSE)=0,1000000,VLOOKUP(B70,E!$B$1:$AK$300,4,FALSE)),1000000)</f>
        <v>0.1</v>
      </c>
      <c r="Z70" s="81" t="str">
        <f t="shared" si="26"/>
        <v/>
      </c>
      <c r="AA70" s="81">
        <f t="shared" si="35"/>
        <v>1</v>
      </c>
      <c r="AC70" s="81" t="str">
        <f t="shared" si="27"/>
        <v/>
      </c>
      <c r="AD70" s="81">
        <f>IF(AND(H70="&lt;",AC70&lt;=BH70),0,1)</f>
        <v>1</v>
      </c>
      <c r="AF70" s="81" t="str">
        <f t="shared" si="28"/>
        <v/>
      </c>
      <c r="AG70" s="81">
        <f t="shared" si="36"/>
        <v>1</v>
      </c>
      <c r="AI70" s="77">
        <v>0</v>
      </c>
      <c r="AJ70" s="77">
        <v>0</v>
      </c>
      <c r="AK70" s="77">
        <v>1</v>
      </c>
      <c r="AO70" s="4">
        <f t="shared" si="9"/>
        <v>5</v>
      </c>
      <c r="AQ70" s="4">
        <f t="shared" si="10"/>
        <v>5</v>
      </c>
      <c r="AS70" s="4">
        <f t="shared" si="11"/>
        <v>5</v>
      </c>
      <c r="AV70" s="4" t="str">
        <f t="shared" si="12"/>
        <v/>
      </c>
      <c r="AX70" s="4" t="str">
        <f t="shared" si="13"/>
        <v/>
      </c>
      <c r="AZ70" s="4" t="str">
        <f t="shared" si="14"/>
        <v/>
      </c>
    </row>
    <row r="71" spans="1:52" x14ac:dyDescent="0.2">
      <c r="A71" s="4" t="s">
        <v>545</v>
      </c>
      <c r="B71" s="4">
        <v>9</v>
      </c>
      <c r="C71" s="4" t="str">
        <f t="shared" si="0"/>
        <v>urn:immetingen:parameter:id:9</v>
      </c>
      <c r="D71" s="4" t="str">
        <f>IFERROR(IF(VLOOKUP($C71,'C'!$A$1:$N$1998,4,FALSE)=0,IF(VLOOKUP($C71,'C'!$A$1:$N$1998,7,FALSE)=0,VLOOKUP($C71,'C'!$A$1:$N$1998,10,FALSE),VLOOKUP($C71,'C'!$A$1:$N$1998,7,FALSE)),VLOOKUP($C71,'C'!$A$1:$N$1998,4,FALSE)),"")</f>
        <v/>
      </c>
      <c r="E71" s="4" t="str">
        <f>IFERROR(VLOOKUP($C71,'C'!$A$1:$N$1998,2,FALSE),"")</f>
        <v/>
      </c>
      <c r="F71" s="4" t="str">
        <f>IFERROR(IF(VLOOKUP($C71,'C'!$A$1:$N$1998,3,FALSE)=1,"&lt;",""),"")</f>
        <v/>
      </c>
      <c r="G71" s="4" t="str">
        <f>IFERROR(VLOOKUP($C71,'C'!$A$1:$N$1998,5,FALSE),"")</f>
        <v/>
      </c>
      <c r="H71" s="4" t="str">
        <f>IFERROR(IF(VLOOKUP($C71,'C'!$A$1:$N$1998,6,FALSE)=1,"&lt;",""),"")</f>
        <v/>
      </c>
      <c r="I71" s="4" t="str">
        <f>IFERROR(VLOOKUP($C71,'C'!$A$1:$N$1998,8,FALSE),"")</f>
        <v/>
      </c>
      <c r="J71" s="4" t="str">
        <f>IFERROR(IF(VLOOKUP($C71,'C'!$A$1:$N$1998,9,FALSE)=1,"&lt;",""),"")</f>
        <v/>
      </c>
      <c r="M71" s="4" t="str">
        <f t="shared" si="2"/>
        <v/>
      </c>
      <c r="N71" s="4" t="str">
        <f t="shared" si="4"/>
        <v/>
      </c>
      <c r="O71" s="4" t="str">
        <f t="shared" si="15"/>
        <v/>
      </c>
      <c r="P71" s="4" t="str">
        <f t="shared" si="4"/>
        <v/>
      </c>
      <c r="Q71" s="4" t="str">
        <f t="shared" si="16"/>
        <v/>
      </c>
      <c r="R71" s="4" t="str">
        <f t="shared" si="4"/>
        <v/>
      </c>
      <c r="V71" s="4">
        <f>IFERROR(IF(VLOOKUP(B71,E!$B$1:$AK$300,4,FALSE)=0,1000000,VLOOKUP(B71,E!$B$1:$AK$300,4,FALSE)),1000000)</f>
        <v>0.1</v>
      </c>
      <c r="Z71" s="81" t="str">
        <f t="shared" si="26"/>
        <v/>
      </c>
      <c r="AA71" s="81">
        <f t="shared" si="35"/>
        <v>1</v>
      </c>
      <c r="AC71" s="81" t="str">
        <f t="shared" si="27"/>
        <v/>
      </c>
      <c r="AD71" s="81">
        <f>IF(AND(H71="&lt;",AC71&lt;=BH71),0,1)</f>
        <v>1</v>
      </c>
      <c r="AF71" s="81" t="str">
        <f t="shared" si="28"/>
        <v/>
      </c>
      <c r="AG71" s="81">
        <f t="shared" si="36"/>
        <v>1</v>
      </c>
      <c r="AI71" s="77">
        <v>0</v>
      </c>
      <c r="AJ71" s="77">
        <v>0</v>
      </c>
      <c r="AK71" s="77">
        <v>1</v>
      </c>
      <c r="AO71" s="4">
        <f t="shared" si="9"/>
        <v>5</v>
      </c>
      <c r="AQ71" s="4">
        <f t="shared" si="10"/>
        <v>5</v>
      </c>
      <c r="AS71" s="4">
        <f t="shared" si="11"/>
        <v>5</v>
      </c>
      <c r="AV71" s="4" t="str">
        <f t="shared" si="12"/>
        <v/>
      </c>
      <c r="AX71" s="4" t="str">
        <f t="shared" si="13"/>
        <v/>
      </c>
      <c r="AZ71" s="4" t="str">
        <f t="shared" si="14"/>
        <v/>
      </c>
    </row>
    <row r="72" spans="1:52" x14ac:dyDescent="0.2">
      <c r="A72" s="4" t="s">
        <v>546</v>
      </c>
      <c r="B72" s="4">
        <v>520</v>
      </c>
      <c r="C72" s="4" t="str">
        <f t="shared" si="0"/>
        <v>urn:immetingen:parameter:id:520</v>
      </c>
      <c r="D72" s="4" t="str">
        <f>IFERROR(IF(VLOOKUP($C72,'C'!$A$1:$N$1998,4,FALSE)=0,IF(VLOOKUP($C72,'C'!$A$1:$N$1998,7,FALSE)=0,VLOOKUP($C72,'C'!$A$1:$N$1998,10,FALSE),VLOOKUP($C72,'C'!$A$1:$N$1998,7,FALSE)),VLOOKUP($C72,'C'!$A$1:$N$1998,4,FALSE)),"")</f>
        <v/>
      </c>
      <c r="E72" s="4" t="str">
        <f>IFERROR(VLOOKUP($C72,'C'!$A$1:$N$1998,2,FALSE),"")</f>
        <v/>
      </c>
      <c r="F72" s="4" t="str">
        <f>IFERROR(IF(VLOOKUP($C72,'C'!$A$1:$N$1998,3,FALSE)=1,"&lt;",""),"")</f>
        <v/>
      </c>
      <c r="G72" s="4" t="str">
        <f>IFERROR(VLOOKUP($C72,'C'!$A$1:$N$1998,5,FALSE),"")</f>
        <v/>
      </c>
      <c r="H72" s="4" t="str">
        <f>IFERROR(IF(VLOOKUP($C72,'C'!$A$1:$N$1998,6,FALSE)=1,"&lt;",""),"")</f>
        <v/>
      </c>
      <c r="I72" s="4" t="str">
        <f>IFERROR(VLOOKUP($C72,'C'!$A$1:$N$1998,8,FALSE),"")</f>
        <v/>
      </c>
      <c r="J72" s="4" t="str">
        <f>IFERROR(IF(VLOOKUP($C72,'C'!$A$1:$N$1998,9,FALSE)=1,"&lt;",""),"")</f>
        <v/>
      </c>
      <c r="M72" s="4" t="str">
        <f t="shared" si="2"/>
        <v/>
      </c>
      <c r="N72" s="4" t="str">
        <f t="shared" si="4"/>
        <v/>
      </c>
      <c r="O72" s="4" t="str">
        <f t="shared" si="15"/>
        <v/>
      </c>
      <c r="P72" s="4" t="str">
        <f t="shared" si="4"/>
        <v/>
      </c>
      <c r="Q72" s="4" t="str">
        <f t="shared" si="16"/>
        <v/>
      </c>
      <c r="R72" s="4" t="str">
        <f t="shared" si="4"/>
        <v/>
      </c>
      <c r="V72" s="4">
        <f>IFERROR(IF(VLOOKUP(B72,E!$B$1:$AK$300,4,FALSE)=0,1000000,VLOOKUP(B72,E!$B$1:$AK$300,4,FALSE)),1000000)</f>
        <v>1000000</v>
      </c>
      <c r="Z72" s="17" t="str">
        <f>IF(AA72=-1,IF(SUM(AA$72:AA$73)=-2,0,(0.7*M72)),AA72)</f>
        <v/>
      </c>
      <c r="AA72" s="17" t="str">
        <f>IF(N72="&lt;",IF((M72&lt;=$V72),-1,0.7*M72),M72)</f>
        <v/>
      </c>
      <c r="AC72" s="17" t="str">
        <f>IF(AD72=-1,IF(SUM(AD$72:AD$73)=-2,0,(0.7*O72)),AD72)</f>
        <v/>
      </c>
      <c r="AD72" s="17" t="str">
        <f>IF(O72="","",IF(AND(P72="&lt;",O72&lt;=$V72),-1,(IF(P72="&lt;",0.7*O72,O72))))</f>
        <v/>
      </c>
      <c r="AF72" s="17" t="str">
        <f>IF(AG72=-1,IF(SUM(AG$72:AG$73)=-2,0,(0.7*Q72)),AG72)</f>
        <v/>
      </c>
      <c r="AG72" s="17" t="str">
        <f>IF(Q72="","",IF(AND(R72="&lt;",Q72&lt;=$V72),-1,(IF(R72="&lt;",0.7*Q72,Q72))))</f>
        <v/>
      </c>
      <c r="AI72" s="77">
        <v>0</v>
      </c>
      <c r="AJ72" s="77">
        <v>0</v>
      </c>
      <c r="AK72" s="77">
        <v>1</v>
      </c>
      <c r="AO72" s="4">
        <f t="shared" si="9"/>
        <v>5</v>
      </c>
      <c r="AQ72" s="4">
        <f t="shared" si="10"/>
        <v>5</v>
      </c>
      <c r="AS72" s="4">
        <f t="shared" si="11"/>
        <v>5</v>
      </c>
      <c r="AV72" s="4" t="str">
        <f t="shared" si="12"/>
        <v/>
      </c>
      <c r="AX72" s="4" t="str">
        <f t="shared" si="13"/>
        <v/>
      </c>
      <c r="AZ72" s="4" t="str">
        <f t="shared" si="14"/>
        <v/>
      </c>
    </row>
    <row r="73" spans="1:52" x14ac:dyDescent="0.2">
      <c r="A73" s="4" t="s">
        <v>547</v>
      </c>
      <c r="B73" s="4">
        <v>1578</v>
      </c>
      <c r="C73" s="4" t="str">
        <f t="shared" si="0"/>
        <v>urn:immetingen:parameter:id:1578</v>
      </c>
      <c r="D73" s="4" t="str">
        <f>IFERROR(IF(VLOOKUP($C73,'C'!$A$1:$N$1998,4,FALSE)=0,IF(VLOOKUP($C73,'C'!$A$1:$N$1998,7,FALSE)=0,VLOOKUP($C73,'C'!$A$1:$N$1998,10,FALSE),VLOOKUP($C73,'C'!$A$1:$N$1998,7,FALSE)),VLOOKUP($C73,'C'!$A$1:$N$1998,4,FALSE)),"")</f>
        <v/>
      </c>
      <c r="E73" s="4" t="str">
        <f>IFERROR(VLOOKUP($C73,'C'!$A$1:$N$1998,2,FALSE),"")</f>
        <v/>
      </c>
      <c r="F73" s="4" t="str">
        <f>IFERROR(IF(VLOOKUP($C73,'C'!$A$1:$N$1998,3,FALSE)=1,"&lt;",""),"")</f>
        <v/>
      </c>
      <c r="G73" s="4" t="str">
        <f>IFERROR(VLOOKUP($C73,'C'!$A$1:$N$1998,5,FALSE),"")</f>
        <v/>
      </c>
      <c r="H73" s="4" t="str">
        <f>IFERROR(IF(VLOOKUP($C73,'C'!$A$1:$N$1998,6,FALSE)=1,"&lt;",""),"")</f>
        <v/>
      </c>
      <c r="I73" s="4" t="str">
        <f>IFERROR(VLOOKUP($C73,'C'!$A$1:$N$1998,8,FALSE),"")</f>
        <v/>
      </c>
      <c r="J73" s="4" t="str">
        <f>IFERROR(IF(VLOOKUP($C73,'C'!$A$1:$N$1998,9,FALSE)=1,"&lt;",""),"")</f>
        <v/>
      </c>
      <c r="M73" s="4" t="str">
        <f t="shared" si="2"/>
        <v/>
      </c>
      <c r="N73" s="4" t="str">
        <f t="shared" si="4"/>
        <v/>
      </c>
      <c r="O73" s="4" t="str">
        <f t="shared" si="15"/>
        <v/>
      </c>
      <c r="P73" s="4" t="str">
        <f t="shared" si="4"/>
        <v/>
      </c>
      <c r="Q73" s="4" t="str">
        <f t="shared" si="16"/>
        <v/>
      </c>
      <c r="R73" s="4" t="str">
        <f t="shared" si="4"/>
        <v/>
      </c>
      <c r="V73" s="4">
        <f>IFERROR(IF(VLOOKUP(B73,E!$B$1:$AK$300,4,FALSE)=0,1000000,VLOOKUP(B73,E!$B$1:$AK$300,4,FALSE)),1000000)</f>
        <v>1000000</v>
      </c>
      <c r="Z73" s="17" t="str">
        <f>IF(AA73=-1,IF(SUM(AA$72:AA$73)=-2,0,(0.7*M73)),AA73)</f>
        <v/>
      </c>
      <c r="AA73" s="17" t="str">
        <f>IF(N73="&lt;",IF((M73&lt;=$V73),-1,0.7*M73),M73)</f>
        <v/>
      </c>
      <c r="AC73" s="17" t="str">
        <f>IF(AD73=-1,IF(SUM(AD$72:AD$73)=-2,0,(0.7*O73)),AD73)</f>
        <v/>
      </c>
      <c r="AD73" s="17" t="str">
        <f>IF(O73="","",IF(AND(P73="&lt;",O73&lt;=$V73),-1,(IF(P73="&lt;",0.7*O73,O73))))</f>
        <v/>
      </c>
      <c r="AF73" s="17" t="str">
        <f>IF(AG73=-1,IF(SUM(AG$72:AG$73)=-2,0,(0.7*Q73)),AG73)</f>
        <v/>
      </c>
      <c r="AG73" s="17" t="str">
        <f>IF(Q73="","",IF(AND(R73="&lt;",Q73&lt;=$V73),-1,(IF(R73="&lt;",0.7*Q73,Q73))))</f>
        <v/>
      </c>
      <c r="AI73" s="77">
        <v>0</v>
      </c>
      <c r="AJ73" s="77">
        <v>0</v>
      </c>
      <c r="AK73" s="77">
        <v>1</v>
      </c>
      <c r="AO73" s="4">
        <f t="shared" si="9"/>
        <v>5</v>
      </c>
      <c r="AQ73" s="4">
        <f t="shared" si="10"/>
        <v>5</v>
      </c>
      <c r="AS73" s="4">
        <f t="shared" si="11"/>
        <v>5</v>
      </c>
      <c r="AV73" s="4" t="str">
        <f t="shared" si="12"/>
        <v/>
      </c>
      <c r="AX73" s="4" t="str">
        <f t="shared" si="13"/>
        <v/>
      </c>
      <c r="AZ73" s="4" t="str">
        <f t="shared" si="14"/>
        <v/>
      </c>
    </row>
    <row r="74" spans="1:52" x14ac:dyDescent="0.2">
      <c r="A74" s="4" t="s">
        <v>548</v>
      </c>
      <c r="B74" s="4">
        <v>519</v>
      </c>
      <c r="C74" s="4" t="str">
        <f t="shared" si="0"/>
        <v>urn:immetingen:parameter:id:519</v>
      </c>
      <c r="D74" s="17" t="str">
        <f>D72</f>
        <v/>
      </c>
      <c r="E74" s="17" t="str">
        <f>IFERROR(IF($D74=131,IF(AND(F72="&lt;",F73="&lt;"),SUM(E72:E73),AA74*1000),IF(AND(F72="&lt;",F73="&lt;"),SUM(E72:E73),AA74)),"")</f>
        <v/>
      </c>
      <c r="F74" s="17" t="str">
        <f>IF(AND(F72="&lt;",F73="&lt;"),"&lt;","")</f>
        <v/>
      </c>
      <c r="G74" s="17" t="str">
        <f>IFERROR(IF($D74=131,IF(AND(H72="&lt;",H73="&lt;"),SUM(G72:G73),AD74*1000),IF(AND(H72="&lt;",H73="&lt;"),SUM(G72:G73),AD74)),"")</f>
        <v/>
      </c>
      <c r="H74" s="17" t="str">
        <f>IF(AND(H72="&lt;",H73="&lt;"),"&lt;","")</f>
        <v/>
      </c>
      <c r="I74" s="17" t="str">
        <f>IFERROR(IF($D74=131,IF(AND(J72="&lt;",J73="&lt;"),SUM(I72:I73),AG74*1000),IF(AND(J72="&lt;",J73="&lt;"),SUM(I72:I73),AG74)),"")</f>
        <v/>
      </c>
      <c r="J74" s="17" t="str">
        <f>IFERROR(IF(AND(J72="&lt;",J73="&lt;"),"&lt;",""),"")</f>
        <v/>
      </c>
      <c r="M74" s="4" t="str">
        <f t="shared" si="2"/>
        <v/>
      </c>
      <c r="N74" s="4" t="str">
        <f t="shared" si="4"/>
        <v/>
      </c>
      <c r="O74" s="4" t="str">
        <f t="shared" si="15"/>
        <v/>
      </c>
      <c r="P74" s="4" t="str">
        <f t="shared" si="4"/>
        <v/>
      </c>
      <c r="Q74" s="4" t="str">
        <f t="shared" si="16"/>
        <v/>
      </c>
      <c r="R74" s="4" t="str">
        <f t="shared" si="4"/>
        <v/>
      </c>
      <c r="V74" s="4">
        <f>IFERROR(IF(VLOOKUP(B74,E!$B$1:$AK$300,4,FALSE)=0,1000000,VLOOKUP(B74,E!$B$1:$AK$300,4,FALSE)),1000000)</f>
        <v>0.2</v>
      </c>
      <c r="Z74" s="17">
        <f>SUM(Z72:Z73)</f>
        <v>0</v>
      </c>
      <c r="AA74" s="64" t="str">
        <f>IF(M72="","",IF(Z74=0,SUM(M72:M73),Z74))</f>
        <v/>
      </c>
      <c r="AC74" s="17">
        <f>SUM(AC72:AC73)</f>
        <v>0</v>
      </c>
      <c r="AD74" s="64" t="str">
        <f>IF(O72="","",IF(AC74=0,SUM(O72:O73),AC74))</f>
        <v/>
      </c>
      <c r="AF74" s="17">
        <f>SUM(AF72:AF73)</f>
        <v>0</v>
      </c>
      <c r="AG74" s="64" t="str">
        <f>IF(Q72="","",IF(AF74=0,SUM(Q72:Q73),AF74))</f>
        <v/>
      </c>
      <c r="AI74" s="77">
        <v>0</v>
      </c>
      <c r="AJ74" s="77">
        <v>0</v>
      </c>
      <c r="AK74" s="77">
        <v>1</v>
      </c>
      <c r="AO74" s="4">
        <f t="shared" si="9"/>
        <v>5</v>
      </c>
      <c r="AQ74" s="4">
        <f t="shared" si="10"/>
        <v>5</v>
      </c>
      <c r="AS74" s="4">
        <f t="shared" si="11"/>
        <v>5</v>
      </c>
      <c r="AV74" s="4" t="str">
        <f t="shared" si="12"/>
        <v/>
      </c>
      <c r="AX74" s="4" t="str">
        <f t="shared" si="13"/>
        <v/>
      </c>
      <c r="AZ74" s="4" t="str">
        <f t="shared" si="14"/>
        <v/>
      </c>
    </row>
    <row r="75" spans="1:52" x14ac:dyDescent="0.2">
      <c r="A75" s="4" t="s">
        <v>549</v>
      </c>
      <c r="B75" s="4">
        <v>10</v>
      </c>
      <c r="C75" s="4" t="str">
        <f t="shared" si="0"/>
        <v>urn:immetingen:parameter:id:10</v>
      </c>
      <c r="D75" s="4" t="str">
        <f>IFERROR(IF(VLOOKUP($C75,'C'!$A$1:$N$1998,4,FALSE)=0,IF(VLOOKUP($C75,'C'!$A$1:$N$1998,7,FALSE)=0,VLOOKUP($C75,'C'!$A$1:$N$1998,10,FALSE),VLOOKUP($C75,'C'!$A$1:$N$1998,7,FALSE)),VLOOKUP($C75,'C'!$A$1:$N$1998,4,FALSE)),"")</f>
        <v/>
      </c>
      <c r="E75" s="4" t="str">
        <f>IFERROR(VLOOKUP($C75,'C'!$A$1:$N$1998,2,FALSE),"")</f>
        <v/>
      </c>
      <c r="F75" s="4" t="str">
        <f>IFERROR(IF(VLOOKUP($C75,'C'!$A$1:$N$1998,3,FALSE)=1,"&lt;",""),"")</f>
        <v/>
      </c>
      <c r="G75" s="4" t="str">
        <f>IFERROR(VLOOKUP($C75,'C'!$A$1:$N$1998,5,FALSE),"")</f>
        <v/>
      </c>
      <c r="H75" s="4" t="str">
        <f>IFERROR(IF(VLOOKUP($C75,'C'!$A$1:$N$1998,6,FALSE)=1,"&lt;",""),"")</f>
        <v/>
      </c>
      <c r="I75" s="4" t="str">
        <f>IFERROR(VLOOKUP($C75,'C'!$A$1:$N$1998,8,FALSE),"")</f>
        <v/>
      </c>
      <c r="J75" s="4" t="str">
        <f>IFERROR(IF(VLOOKUP($C75,'C'!$A$1:$N$1998,9,FALSE)=1,"&lt;",""),"")</f>
        <v/>
      </c>
      <c r="M75" s="4" t="str">
        <f t="shared" si="2"/>
        <v/>
      </c>
      <c r="N75" s="4" t="str">
        <f t="shared" si="4"/>
        <v/>
      </c>
      <c r="O75" s="4" t="str">
        <f t="shared" si="15"/>
        <v/>
      </c>
      <c r="P75" s="4" t="str">
        <f t="shared" si="4"/>
        <v/>
      </c>
      <c r="Q75" s="4" t="str">
        <f t="shared" si="16"/>
        <v/>
      </c>
      <c r="R75" s="4" t="str">
        <f t="shared" si="4"/>
        <v/>
      </c>
      <c r="V75" s="4">
        <f>IFERROR(IF(VLOOKUP(B75,E!$B$1:$AK$300,4,FALSE)=0,1000000,VLOOKUP(B75,E!$B$1:$AK$300,4,FALSE)),1000000)</f>
        <v>1000000</v>
      </c>
      <c r="Z75" s="17" t="str">
        <f>IF(AA75=-1,IF(SUM(AA$75:AA$77)=-3,0,(0.7*M75)),AA75)</f>
        <v/>
      </c>
      <c r="AA75" s="17" t="str">
        <f>IF(M75="","",IF(AND(N75="&lt;",M75&lt;=V75),-1,(IF(N75="&lt;",0.7*M75,M75))))</f>
        <v/>
      </c>
      <c r="AC75" s="17" t="str">
        <f>IF(AD75=-1,IF(SUM(AD$75:AD$77)=-2,0,(0.7*O75)),AD75)</f>
        <v/>
      </c>
      <c r="AD75" s="17" t="str">
        <f>IF(O75="","",IF(AND(P75="&lt;",O75&lt;=$V75),-1,(IF(P75="&lt;",0.7*O75,O75))))</f>
        <v/>
      </c>
      <c r="AF75" s="17" t="str">
        <f>IF(AG75=-1,IF(SUM(AG$75:AG$77)=-2,0,(0.7*Q75)),AG75)</f>
        <v/>
      </c>
      <c r="AG75" s="17" t="str">
        <f>IF(Q75="","",IF(AND(R75="&lt;",Q75&lt;=$V75),-1,(IF(R75="&lt;",0.7*Q75,Q75))))</f>
        <v/>
      </c>
      <c r="AI75" s="77">
        <v>0</v>
      </c>
      <c r="AJ75" s="77">
        <v>0</v>
      </c>
      <c r="AK75" s="77">
        <v>1</v>
      </c>
      <c r="AO75" s="4">
        <f t="shared" si="9"/>
        <v>5</v>
      </c>
      <c r="AQ75" s="4">
        <f t="shared" si="10"/>
        <v>5</v>
      </c>
      <c r="AS75" s="4">
        <f t="shared" si="11"/>
        <v>5</v>
      </c>
      <c r="AV75" s="4" t="str">
        <f t="shared" si="12"/>
        <v/>
      </c>
      <c r="AX75" s="4" t="str">
        <f t="shared" si="13"/>
        <v/>
      </c>
      <c r="AZ75" s="4" t="str">
        <f t="shared" si="14"/>
        <v/>
      </c>
    </row>
    <row r="76" spans="1:52" x14ac:dyDescent="0.2">
      <c r="A76" s="4" t="s">
        <v>550</v>
      </c>
      <c r="B76" s="4">
        <v>38</v>
      </c>
      <c r="C76" s="4" t="str">
        <f t="shared" si="0"/>
        <v>urn:immetingen:parameter:id:38</v>
      </c>
      <c r="D76" s="4" t="str">
        <f>IFERROR(IF(VLOOKUP($C76,'C'!$A$1:$N$1998,4,FALSE)=0,IF(VLOOKUP($C76,'C'!$A$1:$N$1998,7,FALSE)=0,VLOOKUP($C76,'C'!$A$1:$N$1998,10,FALSE),VLOOKUP($C76,'C'!$A$1:$N$1998,7,FALSE)),VLOOKUP($C76,'C'!$A$1:$N$1998,4,FALSE)),"")</f>
        <v/>
      </c>
      <c r="E76" s="4" t="str">
        <f>IFERROR(VLOOKUP($C76,'C'!$A$1:$N$1998,2,FALSE),"")</f>
        <v/>
      </c>
      <c r="F76" s="4" t="str">
        <f>IFERROR(IF(VLOOKUP($C76,'C'!$A$1:$N$1998,3,FALSE)=1,"&lt;",""),"")</f>
        <v/>
      </c>
      <c r="G76" s="4" t="str">
        <f>IFERROR(VLOOKUP($C76,'C'!$A$1:$N$1998,5,FALSE),"")</f>
        <v/>
      </c>
      <c r="H76" s="4" t="str">
        <f>IFERROR(IF(VLOOKUP($C76,'C'!$A$1:$N$1998,6,FALSE)=1,"&lt;",""),"")</f>
        <v/>
      </c>
      <c r="I76" s="4" t="str">
        <f>IFERROR(VLOOKUP($C76,'C'!$A$1:$N$1998,8,FALSE),"")</f>
        <v/>
      </c>
      <c r="J76" s="4" t="str">
        <f>IFERROR(IF(VLOOKUP($C76,'C'!$A$1:$N$1998,9,FALSE)=1,"&lt;",""),"")</f>
        <v/>
      </c>
      <c r="M76" s="4" t="str">
        <f t="shared" ref="M76:Q157" si="37">IF(E76="","",IF($D76=131,E76/1000,E76))</f>
        <v/>
      </c>
      <c r="N76" s="4" t="str">
        <f t="shared" si="4"/>
        <v/>
      </c>
      <c r="O76" s="4" t="str">
        <f t="shared" si="15"/>
        <v/>
      </c>
      <c r="P76" s="4" t="str">
        <f t="shared" si="4"/>
        <v/>
      </c>
      <c r="Q76" s="4" t="str">
        <f t="shared" si="16"/>
        <v/>
      </c>
      <c r="R76" s="4" t="str">
        <f t="shared" si="4"/>
        <v/>
      </c>
      <c r="V76" s="4">
        <f>IFERROR(IF(VLOOKUP(B76,E!$B$1:$AK$300,4,FALSE)=0,1000000,VLOOKUP(B76,E!$B$1:$AK$300,4,FALSE)),1000000)</f>
        <v>1000000</v>
      </c>
      <c r="Z76" s="17" t="str">
        <f t="shared" ref="Z76:Z77" si="38">IF(AA76=-1,IF(SUM(AA$75:AA$77)=-3,0,(0.7*M76)),AA76)</f>
        <v/>
      </c>
      <c r="AA76" s="17" t="str">
        <f t="shared" ref="AA76:AA77" si="39">IF(M76="","",IF(AND(N76="&lt;",M76&lt;=V76),-1,(IF(N76="&lt;",0.7*M76,M76))))</f>
        <v/>
      </c>
      <c r="AC76" s="17" t="str">
        <f>IF(AD76=-1,IF(SUM(AD$75:AD$77)=-3,0,(0.7*O76)),AD76)</f>
        <v/>
      </c>
      <c r="AD76" s="17" t="str">
        <f t="shared" ref="AD76:AD77" si="40">IF(O76="","",IF(AND(P76="&lt;",O76&lt;=$V76),-1,(IF(P76="&lt;",0.7*O76,O76))))</f>
        <v/>
      </c>
      <c r="AF76" s="17" t="str">
        <f t="shared" ref="AF76:AF77" si="41">IF(AG76=-1,IF(SUM(AG$75:AG$77)=-2,0,(0.7*Q76)),AG76)</f>
        <v/>
      </c>
      <c r="AG76" s="17" t="str">
        <f t="shared" ref="AG76:AG77" si="42">IF(Q76="","",IF(AND(R76="&lt;",Q76&lt;=$V76),-1,(IF(R76="&lt;",0.7*Q76,Q76))))</f>
        <v/>
      </c>
      <c r="AI76" s="77">
        <v>0</v>
      </c>
      <c r="AJ76" s="77">
        <v>0</v>
      </c>
      <c r="AK76" s="77">
        <v>1</v>
      </c>
      <c r="AO76" s="4">
        <f t="shared" si="9"/>
        <v>5</v>
      </c>
      <c r="AQ76" s="4">
        <f t="shared" si="10"/>
        <v>5</v>
      </c>
      <c r="AS76" s="4">
        <f t="shared" si="11"/>
        <v>5</v>
      </c>
      <c r="AV76" s="4" t="str">
        <f t="shared" si="12"/>
        <v/>
      </c>
      <c r="AX76" s="4" t="str">
        <f t="shared" si="13"/>
        <v/>
      </c>
      <c r="AZ76" s="4" t="str">
        <f t="shared" si="14"/>
        <v/>
      </c>
    </row>
    <row r="77" spans="1:52" x14ac:dyDescent="0.2">
      <c r="A77" s="4" t="s">
        <v>551</v>
      </c>
      <c r="B77" s="4">
        <v>48</v>
      </c>
      <c r="C77" s="4" t="str">
        <f t="shared" si="0"/>
        <v>urn:immetingen:parameter:id:48</v>
      </c>
      <c r="D77" s="4" t="str">
        <f>IFERROR(IF(VLOOKUP($C77,'C'!$A$1:$N$1998,4,FALSE)=0,IF(VLOOKUP($C77,'C'!$A$1:$N$1998,7,FALSE)=0,VLOOKUP($C77,'C'!$A$1:$N$1998,10,FALSE),VLOOKUP($C77,'C'!$A$1:$N$1998,7,FALSE)),VLOOKUP($C77,'C'!$A$1:$N$1998,4,FALSE)),"")</f>
        <v/>
      </c>
      <c r="E77" s="4" t="str">
        <f>IFERROR(VLOOKUP($C77,'C'!$A$1:$N$1998,2,FALSE),"")</f>
        <v/>
      </c>
      <c r="F77" s="4" t="str">
        <f>IFERROR(IF(VLOOKUP($C77,'C'!$A$1:$N$1998,3,FALSE)=1,"&lt;",""),"")</f>
        <v/>
      </c>
      <c r="G77" s="4" t="str">
        <f>IFERROR(VLOOKUP($C77,'C'!$A$1:$N$1998,5,FALSE),"")</f>
        <v/>
      </c>
      <c r="H77" s="4" t="str">
        <f>IFERROR(IF(VLOOKUP($C77,'C'!$A$1:$N$1998,6,FALSE)=1,"&lt;",""),"")</f>
        <v/>
      </c>
      <c r="I77" s="4" t="str">
        <f>IFERROR(VLOOKUP($C77,'C'!$A$1:$N$1998,8,FALSE),"")</f>
        <v/>
      </c>
      <c r="J77" s="4" t="str">
        <f>IFERROR(IF(VLOOKUP($C77,'C'!$A$1:$N$1998,9,FALSE)=1,"&lt;",""),"")</f>
        <v/>
      </c>
      <c r="M77" s="4" t="str">
        <f t="shared" si="37"/>
        <v/>
      </c>
      <c r="N77" s="4" t="str">
        <f t="shared" ref="N77:N158" si="43">IF(F77="","",F77)</f>
        <v/>
      </c>
      <c r="O77" s="4" t="str">
        <f t="shared" si="15"/>
        <v/>
      </c>
      <c r="P77" s="4" t="str">
        <f t="shared" ref="P77:P158" si="44">IF(H77="","",H77)</f>
        <v/>
      </c>
      <c r="Q77" s="4" t="str">
        <f t="shared" si="16"/>
        <v/>
      </c>
      <c r="R77" s="4" t="str">
        <f t="shared" ref="R77:R158" si="45">IF(J77="","",J77)</f>
        <v/>
      </c>
      <c r="V77" s="4">
        <f>IFERROR(IF(VLOOKUP(B77,E!$B$1:$AK$300,4,FALSE)=0,1000000,VLOOKUP(B77,E!$B$1:$AK$300,4,FALSE)),1000000)</f>
        <v>1000000</v>
      </c>
      <c r="Z77" s="17" t="str">
        <f t="shared" si="38"/>
        <v/>
      </c>
      <c r="AA77" s="17" t="str">
        <f t="shared" si="39"/>
        <v/>
      </c>
      <c r="AC77" s="17" t="str">
        <f>IF(AD77=-1,IF(SUM(AD$75:AD$77)=-3,0,(0.7*O77)),AD77)</f>
        <v/>
      </c>
      <c r="AD77" s="17" t="str">
        <f t="shared" si="40"/>
        <v/>
      </c>
      <c r="AF77" s="17" t="str">
        <f t="shared" si="41"/>
        <v/>
      </c>
      <c r="AG77" s="17" t="str">
        <f t="shared" si="42"/>
        <v/>
      </c>
      <c r="AI77" s="77">
        <v>0</v>
      </c>
      <c r="AJ77" s="77">
        <v>0</v>
      </c>
      <c r="AK77" s="77">
        <v>1</v>
      </c>
      <c r="AO77" s="4">
        <f t="shared" ref="AO77:AO158" si="46">($AI77+($AJ77*25)+($AK77*10))/($AI77+($AJ77*AO$7)+($AK77*AO$6))</f>
        <v>5</v>
      </c>
      <c r="AQ77" s="4">
        <f t="shared" ref="AQ77:AQ158" si="47">($AI77+($AJ77*25)+($AK77*10))/($AI77+($AJ77*AQ$7)+($AK77*AQ$6))</f>
        <v>5</v>
      </c>
      <c r="AS77" s="4">
        <f t="shared" ref="AS77:AS158" si="48">($AI77+($AJ77*25)+($AK77*10))/($AI77+($AJ77*AS$7)+($AK77*AS$6))</f>
        <v>5</v>
      </c>
      <c r="AV77" s="4" t="str">
        <f t="shared" ref="AV77:AV140" si="49">IFERROR(IF(F77="&lt;",0.7*M77*AO77,M77*AO77),"")</f>
        <v/>
      </c>
      <c r="AX77" s="4" t="str">
        <f t="shared" ref="AX77:AX140" si="50">IFERROR(IF(H77="&lt;",0.7*O77*AQ77,O77*AQ77),"")</f>
        <v/>
      </c>
      <c r="AZ77" s="4" t="str">
        <f t="shared" ref="AZ77:AZ140" si="51">IFERROR(IF(J77="&lt;",0.7*Q77*AS77,Q77*AS77),"")</f>
        <v/>
      </c>
    </row>
    <row r="78" spans="1:52" x14ac:dyDescent="0.2">
      <c r="A78" s="4" t="s">
        <v>613</v>
      </c>
      <c r="B78" s="4">
        <v>1729</v>
      </c>
      <c r="C78" s="4" t="str">
        <f t="shared" si="0"/>
        <v>urn:immetingen:parameter:id:1729</v>
      </c>
      <c r="D78" s="4" t="str">
        <f>IFERROR(IF(VLOOKUP($C78,'C'!$A$1:$N$1998,4,FALSE)=0,IF(VLOOKUP($C78,'C'!$A$1:$N$1998,7,FALSE)=0,VLOOKUP($C78,'C'!$A$1:$N$1998,10,FALSE),VLOOKUP($C78,'C'!$A$1:$N$1998,7,FALSE)),VLOOKUP($C78,'C'!$A$1:$N$1998,4,FALSE)),"")</f>
        <v/>
      </c>
      <c r="E78" s="4" t="str">
        <f>IFERROR(VLOOKUP($C78,'C'!$A$1:$N$1998,2,FALSE),"")</f>
        <v/>
      </c>
      <c r="F78" s="4" t="str">
        <f>IFERROR(IF(VLOOKUP($C78,'C'!$A$1:$N$1998,3,FALSE)=1,"&lt;",""),"")</f>
        <v/>
      </c>
      <c r="G78" s="4" t="str">
        <f>IFERROR(VLOOKUP($C78,'C'!$A$1:$N$1998,5,FALSE),"")</f>
        <v/>
      </c>
      <c r="H78" s="4" t="str">
        <f>IFERROR(IF(VLOOKUP($C78,'C'!$A$1:$N$1998,6,FALSE)=1,"&lt;",""),"")</f>
        <v/>
      </c>
      <c r="I78" s="4" t="str">
        <f>IFERROR(VLOOKUP($C78,'C'!$A$1:$N$1998,8,FALSE),"")</f>
        <v/>
      </c>
      <c r="J78" s="4" t="str">
        <f>IFERROR(IF(VLOOKUP($C78,'C'!$A$1:$N$1998,9,FALSE)=1,"&lt;",""),"")</f>
        <v/>
      </c>
      <c r="M78" s="4" t="str">
        <f t="shared" si="37"/>
        <v/>
      </c>
      <c r="N78" s="4" t="str">
        <f t="shared" si="43"/>
        <v/>
      </c>
      <c r="O78" s="4" t="str">
        <f t="shared" si="15"/>
        <v/>
      </c>
      <c r="P78" s="4" t="str">
        <f t="shared" si="44"/>
        <v/>
      </c>
      <c r="Q78" s="4" t="str">
        <f t="shared" si="16"/>
        <v/>
      </c>
      <c r="R78" s="4" t="str">
        <f t="shared" si="45"/>
        <v/>
      </c>
      <c r="V78" s="4">
        <f>IFERROR(IF(VLOOKUP(B78,E!$B$1:$AK$300,4,FALSE)=0,1000000,VLOOKUP(B78,E!$B$1:$AK$300,4,FALSE)),1000000)</f>
        <v>1000000</v>
      </c>
      <c r="Z78" s="4" t="str">
        <f t="shared" ref="Z78:Z108" si="52">IF(M78="","",IF(AND(N78="&lt;",M78&lt;=$V78),-1,(IF(N78="&lt;",0.7*M78,M78))))</f>
        <v/>
      </c>
      <c r="AC78" s="4" t="str">
        <f t="shared" ref="AC78" si="53">IF(O78="","",IF(AND(P78="&lt;",O78&lt;=$V78),-1,(IF(P78="&lt;",0.7*O78,O78))))</f>
        <v/>
      </c>
      <c r="AF78" s="4" t="str">
        <f t="shared" ref="AF78" si="54">IF(Q78="","",IF(AND(R78="&lt;",Q78&lt;=$V78),-1,(IF(R78="&lt;",0.7*Q78,Q78))))</f>
        <v/>
      </c>
      <c r="AI78" s="77">
        <v>0</v>
      </c>
      <c r="AJ78" s="77">
        <v>0</v>
      </c>
      <c r="AK78" s="77">
        <v>1</v>
      </c>
      <c r="AO78" s="4">
        <f t="shared" si="46"/>
        <v>5</v>
      </c>
      <c r="AQ78" s="4">
        <f t="shared" si="47"/>
        <v>5</v>
      </c>
      <c r="AS78" s="4">
        <f t="shared" si="48"/>
        <v>5</v>
      </c>
      <c r="AV78" s="4" t="str">
        <f t="shared" si="49"/>
        <v/>
      </c>
      <c r="AX78" s="4" t="str">
        <f t="shared" si="50"/>
        <v/>
      </c>
      <c r="AZ78" s="4" t="str">
        <f t="shared" si="51"/>
        <v/>
      </c>
    </row>
    <row r="79" spans="1:52" x14ac:dyDescent="0.2">
      <c r="A79" s="4" t="s">
        <v>927</v>
      </c>
      <c r="B79" s="4">
        <v>4935</v>
      </c>
      <c r="C79" s="4" t="str">
        <f t="shared" si="0"/>
        <v>urn:immetingen:parameter:id:4935</v>
      </c>
      <c r="D79" s="17" t="str">
        <f>D77</f>
        <v/>
      </c>
      <c r="E79" s="17" t="str">
        <f>IFERROR(IF($D79=131,IF(AND(F75="&lt;",F76="&lt;",F77="&lt;"),SUM(E75:E77),AA79*1000),IF(AND(F75="&lt;",F76="&lt;",F77="&lt;"),SUM(E75:E77),AA79)),"")</f>
        <v/>
      </c>
      <c r="F79" s="17" t="str">
        <f>IFERROR(IF(AND(F75="&lt;",57="&lt;",F77="&lt;"),"&lt;",""),"")</f>
        <v/>
      </c>
      <c r="G79" s="17" t="str">
        <f>IFERROR(IF($D79=131,IF(AND(H75="&lt;",H76="&lt;",H77="&lt;"),SUM(G75:G77),AD79*1000),IF(AND(H75="&lt;",H76="&lt;",H77="&lt;"),SUM(G75:G77),AD79)),"")</f>
        <v/>
      </c>
      <c r="H79" s="17" t="str">
        <f>IFERROR(IF(AND(H75="&lt;",57="&lt;",H77="&lt;"),"&lt;",""),"")</f>
        <v/>
      </c>
      <c r="I79" s="17" t="str">
        <f>IFERROR(IF($D79=131,IF(AND(J75="&lt;",J76="&lt;",J77="&lt;"),SUM(I75:I77),AG79*1000),IF(AND(J75="&lt;",J76="&lt;",J77="&lt;"),SUM(I75:I77),AG79)),"")</f>
        <v/>
      </c>
      <c r="J79" s="17" t="str">
        <f>IFERROR(IF(AND(J75="&lt;",57="&lt;",J77="&lt;"),"&lt;",""),"")</f>
        <v/>
      </c>
      <c r="M79" s="4" t="str">
        <f t="shared" si="37"/>
        <v/>
      </c>
      <c r="N79" s="4" t="str">
        <f t="shared" si="43"/>
        <v/>
      </c>
      <c r="O79" s="4" t="str">
        <f t="shared" si="15"/>
        <v/>
      </c>
      <c r="P79" s="4" t="str">
        <f t="shared" si="44"/>
        <v/>
      </c>
      <c r="Q79" s="4" t="str">
        <f t="shared" si="16"/>
        <v/>
      </c>
      <c r="R79" s="4" t="str">
        <f t="shared" si="45"/>
        <v/>
      </c>
      <c r="V79" s="4">
        <f>IFERROR(IF(VLOOKUP(B79,E!$B$1:$AK$300,4,FALSE)=0,1000000,VLOOKUP(B79,E!$B$1:$AK$300,4,FALSE)),1000000)</f>
        <v>0.15</v>
      </c>
      <c r="Z79" s="17">
        <f>SUM(Z75:Z77)</f>
        <v>0</v>
      </c>
      <c r="AA79" s="64" t="str">
        <f>IF(M75="","",IF(Z79=0,SUM(M75:M77),Z79))</f>
        <v/>
      </c>
      <c r="AC79" s="17">
        <f>SUM(AC75:AC77)</f>
        <v>0</v>
      </c>
      <c r="AD79" s="64" t="str">
        <f>IF(O75="","",IF(AC79=0,SUM(O75:O77),AC79))</f>
        <v/>
      </c>
      <c r="AF79" s="17">
        <f>SUM(AF75:AF77)</f>
        <v>0</v>
      </c>
      <c r="AG79" s="64" t="str">
        <f>IF(Q75="","",IF(AF79=0,SUM(Q75:Q77),AF79))</f>
        <v/>
      </c>
      <c r="AI79" s="77">
        <v>0</v>
      </c>
      <c r="AJ79" s="77">
        <v>0</v>
      </c>
      <c r="AK79" s="77">
        <v>1</v>
      </c>
      <c r="AO79" s="4">
        <f t="shared" si="46"/>
        <v>5</v>
      </c>
      <c r="AQ79" s="4">
        <f t="shared" si="47"/>
        <v>5</v>
      </c>
      <c r="AS79" s="4">
        <f t="shared" si="48"/>
        <v>5</v>
      </c>
      <c r="AV79" s="4" t="str">
        <f t="shared" si="49"/>
        <v/>
      </c>
      <c r="AX79" s="4" t="str">
        <f t="shared" si="50"/>
        <v/>
      </c>
      <c r="AZ79" s="4" t="str">
        <f t="shared" si="51"/>
        <v/>
      </c>
    </row>
    <row r="80" spans="1:52" x14ac:dyDescent="0.2">
      <c r="A80" s="4" t="s">
        <v>612</v>
      </c>
      <c r="B80" s="4">
        <v>27</v>
      </c>
      <c r="C80" s="4" t="str">
        <f t="shared" si="0"/>
        <v>urn:immetingen:parameter:id:27</v>
      </c>
      <c r="D80" s="4" t="str">
        <f>IFERROR(IF(VLOOKUP($C80,'C'!$A$1:$N$1998,4,FALSE)=0,IF(VLOOKUP($C80,'C'!$A$1:$N$1998,7,FALSE)=0,VLOOKUP($C80,'C'!$A$1:$N$1998,10,FALSE),VLOOKUP($C80,'C'!$A$1:$N$1998,7,FALSE)),VLOOKUP($C80,'C'!$A$1:$N$1998,4,FALSE)),"")</f>
        <v/>
      </c>
      <c r="E80" s="4" t="str">
        <f>IFERROR(VLOOKUP($C80,'C'!$A$1:$N$1998,2,FALSE),"")</f>
        <v/>
      </c>
      <c r="F80" s="4" t="str">
        <f>IFERROR(IF(VLOOKUP($C80,'C'!$A$1:$N$1998,3,FALSE)=1,"&lt;",""),"")</f>
        <v/>
      </c>
      <c r="G80" s="4" t="str">
        <f>IFERROR(VLOOKUP($C80,'C'!$A$1:$N$1998,5,FALSE),"")</f>
        <v/>
      </c>
      <c r="H80" s="4" t="str">
        <f>IFERROR(IF(VLOOKUP($C80,'C'!$A$1:$N$1998,6,FALSE)=1,"&lt;",""),"")</f>
        <v/>
      </c>
      <c r="I80" s="4" t="str">
        <f>IFERROR(VLOOKUP($C80,'C'!$A$1:$N$1998,8,FALSE),"")</f>
        <v/>
      </c>
      <c r="J80" s="4" t="str">
        <f>IFERROR(IF(VLOOKUP($C80,'C'!$A$1:$N$1998,9,FALSE)=1,"&lt;",""),"")</f>
        <v/>
      </c>
      <c r="M80" s="4" t="str">
        <f t="shared" si="37"/>
        <v/>
      </c>
      <c r="N80" s="4" t="str">
        <f t="shared" si="43"/>
        <v/>
      </c>
      <c r="O80" s="4" t="str">
        <f t="shared" si="15"/>
        <v/>
      </c>
      <c r="P80" s="4" t="str">
        <f t="shared" si="44"/>
        <v/>
      </c>
      <c r="Q80" s="4" t="str">
        <f t="shared" si="16"/>
        <v/>
      </c>
      <c r="R80" s="4" t="str">
        <f t="shared" si="45"/>
        <v/>
      </c>
      <c r="V80" s="4">
        <f>IFERROR(IF(VLOOKUP(B80,E!$B$1:$AK$300,4,FALSE)=0,1000000,VLOOKUP(B80,E!$B$1:$AK$300,4,FALSE)),1000000)</f>
        <v>1000000</v>
      </c>
      <c r="Z80" s="4" t="str">
        <f t="shared" si="52"/>
        <v/>
      </c>
      <c r="AC80" s="4" t="str">
        <f t="shared" ref="AC80:AC108" si="55">IF(O80="","",IF(AND(P80="&lt;",O80&lt;=$V80),-1,(IF(P80="&lt;",0.7*O80,O80))))</f>
        <v/>
      </c>
      <c r="AF80" s="4" t="str">
        <f t="shared" ref="AF80:AF108" si="56">IF(Q80="","",IF(AND(R80="&lt;",Q80&lt;=$V80),-1,(IF(R80="&lt;",0.7*Q80,Q80))))</f>
        <v/>
      </c>
      <c r="AI80" s="77">
        <v>0</v>
      </c>
      <c r="AJ80" s="77">
        <v>0</v>
      </c>
      <c r="AK80" s="77">
        <v>1</v>
      </c>
      <c r="AO80" s="4">
        <f t="shared" si="46"/>
        <v>5</v>
      </c>
      <c r="AQ80" s="4">
        <f t="shared" si="47"/>
        <v>5</v>
      </c>
      <c r="AS80" s="4">
        <f t="shared" si="48"/>
        <v>5</v>
      </c>
      <c r="AV80" s="4" t="str">
        <f t="shared" si="49"/>
        <v/>
      </c>
      <c r="AX80" s="4" t="str">
        <f t="shared" si="50"/>
        <v/>
      </c>
      <c r="AZ80" s="4" t="str">
        <f t="shared" si="51"/>
        <v/>
      </c>
    </row>
    <row r="81" spans="1:52" x14ac:dyDescent="0.2">
      <c r="A81" s="4" t="s">
        <v>614</v>
      </c>
      <c r="B81" s="4">
        <v>2066</v>
      </c>
      <c r="C81" s="4" t="str">
        <f t="shared" si="0"/>
        <v>urn:immetingen:parameter:id:2066</v>
      </c>
      <c r="D81" s="4" t="str">
        <f>IFERROR(IF(VLOOKUP($C81,'C'!$A$1:$N$1998,4,FALSE)=0,IF(VLOOKUP($C81,'C'!$A$1:$N$1998,7,FALSE)=0,VLOOKUP($C81,'C'!$A$1:$N$1998,10,FALSE),VLOOKUP($C81,'C'!$A$1:$N$1998,7,FALSE)),VLOOKUP($C81,'C'!$A$1:$N$1998,4,FALSE)),"")</f>
        <v/>
      </c>
      <c r="E81" s="4" t="str">
        <f>IFERROR(VLOOKUP($C81,'C'!$A$1:$N$1998,2,FALSE),"")</f>
        <v/>
      </c>
      <c r="F81" s="4" t="str">
        <f>IFERROR(IF(VLOOKUP($C81,'C'!$A$1:$N$1998,3,FALSE)=1,"&lt;",""),"")</f>
        <v/>
      </c>
      <c r="G81" s="4" t="str">
        <f>IFERROR(VLOOKUP($C81,'C'!$A$1:$N$1998,5,FALSE),"")</f>
        <v/>
      </c>
      <c r="H81" s="4" t="str">
        <f>IFERROR(IF(VLOOKUP($C81,'C'!$A$1:$N$1998,6,FALSE)=1,"&lt;",""),"")</f>
        <v/>
      </c>
      <c r="I81" s="4" t="str">
        <f>IFERROR(VLOOKUP($C81,'C'!$A$1:$N$1998,8,FALSE),"")</f>
        <v/>
      </c>
      <c r="J81" s="4" t="str">
        <f>IFERROR(IF(VLOOKUP($C81,'C'!$A$1:$N$1998,9,FALSE)=1,"&lt;",""),"")</f>
        <v/>
      </c>
      <c r="M81" s="4" t="str">
        <f t="shared" si="37"/>
        <v/>
      </c>
      <c r="N81" s="4" t="str">
        <f t="shared" si="43"/>
        <v/>
      </c>
      <c r="O81" s="4" t="str">
        <f t="shared" ref="O81:O162" si="57">IF(G81="","",IF($D81=131,G81/1000,G81))</f>
        <v/>
      </c>
      <c r="P81" s="4" t="str">
        <f t="shared" si="44"/>
        <v/>
      </c>
      <c r="Q81" s="4" t="str">
        <f t="shared" ref="Q81:Q162" si="58">IF(I81="","",IF($D81=131,I81/1000,I81))</f>
        <v/>
      </c>
      <c r="R81" s="4" t="str">
        <f t="shared" si="45"/>
        <v/>
      </c>
      <c r="V81" s="4">
        <f>IFERROR(IF(VLOOKUP(B81,E!$B$1:$AK$300,4,FALSE)=0,1000000,VLOOKUP(B81,E!$B$1:$AK$300,4,FALSE)),1000000)</f>
        <v>1000000</v>
      </c>
      <c r="Z81" s="4" t="str">
        <f t="shared" si="52"/>
        <v/>
      </c>
      <c r="AC81" s="4" t="str">
        <f t="shared" si="55"/>
        <v/>
      </c>
      <c r="AF81" s="4" t="str">
        <f t="shared" si="56"/>
        <v/>
      </c>
      <c r="AI81" s="77">
        <v>0</v>
      </c>
      <c r="AJ81" s="77">
        <v>0</v>
      </c>
      <c r="AK81" s="77">
        <v>1</v>
      </c>
      <c r="AO81" s="4">
        <f t="shared" si="46"/>
        <v>5</v>
      </c>
      <c r="AQ81" s="4">
        <f t="shared" si="47"/>
        <v>5</v>
      </c>
      <c r="AS81" s="4">
        <f t="shared" si="48"/>
        <v>5</v>
      </c>
      <c r="AV81" s="4" t="str">
        <f t="shared" si="49"/>
        <v/>
      </c>
      <c r="AX81" s="4" t="str">
        <f t="shared" si="50"/>
        <v/>
      </c>
      <c r="AZ81" s="4" t="str">
        <f t="shared" si="51"/>
        <v/>
      </c>
    </row>
    <row r="82" spans="1:52" x14ac:dyDescent="0.2">
      <c r="A82" s="4" t="s">
        <v>615</v>
      </c>
      <c r="B82" s="4">
        <v>1579</v>
      </c>
      <c r="C82" s="4" t="str">
        <f t="shared" si="0"/>
        <v>urn:immetingen:parameter:id:1579</v>
      </c>
      <c r="D82" s="4" t="str">
        <f>IFERROR(IF(VLOOKUP($C82,'C'!$A$1:$N$1998,4,FALSE)=0,IF(VLOOKUP($C82,'C'!$A$1:$N$1998,7,FALSE)=0,VLOOKUP($C82,'C'!$A$1:$N$1998,10,FALSE),VLOOKUP($C82,'C'!$A$1:$N$1998,7,FALSE)),VLOOKUP($C82,'C'!$A$1:$N$1998,4,FALSE)),"")</f>
        <v/>
      </c>
      <c r="E82" s="4" t="str">
        <f>IFERROR(VLOOKUP($C82,'C'!$A$1:$N$1998,2,FALSE),"")</f>
        <v/>
      </c>
      <c r="F82" s="4" t="str">
        <f>IFERROR(IF(VLOOKUP($C82,'C'!$A$1:$N$1998,3,FALSE)=1,"&lt;",""),"")</f>
        <v/>
      </c>
      <c r="G82" s="4" t="str">
        <f>IFERROR(VLOOKUP($C82,'C'!$A$1:$N$1998,5,FALSE),"")</f>
        <v/>
      </c>
      <c r="H82" s="4" t="str">
        <f>IFERROR(IF(VLOOKUP($C82,'C'!$A$1:$N$1998,6,FALSE)=1,"&lt;",""),"")</f>
        <v/>
      </c>
      <c r="I82" s="4" t="str">
        <f>IFERROR(VLOOKUP($C82,'C'!$A$1:$N$1998,8,FALSE),"")</f>
        <v/>
      </c>
      <c r="J82" s="4" t="str">
        <f>IFERROR(IF(VLOOKUP($C82,'C'!$A$1:$N$1998,9,FALSE)=1,"&lt;",""),"")</f>
        <v/>
      </c>
      <c r="M82" s="4" t="str">
        <f t="shared" si="37"/>
        <v/>
      </c>
      <c r="N82" s="4" t="str">
        <f t="shared" si="43"/>
        <v/>
      </c>
      <c r="O82" s="4" t="str">
        <f t="shared" si="57"/>
        <v/>
      </c>
      <c r="P82" s="4" t="str">
        <f t="shared" si="44"/>
        <v/>
      </c>
      <c r="Q82" s="4" t="str">
        <f t="shared" si="58"/>
        <v/>
      </c>
      <c r="R82" s="4" t="str">
        <f t="shared" si="45"/>
        <v/>
      </c>
      <c r="V82" s="4">
        <f>IFERROR(IF(VLOOKUP(B82,E!$B$1:$AK$300,4,FALSE)=0,1000000,VLOOKUP(B82,E!$B$1:$AK$300,4,FALSE)),1000000)</f>
        <v>1000000</v>
      </c>
      <c r="Z82" s="4" t="str">
        <f t="shared" si="52"/>
        <v/>
      </c>
      <c r="AC82" s="4" t="str">
        <f t="shared" si="55"/>
        <v/>
      </c>
      <c r="AF82" s="4" t="str">
        <f t="shared" si="56"/>
        <v/>
      </c>
      <c r="AI82" s="77">
        <v>0</v>
      </c>
      <c r="AJ82" s="77">
        <v>0</v>
      </c>
      <c r="AK82" s="77">
        <v>1</v>
      </c>
      <c r="AO82" s="4">
        <f t="shared" si="46"/>
        <v>5</v>
      </c>
      <c r="AQ82" s="4">
        <f t="shared" si="47"/>
        <v>5</v>
      </c>
      <c r="AS82" s="4">
        <f t="shared" si="48"/>
        <v>5</v>
      </c>
      <c r="AV82" s="4" t="str">
        <f t="shared" si="49"/>
        <v/>
      </c>
      <c r="AX82" s="4" t="str">
        <f t="shared" si="50"/>
        <v/>
      </c>
      <c r="AZ82" s="4" t="str">
        <f t="shared" si="51"/>
        <v/>
      </c>
    </row>
    <row r="83" spans="1:52" x14ac:dyDescent="0.2">
      <c r="A83" s="4" t="s">
        <v>616</v>
      </c>
      <c r="B83" s="4">
        <v>521</v>
      </c>
      <c r="C83" s="4" t="str">
        <f t="shared" si="0"/>
        <v>urn:immetingen:parameter:id:521</v>
      </c>
      <c r="D83" s="4" t="str">
        <f>IFERROR(IF(VLOOKUP($C83,'C'!$A$1:$N$1998,4,FALSE)=0,IF(VLOOKUP($C83,'C'!$A$1:$N$1998,7,FALSE)=0,VLOOKUP($C83,'C'!$A$1:$N$1998,10,FALSE),VLOOKUP($C83,'C'!$A$1:$N$1998,7,FALSE)),VLOOKUP($C83,'C'!$A$1:$N$1998,4,FALSE)),"")</f>
        <v/>
      </c>
      <c r="E83" s="4" t="str">
        <f>IFERROR(VLOOKUP($C83,'C'!$A$1:$N$1998,2,FALSE),"")</f>
        <v/>
      </c>
      <c r="F83" s="4" t="str">
        <f>IFERROR(IF(VLOOKUP($C83,'C'!$A$1:$N$1998,3,FALSE)=1,"&lt;",""),"")</f>
        <v/>
      </c>
      <c r="G83" s="4" t="str">
        <f>IFERROR(VLOOKUP($C83,'C'!$A$1:$N$1998,5,FALSE),"")</f>
        <v/>
      </c>
      <c r="H83" s="4" t="str">
        <f>IFERROR(IF(VLOOKUP($C83,'C'!$A$1:$N$1998,6,FALSE)=1,"&lt;",""),"")</f>
        <v/>
      </c>
      <c r="I83" s="4" t="str">
        <f>IFERROR(VLOOKUP($C83,'C'!$A$1:$N$1998,8,FALSE),"")</f>
        <v/>
      </c>
      <c r="J83" s="4" t="str">
        <f>IFERROR(IF(VLOOKUP($C83,'C'!$A$1:$N$1998,9,FALSE)=1,"&lt;",""),"")</f>
        <v/>
      </c>
      <c r="M83" s="4" t="str">
        <f t="shared" si="37"/>
        <v/>
      </c>
      <c r="N83" s="4" t="str">
        <f t="shared" si="43"/>
        <v/>
      </c>
      <c r="O83" s="4" t="str">
        <f t="shared" si="57"/>
        <v/>
      </c>
      <c r="P83" s="4" t="str">
        <f t="shared" si="44"/>
        <v/>
      </c>
      <c r="Q83" s="4" t="str">
        <f t="shared" si="58"/>
        <v/>
      </c>
      <c r="R83" s="4" t="str">
        <f t="shared" si="45"/>
        <v/>
      </c>
      <c r="V83" s="4">
        <f>IFERROR(IF(VLOOKUP(B83,E!$B$1:$AK$300,4,FALSE)=0,1000000,VLOOKUP(B83,E!$B$1:$AK$300,4,FALSE)),1000000)</f>
        <v>1000000</v>
      </c>
      <c r="Z83" s="4" t="str">
        <f t="shared" si="52"/>
        <v/>
      </c>
      <c r="AC83" s="4" t="str">
        <f t="shared" si="55"/>
        <v/>
      </c>
      <c r="AF83" s="4" t="str">
        <f t="shared" si="56"/>
        <v/>
      </c>
      <c r="AI83" s="77">
        <v>0</v>
      </c>
      <c r="AJ83" s="77">
        <v>0</v>
      </c>
      <c r="AK83" s="77">
        <v>1</v>
      </c>
      <c r="AO83" s="4">
        <f t="shared" si="46"/>
        <v>5</v>
      </c>
      <c r="AQ83" s="4">
        <f t="shared" si="47"/>
        <v>5</v>
      </c>
      <c r="AS83" s="4">
        <f t="shared" si="48"/>
        <v>5</v>
      </c>
      <c r="AV83" s="4" t="str">
        <f t="shared" si="49"/>
        <v/>
      </c>
      <c r="AX83" s="4" t="str">
        <f t="shared" si="50"/>
        <v/>
      </c>
      <c r="AZ83" s="4" t="str">
        <f t="shared" si="51"/>
        <v/>
      </c>
    </row>
    <row r="84" spans="1:52" x14ac:dyDescent="0.2">
      <c r="A84" s="4" t="s">
        <v>625</v>
      </c>
      <c r="B84" s="4">
        <v>49</v>
      </c>
      <c r="C84" s="4" t="str">
        <f t="shared" si="0"/>
        <v>urn:immetingen:parameter:id:49</v>
      </c>
      <c r="D84" s="4" t="str">
        <f>IFERROR(IF(VLOOKUP($C84,'C'!$A$1:$N$1998,4,FALSE)=0,IF(VLOOKUP($C84,'C'!$A$1:$N$1998,7,FALSE)=0,VLOOKUP($C84,'C'!$A$1:$N$1998,10,FALSE),VLOOKUP($C84,'C'!$A$1:$N$1998,7,FALSE)),VLOOKUP($C84,'C'!$A$1:$N$1998,4,FALSE)),"")</f>
        <v/>
      </c>
      <c r="E84" s="71">
        <f>Invoer!D46</f>
        <v>0</v>
      </c>
      <c r="F84" s="71" t="str">
        <f>IF(Invoer!C46="&lt;","&lt;","")</f>
        <v/>
      </c>
      <c r="G84" s="71">
        <f>Invoer!F46</f>
        <v>0</v>
      </c>
      <c r="H84" s="71" t="str">
        <f>IF(Invoer!E46="&lt;","&lt;","")</f>
        <v/>
      </c>
      <c r="I84" s="71">
        <f>Invoer!H46</f>
        <v>0</v>
      </c>
      <c r="J84" s="71" t="str">
        <f>IF(Invoer!G46="&lt;","&lt;","")</f>
        <v/>
      </c>
      <c r="K84" s="71"/>
      <c r="L84" s="71"/>
      <c r="M84" s="4">
        <f t="shared" si="37"/>
        <v>0</v>
      </c>
      <c r="N84" s="4" t="str">
        <f t="shared" si="43"/>
        <v/>
      </c>
      <c r="O84" s="4">
        <f t="shared" si="57"/>
        <v>0</v>
      </c>
      <c r="P84" s="4" t="str">
        <f t="shared" si="44"/>
        <v/>
      </c>
      <c r="Q84" s="4">
        <f t="shared" si="58"/>
        <v>0</v>
      </c>
      <c r="R84" s="4" t="str">
        <f t="shared" si="45"/>
        <v/>
      </c>
      <c r="S84" s="71"/>
      <c r="T84" s="71"/>
      <c r="U84" s="71"/>
      <c r="V84" s="4">
        <f>IFERROR(IF(VLOOKUP(B84,E!$B$1:$AK$300,4,FALSE)=0,1000000,VLOOKUP(B84,E!$B$1:$AK$300,4,FALSE)),1000000)</f>
        <v>1000000</v>
      </c>
      <c r="W84" s="71"/>
      <c r="X84" s="71"/>
      <c r="Z84" s="4">
        <f t="shared" si="52"/>
        <v>0</v>
      </c>
      <c r="AC84" s="4">
        <f t="shared" si="55"/>
        <v>0</v>
      </c>
      <c r="AF84" s="4">
        <f t="shared" si="56"/>
        <v>0</v>
      </c>
      <c r="AI84" s="77">
        <v>0</v>
      </c>
      <c r="AJ84" s="77">
        <v>0</v>
      </c>
      <c r="AK84" s="77">
        <v>1</v>
      </c>
      <c r="AO84" s="4">
        <f t="shared" si="46"/>
        <v>5</v>
      </c>
      <c r="AQ84" s="4">
        <f t="shared" si="47"/>
        <v>5</v>
      </c>
      <c r="AS84" s="4">
        <f t="shared" si="48"/>
        <v>5</v>
      </c>
      <c r="AV84" s="4">
        <f t="shared" si="49"/>
        <v>0</v>
      </c>
      <c r="AX84" s="4">
        <f t="shared" si="50"/>
        <v>0</v>
      </c>
      <c r="AZ84" s="4">
        <f t="shared" si="51"/>
        <v>0</v>
      </c>
    </row>
    <row r="85" spans="1:52" x14ac:dyDescent="0.2">
      <c r="A85" s="4" t="s">
        <v>617</v>
      </c>
      <c r="B85" s="4">
        <v>34</v>
      </c>
      <c r="C85" s="4" t="str">
        <f t="shared" si="0"/>
        <v>urn:immetingen:parameter:id:34</v>
      </c>
      <c r="D85" s="4" t="str">
        <f>IFERROR(IF(VLOOKUP($C85,'C'!$A$1:$N$1998,4,FALSE)=0,IF(VLOOKUP($C85,'C'!$A$1:$N$1998,7,FALSE)=0,VLOOKUP($C85,'C'!$A$1:$N$1998,10,FALSE),VLOOKUP($C85,'C'!$A$1:$N$1998,7,FALSE)),VLOOKUP($C85,'C'!$A$1:$N$1998,4,FALSE)),"")</f>
        <v/>
      </c>
      <c r="E85" s="4" t="str">
        <f>IFERROR(VLOOKUP($C85,'C'!$A$1:$N$1998,2,FALSE),"")</f>
        <v/>
      </c>
      <c r="F85" s="4" t="str">
        <f>IFERROR(IF(VLOOKUP($C85,'C'!$A$1:$N$1998,3,FALSE)=1,"&lt;",""),"")</f>
        <v/>
      </c>
      <c r="G85" s="4" t="str">
        <f>IFERROR(VLOOKUP($C85,'C'!$A$1:$N$1998,5,FALSE),"")</f>
        <v/>
      </c>
      <c r="H85" s="4" t="str">
        <f>IFERROR(IF(VLOOKUP($C85,'C'!$A$1:$N$1998,6,FALSE)=1,"&lt;",""),"")</f>
        <v/>
      </c>
      <c r="I85" s="4" t="str">
        <f>IFERROR(VLOOKUP($C85,'C'!$A$1:$N$1998,8,FALSE),"")</f>
        <v/>
      </c>
      <c r="J85" s="4" t="str">
        <f>IFERROR(IF(VLOOKUP($C85,'C'!$A$1:$N$1998,9,FALSE)=1,"&lt;",""),"")</f>
        <v/>
      </c>
      <c r="M85" s="4" t="str">
        <f t="shared" si="37"/>
        <v/>
      </c>
      <c r="N85" s="4" t="str">
        <f t="shared" si="43"/>
        <v/>
      </c>
      <c r="O85" s="4" t="str">
        <f t="shared" si="57"/>
        <v/>
      </c>
      <c r="P85" s="4" t="str">
        <f t="shared" si="44"/>
        <v/>
      </c>
      <c r="Q85" s="4" t="str">
        <f t="shared" si="58"/>
        <v/>
      </c>
      <c r="R85" s="4" t="str">
        <f t="shared" si="45"/>
        <v/>
      </c>
      <c r="V85" s="4">
        <f>IFERROR(IF(VLOOKUP(B85,E!$B$1:$AK$300,4,FALSE)=0,1000000,VLOOKUP(B85,E!$B$1:$AK$300,4,FALSE)),1000000)</f>
        <v>1000000</v>
      </c>
      <c r="Z85" s="4" t="str">
        <f t="shared" si="52"/>
        <v/>
      </c>
      <c r="AC85" s="4" t="str">
        <f t="shared" si="55"/>
        <v/>
      </c>
      <c r="AF85" s="4" t="str">
        <f t="shared" si="56"/>
        <v/>
      </c>
      <c r="AI85" s="77">
        <v>0</v>
      </c>
      <c r="AJ85" s="77">
        <v>0</v>
      </c>
      <c r="AK85" s="77">
        <v>1</v>
      </c>
      <c r="AO85" s="4">
        <f t="shared" si="46"/>
        <v>5</v>
      </c>
      <c r="AQ85" s="4">
        <f t="shared" si="47"/>
        <v>5</v>
      </c>
      <c r="AS85" s="4">
        <f t="shared" si="48"/>
        <v>5</v>
      </c>
      <c r="AV85" s="4" t="str">
        <f t="shared" si="49"/>
        <v/>
      </c>
      <c r="AX85" s="4" t="str">
        <f t="shared" si="50"/>
        <v/>
      </c>
      <c r="AZ85" s="4" t="str">
        <f t="shared" si="51"/>
        <v/>
      </c>
    </row>
    <row r="86" spans="1:52" x14ac:dyDescent="0.2">
      <c r="A86" s="4" t="s">
        <v>553</v>
      </c>
      <c r="B86" s="4">
        <v>1711</v>
      </c>
      <c r="C86" s="4" t="str">
        <f t="shared" si="0"/>
        <v>urn:immetingen:parameter:id:1711</v>
      </c>
      <c r="D86" s="4" t="str">
        <f>IFERROR(IF(VLOOKUP($C86,'C'!$A$1:$N$1998,4,FALSE)=0,IF(VLOOKUP($C86,'C'!$A$1:$N$1998,7,FALSE)=0,VLOOKUP($C86,'C'!$A$1:$N$1998,10,FALSE),VLOOKUP($C86,'C'!$A$1:$N$1998,7,FALSE)),VLOOKUP($C86,'C'!$A$1:$N$1998,4,FALSE)),"")</f>
        <v/>
      </c>
      <c r="E86" s="4" t="str">
        <f>IFERROR(VLOOKUP($C86,'C'!$A$1:$N$1998,2,FALSE),"")</f>
        <v/>
      </c>
      <c r="F86" s="4" t="str">
        <f>IFERROR(IF(VLOOKUP($C86,'C'!$A$1:$N$1998,3,FALSE)=1,"&lt;",""),"")</f>
        <v/>
      </c>
      <c r="G86" s="4" t="str">
        <f>IFERROR(VLOOKUP($C86,'C'!$A$1:$N$1998,5,FALSE),"")</f>
        <v/>
      </c>
      <c r="H86" s="4" t="str">
        <f>IFERROR(IF(VLOOKUP($C86,'C'!$A$1:$N$1998,6,FALSE)=1,"&lt;",""),"")</f>
        <v/>
      </c>
      <c r="I86" s="4" t="str">
        <f>IFERROR(VLOOKUP($C86,'C'!$A$1:$N$1998,8,FALSE),"")</f>
        <v/>
      </c>
      <c r="J86" s="4" t="str">
        <f>IFERROR(IF(VLOOKUP($C86,'C'!$A$1:$N$1998,9,FALSE)=1,"&lt;",""),"")</f>
        <v/>
      </c>
      <c r="M86" s="4" t="str">
        <f t="shared" si="37"/>
        <v/>
      </c>
      <c r="N86" s="4" t="str">
        <f t="shared" si="43"/>
        <v/>
      </c>
      <c r="O86" s="4" t="str">
        <f t="shared" si="57"/>
        <v/>
      </c>
      <c r="P86" s="4" t="str">
        <f t="shared" si="44"/>
        <v/>
      </c>
      <c r="Q86" s="4" t="str">
        <f t="shared" si="58"/>
        <v/>
      </c>
      <c r="R86" s="4" t="str">
        <f t="shared" si="45"/>
        <v/>
      </c>
      <c r="V86" s="4">
        <f>IFERROR(IF(VLOOKUP(B86,E!$B$1:$AK$300,4,FALSE)=0,1000000,VLOOKUP(B86,E!$B$1:$AK$300,4,FALSE)),1000000)</f>
        <v>0.05</v>
      </c>
      <c r="Z86" s="81" t="str">
        <f t="shared" si="52"/>
        <v/>
      </c>
      <c r="AA86" s="81">
        <f>IF(AND(N86="&lt;",Z86&lt;=$V86),0,1)</f>
        <v>1</v>
      </c>
      <c r="AB86" s="81"/>
      <c r="AC86" s="81" t="str">
        <f t="shared" si="55"/>
        <v/>
      </c>
      <c r="AD86" s="81">
        <f>IF(AND(P86="&lt;",AC86&lt;=$V86),0,1)</f>
        <v>1</v>
      </c>
      <c r="AE86" s="81"/>
      <c r="AF86" s="81" t="str">
        <f t="shared" si="56"/>
        <v/>
      </c>
      <c r="AG86" s="81">
        <f>IF(AND(R86="&lt;",AF86&lt;=$V86),0,1)</f>
        <v>1</v>
      </c>
      <c r="AI86" s="77">
        <v>0</v>
      </c>
      <c r="AJ86" s="77">
        <v>0</v>
      </c>
      <c r="AK86" s="77">
        <v>1</v>
      </c>
      <c r="AO86" s="4">
        <f t="shared" si="46"/>
        <v>5</v>
      </c>
      <c r="AQ86" s="4">
        <f t="shared" si="47"/>
        <v>5</v>
      </c>
      <c r="AS86" s="4">
        <f t="shared" si="48"/>
        <v>5</v>
      </c>
      <c r="AV86" s="4" t="str">
        <f t="shared" si="49"/>
        <v/>
      </c>
      <c r="AX86" s="4" t="str">
        <f t="shared" si="50"/>
        <v/>
      </c>
      <c r="AZ86" s="4" t="str">
        <f t="shared" si="51"/>
        <v/>
      </c>
    </row>
    <row r="87" spans="1:52" x14ac:dyDescent="0.2">
      <c r="A87" s="4" t="s">
        <v>554</v>
      </c>
      <c r="B87" s="4">
        <v>4</v>
      </c>
      <c r="C87" s="4" t="str">
        <f t="shared" si="0"/>
        <v>urn:immetingen:parameter:id:4</v>
      </c>
      <c r="D87" s="4" t="str">
        <f>IFERROR(IF(VLOOKUP($C87,'C'!$A$1:$N$1998,4,FALSE)=0,IF(VLOOKUP($C87,'C'!$A$1:$N$1998,7,FALSE)=0,VLOOKUP($C87,'C'!$A$1:$N$1998,10,FALSE),VLOOKUP($C87,'C'!$A$1:$N$1998,7,FALSE)),VLOOKUP($C87,'C'!$A$1:$N$1998,4,FALSE)),"")</f>
        <v/>
      </c>
      <c r="E87" s="4" t="str">
        <f>IFERROR(VLOOKUP($C87,'C'!$A$1:$N$1998,2,FALSE),"")</f>
        <v/>
      </c>
      <c r="F87" s="4" t="str">
        <f>IFERROR(IF(VLOOKUP($C87,'C'!$A$1:$N$1998,3,FALSE)=1,"&lt;",""),"")</f>
        <v/>
      </c>
      <c r="G87" s="4" t="str">
        <f>IFERROR(VLOOKUP($C87,'C'!$A$1:$N$1998,5,FALSE),"")</f>
        <v/>
      </c>
      <c r="H87" s="4" t="str">
        <f>IFERROR(IF(VLOOKUP($C87,'C'!$A$1:$N$1998,6,FALSE)=1,"&lt;",""),"")</f>
        <v/>
      </c>
      <c r="I87" s="4" t="str">
        <f>IFERROR(VLOOKUP($C87,'C'!$A$1:$N$1998,8,FALSE),"")</f>
        <v/>
      </c>
      <c r="J87" s="4" t="str">
        <f>IFERROR(IF(VLOOKUP($C87,'C'!$A$1:$N$1998,9,FALSE)=1,"&lt;",""),"")</f>
        <v/>
      </c>
      <c r="M87" s="4" t="str">
        <f t="shared" si="37"/>
        <v/>
      </c>
      <c r="N87" s="4" t="str">
        <f t="shared" si="43"/>
        <v/>
      </c>
      <c r="O87" s="4" t="str">
        <f t="shared" si="57"/>
        <v/>
      </c>
      <c r="P87" s="4" t="str">
        <f t="shared" si="44"/>
        <v/>
      </c>
      <c r="Q87" s="4" t="str">
        <f t="shared" si="58"/>
        <v/>
      </c>
      <c r="R87" s="4" t="str">
        <f t="shared" si="45"/>
        <v/>
      </c>
      <c r="V87" s="4">
        <f>IFERROR(IF(VLOOKUP(B87,E!$B$1:$AK$300,4,FALSE)=0,1000000,VLOOKUP(B87,E!$B$1:$AK$300,4,FALSE)),1000000)</f>
        <v>0.05</v>
      </c>
      <c r="Z87" s="81" t="str">
        <f t="shared" si="52"/>
        <v/>
      </c>
      <c r="AA87" s="81">
        <f t="shared" ref="AA87:AA91" si="59">IF(AND(N87="&lt;",Z87&lt;=$V87),0,1)</f>
        <v>1</v>
      </c>
      <c r="AB87" s="81"/>
      <c r="AC87" s="81" t="str">
        <f t="shared" si="55"/>
        <v/>
      </c>
      <c r="AD87" s="81">
        <f t="shared" ref="AD87:AD91" si="60">IF(AND(P87="&lt;",AC87&lt;=$V87),0,1)</f>
        <v>1</v>
      </c>
      <c r="AE87" s="81"/>
      <c r="AF87" s="81" t="str">
        <f t="shared" si="56"/>
        <v/>
      </c>
      <c r="AG87" s="81">
        <f t="shared" ref="AG87:AG91" si="61">IF(AND(R87="&lt;",AF87&lt;=$V87),0,1)</f>
        <v>1</v>
      </c>
      <c r="AI87" s="77">
        <v>0</v>
      </c>
      <c r="AJ87" s="77">
        <v>0</v>
      </c>
      <c r="AK87" s="77">
        <v>1</v>
      </c>
      <c r="AO87" s="4">
        <f t="shared" si="46"/>
        <v>5</v>
      </c>
      <c r="AQ87" s="4">
        <f t="shared" si="47"/>
        <v>5</v>
      </c>
      <c r="AS87" s="4">
        <f t="shared" si="48"/>
        <v>5</v>
      </c>
      <c r="AV87" s="4" t="str">
        <f t="shared" si="49"/>
        <v/>
      </c>
      <c r="AX87" s="4" t="str">
        <f t="shared" si="50"/>
        <v/>
      </c>
      <c r="AZ87" s="4" t="str">
        <f t="shared" si="51"/>
        <v/>
      </c>
    </row>
    <row r="88" spans="1:52" x14ac:dyDescent="0.2">
      <c r="A88" s="4" t="s">
        <v>555</v>
      </c>
      <c r="B88" s="4">
        <v>6</v>
      </c>
      <c r="C88" s="4" t="str">
        <f t="shared" si="0"/>
        <v>urn:immetingen:parameter:id:6</v>
      </c>
      <c r="D88" s="4" t="str">
        <f>IFERROR(IF(VLOOKUP($C88,'C'!$A$1:$N$1998,4,FALSE)=0,IF(VLOOKUP($C88,'C'!$A$1:$N$1998,7,FALSE)=0,VLOOKUP($C88,'C'!$A$1:$N$1998,10,FALSE),VLOOKUP($C88,'C'!$A$1:$N$1998,7,FALSE)),VLOOKUP($C88,'C'!$A$1:$N$1998,4,FALSE)),"")</f>
        <v/>
      </c>
      <c r="E88" s="4" t="str">
        <f>IFERROR(VLOOKUP($C88,'C'!$A$1:$N$1998,2,FALSE),"")</f>
        <v/>
      </c>
      <c r="F88" s="4" t="str">
        <f>IFERROR(IF(VLOOKUP($C88,'C'!$A$1:$N$1998,3,FALSE)=1,"&lt;",""),"")</f>
        <v/>
      </c>
      <c r="G88" s="4" t="str">
        <f>IFERROR(VLOOKUP($C88,'C'!$A$1:$N$1998,5,FALSE),"")</f>
        <v/>
      </c>
      <c r="H88" s="4" t="str">
        <f>IFERROR(IF(VLOOKUP($C88,'C'!$A$1:$N$1998,6,FALSE)=1,"&lt;",""),"")</f>
        <v/>
      </c>
      <c r="I88" s="4" t="str">
        <f>IFERROR(VLOOKUP($C88,'C'!$A$1:$N$1998,8,FALSE),"")</f>
        <v/>
      </c>
      <c r="J88" s="4" t="str">
        <f>IFERROR(IF(VLOOKUP($C88,'C'!$A$1:$N$1998,9,FALSE)=1,"&lt;",""),"")</f>
        <v/>
      </c>
      <c r="M88" s="4" t="str">
        <f t="shared" si="37"/>
        <v/>
      </c>
      <c r="N88" s="4" t="str">
        <f t="shared" si="43"/>
        <v/>
      </c>
      <c r="O88" s="4" t="str">
        <f t="shared" si="57"/>
        <v/>
      </c>
      <c r="P88" s="4" t="str">
        <f t="shared" si="44"/>
        <v/>
      </c>
      <c r="Q88" s="4" t="str">
        <f t="shared" si="58"/>
        <v/>
      </c>
      <c r="R88" s="4" t="str">
        <f t="shared" si="45"/>
        <v/>
      </c>
      <c r="V88" s="4">
        <f>IFERROR(IF(VLOOKUP(B88,E!$B$1:$AK$300,4,FALSE)=0,1000000,VLOOKUP(B88,E!$B$1:$AK$300,4,FALSE)),1000000)</f>
        <v>0.05</v>
      </c>
      <c r="Z88" s="81" t="str">
        <f t="shared" si="52"/>
        <v/>
      </c>
      <c r="AA88" s="81">
        <f t="shared" si="59"/>
        <v>1</v>
      </c>
      <c r="AB88" s="81"/>
      <c r="AC88" s="81" t="str">
        <f t="shared" si="55"/>
        <v/>
      </c>
      <c r="AD88" s="81">
        <f t="shared" si="60"/>
        <v>1</v>
      </c>
      <c r="AE88" s="81"/>
      <c r="AF88" s="81" t="str">
        <f t="shared" si="56"/>
        <v/>
      </c>
      <c r="AG88" s="81">
        <f t="shared" si="61"/>
        <v>1</v>
      </c>
      <c r="AI88" s="77">
        <v>0</v>
      </c>
      <c r="AJ88" s="77">
        <v>0</v>
      </c>
      <c r="AK88" s="77">
        <v>1</v>
      </c>
      <c r="AO88" s="4">
        <f t="shared" si="46"/>
        <v>5</v>
      </c>
      <c r="AQ88" s="4">
        <f t="shared" si="47"/>
        <v>5</v>
      </c>
      <c r="AS88" s="4">
        <f t="shared" si="48"/>
        <v>5</v>
      </c>
      <c r="AV88" s="4" t="str">
        <f t="shared" si="49"/>
        <v/>
      </c>
      <c r="AX88" s="4" t="str">
        <f t="shared" si="50"/>
        <v/>
      </c>
      <c r="AZ88" s="4" t="str">
        <f t="shared" si="51"/>
        <v/>
      </c>
    </row>
    <row r="89" spans="1:52" x14ac:dyDescent="0.2">
      <c r="A89" s="4" t="s">
        <v>556</v>
      </c>
      <c r="B89" s="4">
        <v>1598</v>
      </c>
      <c r="C89" s="4" t="str">
        <f t="shared" si="0"/>
        <v>urn:immetingen:parameter:id:1598</v>
      </c>
      <c r="D89" s="4" t="str">
        <f>IFERROR(IF(VLOOKUP($C89,'C'!$A$1:$N$1998,4,FALSE)=0,IF(VLOOKUP($C89,'C'!$A$1:$N$1998,7,FALSE)=0,VLOOKUP($C89,'C'!$A$1:$N$1998,10,FALSE),VLOOKUP($C89,'C'!$A$1:$N$1998,7,FALSE)),VLOOKUP($C89,'C'!$A$1:$N$1998,4,FALSE)),"")</f>
        <v/>
      </c>
      <c r="E89" s="4" t="str">
        <f>IFERROR(VLOOKUP($C89,'C'!$A$1:$N$1998,2,FALSE),"")</f>
        <v/>
      </c>
      <c r="F89" s="4" t="str">
        <f>IFERROR(IF(VLOOKUP($C89,'C'!$A$1:$N$1998,3,FALSE)=1,"&lt;",""),"")</f>
        <v/>
      </c>
      <c r="G89" s="4" t="str">
        <f>IFERROR(VLOOKUP($C89,'C'!$A$1:$N$1998,5,FALSE),"")</f>
        <v/>
      </c>
      <c r="H89" s="4" t="str">
        <f>IFERROR(IF(VLOOKUP($C89,'C'!$A$1:$N$1998,6,FALSE)=1,"&lt;",""),"")</f>
        <v/>
      </c>
      <c r="I89" s="4" t="str">
        <f>IFERROR(VLOOKUP($C89,'C'!$A$1:$N$1998,8,FALSE),"")</f>
        <v/>
      </c>
      <c r="J89" s="4" t="str">
        <f>IFERROR(IF(VLOOKUP($C89,'C'!$A$1:$N$1998,9,FALSE)=1,"&lt;",""),"")</f>
        <v/>
      </c>
      <c r="M89" s="4" t="str">
        <f t="shared" si="37"/>
        <v/>
      </c>
      <c r="N89" s="4" t="str">
        <f t="shared" si="43"/>
        <v/>
      </c>
      <c r="O89" s="4" t="str">
        <f t="shared" si="57"/>
        <v/>
      </c>
      <c r="P89" s="4" t="str">
        <f t="shared" si="44"/>
        <v/>
      </c>
      <c r="Q89" s="4" t="str">
        <f t="shared" si="58"/>
        <v/>
      </c>
      <c r="R89" s="4" t="str">
        <f t="shared" si="45"/>
        <v/>
      </c>
      <c r="V89" s="4">
        <f>IFERROR(IF(VLOOKUP(B89,E!$B$1:$AK$300,4,FALSE)=0,1000000,VLOOKUP(B89,E!$B$1:$AK$300,4,FALSE)),1000000)</f>
        <v>0.05</v>
      </c>
      <c r="Z89" s="81" t="str">
        <f t="shared" si="52"/>
        <v/>
      </c>
      <c r="AA89" s="81">
        <f t="shared" si="59"/>
        <v>1</v>
      </c>
      <c r="AB89" s="81"/>
      <c r="AC89" s="81" t="str">
        <f t="shared" si="55"/>
        <v/>
      </c>
      <c r="AD89" s="81">
        <f t="shared" si="60"/>
        <v>1</v>
      </c>
      <c r="AE89" s="81"/>
      <c r="AF89" s="81" t="str">
        <f t="shared" si="56"/>
        <v/>
      </c>
      <c r="AG89" s="81">
        <f t="shared" si="61"/>
        <v>1</v>
      </c>
      <c r="AI89" s="77">
        <v>0</v>
      </c>
      <c r="AJ89" s="77">
        <v>0</v>
      </c>
      <c r="AK89" s="77">
        <v>1</v>
      </c>
      <c r="AO89" s="4">
        <f t="shared" si="46"/>
        <v>5</v>
      </c>
      <c r="AQ89" s="4">
        <f t="shared" si="47"/>
        <v>5</v>
      </c>
      <c r="AS89" s="4">
        <f t="shared" si="48"/>
        <v>5</v>
      </c>
      <c r="AV89" s="4" t="str">
        <f t="shared" si="49"/>
        <v/>
      </c>
      <c r="AX89" s="4" t="str">
        <f t="shared" si="50"/>
        <v/>
      </c>
      <c r="AZ89" s="4" t="str">
        <f t="shared" si="51"/>
        <v/>
      </c>
    </row>
    <row r="90" spans="1:52" x14ac:dyDescent="0.2">
      <c r="A90" s="4" t="s">
        <v>557</v>
      </c>
      <c r="B90" s="4">
        <v>1538</v>
      </c>
      <c r="C90" s="4" t="str">
        <f t="shared" si="0"/>
        <v>urn:immetingen:parameter:id:1538</v>
      </c>
      <c r="D90" s="4" t="str">
        <f>IFERROR(IF(VLOOKUP($C90,'C'!$A$1:$N$1998,4,FALSE)=0,IF(VLOOKUP($C90,'C'!$A$1:$N$1998,7,FALSE)=0,VLOOKUP($C90,'C'!$A$1:$N$1998,10,FALSE),VLOOKUP($C90,'C'!$A$1:$N$1998,7,FALSE)),VLOOKUP($C90,'C'!$A$1:$N$1998,4,FALSE)),"")</f>
        <v/>
      </c>
      <c r="E90" s="4" t="str">
        <f>IFERROR(VLOOKUP($C90,'C'!$A$1:$N$1998,2,FALSE),"")</f>
        <v/>
      </c>
      <c r="F90" s="4" t="str">
        <f>IFERROR(IF(VLOOKUP($C90,'C'!$A$1:$N$1998,3,FALSE)=1,"&lt;",""),"")</f>
        <v/>
      </c>
      <c r="G90" s="4" t="str">
        <f>IFERROR(VLOOKUP($C90,'C'!$A$1:$N$1998,5,FALSE),"")</f>
        <v/>
      </c>
      <c r="H90" s="4" t="str">
        <f>IFERROR(IF(VLOOKUP($C90,'C'!$A$1:$N$1998,6,FALSE)=1,"&lt;",""),"")</f>
        <v/>
      </c>
      <c r="I90" s="4" t="str">
        <f>IFERROR(VLOOKUP($C90,'C'!$A$1:$N$1998,8,FALSE),"")</f>
        <v/>
      </c>
      <c r="J90" s="4" t="str">
        <f>IFERROR(IF(VLOOKUP($C90,'C'!$A$1:$N$1998,9,FALSE)=1,"&lt;",""),"")</f>
        <v/>
      </c>
      <c r="M90" s="4" t="str">
        <f t="shared" si="37"/>
        <v/>
      </c>
      <c r="N90" s="4" t="str">
        <f t="shared" si="43"/>
        <v/>
      </c>
      <c r="O90" s="4" t="str">
        <f t="shared" si="57"/>
        <v/>
      </c>
      <c r="P90" s="4" t="str">
        <f t="shared" si="44"/>
        <v/>
      </c>
      <c r="Q90" s="4" t="str">
        <f t="shared" si="58"/>
        <v/>
      </c>
      <c r="R90" s="4" t="str">
        <f t="shared" si="45"/>
        <v/>
      </c>
      <c r="V90" s="4">
        <f>IFERROR(IF(VLOOKUP(B90,E!$B$1:$AK$300,4,FALSE)=0,1000000,VLOOKUP(B90,E!$B$1:$AK$300,4,FALSE)),1000000)</f>
        <v>0.05</v>
      </c>
      <c r="Z90" s="81" t="str">
        <f t="shared" si="52"/>
        <v/>
      </c>
      <c r="AA90" s="81">
        <f t="shared" si="59"/>
        <v>1</v>
      </c>
      <c r="AB90" s="81"/>
      <c r="AC90" s="81" t="str">
        <f t="shared" si="55"/>
        <v/>
      </c>
      <c r="AD90" s="81">
        <f t="shared" si="60"/>
        <v>1</v>
      </c>
      <c r="AE90" s="81"/>
      <c r="AF90" s="81" t="str">
        <f t="shared" si="56"/>
        <v/>
      </c>
      <c r="AG90" s="81">
        <f t="shared" si="61"/>
        <v>1</v>
      </c>
      <c r="AI90" s="77">
        <v>0</v>
      </c>
      <c r="AJ90" s="77">
        <v>0</v>
      </c>
      <c r="AK90" s="77">
        <v>1</v>
      </c>
      <c r="AO90" s="4">
        <f t="shared" si="46"/>
        <v>5</v>
      </c>
      <c r="AQ90" s="4">
        <f t="shared" si="47"/>
        <v>5</v>
      </c>
      <c r="AS90" s="4">
        <f t="shared" si="48"/>
        <v>5</v>
      </c>
      <c r="AV90" s="4" t="str">
        <f t="shared" si="49"/>
        <v/>
      </c>
      <c r="AX90" s="4" t="str">
        <f t="shared" si="50"/>
        <v/>
      </c>
      <c r="AZ90" s="4" t="str">
        <f t="shared" si="51"/>
        <v/>
      </c>
    </row>
    <row r="91" spans="1:52" x14ac:dyDescent="0.2">
      <c r="A91" s="4" t="s">
        <v>558</v>
      </c>
      <c r="B91" s="4">
        <v>1536</v>
      </c>
      <c r="C91" s="4" t="str">
        <f t="shared" si="0"/>
        <v>urn:immetingen:parameter:id:1536</v>
      </c>
      <c r="D91" s="4" t="str">
        <f>IFERROR(IF(VLOOKUP($C91,'C'!$A$1:$N$1998,4,FALSE)=0,IF(VLOOKUP($C91,'C'!$A$1:$N$1998,7,FALSE)=0,VLOOKUP($C91,'C'!$A$1:$N$1998,10,FALSE),VLOOKUP($C91,'C'!$A$1:$N$1998,7,FALSE)),VLOOKUP($C91,'C'!$A$1:$N$1998,4,FALSE)),"")</f>
        <v/>
      </c>
      <c r="E91" s="4" t="str">
        <f>IFERROR(VLOOKUP($C91,'C'!$A$1:$N$1998,2,FALSE),"")</f>
        <v/>
      </c>
      <c r="F91" s="4" t="str">
        <f>IFERROR(IF(VLOOKUP($C91,'C'!$A$1:$N$1998,3,FALSE)=1,"&lt;",""),"")</f>
        <v/>
      </c>
      <c r="G91" s="4" t="str">
        <f>IFERROR(VLOOKUP($C91,'C'!$A$1:$N$1998,5,FALSE),"")</f>
        <v/>
      </c>
      <c r="H91" s="4" t="str">
        <f>IFERROR(IF(VLOOKUP($C91,'C'!$A$1:$N$1998,6,FALSE)=1,"&lt;",""),"")</f>
        <v/>
      </c>
      <c r="I91" s="4" t="str">
        <f>IFERROR(VLOOKUP($C91,'C'!$A$1:$N$1998,8,FALSE),"")</f>
        <v/>
      </c>
      <c r="J91" s="4" t="str">
        <f>IFERROR(IF(VLOOKUP($C91,'C'!$A$1:$N$1998,9,FALSE)=1,"&lt;",""),"")</f>
        <v/>
      </c>
      <c r="M91" s="4" t="str">
        <f t="shared" si="37"/>
        <v/>
      </c>
      <c r="N91" s="4" t="str">
        <f t="shared" si="43"/>
        <v/>
      </c>
      <c r="O91" s="4" t="str">
        <f t="shared" si="57"/>
        <v/>
      </c>
      <c r="P91" s="4" t="str">
        <f t="shared" si="44"/>
        <v/>
      </c>
      <c r="Q91" s="4" t="str">
        <f t="shared" si="58"/>
        <v/>
      </c>
      <c r="R91" s="4" t="str">
        <f t="shared" si="45"/>
        <v/>
      </c>
      <c r="V91" s="4">
        <f>IFERROR(IF(VLOOKUP(B91,E!$B$1:$AK$300,4,FALSE)=0,1000000,VLOOKUP(B91,E!$B$1:$AK$300,4,FALSE)),1000000)</f>
        <v>0.05</v>
      </c>
      <c r="Z91" s="81" t="str">
        <f t="shared" si="52"/>
        <v/>
      </c>
      <c r="AA91" s="81">
        <f t="shared" si="59"/>
        <v>1</v>
      </c>
      <c r="AB91" s="81"/>
      <c r="AC91" s="81" t="str">
        <f t="shared" si="55"/>
        <v/>
      </c>
      <c r="AD91" s="81">
        <f t="shared" si="60"/>
        <v>1</v>
      </c>
      <c r="AE91" s="81"/>
      <c r="AF91" s="81" t="str">
        <f t="shared" si="56"/>
        <v/>
      </c>
      <c r="AG91" s="81">
        <f t="shared" si="61"/>
        <v>1</v>
      </c>
      <c r="AI91" s="77">
        <v>0</v>
      </c>
      <c r="AJ91" s="77">
        <v>0</v>
      </c>
      <c r="AK91" s="77">
        <v>1</v>
      </c>
      <c r="AO91" s="4">
        <f t="shared" si="46"/>
        <v>5</v>
      </c>
      <c r="AQ91" s="4">
        <f t="shared" si="47"/>
        <v>5</v>
      </c>
      <c r="AS91" s="4">
        <f t="shared" si="48"/>
        <v>5</v>
      </c>
      <c r="AV91" s="4" t="str">
        <f t="shared" si="49"/>
        <v/>
      </c>
      <c r="AX91" s="4" t="str">
        <f t="shared" si="50"/>
        <v/>
      </c>
      <c r="AZ91" s="4" t="str">
        <f t="shared" si="51"/>
        <v/>
      </c>
    </row>
    <row r="92" spans="1:52" x14ac:dyDescent="0.2">
      <c r="A92" s="4" t="s">
        <v>618</v>
      </c>
      <c r="B92" s="4">
        <v>395</v>
      </c>
      <c r="C92" s="4" t="str">
        <f t="shared" si="0"/>
        <v>urn:immetingen:parameter:id:395</v>
      </c>
      <c r="D92" s="4" t="str">
        <f>IFERROR(IF(VLOOKUP($C92,'C'!$A$1:$N$1998,4,FALSE)=0,IF(VLOOKUP($C92,'C'!$A$1:$N$1998,7,FALSE)=0,VLOOKUP($C92,'C'!$A$1:$N$1998,10,FALSE),VLOOKUP($C92,'C'!$A$1:$N$1998,7,FALSE)),VLOOKUP($C92,'C'!$A$1:$N$1998,4,FALSE)),"")</f>
        <v/>
      </c>
      <c r="E92" s="4" t="str">
        <f>IFERROR(VLOOKUP($C92,'C'!$A$1:$N$1998,2,FALSE),"")</f>
        <v/>
      </c>
      <c r="F92" s="4" t="str">
        <f>IFERROR(IF(VLOOKUP($C92,'C'!$A$1:$N$1998,3,FALSE)=1,"&lt;",""),"")</f>
        <v/>
      </c>
      <c r="G92" s="4" t="str">
        <f>IFERROR(VLOOKUP($C92,'C'!$A$1:$N$1998,5,FALSE),"")</f>
        <v/>
      </c>
      <c r="H92" s="4" t="str">
        <f>IFERROR(IF(VLOOKUP($C92,'C'!$A$1:$N$1998,6,FALSE)=1,"&lt;",""),"")</f>
        <v/>
      </c>
      <c r="I92" s="4" t="str">
        <f>IFERROR(VLOOKUP($C92,'C'!$A$1:$N$1998,8,FALSE),"")</f>
        <v/>
      </c>
      <c r="J92" s="4" t="str">
        <f>IFERROR(IF(VLOOKUP($C92,'C'!$A$1:$N$1998,9,FALSE)=1,"&lt;",""),"")</f>
        <v/>
      </c>
      <c r="M92" s="4" t="str">
        <f t="shared" si="37"/>
        <v/>
      </c>
      <c r="N92" s="4" t="str">
        <f t="shared" si="43"/>
        <v/>
      </c>
      <c r="O92" s="4" t="str">
        <f t="shared" si="57"/>
        <v/>
      </c>
      <c r="P92" s="4" t="str">
        <f t="shared" si="44"/>
        <v/>
      </c>
      <c r="Q92" s="4" t="str">
        <f t="shared" si="58"/>
        <v/>
      </c>
      <c r="R92" s="4" t="str">
        <f t="shared" si="45"/>
        <v/>
      </c>
      <c r="V92" s="4">
        <f>IFERROR(IF(VLOOKUP(B92,E!$B$1:$AK$300,4,FALSE)=0,1000000,VLOOKUP(B92,E!$B$1:$AK$300,4,FALSE)),1000000)</f>
        <v>1000000</v>
      </c>
      <c r="Z92" s="4" t="str">
        <f t="shared" si="52"/>
        <v/>
      </c>
      <c r="AC92" s="4" t="str">
        <f t="shared" si="55"/>
        <v/>
      </c>
      <c r="AF92" s="4" t="str">
        <f t="shared" si="56"/>
        <v/>
      </c>
      <c r="AI92" s="77">
        <v>0</v>
      </c>
      <c r="AJ92" s="77">
        <v>0</v>
      </c>
      <c r="AK92" s="77">
        <v>1</v>
      </c>
      <c r="AO92" s="4">
        <f t="shared" si="46"/>
        <v>5</v>
      </c>
      <c r="AQ92" s="4">
        <f t="shared" si="47"/>
        <v>5</v>
      </c>
      <c r="AS92" s="4">
        <f t="shared" si="48"/>
        <v>5</v>
      </c>
      <c r="AV92" s="4" t="str">
        <f t="shared" si="49"/>
        <v/>
      </c>
      <c r="AX92" s="4" t="str">
        <f t="shared" si="50"/>
        <v/>
      </c>
      <c r="AZ92" s="4" t="str">
        <f t="shared" si="51"/>
        <v/>
      </c>
    </row>
    <row r="93" spans="1:52" x14ac:dyDescent="0.2">
      <c r="A93" s="4" t="s">
        <v>619</v>
      </c>
      <c r="B93" s="4">
        <v>396</v>
      </c>
      <c r="C93" s="4" t="str">
        <f t="shared" si="0"/>
        <v>urn:immetingen:parameter:id:396</v>
      </c>
      <c r="D93" s="4" t="str">
        <f>IFERROR(IF(VLOOKUP($C93,'C'!$A$1:$N$1998,4,FALSE)=0,IF(VLOOKUP($C93,'C'!$A$1:$N$1998,7,FALSE)=0,VLOOKUP($C93,'C'!$A$1:$N$1998,10,FALSE),VLOOKUP($C93,'C'!$A$1:$N$1998,7,FALSE)),VLOOKUP($C93,'C'!$A$1:$N$1998,4,FALSE)),"")</f>
        <v/>
      </c>
      <c r="E93" s="4" t="str">
        <f>IFERROR(VLOOKUP($C93,'C'!$A$1:$N$1998,2,FALSE),"")</f>
        <v/>
      </c>
      <c r="F93" s="4" t="str">
        <f>IFERROR(IF(VLOOKUP($C93,'C'!$A$1:$N$1998,3,FALSE)=1,"&lt;",""),"")</f>
        <v/>
      </c>
      <c r="G93" s="4" t="str">
        <f>IFERROR(VLOOKUP($C93,'C'!$A$1:$N$1998,5,FALSE),"")</f>
        <v/>
      </c>
      <c r="H93" s="4" t="str">
        <f>IFERROR(IF(VLOOKUP($C93,'C'!$A$1:$N$1998,6,FALSE)=1,"&lt;",""),"")</f>
        <v/>
      </c>
      <c r="I93" s="4" t="str">
        <f>IFERROR(VLOOKUP($C93,'C'!$A$1:$N$1998,8,FALSE),"")</f>
        <v/>
      </c>
      <c r="J93" s="4" t="str">
        <f>IFERROR(IF(VLOOKUP($C93,'C'!$A$1:$N$1998,9,FALSE)=1,"&lt;",""),"")</f>
        <v/>
      </c>
      <c r="M93" s="4" t="str">
        <f t="shared" si="37"/>
        <v/>
      </c>
      <c r="N93" s="4" t="str">
        <f t="shared" si="43"/>
        <v/>
      </c>
      <c r="O93" s="4" t="str">
        <f t="shared" si="57"/>
        <v/>
      </c>
      <c r="P93" s="4" t="str">
        <f t="shared" si="44"/>
        <v/>
      </c>
      <c r="Q93" s="4" t="str">
        <f t="shared" si="58"/>
        <v/>
      </c>
      <c r="R93" s="4" t="str">
        <f t="shared" si="45"/>
        <v/>
      </c>
      <c r="V93" s="4">
        <f>IFERROR(IF(VLOOKUP(B93,E!$B$1:$AK$300,4,FALSE)=0,1000000,VLOOKUP(B93,E!$B$1:$AK$300,4,FALSE)),1000000)</f>
        <v>1000000</v>
      </c>
      <c r="Z93" s="4" t="str">
        <f t="shared" si="52"/>
        <v/>
      </c>
      <c r="AC93" s="4" t="str">
        <f t="shared" si="55"/>
        <v/>
      </c>
      <c r="AF93" s="4" t="str">
        <f t="shared" si="56"/>
        <v/>
      </c>
      <c r="AI93" s="77">
        <v>0</v>
      </c>
      <c r="AJ93" s="77">
        <v>0</v>
      </c>
      <c r="AK93" s="77">
        <v>1</v>
      </c>
      <c r="AO93" s="4">
        <f t="shared" si="46"/>
        <v>5</v>
      </c>
      <c r="AQ93" s="4">
        <f t="shared" si="47"/>
        <v>5</v>
      </c>
      <c r="AS93" s="4">
        <f t="shared" si="48"/>
        <v>5</v>
      </c>
      <c r="AV93" s="4" t="str">
        <f t="shared" si="49"/>
        <v/>
      </c>
      <c r="AX93" s="4" t="str">
        <f t="shared" si="50"/>
        <v/>
      </c>
      <c r="AZ93" s="4" t="str">
        <f t="shared" si="51"/>
        <v/>
      </c>
    </row>
    <row r="94" spans="1:52" x14ac:dyDescent="0.2">
      <c r="A94" s="4" t="s">
        <v>620</v>
      </c>
      <c r="B94" s="4">
        <v>597</v>
      </c>
      <c r="C94" s="4" t="str">
        <f t="shared" si="0"/>
        <v>urn:immetingen:parameter:id:597</v>
      </c>
      <c r="D94" s="4" t="str">
        <f>IFERROR(IF(VLOOKUP($C94,'C'!$A$1:$N$1998,4,FALSE)=0,IF(VLOOKUP($C94,'C'!$A$1:$N$1998,7,FALSE)=0,VLOOKUP($C94,'C'!$A$1:$N$1998,10,FALSE),VLOOKUP($C94,'C'!$A$1:$N$1998,7,FALSE)),VLOOKUP($C94,'C'!$A$1:$N$1998,4,FALSE)),"")</f>
        <v/>
      </c>
      <c r="E94" s="4" t="str">
        <f>IFERROR(VLOOKUP($C94,'C'!$A$1:$N$1998,2,FALSE),"")</f>
        <v/>
      </c>
      <c r="F94" s="4" t="str">
        <f>IFERROR(IF(VLOOKUP($C94,'C'!$A$1:$N$1998,3,FALSE)=1,"&lt;",""),"")</f>
        <v/>
      </c>
      <c r="G94" s="4" t="str">
        <f>IFERROR(VLOOKUP($C94,'C'!$A$1:$N$1998,5,FALSE),"")</f>
        <v/>
      </c>
      <c r="H94" s="4" t="str">
        <f>IFERROR(IF(VLOOKUP($C94,'C'!$A$1:$N$1998,6,FALSE)=1,"&lt;",""),"")</f>
        <v/>
      </c>
      <c r="I94" s="4" t="str">
        <f>IFERROR(VLOOKUP($C94,'C'!$A$1:$N$1998,8,FALSE),"")</f>
        <v/>
      </c>
      <c r="J94" s="4" t="str">
        <f>IFERROR(IF(VLOOKUP($C94,'C'!$A$1:$N$1998,9,FALSE)=1,"&lt;",""),"")</f>
        <v/>
      </c>
      <c r="M94" s="4" t="str">
        <f t="shared" si="37"/>
        <v/>
      </c>
      <c r="N94" s="4" t="str">
        <f t="shared" si="43"/>
        <v/>
      </c>
      <c r="O94" s="4" t="str">
        <f t="shared" si="57"/>
        <v/>
      </c>
      <c r="P94" s="4" t="str">
        <f t="shared" si="44"/>
        <v/>
      </c>
      <c r="Q94" s="4" t="str">
        <f t="shared" si="58"/>
        <v/>
      </c>
      <c r="R94" s="4" t="str">
        <f t="shared" si="45"/>
        <v/>
      </c>
      <c r="V94" s="4">
        <f>IFERROR(IF(VLOOKUP(B94,E!$B$1:$AK$300,4,FALSE)=0,1000000,VLOOKUP(B94,E!$B$1:$AK$300,4,FALSE)),1000000)</f>
        <v>1000000</v>
      </c>
      <c r="Z94" s="4" t="str">
        <f t="shared" si="52"/>
        <v/>
      </c>
      <c r="AC94" s="4" t="str">
        <f t="shared" si="55"/>
        <v/>
      </c>
      <c r="AF94" s="4" t="str">
        <f t="shared" si="56"/>
        <v/>
      </c>
      <c r="AI94" s="77">
        <v>0</v>
      </c>
      <c r="AJ94" s="77">
        <v>0</v>
      </c>
      <c r="AK94" s="77">
        <v>1</v>
      </c>
      <c r="AO94" s="4">
        <f t="shared" si="46"/>
        <v>5</v>
      </c>
      <c r="AQ94" s="4">
        <f t="shared" si="47"/>
        <v>5</v>
      </c>
      <c r="AS94" s="4">
        <f t="shared" si="48"/>
        <v>5</v>
      </c>
      <c r="AV94" s="4" t="str">
        <f t="shared" si="49"/>
        <v/>
      </c>
      <c r="AX94" s="4" t="str">
        <f t="shared" si="50"/>
        <v/>
      </c>
      <c r="AZ94" s="4" t="str">
        <f t="shared" si="51"/>
        <v/>
      </c>
    </row>
    <row r="95" spans="1:52" x14ac:dyDescent="0.2">
      <c r="A95" s="4" t="s">
        <v>559</v>
      </c>
      <c r="B95" s="4">
        <v>1590</v>
      </c>
      <c r="C95" s="4" t="str">
        <f t="shared" si="0"/>
        <v>urn:immetingen:parameter:id:1590</v>
      </c>
      <c r="D95" s="4" t="str">
        <f>IFERROR(IF(VLOOKUP($C95,'C'!$A$1:$N$1998,4,FALSE)=0,IF(VLOOKUP($C95,'C'!$A$1:$N$1998,7,FALSE)=0,VLOOKUP($C95,'C'!$A$1:$N$1998,10,FALSE),VLOOKUP($C95,'C'!$A$1:$N$1998,7,FALSE)),VLOOKUP($C95,'C'!$A$1:$N$1998,4,FALSE)),"")</f>
        <v/>
      </c>
      <c r="E95" s="4" t="str">
        <f>IFERROR(VLOOKUP($C95,'C'!$A$1:$N$1998,2,FALSE),"")</f>
        <v/>
      </c>
      <c r="F95" s="4" t="str">
        <f>IFERROR(IF(VLOOKUP($C95,'C'!$A$1:$N$1998,3,FALSE)=1,"&lt;",""),"")</f>
        <v/>
      </c>
      <c r="G95" s="4" t="str">
        <f>IFERROR(VLOOKUP($C95,'C'!$A$1:$N$1998,5,FALSE),"")</f>
        <v/>
      </c>
      <c r="H95" s="4" t="str">
        <f>IFERROR(IF(VLOOKUP($C95,'C'!$A$1:$N$1998,6,FALSE)=1,"&lt;",""),"")</f>
        <v/>
      </c>
      <c r="I95" s="4" t="str">
        <f>IFERROR(VLOOKUP($C95,'C'!$A$1:$N$1998,8,FALSE),"")</f>
        <v/>
      </c>
      <c r="J95" s="4" t="str">
        <f>IFERROR(IF(VLOOKUP($C95,'C'!$A$1:$N$1998,9,FALSE)=1,"&lt;",""),"")</f>
        <v/>
      </c>
      <c r="M95" s="4" t="str">
        <f t="shared" si="37"/>
        <v/>
      </c>
      <c r="N95" s="4" t="str">
        <f t="shared" si="43"/>
        <v/>
      </c>
      <c r="O95" s="4" t="str">
        <f t="shared" si="57"/>
        <v/>
      </c>
      <c r="P95" s="4" t="str">
        <f t="shared" si="44"/>
        <v/>
      </c>
      <c r="Q95" s="4" t="str">
        <f t="shared" si="58"/>
        <v/>
      </c>
      <c r="R95" s="4" t="str">
        <f t="shared" si="45"/>
        <v/>
      </c>
      <c r="V95" s="4">
        <f>IFERROR(IF(VLOOKUP(B95,E!$B$1:$AK$300,4,FALSE)=0,1000000,VLOOKUP(B95,E!$B$1:$AK$300,4,FALSE)),1000000)</f>
        <v>0.1</v>
      </c>
      <c r="Z95" s="81" t="str">
        <f t="shared" si="52"/>
        <v/>
      </c>
      <c r="AA95" s="81">
        <f t="shared" ref="AA95" si="62">IF(AND(N95="&lt;",Z95&lt;=$V95),0,1)</f>
        <v>1</v>
      </c>
      <c r="AB95" s="81"/>
      <c r="AC95" s="81" t="str">
        <f t="shared" si="55"/>
        <v/>
      </c>
      <c r="AD95" s="81">
        <f t="shared" ref="AD95" si="63">IF(AND(P95="&lt;",AC95&lt;=$V95),0,1)</f>
        <v>1</v>
      </c>
      <c r="AE95" s="81"/>
      <c r="AF95" s="81" t="str">
        <f t="shared" si="56"/>
        <v/>
      </c>
      <c r="AG95" s="81">
        <f t="shared" ref="AG95" si="64">IF(AND(R95="&lt;",AF95&lt;=$V95),0,1)</f>
        <v>1</v>
      </c>
      <c r="AI95" s="77">
        <v>0</v>
      </c>
      <c r="AJ95" s="77">
        <v>0</v>
      </c>
      <c r="AK95" s="77">
        <v>1</v>
      </c>
      <c r="AO95" s="4">
        <f t="shared" si="46"/>
        <v>5</v>
      </c>
      <c r="AQ95" s="4">
        <f t="shared" si="47"/>
        <v>5</v>
      </c>
      <c r="AS95" s="4">
        <f t="shared" si="48"/>
        <v>5</v>
      </c>
      <c r="AV95" s="4" t="str">
        <f t="shared" si="49"/>
        <v/>
      </c>
      <c r="AX95" s="4" t="str">
        <f t="shared" si="50"/>
        <v/>
      </c>
      <c r="AZ95" s="4" t="str">
        <f t="shared" si="51"/>
        <v/>
      </c>
    </row>
    <row r="96" spans="1:52" x14ac:dyDescent="0.2">
      <c r="A96" s="4" t="s">
        <v>609</v>
      </c>
      <c r="B96" s="4">
        <v>598</v>
      </c>
      <c r="C96" s="4" t="str">
        <f t="shared" si="0"/>
        <v>urn:immetingen:parameter:id:598</v>
      </c>
      <c r="D96" s="4" t="str">
        <f>IFERROR(IF(VLOOKUP($C96,'C'!$A$1:$N$1998,4,FALSE)=0,IF(VLOOKUP($C96,'C'!$A$1:$N$1998,7,FALSE)=0,VLOOKUP($C96,'C'!$A$1:$N$1998,10,FALSE),VLOOKUP($C96,'C'!$A$1:$N$1998,7,FALSE)),VLOOKUP($C96,'C'!$A$1:$N$1998,4,FALSE)),"")</f>
        <v/>
      </c>
      <c r="E96" s="4" t="str">
        <f>IFERROR(VLOOKUP($C96,'C'!$A$1:$N$1998,2,FALSE),"")</f>
        <v/>
      </c>
      <c r="F96" s="4" t="str">
        <f>IFERROR(IF(VLOOKUP($C96,'C'!$A$1:$N$1998,3,FALSE)=1,"&lt;",""),"")</f>
        <v/>
      </c>
      <c r="G96" s="4" t="str">
        <f>IFERROR(VLOOKUP($C96,'C'!$A$1:$N$1998,5,FALSE),"")</f>
        <v/>
      </c>
      <c r="H96" s="4" t="str">
        <f>IFERROR(IF(VLOOKUP($C96,'C'!$A$1:$N$1998,6,FALSE)=1,"&lt;",""),"")</f>
        <v/>
      </c>
      <c r="I96" s="4" t="str">
        <f>IFERROR(VLOOKUP($C96,'C'!$A$1:$N$1998,8,FALSE),"")</f>
        <v/>
      </c>
      <c r="J96" s="4" t="str">
        <f>IFERROR(IF(VLOOKUP($C96,'C'!$A$1:$N$1998,9,FALSE)=1,"&lt;",""),"")</f>
        <v/>
      </c>
      <c r="M96" s="4" t="str">
        <f t="shared" si="37"/>
        <v/>
      </c>
      <c r="N96" s="4" t="str">
        <f t="shared" si="43"/>
        <v/>
      </c>
      <c r="O96" s="4" t="str">
        <f t="shared" si="57"/>
        <v/>
      </c>
      <c r="P96" s="4" t="str">
        <f t="shared" si="44"/>
        <v/>
      </c>
      <c r="Q96" s="4" t="str">
        <f t="shared" si="58"/>
        <v/>
      </c>
      <c r="R96" s="4" t="str">
        <f t="shared" si="45"/>
        <v/>
      </c>
      <c r="V96" s="4">
        <f>IFERROR(IF(VLOOKUP(B96,E!$B$1:$AK$300,4,FALSE)=0,1000000,VLOOKUP(B96,E!$B$1:$AK$300,4,FALSE)),1000000)</f>
        <v>1000000</v>
      </c>
      <c r="Z96" s="4" t="str">
        <f t="shared" si="52"/>
        <v/>
      </c>
      <c r="AC96" s="4" t="str">
        <f t="shared" si="55"/>
        <v/>
      </c>
      <c r="AF96" s="4" t="str">
        <f t="shared" si="56"/>
        <v/>
      </c>
      <c r="AI96" s="77">
        <v>0</v>
      </c>
      <c r="AJ96" s="77">
        <v>0</v>
      </c>
      <c r="AK96" s="77">
        <v>1</v>
      </c>
      <c r="AO96" s="4">
        <f t="shared" si="46"/>
        <v>5</v>
      </c>
      <c r="AQ96" s="4">
        <f t="shared" si="47"/>
        <v>5</v>
      </c>
      <c r="AS96" s="4">
        <f t="shared" si="48"/>
        <v>5</v>
      </c>
      <c r="AV96" s="4" t="str">
        <f t="shared" si="49"/>
        <v/>
      </c>
      <c r="AX96" s="4" t="str">
        <f t="shared" si="50"/>
        <v/>
      </c>
      <c r="AZ96" s="4" t="str">
        <f t="shared" si="51"/>
        <v/>
      </c>
    </row>
    <row r="97" spans="1:52" x14ac:dyDescent="0.2">
      <c r="A97" s="4" t="s">
        <v>621</v>
      </c>
      <c r="B97" s="4">
        <v>1724</v>
      </c>
      <c r="C97" s="4" t="str">
        <f t="shared" si="0"/>
        <v>urn:immetingen:parameter:id:1724</v>
      </c>
      <c r="D97" s="4" t="str">
        <f>IFERROR(IF(VLOOKUP($C97,'C'!$A$1:$N$1998,4,FALSE)=0,IF(VLOOKUP($C97,'C'!$A$1:$N$1998,7,FALSE)=0,VLOOKUP($C97,'C'!$A$1:$N$1998,10,FALSE),VLOOKUP($C97,'C'!$A$1:$N$1998,7,FALSE)),VLOOKUP($C97,'C'!$A$1:$N$1998,4,FALSE)),"")</f>
        <v/>
      </c>
      <c r="E97" s="4" t="str">
        <f>IFERROR(VLOOKUP($C97,'C'!$A$1:$N$1998,2,FALSE),"")</f>
        <v/>
      </c>
      <c r="F97" s="4" t="str">
        <f>IFERROR(IF(VLOOKUP($C97,'C'!$A$1:$N$1998,3,FALSE)=1,"&lt;",""),"")</f>
        <v/>
      </c>
      <c r="G97" s="4" t="str">
        <f>IFERROR(VLOOKUP($C97,'C'!$A$1:$N$1998,5,FALSE),"")</f>
        <v/>
      </c>
      <c r="H97" s="4" t="str">
        <f>IFERROR(IF(VLOOKUP($C97,'C'!$A$1:$N$1998,6,FALSE)=1,"&lt;",""),"")</f>
        <v/>
      </c>
      <c r="I97" s="4" t="str">
        <f>IFERROR(VLOOKUP($C97,'C'!$A$1:$N$1998,8,FALSE),"")</f>
        <v/>
      </c>
      <c r="J97" s="4" t="str">
        <f>IFERROR(IF(VLOOKUP($C97,'C'!$A$1:$N$1998,9,FALSE)=1,"&lt;",""),"")</f>
        <v/>
      </c>
      <c r="M97" s="4" t="str">
        <f t="shared" si="37"/>
        <v/>
      </c>
      <c r="N97" s="4" t="str">
        <f t="shared" si="43"/>
        <v/>
      </c>
      <c r="O97" s="4" t="str">
        <f t="shared" si="57"/>
        <v/>
      </c>
      <c r="P97" s="4" t="str">
        <f t="shared" si="44"/>
        <v/>
      </c>
      <c r="Q97" s="4" t="str">
        <f t="shared" si="58"/>
        <v/>
      </c>
      <c r="R97" s="4" t="str">
        <f t="shared" si="45"/>
        <v/>
      </c>
      <c r="V97" s="4">
        <f>IFERROR(IF(VLOOKUP(B97,E!$B$1:$AK$300,4,FALSE)=0,1000000,VLOOKUP(B97,E!$B$1:$AK$300,4,FALSE)),1000000)</f>
        <v>1000000</v>
      </c>
      <c r="Z97" s="4" t="str">
        <f t="shared" si="52"/>
        <v/>
      </c>
      <c r="AC97" s="4" t="str">
        <f t="shared" si="55"/>
        <v/>
      </c>
      <c r="AF97" s="4" t="str">
        <f t="shared" si="56"/>
        <v/>
      </c>
      <c r="AI97" s="77">
        <v>0</v>
      </c>
      <c r="AJ97" s="77">
        <v>0</v>
      </c>
      <c r="AK97" s="77">
        <v>1</v>
      </c>
      <c r="AO97" s="4">
        <f t="shared" si="46"/>
        <v>5</v>
      </c>
      <c r="AQ97" s="4">
        <f t="shared" si="47"/>
        <v>5</v>
      </c>
      <c r="AS97" s="4">
        <f t="shared" si="48"/>
        <v>5</v>
      </c>
      <c r="AV97" s="4" t="str">
        <f t="shared" si="49"/>
        <v/>
      </c>
      <c r="AX97" s="4" t="str">
        <f t="shared" si="50"/>
        <v/>
      </c>
      <c r="AZ97" s="4" t="str">
        <f t="shared" si="51"/>
        <v/>
      </c>
    </row>
    <row r="98" spans="1:52" x14ac:dyDescent="0.2">
      <c r="A98" s="4" t="s">
        <v>622</v>
      </c>
      <c r="B98" s="4">
        <v>1777</v>
      </c>
      <c r="C98" s="4" t="str">
        <f t="shared" si="0"/>
        <v>urn:immetingen:parameter:id:1777</v>
      </c>
      <c r="D98" s="4" t="str">
        <f>IFERROR(IF(VLOOKUP($C98,'C'!$A$1:$N$1998,4,FALSE)=0,IF(VLOOKUP($C98,'C'!$A$1:$N$1998,7,FALSE)=0,VLOOKUP($C98,'C'!$A$1:$N$1998,10,FALSE),VLOOKUP($C98,'C'!$A$1:$N$1998,7,FALSE)),VLOOKUP($C98,'C'!$A$1:$N$1998,4,FALSE)),"")</f>
        <v/>
      </c>
      <c r="E98" s="4" t="str">
        <f>IFERROR(VLOOKUP($C98,'C'!$A$1:$N$1998,2,FALSE),"")</f>
        <v/>
      </c>
      <c r="F98" s="4" t="str">
        <f>IFERROR(IF(VLOOKUP($C98,'C'!$A$1:$N$1998,3,FALSE)=1,"&lt;",""),"")</f>
        <v/>
      </c>
      <c r="G98" s="4" t="str">
        <f>IFERROR(VLOOKUP($C98,'C'!$A$1:$N$1998,5,FALSE),"")</f>
        <v/>
      </c>
      <c r="H98" s="4" t="str">
        <f>IFERROR(IF(VLOOKUP($C98,'C'!$A$1:$N$1998,6,FALSE)=1,"&lt;",""),"")</f>
        <v/>
      </c>
      <c r="I98" s="4" t="str">
        <f>IFERROR(VLOOKUP($C98,'C'!$A$1:$N$1998,8,FALSE),"")</f>
        <v/>
      </c>
      <c r="J98" s="4" t="str">
        <f>IFERROR(IF(VLOOKUP($C98,'C'!$A$1:$N$1998,9,FALSE)=1,"&lt;",""),"")</f>
        <v/>
      </c>
      <c r="M98" s="4" t="str">
        <f t="shared" si="37"/>
        <v/>
      </c>
      <c r="N98" s="4" t="str">
        <f t="shared" si="43"/>
        <v/>
      </c>
      <c r="O98" s="4" t="str">
        <f t="shared" si="57"/>
        <v/>
      </c>
      <c r="P98" s="4" t="str">
        <f t="shared" si="44"/>
        <v/>
      </c>
      <c r="Q98" s="4" t="str">
        <f t="shared" si="58"/>
        <v/>
      </c>
      <c r="R98" s="4" t="str">
        <f t="shared" si="45"/>
        <v/>
      </c>
      <c r="V98" s="4">
        <f>IFERROR(IF(VLOOKUP(B98,E!$B$1:$AK$300,4,FALSE)=0,1000000,VLOOKUP(B98,E!$B$1:$AK$300,4,FALSE)),1000000)</f>
        <v>1000000</v>
      </c>
      <c r="Z98" s="4" t="str">
        <f t="shared" si="52"/>
        <v/>
      </c>
      <c r="AC98" s="4" t="str">
        <f t="shared" si="55"/>
        <v/>
      </c>
      <c r="AF98" s="4" t="str">
        <f t="shared" si="56"/>
        <v/>
      </c>
      <c r="AI98" s="77">
        <v>0</v>
      </c>
      <c r="AJ98" s="77">
        <v>0</v>
      </c>
      <c r="AK98" s="77">
        <v>1</v>
      </c>
      <c r="AO98" s="4">
        <f t="shared" si="46"/>
        <v>5</v>
      </c>
      <c r="AQ98" s="4">
        <f t="shared" si="47"/>
        <v>5</v>
      </c>
      <c r="AS98" s="4">
        <f t="shared" si="48"/>
        <v>5</v>
      </c>
      <c r="AV98" s="4" t="str">
        <f t="shared" si="49"/>
        <v/>
      </c>
      <c r="AX98" s="4" t="str">
        <f t="shared" si="50"/>
        <v/>
      </c>
      <c r="AZ98" s="4" t="str">
        <f t="shared" si="51"/>
        <v/>
      </c>
    </row>
    <row r="99" spans="1:52" x14ac:dyDescent="0.2">
      <c r="A99" s="4" t="s">
        <v>610</v>
      </c>
      <c r="B99" s="4">
        <v>3</v>
      </c>
      <c r="C99" s="4" t="str">
        <f t="shared" si="0"/>
        <v>urn:immetingen:parameter:id:3</v>
      </c>
      <c r="D99" s="4" t="str">
        <f>IFERROR(IF(VLOOKUP($C99,'C'!$A$1:$N$1998,4,FALSE)=0,IF(VLOOKUP($C99,'C'!$A$1:$N$1998,7,FALSE)=0,VLOOKUP($C99,'C'!$A$1:$N$1998,10,FALSE),VLOOKUP($C99,'C'!$A$1:$N$1998,7,FALSE)),VLOOKUP($C99,'C'!$A$1:$N$1998,4,FALSE)),"")</f>
        <v/>
      </c>
      <c r="E99" s="4" t="str">
        <f>IFERROR(VLOOKUP($C99,'C'!$A$1:$N$1998,2,FALSE),"")</f>
        <v/>
      </c>
      <c r="F99" s="4" t="str">
        <f>IFERROR(IF(VLOOKUP($C99,'C'!$A$1:$N$1998,3,FALSE)=1,"&lt;",""),"")</f>
        <v/>
      </c>
      <c r="G99" s="4" t="str">
        <f>IFERROR(VLOOKUP($C99,'C'!$A$1:$N$1998,5,FALSE),"")</f>
        <v/>
      </c>
      <c r="H99" s="4" t="str">
        <f>IFERROR(IF(VLOOKUP($C99,'C'!$A$1:$N$1998,6,FALSE)=1,"&lt;",""),"")</f>
        <v/>
      </c>
      <c r="I99" s="4" t="str">
        <f>IFERROR(VLOOKUP($C99,'C'!$A$1:$N$1998,8,FALSE),"")</f>
        <v/>
      </c>
      <c r="J99" s="4" t="str">
        <f>IFERROR(IF(VLOOKUP($C99,'C'!$A$1:$N$1998,9,FALSE)=1,"&lt;",""),"")</f>
        <v/>
      </c>
      <c r="M99" s="4" t="str">
        <f t="shared" si="37"/>
        <v/>
      </c>
      <c r="N99" s="4" t="str">
        <f t="shared" si="43"/>
        <v/>
      </c>
      <c r="O99" s="4" t="str">
        <f t="shared" si="57"/>
        <v/>
      </c>
      <c r="P99" s="4" t="str">
        <f t="shared" si="44"/>
        <v/>
      </c>
      <c r="Q99" s="4" t="str">
        <f t="shared" si="58"/>
        <v/>
      </c>
      <c r="R99" s="4" t="str">
        <f t="shared" si="45"/>
        <v/>
      </c>
      <c r="V99" s="4">
        <f>IFERROR(IF(VLOOKUP(B99,E!$B$1:$AK$300,4,FALSE)=0,1000000,VLOOKUP(B99,E!$B$1:$AK$300,4,FALSE)),1000000)</f>
        <v>1000000</v>
      </c>
      <c r="Z99" s="4" t="str">
        <f t="shared" si="52"/>
        <v/>
      </c>
      <c r="AC99" s="4" t="str">
        <f t="shared" si="55"/>
        <v/>
      </c>
      <c r="AF99" s="4" t="str">
        <f t="shared" si="56"/>
        <v/>
      </c>
      <c r="AI99" s="77">
        <v>0</v>
      </c>
      <c r="AJ99" s="77">
        <v>0</v>
      </c>
      <c r="AK99" s="77">
        <v>1</v>
      </c>
      <c r="AO99" s="4">
        <f t="shared" si="46"/>
        <v>5</v>
      </c>
      <c r="AQ99" s="4">
        <f t="shared" si="47"/>
        <v>5</v>
      </c>
      <c r="AS99" s="4">
        <f t="shared" si="48"/>
        <v>5</v>
      </c>
      <c r="AV99" s="4" t="str">
        <f t="shared" si="49"/>
        <v/>
      </c>
      <c r="AX99" s="4" t="str">
        <f t="shared" si="50"/>
        <v/>
      </c>
      <c r="AZ99" s="4" t="str">
        <f t="shared" si="51"/>
        <v/>
      </c>
    </row>
    <row r="100" spans="1:52" x14ac:dyDescent="0.2">
      <c r="A100" s="4" t="s">
        <v>611</v>
      </c>
      <c r="B100" s="4">
        <v>5</v>
      </c>
      <c r="C100" s="4" t="str">
        <f t="shared" si="0"/>
        <v>urn:immetingen:parameter:id:5</v>
      </c>
      <c r="D100" s="4" t="str">
        <f>IFERROR(IF(VLOOKUP($C100,'C'!$A$1:$N$1998,4,FALSE)=0,IF(VLOOKUP($C100,'C'!$A$1:$N$1998,7,FALSE)=0,VLOOKUP($C100,'C'!$A$1:$N$1998,10,FALSE),VLOOKUP($C100,'C'!$A$1:$N$1998,7,FALSE)),VLOOKUP($C100,'C'!$A$1:$N$1998,4,FALSE)),"")</f>
        <v/>
      </c>
      <c r="E100" s="4" t="str">
        <f>IFERROR(VLOOKUP($C100,'C'!$A$1:$N$1998,2,FALSE),"")</f>
        <v/>
      </c>
      <c r="F100" s="4" t="str">
        <f>IFERROR(IF(VLOOKUP($C100,'C'!$A$1:$N$1998,3,FALSE)=1,"&lt;",""),"")</f>
        <v/>
      </c>
      <c r="G100" s="4" t="str">
        <f>IFERROR(VLOOKUP($C100,'C'!$A$1:$N$1998,5,FALSE),"")</f>
        <v/>
      </c>
      <c r="H100" s="4" t="str">
        <f>IFERROR(IF(VLOOKUP($C100,'C'!$A$1:$N$1998,6,FALSE)=1,"&lt;",""),"")</f>
        <v/>
      </c>
      <c r="I100" s="4" t="str">
        <f>IFERROR(VLOOKUP($C100,'C'!$A$1:$N$1998,8,FALSE),"")</f>
        <v/>
      </c>
      <c r="J100" s="4" t="str">
        <f>IFERROR(IF(VLOOKUP($C100,'C'!$A$1:$N$1998,9,FALSE)=1,"&lt;",""),"")</f>
        <v/>
      </c>
      <c r="M100" s="4" t="str">
        <f t="shared" si="37"/>
        <v/>
      </c>
      <c r="N100" s="4" t="str">
        <f t="shared" si="43"/>
        <v/>
      </c>
      <c r="O100" s="4" t="str">
        <f t="shared" si="57"/>
        <v/>
      </c>
      <c r="P100" s="4" t="str">
        <f t="shared" si="44"/>
        <v/>
      </c>
      <c r="Q100" s="4" t="str">
        <f t="shared" si="58"/>
        <v/>
      </c>
      <c r="R100" s="4" t="str">
        <f t="shared" si="45"/>
        <v/>
      </c>
      <c r="V100" s="4">
        <f>IFERROR(IF(VLOOKUP(B100,E!$B$1:$AK$300,4,FALSE)=0,1000000,VLOOKUP(B100,E!$B$1:$AK$300,4,FALSE)),1000000)</f>
        <v>1000000</v>
      </c>
      <c r="Z100" s="4" t="str">
        <f t="shared" si="52"/>
        <v/>
      </c>
      <c r="AC100" s="4" t="str">
        <f t="shared" si="55"/>
        <v/>
      </c>
      <c r="AF100" s="4" t="str">
        <f t="shared" si="56"/>
        <v/>
      </c>
      <c r="AI100" s="77">
        <v>0</v>
      </c>
      <c r="AJ100" s="77">
        <v>0</v>
      </c>
      <c r="AK100" s="77">
        <v>1</v>
      </c>
      <c r="AO100" s="4">
        <f t="shared" si="46"/>
        <v>5</v>
      </c>
      <c r="AQ100" s="4">
        <f t="shared" si="47"/>
        <v>5</v>
      </c>
      <c r="AS100" s="4">
        <f t="shared" si="48"/>
        <v>5</v>
      </c>
      <c r="AV100" s="4" t="str">
        <f t="shared" si="49"/>
        <v/>
      </c>
      <c r="AX100" s="4" t="str">
        <f t="shared" si="50"/>
        <v/>
      </c>
      <c r="AZ100" s="4" t="str">
        <f t="shared" si="51"/>
        <v/>
      </c>
    </row>
    <row r="101" spans="1:52" x14ac:dyDescent="0.2">
      <c r="A101" s="4" t="s">
        <v>623</v>
      </c>
      <c r="B101" s="4">
        <v>1330</v>
      </c>
      <c r="C101" s="4" t="str">
        <f t="shared" si="0"/>
        <v>urn:immetingen:parameter:id:1330</v>
      </c>
      <c r="D101" s="4" t="str">
        <f>IFERROR(IF(VLOOKUP($C101,'C'!$A$1:$N$1998,4,FALSE)=0,IF(VLOOKUP($C101,'C'!$A$1:$N$1998,7,FALSE)=0,VLOOKUP($C101,'C'!$A$1:$N$1998,10,FALSE),VLOOKUP($C101,'C'!$A$1:$N$1998,7,FALSE)),VLOOKUP($C101,'C'!$A$1:$N$1998,4,FALSE)),"")</f>
        <v/>
      </c>
      <c r="E101" s="4" t="str">
        <f>IFERROR(VLOOKUP($C101,'C'!$A$1:$N$1998,2,FALSE),"")</f>
        <v/>
      </c>
      <c r="F101" s="4" t="str">
        <f>IFERROR(IF(VLOOKUP($C101,'C'!$A$1:$N$1998,3,FALSE)=1,"&lt;",""),"")</f>
        <v/>
      </c>
      <c r="G101" s="4" t="str">
        <f>IFERROR(VLOOKUP($C101,'C'!$A$1:$N$1998,5,FALSE),"")</f>
        <v/>
      </c>
      <c r="H101" s="4" t="str">
        <f>IFERROR(IF(VLOOKUP($C101,'C'!$A$1:$N$1998,6,FALSE)=1,"&lt;",""),"")</f>
        <v/>
      </c>
      <c r="I101" s="4" t="str">
        <f>IFERROR(VLOOKUP($C101,'C'!$A$1:$N$1998,8,FALSE),"")</f>
        <v/>
      </c>
      <c r="J101" s="4" t="str">
        <f>IFERROR(IF(VLOOKUP($C101,'C'!$A$1:$N$1998,9,FALSE)=1,"&lt;",""),"")</f>
        <v/>
      </c>
      <c r="M101" s="4" t="str">
        <f t="shared" si="37"/>
        <v/>
      </c>
      <c r="N101" s="4" t="str">
        <f t="shared" si="43"/>
        <v/>
      </c>
      <c r="O101" s="4" t="str">
        <f t="shared" si="57"/>
        <v/>
      </c>
      <c r="P101" s="4" t="str">
        <f t="shared" si="44"/>
        <v/>
      </c>
      <c r="Q101" s="4" t="str">
        <f t="shared" si="58"/>
        <v/>
      </c>
      <c r="R101" s="4" t="str">
        <f t="shared" si="45"/>
        <v/>
      </c>
      <c r="V101" s="4">
        <f>IFERROR(IF(VLOOKUP(B101,E!$B$1:$AK$300,4,FALSE)=0,1000000,VLOOKUP(B101,E!$B$1:$AK$300,4,FALSE)),1000000)</f>
        <v>1000000</v>
      </c>
      <c r="Z101" s="4" t="str">
        <f t="shared" si="52"/>
        <v/>
      </c>
      <c r="AC101" s="4" t="str">
        <f t="shared" si="55"/>
        <v/>
      </c>
      <c r="AF101" s="4" t="str">
        <f t="shared" si="56"/>
        <v/>
      </c>
      <c r="AI101" s="77">
        <v>0</v>
      </c>
      <c r="AJ101" s="77">
        <v>0</v>
      </c>
      <c r="AK101" s="77">
        <v>1</v>
      </c>
      <c r="AO101" s="4">
        <f t="shared" si="46"/>
        <v>5</v>
      </c>
      <c r="AQ101" s="4">
        <f t="shared" si="47"/>
        <v>5</v>
      </c>
      <c r="AS101" s="4">
        <f t="shared" si="48"/>
        <v>5</v>
      </c>
      <c r="AV101" s="4" t="str">
        <f t="shared" si="49"/>
        <v/>
      </c>
      <c r="AX101" s="4" t="str">
        <f t="shared" si="50"/>
        <v/>
      </c>
      <c r="AZ101" s="4" t="str">
        <f t="shared" si="51"/>
        <v/>
      </c>
    </row>
    <row r="102" spans="1:52" x14ac:dyDescent="0.2">
      <c r="A102" s="4" t="s">
        <v>624</v>
      </c>
      <c r="B102" s="4">
        <v>1358</v>
      </c>
      <c r="C102" s="4" t="str">
        <f t="shared" si="0"/>
        <v>urn:immetingen:parameter:id:1358</v>
      </c>
      <c r="D102" s="4" t="str">
        <f>IFERROR(IF(VLOOKUP($C102,'C'!$A$1:$N$1998,4,FALSE)=0,IF(VLOOKUP($C102,'C'!$A$1:$N$1998,7,FALSE)=0,VLOOKUP($C102,'C'!$A$1:$N$1998,10,FALSE),VLOOKUP($C102,'C'!$A$1:$N$1998,7,FALSE)),VLOOKUP($C102,'C'!$A$1:$N$1998,4,FALSE)),"")</f>
        <v/>
      </c>
      <c r="E102" s="4" t="str">
        <f>IFERROR(VLOOKUP($C102,'C'!$A$1:$N$1998,2,FALSE),"")</f>
        <v/>
      </c>
      <c r="F102" s="4" t="str">
        <f>IFERROR(IF(VLOOKUP($C102,'C'!$A$1:$N$1998,3,FALSE)=1,"&lt;",""),"")</f>
        <v/>
      </c>
      <c r="G102" s="4" t="str">
        <f>IFERROR(VLOOKUP($C102,'C'!$A$1:$N$1998,5,FALSE),"")</f>
        <v/>
      </c>
      <c r="H102" s="4" t="str">
        <f>IFERROR(IF(VLOOKUP($C102,'C'!$A$1:$N$1998,6,FALSE)=1,"&lt;",""),"")</f>
        <v/>
      </c>
      <c r="I102" s="4" t="str">
        <f>IFERROR(VLOOKUP($C102,'C'!$A$1:$N$1998,8,FALSE),"")</f>
        <v/>
      </c>
      <c r="J102" s="4" t="str">
        <f>IFERROR(IF(VLOOKUP($C102,'C'!$A$1:$N$1998,9,FALSE)=1,"&lt;",""),"")</f>
        <v/>
      </c>
      <c r="M102" s="4" t="str">
        <f t="shared" si="37"/>
        <v/>
      </c>
      <c r="N102" s="4" t="str">
        <f t="shared" si="43"/>
        <v/>
      </c>
      <c r="O102" s="4" t="str">
        <f t="shared" si="57"/>
        <v/>
      </c>
      <c r="P102" s="4" t="str">
        <f t="shared" si="44"/>
        <v/>
      </c>
      <c r="Q102" s="4" t="str">
        <f t="shared" si="58"/>
        <v/>
      </c>
      <c r="R102" s="4" t="str">
        <f t="shared" si="45"/>
        <v/>
      </c>
      <c r="V102" s="4">
        <f>IFERROR(IF(VLOOKUP(B102,E!$B$1:$AK$300,4,FALSE)=0,1000000,VLOOKUP(B102,E!$B$1:$AK$300,4,FALSE)),1000000)</f>
        <v>1000000</v>
      </c>
      <c r="Z102" s="4" t="str">
        <f t="shared" si="52"/>
        <v/>
      </c>
      <c r="AC102" s="4" t="str">
        <f t="shared" si="55"/>
        <v/>
      </c>
      <c r="AF102" s="4" t="str">
        <f t="shared" si="56"/>
        <v/>
      </c>
      <c r="AI102" s="77">
        <v>0</v>
      </c>
      <c r="AJ102" s="77">
        <v>0</v>
      </c>
      <c r="AK102" s="77">
        <v>1</v>
      </c>
      <c r="AO102" s="4">
        <f t="shared" si="46"/>
        <v>5</v>
      </c>
      <c r="AQ102" s="4">
        <f t="shared" si="47"/>
        <v>5</v>
      </c>
      <c r="AS102" s="4">
        <f t="shared" si="48"/>
        <v>5</v>
      </c>
      <c r="AV102" s="4" t="str">
        <f t="shared" si="49"/>
        <v/>
      </c>
      <c r="AX102" s="4" t="str">
        <f t="shared" si="50"/>
        <v/>
      </c>
      <c r="AZ102" s="4" t="str">
        <f t="shared" si="51"/>
        <v/>
      </c>
    </row>
    <row r="103" spans="1:52" x14ac:dyDescent="0.2">
      <c r="A103" s="4" t="s">
        <v>626</v>
      </c>
      <c r="B103" s="4">
        <v>799</v>
      </c>
      <c r="C103" s="4" t="str">
        <f t="shared" si="0"/>
        <v>urn:immetingen:parameter:id:799</v>
      </c>
      <c r="D103" s="4" t="str">
        <f>IFERROR(IF(VLOOKUP($C103,'C'!$A$1:$N$1998,4,FALSE)=0,IF(VLOOKUP($C103,'C'!$A$1:$N$1998,7,FALSE)=0,VLOOKUP($C103,'C'!$A$1:$N$1998,10,FALSE),VLOOKUP($C103,'C'!$A$1:$N$1998,7,FALSE)),VLOOKUP($C103,'C'!$A$1:$N$1998,4,FALSE)),"")</f>
        <v/>
      </c>
      <c r="E103" s="4" t="str">
        <f>IFERROR(VLOOKUP($C103,'C'!$A$1:$N$1998,2,FALSE),"")</f>
        <v/>
      </c>
      <c r="F103" s="4" t="str">
        <f>IFERROR(IF(VLOOKUP($C103,'C'!$A$1:$N$1998,3,FALSE)=1,"&lt;",""),"")</f>
        <v/>
      </c>
      <c r="G103" s="4" t="str">
        <f>IFERROR(VLOOKUP($C103,'C'!$A$1:$N$1998,5,FALSE),"")</f>
        <v/>
      </c>
      <c r="H103" s="4" t="str">
        <f>IFERROR(IF(VLOOKUP($C103,'C'!$A$1:$N$1998,6,FALSE)=1,"&lt;",""),"")</f>
        <v/>
      </c>
      <c r="I103" s="4" t="str">
        <f>IFERROR(VLOOKUP($C103,'C'!$A$1:$N$1998,8,FALSE),"")</f>
        <v/>
      </c>
      <c r="J103" s="4" t="str">
        <f>IFERROR(IF(VLOOKUP($C103,'C'!$A$1:$N$1998,9,FALSE)=1,"&lt;",""),"")</f>
        <v/>
      </c>
      <c r="M103" s="4" t="str">
        <f t="shared" si="37"/>
        <v/>
      </c>
      <c r="N103" s="4" t="str">
        <f t="shared" si="43"/>
        <v/>
      </c>
      <c r="O103" s="4" t="str">
        <f t="shared" si="57"/>
        <v/>
      </c>
      <c r="P103" s="4" t="str">
        <f t="shared" si="44"/>
        <v/>
      </c>
      <c r="Q103" s="4" t="str">
        <f t="shared" si="58"/>
        <v/>
      </c>
      <c r="R103" s="4" t="str">
        <f t="shared" si="45"/>
        <v/>
      </c>
      <c r="V103" s="4">
        <f>IFERROR(IF(VLOOKUP(B103,E!$B$1:$AK$300,4,FALSE)=0,1000000,VLOOKUP(B103,E!$B$1:$AK$300,4,FALSE)),1000000)</f>
        <v>1000000</v>
      </c>
      <c r="Z103" s="4" t="str">
        <f t="shared" si="52"/>
        <v/>
      </c>
      <c r="AC103" s="4" t="str">
        <f t="shared" si="55"/>
        <v/>
      </c>
      <c r="AF103" s="4" t="str">
        <f t="shared" si="56"/>
        <v/>
      </c>
      <c r="AI103" s="77">
        <v>0</v>
      </c>
      <c r="AJ103" s="77">
        <v>0</v>
      </c>
      <c r="AK103" s="77">
        <v>1</v>
      </c>
      <c r="AO103" s="4">
        <f t="shared" si="46"/>
        <v>5</v>
      </c>
      <c r="AQ103" s="4">
        <f t="shared" si="47"/>
        <v>5</v>
      </c>
      <c r="AS103" s="4">
        <f t="shared" si="48"/>
        <v>5</v>
      </c>
      <c r="AV103" s="4" t="str">
        <f t="shared" si="49"/>
        <v/>
      </c>
      <c r="AX103" s="4" t="str">
        <f t="shared" si="50"/>
        <v/>
      </c>
      <c r="AZ103" s="4" t="str">
        <f t="shared" si="51"/>
        <v/>
      </c>
    </row>
    <row r="104" spans="1:52" x14ac:dyDescent="0.2">
      <c r="A104" s="4" t="s">
        <v>627</v>
      </c>
      <c r="B104" s="4">
        <v>802</v>
      </c>
      <c r="C104" s="4" t="str">
        <f t="shared" si="0"/>
        <v>urn:immetingen:parameter:id:802</v>
      </c>
      <c r="D104" s="4" t="str">
        <f>IFERROR(IF(VLOOKUP($C104,'C'!$A$1:$N$1998,4,FALSE)=0,IF(VLOOKUP($C104,'C'!$A$1:$N$1998,7,FALSE)=0,VLOOKUP($C104,'C'!$A$1:$N$1998,10,FALSE),VLOOKUP($C104,'C'!$A$1:$N$1998,7,FALSE)),VLOOKUP($C104,'C'!$A$1:$N$1998,4,FALSE)),"")</f>
        <v/>
      </c>
      <c r="E104" s="4" t="str">
        <f>IFERROR(VLOOKUP($C104,'C'!$A$1:$N$1998,2,FALSE),"")</f>
        <v/>
      </c>
      <c r="F104" s="4" t="str">
        <f>IFERROR(IF(VLOOKUP($C104,'C'!$A$1:$N$1998,3,FALSE)=1,"&lt;",""),"")</f>
        <v/>
      </c>
      <c r="G104" s="4" t="str">
        <f>IFERROR(VLOOKUP($C104,'C'!$A$1:$N$1998,5,FALSE),"")</f>
        <v/>
      </c>
      <c r="H104" s="4" t="str">
        <f>IFERROR(IF(VLOOKUP($C104,'C'!$A$1:$N$1998,6,FALSE)=1,"&lt;",""),"")</f>
        <v/>
      </c>
      <c r="I104" s="4" t="str">
        <f>IFERROR(VLOOKUP($C104,'C'!$A$1:$N$1998,8,FALSE),"")</f>
        <v/>
      </c>
      <c r="J104" s="4" t="str">
        <f>IFERROR(IF(VLOOKUP($C104,'C'!$A$1:$N$1998,9,FALSE)=1,"&lt;",""),"")</f>
        <v/>
      </c>
      <c r="M104" s="4" t="str">
        <f t="shared" si="37"/>
        <v/>
      </c>
      <c r="N104" s="4" t="str">
        <f t="shared" si="43"/>
        <v/>
      </c>
      <c r="O104" s="4" t="str">
        <f t="shared" si="57"/>
        <v/>
      </c>
      <c r="P104" s="4" t="str">
        <f t="shared" si="44"/>
        <v/>
      </c>
      <c r="Q104" s="4" t="str">
        <f t="shared" si="58"/>
        <v/>
      </c>
      <c r="R104" s="4" t="str">
        <f t="shared" si="45"/>
        <v/>
      </c>
      <c r="V104" s="4">
        <f>IFERROR(IF(VLOOKUP(B104,E!$B$1:$AK$300,4,FALSE)=0,1000000,VLOOKUP(B104,E!$B$1:$AK$300,4,FALSE)),1000000)</f>
        <v>1000000</v>
      </c>
      <c r="Z104" s="4" t="str">
        <f t="shared" si="52"/>
        <v/>
      </c>
      <c r="AC104" s="4" t="str">
        <f t="shared" si="55"/>
        <v/>
      </c>
      <c r="AF104" s="4" t="str">
        <f t="shared" si="56"/>
        <v/>
      </c>
      <c r="AI104" s="77">
        <v>0</v>
      </c>
      <c r="AJ104" s="77">
        <v>0</v>
      </c>
      <c r="AK104" s="77">
        <v>1</v>
      </c>
      <c r="AO104" s="4">
        <f t="shared" si="46"/>
        <v>5</v>
      </c>
      <c r="AQ104" s="4">
        <f t="shared" si="47"/>
        <v>5</v>
      </c>
      <c r="AS104" s="4">
        <f t="shared" si="48"/>
        <v>5</v>
      </c>
      <c r="AV104" s="4" t="str">
        <f t="shared" si="49"/>
        <v/>
      </c>
      <c r="AX104" s="4" t="str">
        <f t="shared" si="50"/>
        <v/>
      </c>
      <c r="AZ104" s="4" t="str">
        <f t="shared" si="51"/>
        <v/>
      </c>
    </row>
    <row r="105" spans="1:52" x14ac:dyDescent="0.2">
      <c r="A105" s="4" t="s">
        <v>628</v>
      </c>
      <c r="B105" s="4">
        <v>1247</v>
      </c>
      <c r="C105" s="4" t="str">
        <f t="shared" si="0"/>
        <v>urn:immetingen:parameter:id:1247</v>
      </c>
      <c r="D105" s="4" t="str">
        <f>IFERROR(IF(VLOOKUP($C105,'C'!$A$1:$N$1998,4,FALSE)=0,IF(VLOOKUP($C105,'C'!$A$1:$N$1998,7,FALSE)=0,VLOOKUP($C105,'C'!$A$1:$N$1998,10,FALSE),VLOOKUP($C105,'C'!$A$1:$N$1998,7,FALSE)),VLOOKUP($C105,'C'!$A$1:$N$1998,4,FALSE)),"")</f>
        <v/>
      </c>
      <c r="E105" s="4" t="str">
        <f>IFERROR(VLOOKUP($C105,'C'!$A$1:$N$1998,2,FALSE),"")</f>
        <v/>
      </c>
      <c r="F105" s="4" t="str">
        <f>IFERROR(IF(VLOOKUP($C105,'C'!$A$1:$N$1998,3,FALSE)=1,"&lt;",""),"")</f>
        <v/>
      </c>
      <c r="G105" s="4" t="str">
        <f>IFERROR(VLOOKUP($C105,'C'!$A$1:$N$1998,5,FALSE),"")</f>
        <v/>
      </c>
      <c r="H105" s="4" t="str">
        <f>IFERROR(IF(VLOOKUP($C105,'C'!$A$1:$N$1998,6,FALSE)=1,"&lt;",""),"")</f>
        <v/>
      </c>
      <c r="I105" s="4" t="str">
        <f>IFERROR(VLOOKUP($C105,'C'!$A$1:$N$1998,8,FALSE),"")</f>
        <v/>
      </c>
      <c r="J105" s="4" t="str">
        <f>IFERROR(IF(VLOOKUP($C105,'C'!$A$1:$N$1998,9,FALSE)=1,"&lt;",""),"")</f>
        <v/>
      </c>
      <c r="M105" s="4" t="str">
        <f t="shared" si="37"/>
        <v/>
      </c>
      <c r="N105" s="4" t="str">
        <f t="shared" si="43"/>
        <v/>
      </c>
      <c r="O105" s="4" t="str">
        <f t="shared" si="57"/>
        <v/>
      </c>
      <c r="P105" s="4" t="str">
        <f t="shared" si="44"/>
        <v/>
      </c>
      <c r="Q105" s="4" t="str">
        <f t="shared" si="58"/>
        <v/>
      </c>
      <c r="R105" s="4" t="str">
        <f t="shared" si="45"/>
        <v/>
      </c>
      <c r="V105" s="4">
        <f>IFERROR(IF(VLOOKUP(B105,E!$B$1:$AK$300,4,FALSE)=0,1000000,VLOOKUP(B105,E!$B$1:$AK$300,4,FALSE)),1000000)</f>
        <v>1000000</v>
      </c>
      <c r="Z105" s="4" t="str">
        <f t="shared" si="52"/>
        <v/>
      </c>
      <c r="AC105" s="4" t="str">
        <f t="shared" si="55"/>
        <v/>
      </c>
      <c r="AF105" s="4" t="str">
        <f t="shared" si="56"/>
        <v/>
      </c>
      <c r="AI105" s="77">
        <v>0</v>
      </c>
      <c r="AJ105" s="77">
        <v>0</v>
      </c>
      <c r="AK105" s="77">
        <v>1</v>
      </c>
      <c r="AO105" s="4">
        <f t="shared" si="46"/>
        <v>5</v>
      </c>
      <c r="AQ105" s="4">
        <f t="shared" si="47"/>
        <v>5</v>
      </c>
      <c r="AS105" s="4">
        <f t="shared" si="48"/>
        <v>5</v>
      </c>
      <c r="AV105" s="4" t="str">
        <f t="shared" si="49"/>
        <v/>
      </c>
      <c r="AX105" s="4" t="str">
        <f t="shared" si="50"/>
        <v/>
      </c>
      <c r="AZ105" s="4" t="str">
        <f t="shared" si="51"/>
        <v/>
      </c>
    </row>
    <row r="106" spans="1:52" x14ac:dyDescent="0.2">
      <c r="A106" s="4" t="s">
        <v>629</v>
      </c>
      <c r="B106" s="4">
        <v>489</v>
      </c>
      <c r="C106" s="4" t="str">
        <f t="shared" si="0"/>
        <v>urn:immetingen:parameter:id:489</v>
      </c>
      <c r="D106" s="4" t="str">
        <f>IFERROR(IF(VLOOKUP($C106,'C'!$A$1:$N$1998,4,FALSE)=0,IF(VLOOKUP($C106,'C'!$A$1:$N$1998,7,FALSE)=0,VLOOKUP($C106,'C'!$A$1:$N$1998,10,FALSE),VLOOKUP($C106,'C'!$A$1:$N$1998,7,FALSE)),VLOOKUP($C106,'C'!$A$1:$N$1998,4,FALSE)),"")</f>
        <v/>
      </c>
      <c r="E106" s="4" t="str">
        <f>IFERROR(VLOOKUP($C106,'C'!$A$1:$N$1998,2,FALSE),"")</f>
        <v/>
      </c>
      <c r="F106" s="4" t="str">
        <f>IFERROR(IF(VLOOKUP($C106,'C'!$A$1:$N$1998,3,FALSE)=1,"&lt;",""),"")</f>
        <v/>
      </c>
      <c r="G106" s="4" t="str">
        <f>IFERROR(VLOOKUP($C106,'C'!$A$1:$N$1998,5,FALSE),"")</f>
        <v/>
      </c>
      <c r="H106" s="4" t="str">
        <f>IFERROR(IF(VLOOKUP($C106,'C'!$A$1:$N$1998,6,FALSE)=1,"&lt;",""),"")</f>
        <v/>
      </c>
      <c r="I106" s="4" t="str">
        <f>IFERROR(VLOOKUP($C106,'C'!$A$1:$N$1998,8,FALSE),"")</f>
        <v/>
      </c>
      <c r="J106" s="4" t="str">
        <f>IFERROR(IF(VLOOKUP($C106,'C'!$A$1:$N$1998,9,FALSE)=1,"&lt;",""),"")</f>
        <v/>
      </c>
      <c r="M106" s="4" t="str">
        <f t="shared" si="37"/>
        <v/>
      </c>
      <c r="N106" s="4" t="str">
        <f t="shared" si="43"/>
        <v/>
      </c>
      <c r="O106" s="4" t="str">
        <f t="shared" si="57"/>
        <v/>
      </c>
      <c r="P106" s="4" t="str">
        <f t="shared" si="44"/>
        <v/>
      </c>
      <c r="Q106" s="4" t="str">
        <f t="shared" si="58"/>
        <v/>
      </c>
      <c r="R106" s="4" t="str">
        <f t="shared" si="45"/>
        <v/>
      </c>
      <c r="V106" s="4">
        <f>IFERROR(IF(VLOOKUP(B106,E!$B$1:$AK$300,4,FALSE)=0,1000000,VLOOKUP(B106,E!$B$1:$AK$300,4,FALSE)),1000000)</f>
        <v>1000000</v>
      </c>
      <c r="Z106" s="4" t="str">
        <f t="shared" si="52"/>
        <v/>
      </c>
      <c r="AC106" s="4" t="str">
        <f t="shared" si="55"/>
        <v/>
      </c>
      <c r="AF106" s="4" t="str">
        <f t="shared" si="56"/>
        <v/>
      </c>
      <c r="AI106" s="77">
        <v>0</v>
      </c>
      <c r="AJ106" s="77">
        <v>0</v>
      </c>
      <c r="AK106" s="77">
        <v>1</v>
      </c>
      <c r="AO106" s="4">
        <f t="shared" si="46"/>
        <v>5</v>
      </c>
      <c r="AQ106" s="4">
        <f t="shared" si="47"/>
        <v>5</v>
      </c>
      <c r="AS106" s="4">
        <f t="shared" si="48"/>
        <v>5</v>
      </c>
      <c r="AV106" s="4" t="str">
        <f t="shared" si="49"/>
        <v/>
      </c>
      <c r="AX106" s="4" t="str">
        <f t="shared" si="50"/>
        <v/>
      </c>
      <c r="AZ106" s="4" t="str">
        <f t="shared" si="51"/>
        <v/>
      </c>
    </row>
    <row r="107" spans="1:52" x14ac:dyDescent="0.2">
      <c r="A107" s="4" t="s">
        <v>630</v>
      </c>
      <c r="B107" s="4">
        <v>399</v>
      </c>
      <c r="C107" s="4" t="str">
        <f t="shared" si="0"/>
        <v>urn:immetingen:parameter:id:399</v>
      </c>
      <c r="D107" s="4" t="str">
        <f>IFERROR(IF(VLOOKUP($C107,'C'!$A$1:$N$1998,4,FALSE)=0,IF(VLOOKUP($C107,'C'!$A$1:$N$1998,7,FALSE)=0,VLOOKUP($C107,'C'!$A$1:$N$1998,10,FALSE),VLOOKUP($C107,'C'!$A$1:$N$1998,7,FALSE)),VLOOKUP($C107,'C'!$A$1:$N$1998,4,FALSE)),"")</f>
        <v/>
      </c>
      <c r="E107" s="4" t="str">
        <f>IFERROR(VLOOKUP($C107,'C'!$A$1:$N$1998,2,FALSE),"")</f>
        <v/>
      </c>
      <c r="F107" s="4" t="str">
        <f>IFERROR(IF(VLOOKUP($C107,'C'!$A$1:$N$1998,3,FALSE)=1,"&lt;",""),"")</f>
        <v/>
      </c>
      <c r="G107" s="4" t="str">
        <f>IFERROR(VLOOKUP($C107,'C'!$A$1:$N$1998,5,FALSE),"")</f>
        <v/>
      </c>
      <c r="H107" s="4" t="str">
        <f>IFERROR(IF(VLOOKUP($C107,'C'!$A$1:$N$1998,6,FALSE)=1,"&lt;",""),"")</f>
        <v/>
      </c>
      <c r="I107" s="4" t="str">
        <f>IFERROR(VLOOKUP($C107,'C'!$A$1:$N$1998,8,FALSE),"")</f>
        <v/>
      </c>
      <c r="J107" s="4" t="str">
        <f>IFERROR(IF(VLOOKUP($C107,'C'!$A$1:$N$1998,9,FALSE)=1,"&lt;",""),"")</f>
        <v/>
      </c>
      <c r="M107" s="4" t="str">
        <f t="shared" si="37"/>
        <v/>
      </c>
      <c r="N107" s="4" t="str">
        <f t="shared" si="43"/>
        <v/>
      </c>
      <c r="O107" s="4" t="str">
        <f t="shared" si="57"/>
        <v/>
      </c>
      <c r="P107" s="4" t="str">
        <f t="shared" si="44"/>
        <v/>
      </c>
      <c r="Q107" s="4" t="str">
        <f t="shared" si="58"/>
        <v/>
      </c>
      <c r="R107" s="4" t="str">
        <f t="shared" si="45"/>
        <v/>
      </c>
      <c r="V107" s="4">
        <f>IFERROR(IF(VLOOKUP(B107,E!$B$1:$AK$300,4,FALSE)=0,1000000,VLOOKUP(B107,E!$B$1:$AK$300,4,FALSE)),1000000)</f>
        <v>1000000</v>
      </c>
      <c r="Z107" s="4" t="str">
        <f t="shared" si="52"/>
        <v/>
      </c>
      <c r="AC107" s="4" t="str">
        <f t="shared" si="55"/>
        <v/>
      </c>
      <c r="AF107" s="4" t="str">
        <f t="shared" si="56"/>
        <v/>
      </c>
      <c r="AI107" s="77">
        <v>0</v>
      </c>
      <c r="AJ107" s="77">
        <v>0</v>
      </c>
      <c r="AK107" s="77">
        <v>1</v>
      </c>
      <c r="AO107" s="4">
        <f t="shared" si="46"/>
        <v>5</v>
      </c>
      <c r="AQ107" s="4">
        <f t="shared" si="47"/>
        <v>5</v>
      </c>
      <c r="AS107" s="4">
        <f t="shared" si="48"/>
        <v>5</v>
      </c>
      <c r="AV107" s="4" t="str">
        <f t="shared" si="49"/>
        <v/>
      </c>
      <c r="AX107" s="4" t="str">
        <f t="shared" si="50"/>
        <v/>
      </c>
      <c r="AZ107" s="4" t="str">
        <f t="shared" si="51"/>
        <v/>
      </c>
    </row>
    <row r="108" spans="1:52" x14ac:dyDescent="0.2">
      <c r="A108" s="4" t="s">
        <v>631</v>
      </c>
      <c r="B108" s="4">
        <v>1246</v>
      </c>
      <c r="C108" s="4" t="str">
        <f t="shared" si="0"/>
        <v>urn:immetingen:parameter:id:1246</v>
      </c>
      <c r="D108" s="4" t="str">
        <f>IFERROR(IF(VLOOKUP($C108,'C'!$A$1:$N$1998,4,FALSE)=0,IF(VLOOKUP($C108,'C'!$A$1:$N$1998,7,FALSE)=0,VLOOKUP($C108,'C'!$A$1:$N$1998,10,FALSE),VLOOKUP($C108,'C'!$A$1:$N$1998,7,FALSE)),VLOOKUP($C108,'C'!$A$1:$N$1998,4,FALSE)),"")</f>
        <v/>
      </c>
      <c r="E108" s="4" t="str">
        <f>IFERROR(VLOOKUP($C108,'C'!$A$1:$N$1998,2,FALSE),"")</f>
        <v/>
      </c>
      <c r="F108" s="4" t="str">
        <f>IFERROR(IF(VLOOKUP($C108,'C'!$A$1:$N$1998,3,FALSE)=1,"&lt;",""),"")</f>
        <v/>
      </c>
      <c r="G108" s="4" t="str">
        <f>IFERROR(VLOOKUP($C108,'C'!$A$1:$N$1998,5,FALSE),"")</f>
        <v/>
      </c>
      <c r="H108" s="4" t="str">
        <f>IFERROR(IF(VLOOKUP($C108,'C'!$A$1:$N$1998,6,FALSE)=1,"&lt;",""),"")</f>
        <v/>
      </c>
      <c r="I108" s="4" t="str">
        <f>IFERROR(VLOOKUP($C108,'C'!$A$1:$N$1998,8,FALSE),"")</f>
        <v/>
      </c>
      <c r="J108" s="4" t="str">
        <f>IFERROR(IF(VLOOKUP($C108,'C'!$A$1:$N$1998,9,FALSE)=1,"&lt;",""),"")</f>
        <v/>
      </c>
      <c r="M108" s="4" t="str">
        <f t="shared" si="37"/>
        <v/>
      </c>
      <c r="N108" s="4" t="str">
        <f t="shared" si="43"/>
        <v/>
      </c>
      <c r="O108" s="4" t="str">
        <f t="shared" si="57"/>
        <v/>
      </c>
      <c r="P108" s="4" t="str">
        <f t="shared" si="44"/>
        <v/>
      </c>
      <c r="Q108" s="4" t="str">
        <f t="shared" si="58"/>
        <v/>
      </c>
      <c r="R108" s="4" t="str">
        <f t="shared" si="45"/>
        <v/>
      </c>
      <c r="V108" s="4">
        <f>IFERROR(IF(VLOOKUP(B108,E!$B$1:$AK$300,4,FALSE)=0,1000000,VLOOKUP(B108,E!$B$1:$AK$300,4,FALSE)),1000000)</f>
        <v>0.04</v>
      </c>
      <c r="Z108" s="4" t="str">
        <f t="shared" si="52"/>
        <v/>
      </c>
      <c r="AC108" s="4" t="str">
        <f t="shared" si="55"/>
        <v/>
      </c>
      <c r="AF108" s="4" t="str">
        <f t="shared" si="56"/>
        <v/>
      </c>
      <c r="AI108" s="77">
        <v>0</v>
      </c>
      <c r="AJ108" s="77">
        <v>0</v>
      </c>
      <c r="AK108" s="77">
        <v>1</v>
      </c>
      <c r="AO108" s="4">
        <f t="shared" si="46"/>
        <v>5</v>
      </c>
      <c r="AQ108" s="4">
        <f t="shared" si="47"/>
        <v>5</v>
      </c>
      <c r="AS108" s="4">
        <f t="shared" si="48"/>
        <v>5</v>
      </c>
      <c r="AV108" s="4" t="str">
        <f t="shared" si="49"/>
        <v/>
      </c>
      <c r="AX108" s="4" t="str">
        <f t="shared" si="50"/>
        <v/>
      </c>
      <c r="AZ108" s="4" t="str">
        <f t="shared" si="51"/>
        <v/>
      </c>
    </row>
    <row r="109" spans="1:52" x14ac:dyDescent="0.2">
      <c r="A109" s="4" t="s">
        <v>632</v>
      </c>
      <c r="B109" s="4">
        <v>35</v>
      </c>
      <c r="C109" s="4" t="str">
        <f t="shared" si="0"/>
        <v>urn:immetingen:parameter:id:35</v>
      </c>
      <c r="D109" s="4" t="str">
        <f>IFERROR(IF(VLOOKUP($C109,'C'!$A$1:$N$1998,4,FALSE)=0,IF(VLOOKUP($C109,'C'!$A$1:$N$1998,7,FALSE)=0,VLOOKUP($C109,'C'!$A$1:$N$1998,10,FALSE),VLOOKUP($C109,'C'!$A$1:$N$1998,7,FALSE)),VLOOKUP($C109,'C'!$A$1:$N$1998,4,FALSE)),"")</f>
        <v/>
      </c>
      <c r="E109" s="4" t="str">
        <f>IFERROR(VLOOKUP($C109,'C'!$A$1:$N$1998,2,FALSE),"")</f>
        <v/>
      </c>
      <c r="F109" s="4" t="str">
        <f>IFERROR(IF(VLOOKUP($C109,'C'!$A$1:$N$1998,3,FALSE)=1,"&lt;",""),"")</f>
        <v/>
      </c>
      <c r="G109" s="4" t="str">
        <f>IFERROR(VLOOKUP($C109,'C'!$A$1:$N$1998,5,FALSE),"")</f>
        <v/>
      </c>
      <c r="H109" s="4" t="str">
        <f>IFERROR(IF(VLOOKUP($C109,'C'!$A$1:$N$1998,6,FALSE)=1,"&lt;",""),"")</f>
        <v/>
      </c>
      <c r="I109" s="4" t="str">
        <f>IFERROR(VLOOKUP($C109,'C'!$A$1:$N$1998,8,FALSE),"")</f>
        <v/>
      </c>
      <c r="J109" s="4" t="str">
        <f>IFERROR(IF(VLOOKUP($C109,'C'!$A$1:$N$1998,9,FALSE)=1,"&lt;",""),"")</f>
        <v/>
      </c>
      <c r="M109" s="4" t="str">
        <f t="shared" si="37"/>
        <v/>
      </c>
      <c r="N109" s="4" t="str">
        <f t="shared" si="43"/>
        <v/>
      </c>
      <c r="O109" s="4" t="str">
        <f t="shared" si="57"/>
        <v/>
      </c>
      <c r="P109" s="4" t="str">
        <f t="shared" si="44"/>
        <v/>
      </c>
      <c r="Q109" s="4" t="str">
        <f t="shared" si="58"/>
        <v/>
      </c>
      <c r="R109" s="4" t="str">
        <f t="shared" si="45"/>
        <v/>
      </c>
      <c r="V109" s="4">
        <f>IFERROR(IF(VLOOKUP(B109,E!$B$1:$AK$300,4,FALSE)=0,1000000,VLOOKUP(B109,E!$B$1:$AK$300,4,FALSE)),1000000)</f>
        <v>1000000</v>
      </c>
      <c r="Z109" s="17" t="str">
        <f>IF(AA109=-1,IF(SUM(AA$109:AA$111)=-3,0,(0.7*M109)),AA109)</f>
        <v/>
      </c>
      <c r="AA109" s="17" t="str">
        <f>IF(M109="","",IF(AND(N109="&lt;",M109&lt;=V109),-1,(IF(N109="&lt;",0.7*M109,M109))))</f>
        <v/>
      </c>
      <c r="AC109" s="17" t="str">
        <f>IF(AD109=-1,IF(SUM(AD$109:AD$111)=-3,0,(0.7*O109)),AD109)</f>
        <v/>
      </c>
      <c r="AD109" s="17" t="str">
        <f>IF(O109="","",IF(AND(P109="&lt;",O109&lt;=V109),-1,(IF(P109="&lt;",0.7*O109,O109))))</f>
        <v/>
      </c>
      <c r="AF109" s="17" t="str">
        <f>IF(AG109=-1,IF(SUM(AG$109:AG$111)=-3,0,(0.7*Q109)),AG109)</f>
        <v/>
      </c>
      <c r="AG109" s="17" t="str">
        <f>IF(Q109="","",IF(AND(R109="&lt;",Q109&lt;=AB109),-1,(IF(R109="&lt;",0.7*Q109,Q109))))</f>
        <v/>
      </c>
      <c r="AI109" s="77">
        <v>0</v>
      </c>
      <c r="AJ109" s="77">
        <v>0</v>
      </c>
      <c r="AK109" s="77">
        <v>1</v>
      </c>
      <c r="AO109" s="4">
        <f t="shared" si="46"/>
        <v>5</v>
      </c>
      <c r="AQ109" s="4">
        <f t="shared" si="47"/>
        <v>5</v>
      </c>
      <c r="AS109" s="4">
        <f t="shared" si="48"/>
        <v>5</v>
      </c>
      <c r="AV109" s="4" t="str">
        <f t="shared" si="49"/>
        <v/>
      </c>
      <c r="AX109" s="4" t="str">
        <f t="shared" si="50"/>
        <v/>
      </c>
      <c r="AZ109" s="4" t="str">
        <f t="shared" si="51"/>
        <v/>
      </c>
    </row>
    <row r="110" spans="1:52" x14ac:dyDescent="0.2">
      <c r="A110" s="4" t="s">
        <v>633</v>
      </c>
      <c r="B110" s="4">
        <v>47</v>
      </c>
      <c r="C110" s="4" t="str">
        <f t="shared" si="0"/>
        <v>urn:immetingen:parameter:id:47</v>
      </c>
      <c r="D110" s="4" t="str">
        <f>IFERROR(IF(VLOOKUP($C110,'C'!$A$1:$N$1998,4,FALSE)=0,IF(VLOOKUP($C110,'C'!$A$1:$N$1998,7,FALSE)=0,VLOOKUP($C110,'C'!$A$1:$N$1998,10,FALSE),VLOOKUP($C110,'C'!$A$1:$N$1998,7,FALSE)),VLOOKUP($C110,'C'!$A$1:$N$1998,4,FALSE)),"")</f>
        <v/>
      </c>
      <c r="E110" s="4" t="str">
        <f>IFERROR(VLOOKUP($C110,'C'!$A$1:$N$1998,2,FALSE),"")</f>
        <v/>
      </c>
      <c r="F110" s="4" t="str">
        <f>IFERROR(IF(VLOOKUP($C110,'C'!$A$1:$N$1998,3,FALSE)=1,"&lt;",""),"")</f>
        <v/>
      </c>
      <c r="G110" s="4" t="str">
        <f>IFERROR(VLOOKUP($C110,'C'!$A$1:$N$1998,5,FALSE),"")</f>
        <v/>
      </c>
      <c r="H110" s="4" t="str">
        <f>IFERROR(IF(VLOOKUP($C110,'C'!$A$1:$N$1998,6,FALSE)=1,"&lt;",""),"")</f>
        <v/>
      </c>
      <c r="I110" s="4" t="str">
        <f>IFERROR(VLOOKUP($C110,'C'!$A$1:$N$1998,8,FALSE),"")</f>
        <v/>
      </c>
      <c r="J110" s="4" t="str">
        <f>IFERROR(IF(VLOOKUP($C110,'C'!$A$1:$N$1998,9,FALSE)=1,"&lt;",""),"")</f>
        <v/>
      </c>
      <c r="M110" s="4" t="str">
        <f t="shared" si="37"/>
        <v/>
      </c>
      <c r="N110" s="4" t="str">
        <f t="shared" si="43"/>
        <v/>
      </c>
      <c r="O110" s="4" t="str">
        <f t="shared" si="57"/>
        <v/>
      </c>
      <c r="P110" s="4" t="str">
        <f t="shared" si="44"/>
        <v/>
      </c>
      <c r="Q110" s="4" t="str">
        <f t="shared" si="58"/>
        <v/>
      </c>
      <c r="R110" s="4" t="str">
        <f t="shared" si="45"/>
        <v/>
      </c>
      <c r="V110" s="4">
        <f>IFERROR(IF(VLOOKUP(B110,E!$B$1:$AK$300,4,FALSE)=0,1000000,VLOOKUP(B110,E!$B$1:$AK$300,4,FALSE)),1000000)</f>
        <v>1000000</v>
      </c>
      <c r="Z110" s="17" t="str">
        <f>IF(AA110=-1,IF(SUM(AA$109:AA$111)=-3,0,(0.7*M110)),AA110)</f>
        <v/>
      </c>
      <c r="AA110" s="17" t="str">
        <f t="shared" ref="AA110:AA119" si="65">IF(M110="","",IF(AND(N110="&lt;",M110&lt;=V110),-1,(IF(N110="&lt;",0.7*M110,M110))))</f>
        <v/>
      </c>
      <c r="AC110" s="17" t="str">
        <f t="shared" ref="AC110:AC111" si="66">IF(AD110=-1,IF(SUM(AD$109:AD$111)=-3,0,(0.7*O110)),AD110)</f>
        <v/>
      </c>
      <c r="AD110" s="17" t="str">
        <f t="shared" ref="AD110:AD115" si="67">IF(O110="","",IF(AND(P110="&lt;",O110&lt;=V110),-1,(IF(P110="&lt;",0.7*O110,O110))))</f>
        <v/>
      </c>
      <c r="AF110" s="17" t="str">
        <f t="shared" ref="AF110:AF111" si="68">IF(AG110=-1,IF(SUM(AG$109:AG$111)=-3,0,(0.7*Q110)),AG110)</f>
        <v/>
      </c>
      <c r="AG110" s="17" t="str">
        <f t="shared" ref="AG110:AG111" si="69">IF(Q110="","",IF(AND(R110="&lt;",Q110&lt;=AB110),-1,(IF(R110="&lt;",0.7*Q110,Q110))))</f>
        <v/>
      </c>
      <c r="AI110" s="77">
        <v>0</v>
      </c>
      <c r="AJ110" s="77">
        <v>0</v>
      </c>
      <c r="AK110" s="77">
        <v>1</v>
      </c>
      <c r="AO110" s="4">
        <f t="shared" si="46"/>
        <v>5</v>
      </c>
      <c r="AQ110" s="4">
        <f t="shared" si="47"/>
        <v>5</v>
      </c>
      <c r="AS110" s="4">
        <f t="shared" si="48"/>
        <v>5</v>
      </c>
      <c r="AV110" s="4" t="str">
        <f t="shared" si="49"/>
        <v/>
      </c>
      <c r="AX110" s="4" t="str">
        <f t="shared" si="50"/>
        <v/>
      </c>
      <c r="AZ110" s="4" t="str">
        <f t="shared" si="51"/>
        <v/>
      </c>
    </row>
    <row r="111" spans="1:52" x14ac:dyDescent="0.2">
      <c r="A111" s="4" t="s">
        <v>634</v>
      </c>
      <c r="B111" s="4">
        <v>54</v>
      </c>
      <c r="C111" s="4" t="str">
        <f t="shared" si="0"/>
        <v>urn:immetingen:parameter:id:54</v>
      </c>
      <c r="D111" s="4" t="str">
        <f>IFERROR(IF(VLOOKUP($C111,'C'!$A$1:$N$1998,4,FALSE)=0,IF(VLOOKUP($C111,'C'!$A$1:$N$1998,7,FALSE)=0,VLOOKUP($C111,'C'!$A$1:$N$1998,10,FALSE),VLOOKUP($C111,'C'!$A$1:$N$1998,7,FALSE)),VLOOKUP($C111,'C'!$A$1:$N$1998,4,FALSE)),"")</f>
        <v/>
      </c>
      <c r="E111" s="4" t="str">
        <f>IFERROR(VLOOKUP($C111,'C'!$A$1:$N$1998,2,FALSE),"")</f>
        <v/>
      </c>
      <c r="F111" s="4" t="str">
        <f>IFERROR(IF(VLOOKUP($C111,'C'!$A$1:$N$1998,3,FALSE)=1,"&lt;",""),"")</f>
        <v/>
      </c>
      <c r="G111" s="4" t="str">
        <f>IFERROR(VLOOKUP($C111,'C'!$A$1:$N$1998,5,FALSE),"")</f>
        <v/>
      </c>
      <c r="H111" s="4" t="str">
        <f>IFERROR(IF(VLOOKUP($C111,'C'!$A$1:$N$1998,6,FALSE)=1,"&lt;",""),"")</f>
        <v/>
      </c>
      <c r="I111" s="4" t="str">
        <f>IFERROR(VLOOKUP($C111,'C'!$A$1:$N$1998,8,FALSE),"")</f>
        <v/>
      </c>
      <c r="J111" s="4" t="str">
        <f>IFERROR(IF(VLOOKUP($C111,'C'!$A$1:$N$1998,9,FALSE)=1,"&lt;",""),"")</f>
        <v/>
      </c>
      <c r="M111" s="4" t="str">
        <f t="shared" si="37"/>
        <v/>
      </c>
      <c r="N111" s="4" t="str">
        <f t="shared" si="43"/>
        <v/>
      </c>
      <c r="O111" s="4" t="str">
        <f t="shared" si="57"/>
        <v/>
      </c>
      <c r="P111" s="4" t="str">
        <f t="shared" si="44"/>
        <v/>
      </c>
      <c r="Q111" s="4" t="str">
        <f t="shared" si="58"/>
        <v/>
      </c>
      <c r="R111" s="4" t="str">
        <f t="shared" si="45"/>
        <v/>
      </c>
      <c r="V111" s="4">
        <f>IFERROR(IF(VLOOKUP(B111,E!$B$1:$AK$300,4,FALSE)=0,1000000,VLOOKUP(B111,E!$B$1:$AK$300,4,FALSE)),1000000)</f>
        <v>1000000</v>
      </c>
      <c r="Z111" s="17" t="str">
        <f>IF(AA111=-1,IF(SUM(AA$109:AA$111)=-3,0,(0.7*M111)),AA111)</f>
        <v/>
      </c>
      <c r="AA111" s="17" t="str">
        <f t="shared" si="65"/>
        <v/>
      </c>
      <c r="AC111" s="17" t="str">
        <f t="shared" si="66"/>
        <v/>
      </c>
      <c r="AD111" s="17" t="str">
        <f t="shared" si="67"/>
        <v/>
      </c>
      <c r="AF111" s="17" t="str">
        <f t="shared" si="68"/>
        <v/>
      </c>
      <c r="AG111" s="17" t="str">
        <f t="shared" si="69"/>
        <v/>
      </c>
      <c r="AI111" s="77">
        <v>0</v>
      </c>
      <c r="AJ111" s="77">
        <v>0</v>
      </c>
      <c r="AK111" s="77">
        <v>1</v>
      </c>
      <c r="AO111" s="4">
        <f t="shared" si="46"/>
        <v>5</v>
      </c>
      <c r="AQ111" s="4">
        <f t="shared" si="47"/>
        <v>5</v>
      </c>
      <c r="AS111" s="4">
        <f t="shared" si="48"/>
        <v>5</v>
      </c>
      <c r="AV111" s="4" t="str">
        <f t="shared" si="49"/>
        <v/>
      </c>
      <c r="AX111" s="4" t="str">
        <f t="shared" si="50"/>
        <v/>
      </c>
      <c r="AZ111" s="4" t="str">
        <f t="shared" si="51"/>
        <v/>
      </c>
    </row>
    <row r="112" spans="1:52" x14ac:dyDescent="0.2">
      <c r="A112" s="81" t="s">
        <v>821</v>
      </c>
      <c r="B112" s="4">
        <v>607</v>
      </c>
      <c r="C112" s="4" t="str">
        <f t="shared" si="0"/>
        <v>urn:immetingen:parameter:id:607</v>
      </c>
      <c r="D112" s="17" t="str">
        <f>D109</f>
        <v/>
      </c>
      <c r="E112" s="17" t="str">
        <f>IFERROR(IF($D112=131,IF(AND(F109="&lt;",F110="&lt;",F111="&lt;"),SUM(E109:E111),AA112*1000),IF(AND(F109="&lt;",F110="&lt;",F111="&lt;"),SUM(E109:E111),AA112)),"")</f>
        <v/>
      </c>
      <c r="F112" s="17" t="str">
        <f>IFERROR(IF(AND(F109="&lt;",F110="&lt;",F111="&lt;"),"&lt;",""),"")</f>
        <v/>
      </c>
      <c r="G112" s="17" t="str">
        <f>IFERROR(IF($D112=131,IF(AND(H109="&lt;",H110="&lt;",H111="&lt;"),SUM(G109:G111),AD112*1000),IF(AND(H109="&lt;",H110="&lt;",H111="&lt;"),SUM(G109:G111),AD112)),"")</f>
        <v/>
      </c>
      <c r="H112" s="17" t="str">
        <f>IFERROR(IF(AND(H109="&lt;",H110="&lt;",H111="&lt;"),"&lt;",""),"")</f>
        <v/>
      </c>
      <c r="I112" s="17" t="str">
        <f>IFERROR(IF($D112=131,IF(AND(J109="&lt;",J110="&lt;",J111="&lt;"),SUM(I109:I111),AG112*1000),IF(AND(J109="&lt;",J110="&lt;",J111="&lt;"),SUM(I109:I111),AG112)),"")</f>
        <v/>
      </c>
      <c r="J112" s="17" t="str">
        <f>IFERROR(IF(AND(J109="&lt;",J110="&lt;",J111="&lt;"),"&lt;",""),"")</f>
        <v/>
      </c>
      <c r="M112" s="4" t="str">
        <f t="shared" si="37"/>
        <v/>
      </c>
      <c r="N112" s="4" t="str">
        <f t="shared" si="43"/>
        <v/>
      </c>
      <c r="O112" s="4" t="str">
        <f t="shared" si="57"/>
        <v/>
      </c>
      <c r="P112" s="4" t="str">
        <f t="shared" si="44"/>
        <v/>
      </c>
      <c r="Q112" s="4" t="str">
        <f t="shared" si="58"/>
        <v/>
      </c>
      <c r="R112" s="4" t="str">
        <f t="shared" si="45"/>
        <v/>
      </c>
      <c r="V112" s="4">
        <f>IFERROR(IF(VLOOKUP(B112,E!$B$1:$AK$300,4,FALSE)=0,1000000,VLOOKUP(B112,E!$B$1:$AK$300,4,FALSE)),1000000)</f>
        <v>0.3</v>
      </c>
      <c r="Z112" s="17">
        <f>SUM(Z109:Z111)</f>
        <v>0</v>
      </c>
      <c r="AA112" s="64" t="str">
        <f>IF(M109="","",IF(Z112=0,SUM(M109:M111),Z112))</f>
        <v/>
      </c>
      <c r="AC112" s="17">
        <f>SUM(AC109:AC111)</f>
        <v>0</v>
      </c>
      <c r="AD112" s="64" t="str">
        <f>IF(O109="","",IF(AC112=0,SUM(O109:O111),AC112))</f>
        <v/>
      </c>
      <c r="AF112" s="17">
        <f>SUM(AF109:AF111)</f>
        <v>0</v>
      </c>
      <c r="AG112" s="64" t="str">
        <f>IF(Q109="","",IF(AF112=0,SUM(Q109:Q111),AF112))</f>
        <v/>
      </c>
      <c r="AI112" s="77">
        <v>0</v>
      </c>
      <c r="AJ112" s="77">
        <v>0</v>
      </c>
      <c r="AK112" s="77">
        <v>1</v>
      </c>
      <c r="AO112" s="4">
        <f t="shared" si="46"/>
        <v>5</v>
      </c>
      <c r="AQ112" s="4">
        <f t="shared" si="47"/>
        <v>5</v>
      </c>
      <c r="AS112" s="4">
        <f t="shared" si="48"/>
        <v>5</v>
      </c>
      <c r="AV112" s="4" t="str">
        <f t="shared" si="49"/>
        <v/>
      </c>
      <c r="AX112" s="4" t="str">
        <f t="shared" si="50"/>
        <v/>
      </c>
      <c r="AZ112" s="4" t="str">
        <f t="shared" si="51"/>
        <v/>
      </c>
    </row>
    <row r="113" spans="1:52" x14ac:dyDescent="0.2">
      <c r="A113" s="4" t="s">
        <v>635</v>
      </c>
      <c r="B113" s="4">
        <v>26</v>
      </c>
      <c r="C113" s="4" t="str">
        <f t="shared" si="0"/>
        <v>urn:immetingen:parameter:id:26</v>
      </c>
      <c r="D113" s="4" t="str">
        <f>IFERROR(IF(VLOOKUP($C113,'C'!$A$1:$N$1998,4,FALSE)=0,IF(VLOOKUP($C113,'C'!$A$1:$N$1998,7,FALSE)=0,VLOOKUP($C113,'C'!$A$1:$N$1998,10,FALSE),VLOOKUP($C113,'C'!$A$1:$N$1998,7,FALSE)),VLOOKUP($C113,'C'!$A$1:$N$1998,4,FALSE)),"")</f>
        <v/>
      </c>
      <c r="E113" s="4" t="str">
        <f>IFERROR(VLOOKUP($C113,'C'!$A$1:$N$1998,2,FALSE),"")</f>
        <v/>
      </c>
      <c r="F113" s="4" t="str">
        <f>IFERROR(IF(VLOOKUP($C113,'C'!$A$1:$N$1998,3,FALSE)=1,"&lt;",""),"")</f>
        <v/>
      </c>
      <c r="G113" s="4" t="str">
        <f>IFERROR(VLOOKUP($C113,'C'!$A$1:$N$1998,5,FALSE),"")</f>
        <v/>
      </c>
      <c r="H113" s="4" t="str">
        <f>IFERROR(IF(VLOOKUP($C113,'C'!$A$1:$N$1998,6,FALSE)=1,"&lt;",""),"")</f>
        <v/>
      </c>
      <c r="I113" s="4" t="str">
        <f>IFERROR(VLOOKUP($C113,'C'!$A$1:$N$1998,8,FALSE),"")</f>
        <v/>
      </c>
      <c r="J113" s="4" t="str">
        <f>IFERROR(IF(VLOOKUP($C113,'C'!$A$1:$N$1998,9,FALSE)=1,"&lt;",""),"")</f>
        <v/>
      </c>
      <c r="M113" s="4" t="str">
        <f t="shared" si="37"/>
        <v/>
      </c>
      <c r="N113" s="4" t="str">
        <f t="shared" si="43"/>
        <v/>
      </c>
      <c r="O113" s="4" t="str">
        <f t="shared" si="57"/>
        <v/>
      </c>
      <c r="P113" s="4" t="str">
        <f t="shared" si="44"/>
        <v/>
      </c>
      <c r="Q113" s="4" t="str">
        <f t="shared" si="58"/>
        <v/>
      </c>
      <c r="R113" s="4" t="str">
        <f t="shared" si="45"/>
        <v/>
      </c>
      <c r="V113" s="4">
        <f>IFERROR(IF(VLOOKUP(B113,E!$B$1:$AK$300,4,FALSE)=0,1000000,VLOOKUP(B113,E!$B$1:$AK$300,4,FALSE)),1000000)</f>
        <v>1000000</v>
      </c>
      <c r="Z113" s="17" t="str">
        <f>IF(AA113=-1,IF(SUM(AA$113:AA$115)=-3,0,(0.7*M113)),AA113)</f>
        <v/>
      </c>
      <c r="AA113" s="17" t="str">
        <f t="shared" si="65"/>
        <v/>
      </c>
      <c r="AC113" s="17" t="str">
        <f>IF(AD113=-1,IF(SUM(AD$113:AD$115)=-3,0,(0.7*O113)),AD113)</f>
        <v/>
      </c>
      <c r="AD113" s="17" t="str">
        <f t="shared" si="67"/>
        <v/>
      </c>
      <c r="AF113" s="17" t="str">
        <f>IF(AG113=-1,IF(SUM(AG$113:AG$115)=-3,0,(0.7*Q113)),AG113)</f>
        <v/>
      </c>
      <c r="AG113" s="17" t="str">
        <f>IF(Q113="","",IF(AND(R113="&lt;",Q113&lt;=AB113),-1,(IF(R113="&lt;",0.7*Q113,Q113))))</f>
        <v/>
      </c>
      <c r="AI113" s="77">
        <v>0</v>
      </c>
      <c r="AJ113" s="77">
        <v>0</v>
      </c>
      <c r="AK113" s="77">
        <v>1</v>
      </c>
      <c r="AO113" s="4">
        <f t="shared" si="46"/>
        <v>5</v>
      </c>
      <c r="AQ113" s="4">
        <f t="shared" si="47"/>
        <v>5</v>
      </c>
      <c r="AS113" s="4">
        <f t="shared" si="48"/>
        <v>5</v>
      </c>
      <c r="AV113" s="4" t="str">
        <f t="shared" si="49"/>
        <v/>
      </c>
      <c r="AX113" s="4" t="str">
        <f t="shared" si="50"/>
        <v/>
      </c>
      <c r="AZ113" s="4" t="str">
        <f t="shared" si="51"/>
        <v/>
      </c>
    </row>
    <row r="114" spans="1:52" x14ac:dyDescent="0.2">
      <c r="A114" s="4" t="s">
        <v>636</v>
      </c>
      <c r="B114" s="4">
        <v>32</v>
      </c>
      <c r="C114" s="4" t="str">
        <f t="shared" si="0"/>
        <v>urn:immetingen:parameter:id:32</v>
      </c>
      <c r="D114" s="4" t="str">
        <f>IFERROR(IF(VLOOKUP($C114,'C'!$A$1:$N$1998,4,FALSE)=0,IF(VLOOKUP($C114,'C'!$A$1:$N$1998,7,FALSE)=0,VLOOKUP($C114,'C'!$A$1:$N$1998,10,FALSE),VLOOKUP($C114,'C'!$A$1:$N$1998,7,FALSE)),VLOOKUP($C114,'C'!$A$1:$N$1998,4,FALSE)),"")</f>
        <v/>
      </c>
      <c r="E114" s="4" t="str">
        <f>IFERROR(VLOOKUP($C114,'C'!$A$1:$N$1998,2,FALSE),"")</f>
        <v/>
      </c>
      <c r="F114" s="4" t="str">
        <f>IFERROR(IF(VLOOKUP($C114,'C'!$A$1:$N$1998,3,FALSE)=1,"&lt;",""),"")</f>
        <v/>
      </c>
      <c r="G114" s="4" t="str">
        <f>IFERROR(VLOOKUP($C114,'C'!$A$1:$N$1998,5,FALSE),"")</f>
        <v/>
      </c>
      <c r="H114" s="4" t="str">
        <f>IFERROR(IF(VLOOKUP($C114,'C'!$A$1:$N$1998,6,FALSE)=1,"&lt;",""),"")</f>
        <v/>
      </c>
      <c r="I114" s="4" t="str">
        <f>IFERROR(VLOOKUP($C114,'C'!$A$1:$N$1998,8,FALSE),"")</f>
        <v/>
      </c>
      <c r="J114" s="4" t="str">
        <f>IFERROR(IF(VLOOKUP($C114,'C'!$A$1:$N$1998,9,FALSE)=1,"&lt;",""),"")</f>
        <v/>
      </c>
      <c r="M114" s="4" t="str">
        <f t="shared" si="37"/>
        <v/>
      </c>
      <c r="N114" s="4" t="str">
        <f t="shared" si="43"/>
        <v/>
      </c>
      <c r="O114" s="4" t="str">
        <f t="shared" si="57"/>
        <v/>
      </c>
      <c r="P114" s="4" t="str">
        <f t="shared" si="44"/>
        <v/>
      </c>
      <c r="Q114" s="4" t="str">
        <f t="shared" si="58"/>
        <v/>
      </c>
      <c r="R114" s="4" t="str">
        <f t="shared" si="45"/>
        <v/>
      </c>
      <c r="V114" s="4">
        <f>IFERROR(IF(VLOOKUP(B114,E!$B$1:$AK$300,4,FALSE)=0,1000000,VLOOKUP(B114,E!$B$1:$AK$300,4,FALSE)),1000000)</f>
        <v>1000000</v>
      </c>
      <c r="Z114" s="17" t="str">
        <f t="shared" ref="Z114:Z115" si="70">IF(AA114=-1,IF(SUM(AA$113:AA$115)=-3,0,(0.7*M114)),AA114)</f>
        <v/>
      </c>
      <c r="AA114" s="17" t="str">
        <f t="shared" si="65"/>
        <v/>
      </c>
      <c r="AC114" s="17" t="str">
        <f t="shared" ref="AC114:AC115" si="71">IF(AD114=-1,IF(SUM(AD$113:AD$115)=-3,0,(0.7*O114)),AD114)</f>
        <v/>
      </c>
      <c r="AD114" s="17" t="str">
        <f t="shared" si="67"/>
        <v/>
      </c>
      <c r="AF114" s="17" t="str">
        <f t="shared" ref="AF114:AF115" si="72">IF(AG114=-1,IF(SUM(AG$113:AG$115)=-3,0,(0.7*Q114)),AG114)</f>
        <v/>
      </c>
      <c r="AG114" s="17" t="str">
        <f t="shared" ref="AG114:AG115" si="73">IF(Q114="","",IF(AND(R114="&lt;",Q114&lt;=AB114),-1,(IF(R114="&lt;",0.7*Q114,Q114))))</f>
        <v/>
      </c>
      <c r="AI114" s="77">
        <v>0</v>
      </c>
      <c r="AJ114" s="77">
        <v>0</v>
      </c>
      <c r="AK114" s="77">
        <v>1</v>
      </c>
      <c r="AO114" s="4">
        <f t="shared" si="46"/>
        <v>5</v>
      </c>
      <c r="AQ114" s="4">
        <f t="shared" si="47"/>
        <v>5</v>
      </c>
      <c r="AS114" s="4">
        <f t="shared" si="48"/>
        <v>5</v>
      </c>
      <c r="AV114" s="4" t="str">
        <f t="shared" si="49"/>
        <v/>
      </c>
      <c r="AX114" s="4" t="str">
        <f t="shared" si="50"/>
        <v/>
      </c>
      <c r="AZ114" s="4" t="str">
        <f t="shared" si="51"/>
        <v/>
      </c>
    </row>
    <row r="115" spans="1:52" x14ac:dyDescent="0.2">
      <c r="A115" s="81" t="s">
        <v>916</v>
      </c>
      <c r="B115" s="4">
        <v>44</v>
      </c>
      <c r="C115" s="4" t="str">
        <f t="shared" si="0"/>
        <v>urn:immetingen:parameter:id:44</v>
      </c>
      <c r="D115" s="4" t="str">
        <f>IFERROR(IF(VLOOKUP($C115,'C'!$A$1:$N$1998,4,FALSE)=0,IF(VLOOKUP($C115,'C'!$A$1:$N$1998,7,FALSE)=0,VLOOKUP($C115,'C'!$A$1:$N$1998,10,FALSE),VLOOKUP($C115,'C'!$A$1:$N$1998,7,FALSE)),VLOOKUP($C115,'C'!$A$1:$N$1998,4,FALSE)),"")</f>
        <v/>
      </c>
      <c r="E115" s="4" t="str">
        <f>IFERROR(VLOOKUP($C115,'C'!$A$1:$N$1998,2,FALSE),"")</f>
        <v/>
      </c>
      <c r="F115" s="4" t="str">
        <f>IFERROR(IF(VLOOKUP($C115,'C'!$A$1:$N$1998,3,FALSE)=1,"&lt;",""),"")</f>
        <v/>
      </c>
      <c r="G115" s="4" t="str">
        <f>IFERROR(VLOOKUP($C115,'C'!$A$1:$N$1998,5,FALSE),"")</f>
        <v/>
      </c>
      <c r="H115" s="4" t="str">
        <f>IFERROR(IF(VLOOKUP($C115,'C'!$A$1:$N$1998,6,FALSE)=1,"&lt;",""),"")</f>
        <v/>
      </c>
      <c r="I115" s="4" t="str">
        <f>IFERROR(VLOOKUP($C115,'C'!$A$1:$N$1998,8,FALSE),"")</f>
        <v/>
      </c>
      <c r="J115" s="4" t="str">
        <f>IFERROR(IF(VLOOKUP($C115,'C'!$A$1:$N$1998,9,FALSE)=1,"&lt;",""),"")</f>
        <v/>
      </c>
      <c r="M115" s="4" t="str">
        <f t="shared" si="37"/>
        <v/>
      </c>
      <c r="N115" s="4" t="str">
        <f t="shared" si="43"/>
        <v/>
      </c>
      <c r="O115" s="4" t="str">
        <f t="shared" si="57"/>
        <v/>
      </c>
      <c r="P115" s="4" t="str">
        <f t="shared" si="44"/>
        <v/>
      </c>
      <c r="Q115" s="4" t="str">
        <f t="shared" si="58"/>
        <v/>
      </c>
      <c r="R115" s="4" t="str">
        <f t="shared" si="45"/>
        <v/>
      </c>
      <c r="V115" s="4">
        <f>IFERROR(IF(VLOOKUP(B115,E!$B$1:$AK$300,4,FALSE)=0,1000000,VLOOKUP(B115,E!$B$1:$AK$300,4,FALSE)),1000000)</f>
        <v>1000000</v>
      </c>
      <c r="Z115" s="17" t="str">
        <f t="shared" si="70"/>
        <v/>
      </c>
      <c r="AA115" s="17" t="str">
        <f t="shared" si="65"/>
        <v/>
      </c>
      <c r="AC115" s="17" t="str">
        <f t="shared" si="71"/>
        <v/>
      </c>
      <c r="AD115" s="17" t="str">
        <f t="shared" si="67"/>
        <v/>
      </c>
      <c r="AF115" s="17" t="str">
        <f t="shared" si="72"/>
        <v/>
      </c>
      <c r="AG115" s="17" t="str">
        <f t="shared" si="73"/>
        <v/>
      </c>
      <c r="AI115" s="77">
        <v>0</v>
      </c>
      <c r="AJ115" s="77">
        <v>0</v>
      </c>
      <c r="AK115" s="77">
        <v>1</v>
      </c>
      <c r="AO115" s="4">
        <f t="shared" si="46"/>
        <v>5</v>
      </c>
      <c r="AQ115" s="4">
        <f t="shared" si="47"/>
        <v>5</v>
      </c>
      <c r="AS115" s="4">
        <f t="shared" si="48"/>
        <v>5</v>
      </c>
      <c r="AV115" s="4" t="str">
        <f t="shared" si="49"/>
        <v/>
      </c>
      <c r="AX115" s="4" t="str">
        <f t="shared" si="50"/>
        <v/>
      </c>
      <c r="AZ115" s="4" t="str">
        <f t="shared" si="51"/>
        <v/>
      </c>
    </row>
    <row r="116" spans="1:52" x14ac:dyDescent="0.2">
      <c r="A116" s="81" t="s">
        <v>822</v>
      </c>
      <c r="B116" s="4">
        <v>1595</v>
      </c>
      <c r="C116" s="4" t="str">
        <f t="shared" si="0"/>
        <v>urn:immetingen:parameter:id:1595</v>
      </c>
      <c r="D116" s="17" t="str">
        <f>D114</f>
        <v/>
      </c>
      <c r="E116" s="17" t="str">
        <f>IFERROR(IF($D116=131,IF(AND(F113="&lt;",F114="&lt;",F115="&lt;"),SUM(E113:E115),AA116*1000),IF(AND(F113="&lt;",F114="&lt;",F115="&lt;"),SUM(E113:E115),AA116)),"")</f>
        <v/>
      </c>
      <c r="F116" s="17" t="str">
        <f>IFERROR(IF(AND(F113="&lt;",F114="&lt;",F115="&lt;"),"&lt;",""),"")</f>
        <v/>
      </c>
      <c r="G116" s="17" t="str">
        <f>IFERROR(IF($D116=131,IF(AND(H113="&lt;",H114="&lt;",H115="&lt;"),SUM(G113:G115),AD116*1000),IF(AND(H113="&lt;",H114="&lt;",H115="&lt;"),SUM(G113:G115),AD116)),"")</f>
        <v/>
      </c>
      <c r="H116" s="17" t="str">
        <f>IFERROR(IF(AND(H113="&lt;",H114="&lt;",H115="&lt;"),"&lt;",""),"")</f>
        <v/>
      </c>
      <c r="I116" s="17" t="str">
        <f>IFERROR(IF($D116=131,IF(AND(J113="&lt;",J114="&lt;",J115="&lt;"),SUM(I113:I115),AG116*1000),IF(AND(J113="&lt;",J114="&lt;",J115="&lt;"),SUM(I113:I115),AG116)),"")</f>
        <v/>
      </c>
      <c r="J116" s="17" t="str">
        <f>IFERROR(IF(AND(J113="&lt;",J114="&lt;",J115="&lt;"),"&lt;",""),"")</f>
        <v/>
      </c>
      <c r="M116" s="4" t="str">
        <f t="shared" si="37"/>
        <v/>
      </c>
      <c r="N116" s="4" t="str">
        <f t="shared" si="43"/>
        <v/>
      </c>
      <c r="O116" s="4" t="str">
        <f t="shared" si="57"/>
        <v/>
      </c>
      <c r="P116" s="4" t="str">
        <f t="shared" si="44"/>
        <v/>
      </c>
      <c r="Q116" s="4" t="str">
        <f t="shared" si="58"/>
        <v/>
      </c>
      <c r="R116" s="4" t="str">
        <f t="shared" si="45"/>
        <v/>
      </c>
      <c r="V116" s="4">
        <f>IFERROR(IF(VLOOKUP(B116,E!$B$1:$AK$300,4,FALSE)=0,1000000,VLOOKUP(B116,E!$B$1:$AK$300,4,FALSE)),1000000)</f>
        <v>3.0000000000000001E-3</v>
      </c>
      <c r="Z116" s="17">
        <f>SUM(Z113:Z115)</f>
        <v>0</v>
      </c>
      <c r="AA116" s="64" t="str">
        <f>IF(M113="","",IF(Z116=0,SUM(M113:M115),Z116))</f>
        <v/>
      </c>
      <c r="AC116" s="17">
        <f>SUM(AC113:AC115)</f>
        <v>0</v>
      </c>
      <c r="AD116" s="64" t="str">
        <f>IF(O113="","",IF(AC116=0,SUM(O113:O115),AC116))</f>
        <v/>
      </c>
      <c r="AF116" s="17">
        <f>SUM(AF113:AF115)</f>
        <v>0</v>
      </c>
      <c r="AG116" s="64" t="str">
        <f>IF(Q113="","",IF(AF116=0,SUM(Q113:Q115),AF116))</f>
        <v/>
      </c>
      <c r="AI116" s="77">
        <v>0</v>
      </c>
      <c r="AJ116" s="77">
        <v>0</v>
      </c>
      <c r="AK116" s="77">
        <v>1</v>
      </c>
      <c r="AO116" s="4">
        <f t="shared" si="46"/>
        <v>5</v>
      </c>
      <c r="AQ116" s="4">
        <f t="shared" si="47"/>
        <v>5</v>
      </c>
      <c r="AS116" s="4">
        <f t="shared" si="48"/>
        <v>5</v>
      </c>
      <c r="AV116" s="4" t="str">
        <f t="shared" si="49"/>
        <v/>
      </c>
      <c r="AX116" s="4" t="str">
        <f t="shared" si="50"/>
        <v/>
      </c>
      <c r="AZ116" s="4" t="str">
        <f t="shared" si="51"/>
        <v/>
      </c>
    </row>
    <row r="117" spans="1:52" x14ac:dyDescent="0.2">
      <c r="A117" s="81" t="s">
        <v>917</v>
      </c>
      <c r="B117" s="4">
        <v>16</v>
      </c>
      <c r="C117" s="4" t="str">
        <f t="shared" si="0"/>
        <v>urn:immetingen:parameter:id:16</v>
      </c>
      <c r="D117" s="4" t="str">
        <f>IFERROR(IF(VLOOKUP($C117,'C'!$A$1:$N$1998,4,FALSE)=0,IF(VLOOKUP($C117,'C'!$A$1:$N$1998,7,FALSE)=0,VLOOKUP($C117,'C'!$A$1:$N$1998,10,FALSE),VLOOKUP($C117,'C'!$A$1:$N$1998,7,FALSE)),VLOOKUP($C117,'C'!$A$1:$N$1998,4,FALSE)),"")</f>
        <v/>
      </c>
      <c r="E117" s="4" t="str">
        <f>IFERROR(VLOOKUP($C117,'C'!$A$1:$N$1998,2,FALSE),"")</f>
        <v/>
      </c>
      <c r="F117" s="4" t="str">
        <f>IFERROR(IF(VLOOKUP($C117,'C'!$A$1:$N$1998,3,FALSE)=1,"&lt;",""),"")</f>
        <v/>
      </c>
      <c r="G117" s="4" t="str">
        <f>IFERROR(VLOOKUP($C117,'C'!$A$1:$N$1998,5,FALSE),"")</f>
        <v/>
      </c>
      <c r="H117" s="4" t="str">
        <f>IFERROR(IF(VLOOKUP($C117,'C'!$A$1:$N$1998,6,FALSE)=1,"&lt;",""),"")</f>
        <v/>
      </c>
      <c r="I117" s="4" t="str">
        <f>IFERROR(VLOOKUP($C117,'C'!$A$1:$N$1998,8,FALSE),"")</f>
        <v/>
      </c>
      <c r="M117" s="4" t="str">
        <f t="shared" si="37"/>
        <v/>
      </c>
      <c r="N117" s="4" t="str">
        <f t="shared" si="43"/>
        <v/>
      </c>
      <c r="O117" s="4" t="str">
        <f t="shared" si="57"/>
        <v/>
      </c>
      <c r="P117" s="4" t="str">
        <f t="shared" si="44"/>
        <v/>
      </c>
      <c r="Q117" s="4" t="str">
        <f t="shared" si="58"/>
        <v/>
      </c>
      <c r="V117" s="4">
        <f>IFERROR(IF(VLOOKUP(B117,E!$B$1:$AK$300,4,FALSE)=0,1000000,VLOOKUP(B117,E!$B$1:$AK$300,4,FALSE)),1000000)</f>
        <v>1000000</v>
      </c>
      <c r="Z117" s="17" t="str">
        <f>IF(AA117=-1,IF(SUM(AA$117:AA$119)=-3,0,(0.7*M117)),AA117)</f>
        <v/>
      </c>
      <c r="AA117" s="17" t="str">
        <f>IF(M117="","",IF(AND(N117="&lt;",M117&lt;=V117),-1,(IF(N117="&lt;",0.7*M117,M117))))</f>
        <v/>
      </c>
      <c r="AC117" s="17" t="str">
        <f>IF(AD117=-1,IF(SUM(AD$117:AD$119)=-3,0,(0.7*P117)),AD117)</f>
        <v/>
      </c>
      <c r="AD117" s="17" t="str">
        <f>IF(O117="","",IF(AND(P117="&lt;",O117&lt;=V117),-1,(IF(P117="&lt;",0.7*O117,O117))))</f>
        <v/>
      </c>
      <c r="AF117" s="17" t="str">
        <f>IF(AG117=-1,IF(SUM(AG$117:AG$119)=-3,0,(0.7*Q117)),AG117)</f>
        <v/>
      </c>
      <c r="AG117" s="17" t="str">
        <f>IF(Q117="","",IF(AND(R117="&lt;",Q117&lt;=V117),-1,(IF(R117="&lt;",0.7*Q117,Q117))))</f>
        <v/>
      </c>
      <c r="AI117" s="77">
        <v>0</v>
      </c>
      <c r="AJ117" s="77">
        <v>0</v>
      </c>
      <c r="AK117" s="77">
        <v>1</v>
      </c>
      <c r="AO117" s="4">
        <f t="shared" si="46"/>
        <v>5</v>
      </c>
      <c r="AQ117" s="4">
        <f t="shared" si="47"/>
        <v>5</v>
      </c>
      <c r="AS117" s="4">
        <f t="shared" si="48"/>
        <v>5</v>
      </c>
      <c r="AV117" s="4" t="str">
        <f t="shared" si="49"/>
        <v/>
      </c>
      <c r="AX117" s="4" t="str">
        <f t="shared" si="50"/>
        <v/>
      </c>
      <c r="AZ117" s="4" t="str">
        <f t="shared" si="51"/>
        <v/>
      </c>
    </row>
    <row r="118" spans="1:52" x14ac:dyDescent="0.2">
      <c r="A118" s="81" t="s">
        <v>918</v>
      </c>
      <c r="B118" s="4">
        <v>18</v>
      </c>
      <c r="C118" s="4" t="str">
        <f t="shared" si="0"/>
        <v>urn:immetingen:parameter:id:18</v>
      </c>
      <c r="D118" s="4" t="str">
        <f>IFERROR(IF(VLOOKUP($C118,'C'!$A$1:$N$1998,4,FALSE)=0,IF(VLOOKUP($C118,'C'!$A$1:$N$1998,7,FALSE)=0,VLOOKUP($C118,'C'!$A$1:$N$1998,10,FALSE),VLOOKUP($C118,'C'!$A$1:$N$1998,7,FALSE)),VLOOKUP($C118,'C'!$A$1:$N$1998,4,FALSE)),"")</f>
        <v/>
      </c>
      <c r="E118" s="4" t="str">
        <f>IFERROR(VLOOKUP($C118,'C'!$A$1:$N$1998,2,FALSE),"")</f>
        <v/>
      </c>
      <c r="F118" s="4" t="str">
        <f>IFERROR(IF(VLOOKUP($C118,'C'!$A$1:$N$1998,3,FALSE)=1,"&lt;",""),"")</f>
        <v/>
      </c>
      <c r="G118" s="4" t="str">
        <f>IFERROR(VLOOKUP($C118,'C'!$A$1:$N$1998,5,FALSE),"")</f>
        <v/>
      </c>
      <c r="H118" s="4" t="str">
        <f>IFERROR(IF(VLOOKUP($C118,'C'!$A$1:$N$1998,6,FALSE)=1,"&lt;",""),"")</f>
        <v/>
      </c>
      <c r="I118" s="4" t="str">
        <f>IFERROR(VLOOKUP($C118,'C'!$A$1:$N$1998,8,FALSE),"")</f>
        <v/>
      </c>
      <c r="M118" s="4" t="str">
        <f t="shared" si="37"/>
        <v/>
      </c>
      <c r="N118" s="4" t="str">
        <f t="shared" si="43"/>
        <v/>
      </c>
      <c r="O118" s="4" t="str">
        <f t="shared" si="57"/>
        <v/>
      </c>
      <c r="P118" s="4" t="str">
        <f t="shared" si="44"/>
        <v/>
      </c>
      <c r="Q118" s="4" t="str">
        <f t="shared" si="58"/>
        <v/>
      </c>
      <c r="V118" s="4">
        <f>IFERROR(IF(VLOOKUP(B118,E!$B$1:$AK$300,4,FALSE)=0,1000000,VLOOKUP(B118,E!$B$1:$AK$300,4,FALSE)),1000000)</f>
        <v>1000000</v>
      </c>
      <c r="Z118" s="17" t="str">
        <f t="shared" ref="Z118:Z119" si="74">IF(AA118=-1,IF(SUM(AA$117:AA$119)=-3,0,(0.7*M118)),AA118)</f>
        <v/>
      </c>
      <c r="AA118" s="17" t="str">
        <f t="shared" si="65"/>
        <v/>
      </c>
      <c r="AC118" s="17" t="str">
        <f t="shared" ref="AC118:AC119" si="75">IF(AD118=-1,IF(SUM(AD$117:AD$119)=-3,0,(0.7*P118)),AD118)</f>
        <v/>
      </c>
      <c r="AD118" s="17" t="str">
        <f t="shared" ref="AD118:AD119" si="76">IF(O118="","",IF(AND(P118="&lt;",O118&lt;=V118),-1,(IF(P118="&lt;",0.7*O118,O118))))</f>
        <v/>
      </c>
      <c r="AF118" s="17" t="str">
        <f t="shared" ref="AF118:AF119" si="77">IF(AG118=-1,IF(SUM(AG$117:AG$119)=-3,0,(0.7*Q118)),AG118)</f>
        <v/>
      </c>
      <c r="AG118" s="17" t="str">
        <f t="shared" ref="AG118:AG119" si="78">IF(Q118="","",IF(AND(R118="&lt;",Q118&lt;=V118),-1,(IF(R118="&lt;",0.7*Q118,Q118))))</f>
        <v/>
      </c>
      <c r="AI118" s="77">
        <v>0</v>
      </c>
      <c r="AJ118" s="77">
        <v>0</v>
      </c>
      <c r="AK118" s="77">
        <v>1</v>
      </c>
      <c r="AO118" s="4">
        <f t="shared" si="46"/>
        <v>5</v>
      </c>
      <c r="AQ118" s="4">
        <f t="shared" si="47"/>
        <v>5</v>
      </c>
      <c r="AS118" s="4">
        <f t="shared" si="48"/>
        <v>5</v>
      </c>
      <c r="AV118" s="4" t="str">
        <f t="shared" si="49"/>
        <v/>
      </c>
      <c r="AX118" s="4" t="str">
        <f t="shared" si="50"/>
        <v/>
      </c>
      <c r="AZ118" s="4" t="str">
        <f t="shared" si="51"/>
        <v/>
      </c>
    </row>
    <row r="119" spans="1:52" x14ac:dyDescent="0.2">
      <c r="A119" s="81" t="s">
        <v>919</v>
      </c>
      <c r="B119" s="4">
        <v>30</v>
      </c>
      <c r="C119" s="4" t="str">
        <f t="shared" si="0"/>
        <v>urn:immetingen:parameter:id:30</v>
      </c>
      <c r="D119" s="4" t="str">
        <f>IFERROR(IF(VLOOKUP($C119,'C'!$A$1:$N$1998,4,FALSE)=0,IF(VLOOKUP($C119,'C'!$A$1:$N$1998,7,FALSE)=0,VLOOKUP($C119,'C'!$A$1:$N$1998,10,FALSE),VLOOKUP($C119,'C'!$A$1:$N$1998,7,FALSE)),VLOOKUP($C119,'C'!$A$1:$N$1998,4,FALSE)),"")</f>
        <v/>
      </c>
      <c r="E119" s="4" t="str">
        <f>IFERROR(VLOOKUP($C119,'C'!$A$1:$N$1998,2,FALSE),"")</f>
        <v/>
      </c>
      <c r="F119" s="4" t="str">
        <f>IFERROR(IF(VLOOKUP($C119,'C'!$A$1:$N$1998,3,FALSE)=1,"&lt;",""),"")</f>
        <v/>
      </c>
      <c r="G119" s="4" t="str">
        <f>IFERROR(VLOOKUP($C119,'C'!$A$1:$N$1998,5,FALSE),"")</f>
        <v/>
      </c>
      <c r="H119" s="4" t="str">
        <f>IFERROR(IF(VLOOKUP($C119,'C'!$A$1:$N$1998,6,FALSE)=1,"&lt;",""),"")</f>
        <v/>
      </c>
      <c r="I119" s="4" t="str">
        <f>IFERROR(VLOOKUP($C119,'C'!$A$1:$N$1998,8,FALSE),"")</f>
        <v/>
      </c>
      <c r="M119" s="4" t="str">
        <f t="shared" si="37"/>
        <v/>
      </c>
      <c r="N119" s="4" t="str">
        <f t="shared" si="43"/>
        <v/>
      </c>
      <c r="O119" s="4" t="str">
        <f t="shared" si="57"/>
        <v/>
      </c>
      <c r="P119" s="4" t="str">
        <f t="shared" si="44"/>
        <v/>
      </c>
      <c r="Q119" s="4" t="str">
        <f t="shared" si="58"/>
        <v/>
      </c>
      <c r="V119" s="4">
        <f>IFERROR(IF(VLOOKUP(B119,E!$B$1:$AK$300,4,FALSE)=0,1000000,VLOOKUP(B119,E!$B$1:$AK$300,4,FALSE)),1000000)</f>
        <v>1000000</v>
      </c>
      <c r="Z119" s="17" t="str">
        <f t="shared" si="74"/>
        <v/>
      </c>
      <c r="AA119" s="17" t="str">
        <f t="shared" si="65"/>
        <v/>
      </c>
      <c r="AC119" s="17" t="str">
        <f t="shared" si="75"/>
        <v/>
      </c>
      <c r="AD119" s="17" t="str">
        <f t="shared" si="76"/>
        <v/>
      </c>
      <c r="AF119" s="17" t="str">
        <f t="shared" si="77"/>
        <v/>
      </c>
      <c r="AG119" s="17" t="str">
        <f t="shared" si="78"/>
        <v/>
      </c>
      <c r="AI119" s="77">
        <v>0</v>
      </c>
      <c r="AJ119" s="77">
        <v>0</v>
      </c>
      <c r="AK119" s="77">
        <v>1</v>
      </c>
      <c r="AO119" s="4">
        <f t="shared" si="46"/>
        <v>5</v>
      </c>
      <c r="AQ119" s="4">
        <f t="shared" si="47"/>
        <v>5</v>
      </c>
      <c r="AS119" s="4">
        <f t="shared" si="48"/>
        <v>5</v>
      </c>
      <c r="AV119" s="4" t="str">
        <f t="shared" si="49"/>
        <v/>
      </c>
      <c r="AX119" s="4" t="str">
        <f t="shared" si="50"/>
        <v/>
      </c>
      <c r="AZ119" s="4" t="str">
        <f t="shared" si="51"/>
        <v/>
      </c>
    </row>
    <row r="120" spans="1:52" x14ac:dyDescent="0.2">
      <c r="A120" s="81" t="s">
        <v>823</v>
      </c>
      <c r="B120" s="4">
        <v>1533</v>
      </c>
      <c r="C120" s="4" t="str">
        <f t="shared" si="0"/>
        <v>urn:immetingen:parameter:id:1533</v>
      </c>
      <c r="D120" s="17" t="str">
        <f>D118</f>
        <v/>
      </c>
      <c r="E120" s="17" t="str">
        <f>IFERROR(IF($D120=131,IF(AND(F117="&lt;",F118="&lt;",F119="&lt;"),SUM(E117:E119),AA120*1000),IF(AND(F117="&lt;",F118="&lt;",F119="&lt;"),SUM(E117:E119),AA120)),"")</f>
        <v/>
      </c>
      <c r="F120" s="17" t="str">
        <f>IFERROR(IF(AND(F117="&lt;",F118="&lt;",F119="&lt;"),"&lt;",""),"")</f>
        <v/>
      </c>
      <c r="G120" s="17" t="str">
        <f>IFERROR(IF($D120=131,IF(AND(H117="&lt;",H118="&lt;",H119="&lt;"),SUM(G117:G119),AD120*1000),IF(AND(H117="&lt;",H118="&lt;",H119="&lt;"),SUM(G117:G119),AD120)),"")</f>
        <v/>
      </c>
      <c r="H120" s="17" t="str">
        <f>IFERROR(IF(AND(H117="&lt;",H118="&lt;",H119="&lt;"),"&lt;",""),"")</f>
        <v/>
      </c>
      <c r="I120" s="17" t="str">
        <f>IFERROR(IF($D120=131,IF(AND(J117="&lt;",J118="&lt;",J119="&lt;"),SUM(I117:I119),AG120*1000),IF(AND(J117="&lt;",J118="&lt;",J119="&lt;"),SUM(I117:I119),AG120)),"")</f>
        <v/>
      </c>
      <c r="J120" s="17" t="str">
        <f>IFERROR(IF(AND(J117="&lt;",J118="&lt;",J119="&lt;"),"&lt;",""),"")</f>
        <v/>
      </c>
      <c r="M120" s="4" t="str">
        <f t="shared" si="37"/>
        <v/>
      </c>
      <c r="N120" s="4" t="str">
        <f t="shared" si="43"/>
        <v/>
      </c>
      <c r="O120" s="4" t="str">
        <f t="shared" si="57"/>
        <v/>
      </c>
      <c r="P120" s="4" t="str">
        <f t="shared" si="44"/>
        <v/>
      </c>
      <c r="Q120" s="4" t="str">
        <f t="shared" si="58"/>
        <v/>
      </c>
      <c r="R120" s="4" t="str">
        <f t="shared" si="45"/>
        <v/>
      </c>
      <c r="V120" s="4">
        <f>IFERROR(IF(VLOOKUP(B120,E!$B$1:$AK$300,4,FALSE)=0,1000000,VLOOKUP(B120,E!$B$1:$AK$300,4,FALSE)),1000000)</f>
        <v>3.0000000000000001E-3</v>
      </c>
      <c r="Z120" s="17">
        <f>SUM(Z117:Z119)</f>
        <v>0</v>
      </c>
      <c r="AA120" s="64" t="str">
        <f>IF(M117="","",IF(Z120=0,SUM(M117:M119),Z120))</f>
        <v/>
      </c>
      <c r="AC120" s="17">
        <f>SUM(AC117:AC119)</f>
        <v>0</v>
      </c>
      <c r="AD120" s="64" t="str">
        <f>IF(O117="","",IF(AC120=0,SUM(O117:O119),AC120))</f>
        <v/>
      </c>
      <c r="AF120" s="17">
        <f>SUM(AF117:AF119)</f>
        <v>0</v>
      </c>
      <c r="AG120" s="64" t="str">
        <f>IF(Q117="","",IF(AF120=0,SUM(Q117:Q119),AF120))</f>
        <v/>
      </c>
      <c r="AI120" s="77">
        <v>0</v>
      </c>
      <c r="AJ120" s="77">
        <v>0</v>
      </c>
      <c r="AK120" s="77">
        <v>1</v>
      </c>
      <c r="AO120" s="4">
        <f t="shared" si="46"/>
        <v>5</v>
      </c>
      <c r="AQ120" s="4">
        <f t="shared" si="47"/>
        <v>5</v>
      </c>
      <c r="AS120" s="4">
        <f t="shared" si="48"/>
        <v>5</v>
      </c>
      <c r="AV120" s="4" t="str">
        <f t="shared" si="49"/>
        <v/>
      </c>
      <c r="AX120" s="4" t="str">
        <f t="shared" si="50"/>
        <v/>
      </c>
      <c r="AZ120" s="4" t="str">
        <f t="shared" si="51"/>
        <v/>
      </c>
    </row>
    <row r="121" spans="1:52" x14ac:dyDescent="0.2">
      <c r="A121" s="81" t="s">
        <v>829</v>
      </c>
      <c r="B121" s="4">
        <v>1387</v>
      </c>
      <c r="C121" s="4" t="str">
        <f t="shared" si="0"/>
        <v>urn:immetingen:parameter:id:1387</v>
      </c>
      <c r="D121" s="4" t="str">
        <f>IFERROR(IF(VLOOKUP($C121,'C'!$A$1:$N$1998,4,FALSE)=0,IF(VLOOKUP($C121,'C'!$A$1:$N$1998,7,FALSE)=0,VLOOKUP($C121,'C'!$A$1:$N$1998,10,FALSE),VLOOKUP($C121,'C'!$A$1:$N$1998,7,FALSE)),VLOOKUP($C121,'C'!$A$1:$N$1998,4,FALSE)),"")</f>
        <v/>
      </c>
      <c r="E121" s="4" t="str">
        <f>IFERROR(VLOOKUP($C121,'C'!$A$1:$N$1998,2,FALSE),"")</f>
        <v/>
      </c>
      <c r="F121" s="4" t="str">
        <f>IFERROR(IF(VLOOKUP($C121,'C'!$A$1:$N$1998,3,FALSE)=1,"&lt;",""),"")</f>
        <v/>
      </c>
      <c r="G121" s="4" t="str">
        <f>IFERROR(VLOOKUP($C121,'C'!$A$1:$N$1998,5,FALSE),"")</f>
        <v/>
      </c>
      <c r="H121" s="4" t="str">
        <f>IFERROR(IF(VLOOKUP($C121,'C'!$A$1:$N$1998,6,FALSE)=1,"&lt;",""),"")</f>
        <v/>
      </c>
      <c r="I121" s="4" t="str">
        <f>IFERROR(VLOOKUP($C121,'C'!$A$1:$N$1998,8,FALSE),"")</f>
        <v/>
      </c>
      <c r="M121" s="4" t="str">
        <f t="shared" si="37"/>
        <v/>
      </c>
      <c r="N121" s="4" t="str">
        <f t="shared" si="43"/>
        <v/>
      </c>
      <c r="O121" s="4" t="str">
        <f t="shared" si="57"/>
        <v/>
      </c>
      <c r="P121" s="4" t="str">
        <f t="shared" si="44"/>
        <v/>
      </c>
      <c r="Q121" s="4" t="str">
        <f t="shared" si="58"/>
        <v/>
      </c>
      <c r="R121" s="4" t="str">
        <f t="shared" si="45"/>
        <v/>
      </c>
      <c r="V121" s="4">
        <f>IFERROR(IF(VLOOKUP(B121,E!$B$1:$AK$300,4,FALSE)=0,1000000,VLOOKUP(B121,E!$B$1:$AK$300,4,FALSE)),1000000)</f>
        <v>1E-3</v>
      </c>
      <c r="Z121" s="4" t="str">
        <f t="shared" ref="Z121:Z124" si="79">IF(M121="","",IF(AND(N121="&lt;",M121&lt;=$V121),-1,(IF(N121="&lt;",0.7*M121,M121))))</f>
        <v/>
      </c>
      <c r="AC121" s="4" t="str">
        <f t="shared" ref="AC121:AC122" si="80">IF(O121="","",IF(AND(P121="&lt;",O121&lt;=$V121),-1,(IF(P121="&lt;",0.7*O121,O121))))</f>
        <v/>
      </c>
      <c r="AF121" s="4" t="str">
        <f t="shared" ref="AF121:AF122" si="81">IF(Q121="","",IF(AND(R121="&lt;",Q121&lt;=$V121),-1,(IF(R121="&lt;",0.7*Q121,Q121))))</f>
        <v/>
      </c>
      <c r="AI121" s="77">
        <v>0</v>
      </c>
      <c r="AJ121" s="77">
        <v>0</v>
      </c>
      <c r="AK121" s="77">
        <v>1</v>
      </c>
      <c r="AO121" s="4">
        <f t="shared" si="46"/>
        <v>5</v>
      </c>
      <c r="AQ121" s="4">
        <f t="shared" si="47"/>
        <v>5</v>
      </c>
      <c r="AS121" s="4">
        <f t="shared" si="48"/>
        <v>5</v>
      </c>
      <c r="AV121" s="4" t="str">
        <f t="shared" si="49"/>
        <v/>
      </c>
      <c r="AX121" s="4" t="str">
        <f t="shared" si="50"/>
        <v/>
      </c>
      <c r="AZ121" s="4" t="str">
        <f t="shared" si="51"/>
        <v/>
      </c>
    </row>
    <row r="122" spans="1:52" x14ac:dyDescent="0.2">
      <c r="A122" s="81" t="s">
        <v>91</v>
      </c>
      <c r="B122" s="4">
        <v>861</v>
      </c>
      <c r="C122" s="4" t="str">
        <f t="shared" si="0"/>
        <v>urn:immetingen:parameter:id:861</v>
      </c>
      <c r="D122" s="4" t="str">
        <f>IFERROR(IF(VLOOKUP($C122,'C'!$A$1:$N$1998,4,FALSE)=0,IF(VLOOKUP($C122,'C'!$A$1:$N$1998,7,FALSE)=0,VLOOKUP($C122,'C'!$A$1:$N$1998,10,FALSE),VLOOKUP($C122,'C'!$A$1:$N$1998,7,FALSE)),VLOOKUP($C122,'C'!$A$1:$N$1998,4,FALSE)),"")</f>
        <v/>
      </c>
      <c r="E122" s="4" t="str">
        <f>IFERROR(VLOOKUP($C122,'C'!$A$1:$N$1998,2,FALSE),"")</f>
        <v/>
      </c>
      <c r="F122" s="4" t="str">
        <f>IFERROR(IF(VLOOKUP($C122,'C'!$A$1:$N$1998,3,FALSE)=1,"&lt;",""),"")</f>
        <v/>
      </c>
      <c r="G122" s="4" t="str">
        <f>IFERROR(VLOOKUP($C122,'C'!$A$1:$N$1998,5,FALSE),"")</f>
        <v/>
      </c>
      <c r="H122" s="4" t="str">
        <f>IFERROR(IF(VLOOKUP($C122,'C'!$A$1:$N$1998,6,FALSE)=1,"&lt;",""),"")</f>
        <v/>
      </c>
      <c r="I122" s="4" t="str">
        <f>IFERROR(VLOOKUP($C122,'C'!$A$1:$N$1998,8,FALSE),"")</f>
        <v/>
      </c>
      <c r="J122" s="4" t="str">
        <f>IFERROR(IF(VLOOKUP($C122,'C'!$A$1:$N$1998,9,FALSE)=1,"&lt;",""),"")</f>
        <v/>
      </c>
      <c r="M122" s="4" t="str">
        <f t="shared" si="37"/>
        <v/>
      </c>
      <c r="N122" s="4" t="str">
        <f t="shared" si="43"/>
        <v/>
      </c>
      <c r="O122" s="4" t="str">
        <f t="shared" si="57"/>
        <v/>
      </c>
      <c r="P122" s="4" t="str">
        <f t="shared" si="44"/>
        <v/>
      </c>
      <c r="Q122" s="4" t="str">
        <f t="shared" si="58"/>
        <v/>
      </c>
      <c r="R122" s="4" t="str">
        <f t="shared" si="45"/>
        <v/>
      </c>
      <c r="V122" s="4">
        <f>IFERROR(IF(VLOOKUP(B122,E!$B$1:$AK$300,4,FALSE)=0,1000000,VLOOKUP(B122,E!$B$1:$AK$300,4,FALSE)),1000000)</f>
        <v>1E-3</v>
      </c>
      <c r="Z122" s="4" t="str">
        <f t="shared" si="79"/>
        <v/>
      </c>
      <c r="AC122" s="4" t="str">
        <f t="shared" si="80"/>
        <v/>
      </c>
      <c r="AF122" s="4" t="str">
        <f t="shared" si="81"/>
        <v/>
      </c>
      <c r="AI122" s="77">
        <v>0</v>
      </c>
      <c r="AJ122" s="77">
        <v>0</v>
      </c>
      <c r="AK122" s="77">
        <v>1</v>
      </c>
      <c r="AO122" s="4">
        <f t="shared" si="46"/>
        <v>5</v>
      </c>
      <c r="AQ122" s="4">
        <f t="shared" si="47"/>
        <v>5</v>
      </c>
      <c r="AS122" s="4">
        <f t="shared" si="48"/>
        <v>5</v>
      </c>
      <c r="AV122" s="4" t="str">
        <f t="shared" si="49"/>
        <v/>
      </c>
      <c r="AX122" s="4" t="str">
        <f t="shared" si="50"/>
        <v/>
      </c>
      <c r="AZ122" s="4" t="str">
        <f t="shared" si="51"/>
        <v/>
      </c>
    </row>
    <row r="123" spans="1:52" x14ac:dyDescent="0.2">
      <c r="A123" s="81" t="s">
        <v>915</v>
      </c>
      <c r="B123" s="4">
        <v>4318</v>
      </c>
      <c r="C123" s="4" t="str">
        <f t="shared" si="0"/>
        <v>urn:immetingen:parameter:id:4318</v>
      </c>
      <c r="D123" s="169" t="str">
        <f>D118</f>
        <v/>
      </c>
      <c r="E123" s="17" t="str">
        <f>IFERROR(IF($D123=131,IF(AND(F108="&lt;",F112="&lt;",F116="&lt;",F120="&lt;",F121="&lt;",F122="&lt;"),SUM(E108,E112,E116,E120,E121,E122),AA123*1000),IF(AND(F108="&lt;",F112="&lt;",F116="&lt;",F120="&lt;",F121="&lt;",F122="&lt;"),SUM(E108,E112,E116,E120,E121,E122),AA123)),"")</f>
        <v/>
      </c>
      <c r="F123" s="17" t="str">
        <f>IFERROR(IF(AND(F108="&lt;",F112="&lt;",F116="&lt;",F120="&lt;",F121="&lt;",F122="&lt;"),"&lt;",""),"")</f>
        <v/>
      </c>
      <c r="G123" s="17" t="str">
        <f>IFERROR(IF($D123=131,IF(AND(H108="&lt;",H112="&lt;",H116="&lt;",H120="&lt;",H121="&lt;",H122="&lt;"),SUM(G108,G112,G116,G120,G121,G122),AD123*1000),IF(AND(H108="&lt;",H112="&lt;",H116="&lt;",H120="&lt;",H121="&lt;",H122="&lt;"),SUM(G108,G112,G116,G120,G121,G122),AD123)),"")</f>
        <v/>
      </c>
      <c r="H123" s="17" t="str">
        <f>IFERROR(IF(AND(H108="&lt;",H112="&lt;",H116="&lt;",H120="&lt;",H121="&lt;",H122="&lt;"),"&lt;",""),"")</f>
        <v/>
      </c>
      <c r="I123" s="17" t="str">
        <f>IFERROR(IF($D123=131,IF(AND(J108="&lt;",J112="&lt;",J116="&lt;",J120="&lt;",J121="&lt;",J122="&lt;"),SUM(I108,I112,I116,I120,I121,I122),AG123*1000),IF(AND(J108="&lt;",J112="&lt;",J116="&lt;",J120="&lt;",J121="&lt;",J122="&lt;"),SUM(I108,I112,I116,I120,I121,I122),AG123)),"")</f>
        <v/>
      </c>
      <c r="J123" s="17" t="str">
        <f>IFERROR(IF(AND(J108="&lt;",J112="&lt;",J116="&lt;",J120="&lt;",J121="&lt;",J122="&lt;"),"&lt;",""),"")</f>
        <v/>
      </c>
      <c r="M123" s="4" t="str">
        <f t="shared" si="37"/>
        <v/>
      </c>
      <c r="N123" s="4" t="str">
        <f t="shared" si="43"/>
        <v/>
      </c>
      <c r="O123" s="4" t="str">
        <f t="shared" si="57"/>
        <v/>
      </c>
      <c r="P123" s="4" t="str">
        <f t="shared" si="44"/>
        <v/>
      </c>
      <c r="Q123" s="4" t="str">
        <f t="shared" si="58"/>
        <v/>
      </c>
      <c r="R123" s="4" t="str">
        <f t="shared" si="45"/>
        <v/>
      </c>
      <c r="V123" s="4">
        <f>IFERROR(IF(VLOOKUP(B123,E!$B$1:$AK$300,4,FALSE)=0,1000000,VLOOKUP(B123,E!$B$1:$AK$300,4,FALSE)),1000000)</f>
        <v>1000000000</v>
      </c>
      <c r="Z123" s="17">
        <f>SUM(Z108,Z112,Z116,Z120,Z121,Z122)</f>
        <v>0</v>
      </c>
      <c r="AA123" s="64" t="str">
        <f>IF(M108="","",IF(Z123=0,SUM(M108,M112,M116,M120,M121,M122),Z123))</f>
        <v/>
      </c>
      <c r="AC123" s="17">
        <f>SUM(AC108,AC112,AC116,AC120,AC121,AC122)</f>
        <v>0</v>
      </c>
      <c r="AD123" s="64" t="str">
        <f>IF(O108="","",IF(AC123=0,SUM(O108,O112,O116,O120,O121,O122),AC123))</f>
        <v/>
      </c>
      <c r="AF123" s="17">
        <f>SUM(AF108,AF112,AF116,AF120,AF121,AF122)</f>
        <v>0</v>
      </c>
      <c r="AG123" s="64" t="str">
        <f>IF(Q108="","",IF(AF123=0,SUM(Q108,Q112,Q116,Q120,Q121,Q122),AF123))</f>
        <v/>
      </c>
      <c r="AI123" s="77">
        <v>0</v>
      </c>
      <c r="AJ123" s="77">
        <v>0</v>
      </c>
      <c r="AK123" s="77">
        <v>1</v>
      </c>
      <c r="AO123" s="4">
        <f t="shared" si="46"/>
        <v>5</v>
      </c>
      <c r="AQ123" s="4">
        <f t="shared" si="47"/>
        <v>5</v>
      </c>
      <c r="AS123" s="4">
        <f t="shared" si="48"/>
        <v>5</v>
      </c>
      <c r="AV123" s="4" t="str">
        <f t="shared" si="49"/>
        <v/>
      </c>
      <c r="AX123" s="4" t="str">
        <f t="shared" si="50"/>
        <v/>
      </c>
      <c r="AZ123" s="4" t="str">
        <f t="shared" si="51"/>
        <v/>
      </c>
    </row>
    <row r="124" spans="1:52" x14ac:dyDescent="0.2">
      <c r="A124" s="4" t="s">
        <v>637</v>
      </c>
      <c r="B124" s="4">
        <v>6930</v>
      </c>
      <c r="C124" s="71" t="str">
        <f t="shared" si="0"/>
        <v>urn:immetingen:parameter:id:6930</v>
      </c>
      <c r="D124" s="4" t="str">
        <f>IFERROR(IF(VLOOKUP($C124,'C'!$A$1:$N$1998,4,FALSE)=0,IF(VLOOKUP($C124,'C'!$A$1:$N$1998,7,FALSE)=0,VLOOKUP($C124,'C'!$A$1:$N$1998,10,FALSE),VLOOKUP($C124,'C'!$A$1:$N$1998,7,FALSE)),VLOOKUP($C124,'C'!$A$1:$N$1998,4,FALSE)),"")</f>
        <v/>
      </c>
      <c r="E124" s="71">
        <f>Invoer!D47</f>
        <v>0</v>
      </c>
      <c r="F124" s="71" t="str">
        <f>IF(Invoer!C47="&lt;","&lt;","")</f>
        <v/>
      </c>
      <c r="G124" s="71">
        <f>Invoer!F47</f>
        <v>0</v>
      </c>
      <c r="H124" s="71" t="str">
        <f>IF(Invoer!E47="&lt;","&lt;","")</f>
        <v/>
      </c>
      <c r="I124" s="71">
        <f>Invoer!H47</f>
        <v>0</v>
      </c>
      <c r="J124" s="71" t="str">
        <f>IF(Invoer!G47="&lt;","&lt;","")</f>
        <v/>
      </c>
      <c r="K124" s="71"/>
      <c r="L124" s="71"/>
      <c r="M124" s="4">
        <f t="shared" si="37"/>
        <v>0</v>
      </c>
      <c r="N124" s="4" t="str">
        <f t="shared" si="43"/>
        <v/>
      </c>
      <c r="O124" s="4">
        <f t="shared" si="57"/>
        <v>0</v>
      </c>
      <c r="P124" s="4" t="str">
        <f t="shared" si="44"/>
        <v/>
      </c>
      <c r="Q124" s="4">
        <f t="shared" si="58"/>
        <v>0</v>
      </c>
      <c r="R124" s="4" t="str">
        <f t="shared" si="45"/>
        <v/>
      </c>
      <c r="S124" s="71"/>
      <c r="T124" s="71"/>
      <c r="U124" s="71"/>
      <c r="V124" s="4">
        <f>IFERROR(IF(VLOOKUP(B124,E!$B$1:$AK$300,4,FALSE)=0,1000000,VLOOKUP(B124,E!$B$1:$AK$300,4,FALSE)),1000000)</f>
        <v>1000000</v>
      </c>
      <c r="W124" s="71"/>
      <c r="X124" s="71"/>
      <c r="Z124" s="4">
        <f t="shared" si="79"/>
        <v>0</v>
      </c>
      <c r="AC124" s="4">
        <f t="shared" ref="AC124" si="82">IF(O124="","",IF(AND(P124="&lt;",O124&lt;=$V124),-1,(IF(P124="&lt;",0.7*O124,O124))))</f>
        <v>0</v>
      </c>
      <c r="AF124" s="4">
        <f t="shared" ref="AF124" si="83">IF(Q124="","",IF(AND(R124="&lt;",Q124&lt;=$V124),-1,(IF(R124="&lt;",0.7*Q124,Q124))))</f>
        <v>0</v>
      </c>
      <c r="AI124" s="77">
        <v>0</v>
      </c>
      <c r="AJ124" s="77">
        <v>0</v>
      </c>
      <c r="AK124" s="77">
        <v>1</v>
      </c>
      <c r="AO124" s="4">
        <f t="shared" si="46"/>
        <v>5</v>
      </c>
      <c r="AQ124" s="4">
        <f t="shared" si="47"/>
        <v>5</v>
      </c>
      <c r="AS124" s="4">
        <f t="shared" si="48"/>
        <v>5</v>
      </c>
      <c r="AV124" s="4">
        <f t="shared" si="49"/>
        <v>0</v>
      </c>
      <c r="AX124" s="4">
        <f t="shared" si="50"/>
        <v>0</v>
      </c>
      <c r="AZ124" s="4">
        <f t="shared" si="51"/>
        <v>0</v>
      </c>
    </row>
    <row r="125" spans="1:52" x14ac:dyDescent="0.2">
      <c r="A125" s="4" t="s">
        <v>928</v>
      </c>
      <c r="B125" s="4">
        <v>83</v>
      </c>
      <c r="C125" s="4" t="str">
        <f t="shared" si="0"/>
        <v>urn:immetingen:parameter:id:83</v>
      </c>
      <c r="D125" s="4" t="str">
        <f>IFERROR(IF(VLOOKUP($C125,'C'!$A$1:$N$1998,4,FALSE)=0,IF(VLOOKUP($C125,'C'!$A$1:$N$1998,7,FALSE)=0,VLOOKUP($C125,'C'!$A$1:$N$1998,10,FALSE),VLOOKUP($C125,'C'!$A$1:$N$1998,7,FALSE)),VLOOKUP($C125,'C'!$A$1:$N$1998,4,FALSE)),"")</f>
        <v/>
      </c>
      <c r="E125" s="4" t="str">
        <f>IFERROR(VLOOKUP($C125,'C'!$A$1:$N$1998,2,FALSE),"")</f>
        <v/>
      </c>
      <c r="F125" s="4" t="str">
        <f>IFERROR(IF(VLOOKUP($C125,'C'!$A$1:$N$1998,3,FALSE)=1,"&lt;",""),"")</f>
        <v/>
      </c>
      <c r="G125" s="4" t="str">
        <f>IFERROR(VLOOKUP($C125,'C'!$A$1:$N$1998,2,FALSE),"")</f>
        <v/>
      </c>
      <c r="H125" s="4" t="str">
        <f>IFERROR(IF(VLOOKUP($C125,'C'!$A$1:$N$1998,3,FALSE)=1,"&lt;",""),"")</f>
        <v/>
      </c>
      <c r="I125" s="4" t="str">
        <f>IFERROR(VLOOKUP($C125,'C'!$A$1:$N$1998,2,FALSE),"")</f>
        <v/>
      </c>
      <c r="J125" s="4" t="str">
        <f>IFERROR(IF(VLOOKUP($C125,'C'!$A$1:$N$1998,3,FALSE)=1,"&lt;",""),"")</f>
        <v/>
      </c>
      <c r="K125" s="71"/>
      <c r="L125" s="71"/>
      <c r="M125" s="4" t="str">
        <f t="shared" si="37"/>
        <v/>
      </c>
      <c r="N125" s="4" t="str">
        <f t="shared" si="43"/>
        <v/>
      </c>
      <c r="O125" s="4" t="str">
        <f t="shared" si="37"/>
        <v/>
      </c>
      <c r="P125" s="4" t="str">
        <f t="shared" si="44"/>
        <v/>
      </c>
      <c r="Q125" s="4" t="str">
        <f t="shared" si="37"/>
        <v/>
      </c>
      <c r="R125" s="4" t="str">
        <f t="shared" si="45"/>
        <v/>
      </c>
      <c r="S125" s="71"/>
      <c r="T125" s="71"/>
      <c r="U125" s="71"/>
      <c r="V125" s="4">
        <f>IFERROR(IF(VLOOKUP(B125,E!$B$1:$AK$300,4,FALSE)=0,1000000,VLOOKUP(B125,E!$B$1:$AK$300,4,FALSE)),1000000)</f>
        <v>1000000</v>
      </c>
      <c r="W125" s="71"/>
      <c r="X125" s="71"/>
      <c r="Z125" s="17" t="str">
        <f>IF(AA125=-1,IF(SUM(AA$125:AA$130)=-6,0,(0.7*M125)),AA125)</f>
        <v/>
      </c>
      <c r="AA125" s="17" t="str">
        <f>IF(M125="","",IF(AND(N125="&lt;",M125&lt;=V125),-1,(IF(N125="&lt;",0.7*M125,M125))))</f>
        <v/>
      </c>
      <c r="AC125" s="17" t="str">
        <f>IF(AD125=-1,IF(SUM(AD$125:AD$130)=-6,0,(0.7*O125)),AD125)</f>
        <v/>
      </c>
      <c r="AD125" s="17" t="str">
        <f>IF(O125="","",IF(AND(P125="&lt;",O125&lt;=V125),-1,(IF(P125="&lt;",0.7*O125,O125))))</f>
        <v/>
      </c>
      <c r="AF125" s="17" t="str">
        <f>IF(AG125=-1,IF(SUM(AG$125:AG$130)=-6,0,(0.7*Q125)),AG125)</f>
        <v/>
      </c>
      <c r="AG125" s="17" t="str">
        <f>IF(Q125="","",IF(AND(R125="&lt;",Q125&lt;=V125),-1,(IF(R125="&lt;",0.7*Q125,Q125))))</f>
        <v/>
      </c>
      <c r="AI125" s="77">
        <v>0</v>
      </c>
      <c r="AJ125" s="77">
        <v>0</v>
      </c>
      <c r="AK125" s="77">
        <v>1</v>
      </c>
      <c r="AO125" s="4">
        <f t="shared" si="46"/>
        <v>5</v>
      </c>
      <c r="AQ125" s="4">
        <f t="shared" si="47"/>
        <v>5</v>
      </c>
      <c r="AS125" s="4">
        <f t="shared" si="48"/>
        <v>5</v>
      </c>
      <c r="AV125" s="4" t="str">
        <f t="shared" si="49"/>
        <v/>
      </c>
      <c r="AX125" s="4" t="str">
        <f t="shared" si="50"/>
        <v/>
      </c>
      <c r="AZ125" s="4" t="str">
        <f t="shared" si="51"/>
        <v/>
      </c>
    </row>
    <row r="126" spans="1:52" x14ac:dyDescent="0.2">
      <c r="A126" s="4" t="s">
        <v>929</v>
      </c>
      <c r="B126" s="4">
        <v>86</v>
      </c>
      <c r="C126" s="4" t="str">
        <f t="shared" si="0"/>
        <v>urn:immetingen:parameter:id:86</v>
      </c>
      <c r="D126" s="4" t="str">
        <f>IFERROR(IF(VLOOKUP($C126,'C'!$A$1:$N$1998,4,FALSE)=0,IF(VLOOKUP($C126,'C'!$A$1:$N$1998,7,FALSE)=0,VLOOKUP($C126,'C'!$A$1:$N$1998,10,FALSE),VLOOKUP($C126,'C'!$A$1:$N$1998,7,FALSE)),VLOOKUP($C126,'C'!$A$1:$N$1998,4,FALSE)),"")</f>
        <v/>
      </c>
      <c r="E126" s="4" t="str">
        <f>IFERROR(VLOOKUP($C126,'C'!$A$1:$N$1998,2,FALSE),"")</f>
        <v/>
      </c>
      <c r="F126" s="4" t="str">
        <f>IFERROR(IF(VLOOKUP($C126,'C'!$A$1:$N$1998,3,FALSE)=1,"&lt;",""),"")</f>
        <v/>
      </c>
      <c r="G126" s="4" t="str">
        <f>IFERROR(VLOOKUP($C126,'C'!$A$1:$N$1998,2,FALSE),"")</f>
        <v/>
      </c>
      <c r="H126" s="4" t="str">
        <f>IFERROR(IF(VLOOKUP($C126,'C'!$A$1:$N$1998,3,FALSE)=1,"&lt;",""),"")</f>
        <v/>
      </c>
      <c r="I126" s="4" t="str">
        <f>IFERROR(VLOOKUP($C126,'C'!$A$1:$N$1998,2,FALSE),"")</f>
        <v/>
      </c>
      <c r="J126" s="4" t="str">
        <f>IFERROR(IF(VLOOKUP($C126,'C'!$A$1:$N$1998,3,FALSE)=1,"&lt;",""),"")</f>
        <v/>
      </c>
      <c r="K126" s="71"/>
      <c r="L126" s="71"/>
      <c r="M126" s="4" t="str">
        <f t="shared" si="37"/>
        <v/>
      </c>
      <c r="N126" s="4" t="str">
        <f t="shared" si="43"/>
        <v/>
      </c>
      <c r="O126" s="4" t="str">
        <f t="shared" si="37"/>
        <v/>
      </c>
      <c r="P126" s="4" t="str">
        <f t="shared" si="44"/>
        <v/>
      </c>
      <c r="Q126" s="4" t="str">
        <f t="shared" si="37"/>
        <v/>
      </c>
      <c r="R126" s="4" t="str">
        <f t="shared" si="45"/>
        <v/>
      </c>
      <c r="S126" s="71"/>
      <c r="T126" s="71"/>
      <c r="U126" s="71"/>
      <c r="V126" s="4">
        <f>IFERROR(IF(VLOOKUP(B126,E!$B$1:$AK$300,4,FALSE)=0,1000000,VLOOKUP(B126,E!$B$1:$AK$300,4,FALSE)),1000000)</f>
        <v>1000000</v>
      </c>
      <c r="W126" s="71"/>
      <c r="X126" s="71"/>
      <c r="Z126" s="17" t="str">
        <f t="shared" ref="Z126:Z130" si="84">IF(AA126=-1,IF(SUM(AA$125:AA$130)=-6,0,(0.7*M126)),AA126)</f>
        <v/>
      </c>
      <c r="AA126" s="17" t="str">
        <f t="shared" ref="AA126:AA130" si="85">IF(M126="","",IF(AND(N126="&lt;",M126&lt;=V126),-1,(IF(N126="&lt;",0.7*M126,M126))))</f>
        <v/>
      </c>
      <c r="AC126" s="17" t="str">
        <f t="shared" ref="AC126:AC130" si="86">IF(AD126=-1,IF(SUM(AD$125:AD$130)=-6,0,(0.7*O126)),AD126)</f>
        <v/>
      </c>
      <c r="AD126" s="17" t="str">
        <f t="shared" ref="AD126:AD130" si="87">IF(O126="","",IF(AND(P126="&lt;",O126&lt;=V126),-1,(IF(P126="&lt;",0.7*O126,O126))))</f>
        <v/>
      </c>
      <c r="AF126" s="17" t="str">
        <f t="shared" ref="AF126:AF130" si="88">IF(AG126=-1,IF(SUM(AG$125:AG$130)=-6,0,(0.7*Q126)),AG126)</f>
        <v/>
      </c>
      <c r="AG126" s="17" t="str">
        <f t="shared" ref="AG126:AG130" si="89">IF(Q126="","",IF(AND(R126="&lt;",Q126&lt;=V126),-1,(IF(R126="&lt;",0.7*Q126,Q126))))</f>
        <v/>
      </c>
      <c r="AI126" s="77">
        <v>0</v>
      </c>
      <c r="AJ126" s="77">
        <v>0</v>
      </c>
      <c r="AK126" s="77">
        <v>1</v>
      </c>
      <c r="AO126" s="4">
        <f t="shared" si="46"/>
        <v>5</v>
      </c>
      <c r="AQ126" s="4">
        <f t="shared" si="47"/>
        <v>5</v>
      </c>
      <c r="AS126" s="4">
        <f t="shared" si="48"/>
        <v>5</v>
      </c>
      <c r="AV126" s="4" t="str">
        <f t="shared" si="49"/>
        <v/>
      </c>
      <c r="AX126" s="4" t="str">
        <f t="shared" si="50"/>
        <v/>
      </c>
      <c r="AZ126" s="4" t="str">
        <f t="shared" si="51"/>
        <v/>
      </c>
    </row>
    <row r="127" spans="1:52" x14ac:dyDescent="0.2">
      <c r="A127" s="4" t="s">
        <v>930</v>
      </c>
      <c r="B127" s="4">
        <v>89</v>
      </c>
      <c r="C127" s="4" t="str">
        <f t="shared" si="0"/>
        <v>urn:immetingen:parameter:id:89</v>
      </c>
      <c r="D127" s="4" t="str">
        <f>IFERROR(IF(VLOOKUP($C127,'C'!$A$1:$N$1998,4,FALSE)=0,IF(VLOOKUP($C127,'C'!$A$1:$N$1998,7,FALSE)=0,VLOOKUP($C127,'C'!$A$1:$N$1998,10,FALSE),VLOOKUP($C127,'C'!$A$1:$N$1998,7,FALSE)),VLOOKUP($C127,'C'!$A$1:$N$1998,4,FALSE)),"")</f>
        <v/>
      </c>
      <c r="E127" s="4" t="str">
        <f>IFERROR(VLOOKUP($C127,'C'!$A$1:$N$1998,2,FALSE),"")</f>
        <v/>
      </c>
      <c r="F127" s="4" t="str">
        <f>IFERROR(IF(VLOOKUP($C127,'C'!$A$1:$N$1998,3,FALSE)=1,"&lt;",""),"")</f>
        <v/>
      </c>
      <c r="G127" s="4" t="str">
        <f>IFERROR(VLOOKUP($C127,'C'!$A$1:$N$1998,2,FALSE),"")</f>
        <v/>
      </c>
      <c r="H127" s="4" t="str">
        <f>IFERROR(IF(VLOOKUP($C127,'C'!$A$1:$N$1998,3,FALSE)=1,"&lt;",""),"")</f>
        <v/>
      </c>
      <c r="I127" s="4" t="str">
        <f>IFERROR(VLOOKUP($C127,'C'!$A$1:$N$1998,2,FALSE),"")</f>
        <v/>
      </c>
      <c r="J127" s="4" t="str">
        <f>IFERROR(IF(VLOOKUP($C127,'C'!$A$1:$N$1998,3,FALSE)=1,"&lt;",""),"")</f>
        <v/>
      </c>
      <c r="K127" s="71"/>
      <c r="L127" s="71"/>
      <c r="M127" s="4" t="str">
        <f t="shared" si="37"/>
        <v/>
      </c>
      <c r="N127" s="4" t="str">
        <f t="shared" si="43"/>
        <v/>
      </c>
      <c r="O127" s="4" t="str">
        <f t="shared" si="37"/>
        <v/>
      </c>
      <c r="P127" s="4" t="str">
        <f t="shared" si="44"/>
        <v/>
      </c>
      <c r="Q127" s="4" t="str">
        <f t="shared" si="37"/>
        <v/>
      </c>
      <c r="R127" s="4" t="str">
        <f t="shared" si="45"/>
        <v/>
      </c>
      <c r="S127" s="71"/>
      <c r="T127" s="71"/>
      <c r="U127" s="71"/>
      <c r="V127" s="4">
        <f>IFERROR(IF(VLOOKUP(B127,E!$B$1:$AK$300,4,FALSE)=0,1000000,VLOOKUP(B127,E!$B$1:$AK$300,4,FALSE)),1000000)</f>
        <v>1000000</v>
      </c>
      <c r="W127" s="71"/>
      <c r="X127" s="71"/>
      <c r="Z127" s="17" t="str">
        <f t="shared" si="84"/>
        <v/>
      </c>
      <c r="AA127" s="17" t="str">
        <f t="shared" si="85"/>
        <v/>
      </c>
      <c r="AC127" s="17" t="str">
        <f t="shared" si="86"/>
        <v/>
      </c>
      <c r="AD127" s="17" t="str">
        <f t="shared" si="87"/>
        <v/>
      </c>
      <c r="AF127" s="17" t="str">
        <f t="shared" si="88"/>
        <v/>
      </c>
      <c r="AG127" s="17" t="str">
        <f t="shared" si="89"/>
        <v/>
      </c>
      <c r="AI127" s="77">
        <v>0</v>
      </c>
      <c r="AJ127" s="77">
        <v>0</v>
      </c>
      <c r="AK127" s="77">
        <v>1</v>
      </c>
      <c r="AO127" s="4">
        <f t="shared" si="46"/>
        <v>5</v>
      </c>
      <c r="AQ127" s="4">
        <f t="shared" si="47"/>
        <v>5</v>
      </c>
      <c r="AS127" s="4">
        <f t="shared" si="48"/>
        <v>5</v>
      </c>
      <c r="AV127" s="4" t="str">
        <f t="shared" si="49"/>
        <v/>
      </c>
      <c r="AX127" s="4" t="str">
        <f t="shared" si="50"/>
        <v/>
      </c>
      <c r="AZ127" s="4" t="str">
        <f t="shared" si="51"/>
        <v/>
      </c>
    </row>
    <row r="128" spans="1:52" x14ac:dyDescent="0.2">
      <c r="A128" s="4" t="s">
        <v>638</v>
      </c>
      <c r="B128" s="4">
        <v>101</v>
      </c>
      <c r="C128" s="4" t="str">
        <f t="shared" si="0"/>
        <v>urn:immetingen:parameter:id:101</v>
      </c>
      <c r="D128" s="4" t="str">
        <f>IFERROR(IF(VLOOKUP($C128,'C'!$A$1:$N$1998,4,FALSE)=0,IF(VLOOKUP($C128,'C'!$A$1:$N$1998,7,FALSE)=0,VLOOKUP($C128,'C'!$A$1:$N$1998,10,FALSE),VLOOKUP($C128,'C'!$A$1:$N$1998,7,FALSE)),VLOOKUP($C128,'C'!$A$1:$N$1998,4,FALSE)),"")</f>
        <v/>
      </c>
      <c r="E128" s="4" t="str">
        <f>IFERROR(VLOOKUP($C128,'C'!$A$1:$N$1998,2,FALSE),"")</f>
        <v/>
      </c>
      <c r="F128" s="4" t="str">
        <f>IFERROR(IF(VLOOKUP($C128,'C'!$A$1:$N$1998,3,FALSE)=1,"&lt;",""),"")</f>
        <v/>
      </c>
      <c r="G128" s="4" t="str">
        <f>IFERROR(VLOOKUP($C128,'C'!$A$1:$N$1998,2,FALSE),"")</f>
        <v/>
      </c>
      <c r="H128" s="4" t="str">
        <f>IFERROR(IF(VLOOKUP($C128,'C'!$A$1:$N$1998,3,FALSE)=1,"&lt;",""),"")</f>
        <v/>
      </c>
      <c r="I128" s="4" t="str">
        <f>IFERROR(VLOOKUP($C128,'C'!$A$1:$N$1998,2,FALSE),"")</f>
        <v/>
      </c>
      <c r="J128" s="4" t="str">
        <f>IFERROR(IF(VLOOKUP($C128,'C'!$A$1:$N$1998,3,FALSE)=1,"&lt;",""),"")</f>
        <v/>
      </c>
      <c r="M128" s="4" t="str">
        <f t="shared" si="37"/>
        <v/>
      </c>
      <c r="N128" s="4" t="str">
        <f t="shared" si="43"/>
        <v/>
      </c>
      <c r="O128" s="4" t="str">
        <f t="shared" si="37"/>
        <v/>
      </c>
      <c r="P128" s="4" t="str">
        <f t="shared" si="44"/>
        <v/>
      </c>
      <c r="Q128" s="4" t="str">
        <f t="shared" si="37"/>
        <v/>
      </c>
      <c r="R128" s="4" t="str">
        <f t="shared" si="45"/>
        <v/>
      </c>
      <c r="V128" s="4">
        <f>IFERROR(IF(VLOOKUP(B128,E!$B$1:$AK$300,4,FALSE)=0,1000000,VLOOKUP(B128,E!$B$1:$AK$300,4,FALSE)),1000000)</f>
        <v>1000000</v>
      </c>
      <c r="Z128" s="17" t="str">
        <f t="shared" si="84"/>
        <v/>
      </c>
      <c r="AA128" s="17" t="str">
        <f t="shared" si="85"/>
        <v/>
      </c>
      <c r="AC128" s="17" t="str">
        <f t="shared" si="86"/>
        <v/>
      </c>
      <c r="AD128" s="17" t="str">
        <f t="shared" si="87"/>
        <v/>
      </c>
      <c r="AF128" s="17" t="str">
        <f t="shared" si="88"/>
        <v/>
      </c>
      <c r="AG128" s="17" t="str">
        <f t="shared" si="89"/>
        <v/>
      </c>
      <c r="AI128" s="77">
        <v>0</v>
      </c>
      <c r="AJ128" s="77">
        <v>0</v>
      </c>
      <c r="AK128" s="77">
        <v>1</v>
      </c>
      <c r="AO128" s="4">
        <f t="shared" si="46"/>
        <v>5</v>
      </c>
      <c r="AQ128" s="4">
        <f t="shared" si="47"/>
        <v>5</v>
      </c>
      <c r="AS128" s="4">
        <f t="shared" si="48"/>
        <v>5</v>
      </c>
      <c r="AV128" s="4" t="str">
        <f t="shared" si="49"/>
        <v/>
      </c>
      <c r="AX128" s="4" t="str">
        <f t="shared" si="50"/>
        <v/>
      </c>
      <c r="AZ128" s="4" t="str">
        <f t="shared" si="51"/>
        <v/>
      </c>
    </row>
    <row r="129" spans="1:52" x14ac:dyDescent="0.2">
      <c r="A129" s="4" t="s">
        <v>932</v>
      </c>
      <c r="B129" s="4">
        <v>106</v>
      </c>
      <c r="C129" s="4" t="str">
        <f t="shared" si="0"/>
        <v>urn:immetingen:parameter:id:106</v>
      </c>
      <c r="D129" s="4" t="str">
        <f>IFERROR(IF(VLOOKUP($C129,'C'!$A$1:$N$1998,4,FALSE)=0,IF(VLOOKUP($C129,'C'!$A$1:$N$1998,7,FALSE)=0,VLOOKUP($C129,'C'!$A$1:$N$1998,10,FALSE),VLOOKUP($C129,'C'!$A$1:$N$1998,7,FALSE)),VLOOKUP($C129,'C'!$A$1:$N$1998,4,FALSE)),"")</f>
        <v/>
      </c>
      <c r="E129" s="4" t="str">
        <f>IFERROR(VLOOKUP($C129,'C'!$A$1:$N$1998,2,FALSE),"")</f>
        <v/>
      </c>
      <c r="F129" s="4" t="str">
        <f>IFERROR(IF(VLOOKUP($C129,'C'!$A$1:$N$1998,3,FALSE)=1,"&lt;",""),"")</f>
        <v/>
      </c>
      <c r="G129" s="4" t="str">
        <f>IFERROR(VLOOKUP($C129,'C'!$A$1:$N$1998,2,FALSE),"")</f>
        <v/>
      </c>
      <c r="H129" s="4" t="str">
        <f>IFERROR(IF(VLOOKUP($C129,'C'!$A$1:$N$1998,3,FALSE)=1,"&lt;",""),"")</f>
        <v/>
      </c>
      <c r="I129" s="4" t="str">
        <f>IFERROR(VLOOKUP($C129,'C'!$A$1:$N$1998,2,FALSE),"")</f>
        <v/>
      </c>
      <c r="J129" s="4" t="str">
        <f>IFERROR(IF(VLOOKUP($C129,'C'!$A$1:$N$1998,3,FALSE)=1,"&lt;",""),"")</f>
        <v/>
      </c>
      <c r="M129" s="4" t="str">
        <f t="shared" si="37"/>
        <v/>
      </c>
      <c r="N129" s="4" t="str">
        <f t="shared" si="43"/>
        <v/>
      </c>
      <c r="O129" s="4" t="str">
        <f t="shared" si="37"/>
        <v/>
      </c>
      <c r="P129" s="4" t="str">
        <f t="shared" si="44"/>
        <v/>
      </c>
      <c r="Q129" s="4" t="str">
        <f t="shared" si="37"/>
        <v/>
      </c>
      <c r="R129" s="4" t="str">
        <f t="shared" si="45"/>
        <v/>
      </c>
      <c r="V129" s="4">
        <f>IFERROR(IF(VLOOKUP(B129,E!$B$1:$AK$300,4,FALSE)=0,1000000,VLOOKUP(B129,E!$B$1:$AK$300,4,FALSE)),1000000)</f>
        <v>1000000</v>
      </c>
      <c r="Z129" s="17" t="str">
        <f t="shared" si="84"/>
        <v/>
      </c>
      <c r="AA129" s="17" t="str">
        <f t="shared" si="85"/>
        <v/>
      </c>
      <c r="AC129" s="17" t="str">
        <f t="shared" si="86"/>
        <v/>
      </c>
      <c r="AD129" s="17" t="str">
        <f t="shared" si="87"/>
        <v/>
      </c>
      <c r="AF129" s="17" t="str">
        <f t="shared" si="88"/>
        <v/>
      </c>
      <c r="AG129" s="17" t="str">
        <f t="shared" si="89"/>
        <v/>
      </c>
      <c r="AI129" s="77">
        <v>0</v>
      </c>
      <c r="AJ129" s="77">
        <v>0</v>
      </c>
      <c r="AK129" s="77">
        <v>1</v>
      </c>
      <c r="AO129" s="4">
        <f t="shared" si="46"/>
        <v>5</v>
      </c>
      <c r="AQ129" s="4">
        <f t="shared" si="47"/>
        <v>5</v>
      </c>
      <c r="AS129" s="4">
        <f t="shared" si="48"/>
        <v>5</v>
      </c>
      <c r="AV129" s="4" t="str">
        <f t="shared" si="49"/>
        <v/>
      </c>
      <c r="AX129" s="4" t="str">
        <f t="shared" si="50"/>
        <v/>
      </c>
      <c r="AZ129" s="4" t="str">
        <f t="shared" si="51"/>
        <v/>
      </c>
    </row>
    <row r="130" spans="1:52" x14ac:dyDescent="0.2">
      <c r="A130" s="4" t="s">
        <v>931</v>
      </c>
      <c r="B130" s="4">
        <v>177</v>
      </c>
      <c r="C130" s="4" t="str">
        <f t="shared" si="0"/>
        <v>urn:immetingen:parameter:id:177</v>
      </c>
      <c r="D130" s="4" t="str">
        <f>IFERROR(IF(VLOOKUP($C130,'C'!$A$1:$N$1998,4,FALSE)=0,IF(VLOOKUP($C130,'C'!$A$1:$N$1998,7,FALSE)=0,VLOOKUP($C130,'C'!$A$1:$N$1998,10,FALSE),VLOOKUP($C130,'C'!$A$1:$N$1998,7,FALSE)),VLOOKUP($C130,'C'!$A$1:$N$1998,4,FALSE)),"")</f>
        <v/>
      </c>
      <c r="E130" s="4" t="str">
        <f>IFERROR(VLOOKUP($C130,'C'!$A$1:$N$1998,2,FALSE),"")</f>
        <v/>
      </c>
      <c r="F130" s="4" t="str">
        <f>IFERROR(IF(VLOOKUP($C130,'C'!$A$1:$N$1998,3,FALSE)=1,"&lt;",""),"")</f>
        <v/>
      </c>
      <c r="G130" s="4" t="str">
        <f>IFERROR(VLOOKUP($C130,'C'!$A$1:$N$1998,2,FALSE),"")</f>
        <v/>
      </c>
      <c r="H130" s="4" t="str">
        <f>IFERROR(IF(VLOOKUP($C130,'C'!$A$1:$N$1998,3,FALSE)=1,"&lt;",""),"")</f>
        <v/>
      </c>
      <c r="I130" s="4" t="str">
        <f>IFERROR(VLOOKUP($C130,'C'!$A$1:$N$1998,2,FALSE),"")</f>
        <v/>
      </c>
      <c r="J130" s="4" t="str">
        <f>IFERROR(IF(VLOOKUP($C130,'C'!$A$1:$N$1998,3,FALSE)=1,"&lt;",""),"")</f>
        <v/>
      </c>
      <c r="M130" s="4" t="str">
        <f t="shared" si="37"/>
        <v/>
      </c>
      <c r="N130" s="4" t="str">
        <f t="shared" si="43"/>
        <v/>
      </c>
      <c r="O130" s="4" t="str">
        <f t="shared" si="37"/>
        <v/>
      </c>
      <c r="P130" s="4" t="str">
        <f t="shared" si="44"/>
        <v/>
      </c>
      <c r="Q130" s="4" t="str">
        <f t="shared" si="37"/>
        <v/>
      </c>
      <c r="R130" s="4" t="str">
        <f t="shared" si="45"/>
        <v/>
      </c>
      <c r="V130" s="4">
        <f>IFERROR(IF(VLOOKUP(B130,E!$B$1:$AK$300,4,FALSE)=0,1000000,VLOOKUP(B130,E!$B$1:$AK$300,4,FALSE)),1000000)</f>
        <v>1000000</v>
      </c>
      <c r="Z130" s="17" t="str">
        <f t="shared" si="84"/>
        <v/>
      </c>
      <c r="AA130" s="17" t="str">
        <f t="shared" si="85"/>
        <v/>
      </c>
      <c r="AC130" s="17" t="str">
        <f t="shared" si="86"/>
        <v/>
      </c>
      <c r="AD130" s="17" t="str">
        <f t="shared" si="87"/>
        <v/>
      </c>
      <c r="AF130" s="17" t="str">
        <f t="shared" si="88"/>
        <v/>
      </c>
      <c r="AG130" s="17" t="str">
        <f t="shared" si="89"/>
        <v/>
      </c>
      <c r="AI130" s="77">
        <v>0</v>
      </c>
      <c r="AJ130" s="77">
        <v>0</v>
      </c>
      <c r="AK130" s="77">
        <v>1</v>
      </c>
      <c r="AO130" s="4">
        <f t="shared" si="46"/>
        <v>5</v>
      </c>
      <c r="AQ130" s="4">
        <f t="shared" si="47"/>
        <v>5</v>
      </c>
      <c r="AS130" s="4">
        <f t="shared" si="48"/>
        <v>5</v>
      </c>
      <c r="AV130" s="4" t="str">
        <f t="shared" si="49"/>
        <v/>
      </c>
      <c r="AX130" s="4" t="str">
        <f t="shared" si="50"/>
        <v/>
      </c>
      <c r="AZ130" s="4" t="str">
        <f t="shared" si="51"/>
        <v/>
      </c>
    </row>
    <row r="131" spans="1:52" x14ac:dyDescent="0.2">
      <c r="A131" s="81" t="s">
        <v>825</v>
      </c>
      <c r="B131" s="4">
        <v>1600</v>
      </c>
      <c r="C131" s="4" t="str">
        <f t="shared" si="0"/>
        <v>urn:immetingen:parameter:id:1600</v>
      </c>
      <c r="D131" s="17" t="str">
        <f>D127</f>
        <v/>
      </c>
      <c r="E131" s="17" t="str">
        <f>IFERROR(IF($D131=131,IF(AND(F125="&lt;",F126="&lt;",F127="&lt;",F128="&lt;",F129="&lt;",F130="&lt;"),SUM(E125:E130),AA131*1000),IF(AND(F125="&lt;",F126="&lt;",F127="&lt;",F128="&lt;",F129="&lt;",F130="&lt;"),SUM(E125:E130),AA131)),"")</f>
        <v/>
      </c>
      <c r="F131" s="17" t="str">
        <f>IFERROR(IF(AND(F125="&lt;",F126="&lt;",F127="&lt;",F128="&lt;",F129="&lt;",F130="&lt;"),"&lt;",""),"")</f>
        <v/>
      </c>
      <c r="G131" s="17" t="str">
        <f>IFERROR(IF($D131=131,IF(AND(H125="&lt;",H126="&lt;",H127="&lt;",H128="&lt;",H129="&lt;",H130="&lt;"),SUM(G125:G130),AD131*1000),IF(AND(H125="&lt;",H126="&lt;",H127="&lt;",H128="&lt;",H129="&lt;",H130="&lt;"),SUM(G125:G130),AD131)),"")</f>
        <v/>
      </c>
      <c r="H131" s="17" t="str">
        <f>IFERROR(IF(AND(H125="&lt;",H126="&lt;",H127="&lt;",H128="&lt;",H129="&lt;",H130="&lt;"),"&lt;",""),"")</f>
        <v/>
      </c>
      <c r="I131" s="17" t="str">
        <f>IFERROR(IF($D131=131,IF(AND(J125="&lt;",J126="&lt;",J127="&lt;",J128="&lt;",J129="&lt;",J130="&lt;"),SUM(I125:I130),AG131*1000),IF(AND(J125="&lt;",J126="&lt;",J127="&lt;",J128="&lt;",J129="&lt;",J130="&lt;"),SUM(I125:I130),AG131)),"")</f>
        <v/>
      </c>
      <c r="J131" s="17" t="str">
        <f>IFERROR(IF(AND(J125="&lt;",J126="&lt;",J127="&lt;",J128="&lt;",J129="&lt;",J130="&lt;"),"&lt;",""),"")</f>
        <v/>
      </c>
      <c r="M131" s="4" t="str">
        <f t="shared" si="37"/>
        <v/>
      </c>
      <c r="N131" s="4" t="str">
        <f t="shared" si="43"/>
        <v/>
      </c>
      <c r="O131" s="4" t="str">
        <f t="shared" si="37"/>
        <v/>
      </c>
      <c r="P131" s="4" t="str">
        <f t="shared" si="44"/>
        <v/>
      </c>
      <c r="Q131" s="4" t="str">
        <f t="shared" si="37"/>
        <v/>
      </c>
      <c r="R131" s="4" t="str">
        <f t="shared" si="45"/>
        <v/>
      </c>
      <c r="V131" s="4">
        <f>IFERROR(IF(VLOOKUP(B131,E!$B$1:$AK$300,4,FALSE)=0,1000000,VLOOKUP(B131,E!$B$1:$AK$300,4,FALSE)),1000000)</f>
        <v>1000000000</v>
      </c>
      <c r="Z131" s="17">
        <f>SUM(Z125:Z130)</f>
        <v>0</v>
      </c>
      <c r="AA131" s="64" t="str">
        <f>IF(M125="","",IF(Z131=0,SUM(M125:M130),Z131))</f>
        <v/>
      </c>
      <c r="AC131" s="17">
        <f>SUM(AC125:AC130)</f>
        <v>0</v>
      </c>
      <c r="AD131" s="64" t="str">
        <f>IF(O125="","",IF(AC131=0,SUM(O125:O130),AC131))</f>
        <v/>
      </c>
      <c r="AF131" s="17">
        <f>SUM(AF125:AF130)</f>
        <v>0</v>
      </c>
      <c r="AG131" s="64" t="str">
        <f>IF(Q125="","",IF(AF131=0,SUM(Q125:Q130),AF131))</f>
        <v/>
      </c>
      <c r="AI131" s="77">
        <v>0</v>
      </c>
      <c r="AJ131" s="77">
        <v>0</v>
      </c>
      <c r="AK131" s="77">
        <v>1</v>
      </c>
      <c r="AO131" s="4">
        <f t="shared" si="46"/>
        <v>5</v>
      </c>
      <c r="AQ131" s="4">
        <f t="shared" si="47"/>
        <v>5</v>
      </c>
      <c r="AS131" s="4">
        <f t="shared" si="48"/>
        <v>5</v>
      </c>
      <c r="AV131" s="4" t="str">
        <f t="shared" si="49"/>
        <v/>
      </c>
      <c r="AX131" s="4" t="str">
        <f t="shared" si="50"/>
        <v/>
      </c>
      <c r="AZ131" s="4" t="str">
        <f t="shared" si="51"/>
        <v/>
      </c>
    </row>
    <row r="132" spans="1:52" x14ac:dyDescent="0.2">
      <c r="A132" s="4" t="s">
        <v>639</v>
      </c>
      <c r="B132" s="4">
        <v>146</v>
      </c>
      <c r="C132" s="4" t="str">
        <f t="shared" si="0"/>
        <v>urn:immetingen:parameter:id:146</v>
      </c>
      <c r="D132" s="4" t="str">
        <f>IFERROR(IF(VLOOKUP($C132,'C'!$A$1:$N$1998,4,FALSE)=0,IF(VLOOKUP($C132,'C'!$A$1:$N$1998,7,FALSE)=0,VLOOKUP($C132,'C'!$A$1:$N$1998,10,FALSE),VLOOKUP($C132,'C'!$A$1:$N$1998,7,FALSE)),VLOOKUP($C132,'C'!$A$1:$N$1998,4,FALSE)),"")</f>
        <v/>
      </c>
      <c r="E132" s="4" t="str">
        <f>IFERROR(VLOOKUP($C132,'C'!$A$1:$N$1998,2,FALSE),"")</f>
        <v/>
      </c>
      <c r="F132" s="4" t="str">
        <f>IFERROR(IF(VLOOKUP($C132,'C'!$A$1:$N$1998,3,FALSE)=1,"&lt;",""),"")</f>
        <v/>
      </c>
      <c r="G132" s="4" t="str">
        <f>IFERROR(VLOOKUP($C132,'C'!$A$1:$N$1998,5,FALSE),"")</f>
        <v/>
      </c>
      <c r="H132" s="4" t="str">
        <f>IFERROR(IF(VLOOKUP($C132,'C'!$A$1:$N$1998,6,FALSE)=1,"&lt;",""),"")</f>
        <v/>
      </c>
      <c r="I132" s="4" t="str">
        <f>IFERROR(VLOOKUP($C132,'C'!$A$1:$N$1998,8,FALSE),"")</f>
        <v/>
      </c>
      <c r="J132" s="4" t="str">
        <f>IFERROR(IF(VLOOKUP($C132,'C'!$A$1:$N$1998,9,FALSE)=1,"&lt;",""),"")</f>
        <v/>
      </c>
      <c r="M132" s="4" t="str">
        <f t="shared" si="37"/>
        <v/>
      </c>
      <c r="N132" s="4" t="str">
        <f t="shared" si="43"/>
        <v/>
      </c>
      <c r="O132" s="4" t="str">
        <f t="shared" si="57"/>
        <v/>
      </c>
      <c r="P132" s="4" t="str">
        <f t="shared" si="44"/>
        <v/>
      </c>
      <c r="Q132" s="4" t="str">
        <f t="shared" si="58"/>
        <v/>
      </c>
      <c r="R132" s="4" t="str">
        <f t="shared" si="45"/>
        <v/>
      </c>
      <c r="V132" s="4">
        <f>IFERROR(IF(VLOOKUP(B132,E!$B$1:$AK$300,4,FALSE)=0,1000000,VLOOKUP(B132,E!$B$1:$AK$300,4,FALSE)),1000000)</f>
        <v>1000000</v>
      </c>
      <c r="Z132" s="4" t="str">
        <f t="shared" ref="Z132" si="90">IF(M132="","",IF(AND(N132="&lt;",M132&lt;=$V132),-1,(IF(N132="&lt;",0.7*M132,M132))))</f>
        <v/>
      </c>
      <c r="AC132" s="4" t="str">
        <f t="shared" ref="AC132" si="91">IF(O132="","",IF(AND(P132="&lt;",O132&lt;=$V132),-1,(IF(P132="&lt;",0.7*O132,O132))))</f>
        <v/>
      </c>
      <c r="AF132" s="4" t="str">
        <f t="shared" ref="AF132" si="92">IF(Q132="","",IF(AND(R132="&lt;",Q132&lt;=$V132),-1,(IF(R132="&lt;",0.7*Q132,Q132))))</f>
        <v/>
      </c>
      <c r="AI132" s="77">
        <v>0</v>
      </c>
      <c r="AJ132" s="77">
        <v>0</v>
      </c>
      <c r="AK132" s="77">
        <v>1</v>
      </c>
      <c r="AO132" s="4">
        <f t="shared" si="46"/>
        <v>5</v>
      </c>
      <c r="AQ132" s="4">
        <f t="shared" si="47"/>
        <v>5</v>
      </c>
      <c r="AS132" s="4">
        <f t="shared" si="48"/>
        <v>5</v>
      </c>
      <c r="AV132" s="4" t="str">
        <f t="shared" si="49"/>
        <v/>
      </c>
      <c r="AX132" s="4" t="str">
        <f t="shared" si="50"/>
        <v/>
      </c>
      <c r="AZ132" s="4" t="str">
        <f t="shared" si="51"/>
        <v/>
      </c>
    </row>
    <row r="133" spans="1:52" x14ac:dyDescent="0.2">
      <c r="A133" s="4" t="s">
        <v>640</v>
      </c>
      <c r="B133" s="4">
        <v>227</v>
      </c>
      <c r="C133" s="4" t="str">
        <f t="shared" si="0"/>
        <v>urn:immetingen:parameter:id:227</v>
      </c>
      <c r="D133" s="4" t="str">
        <f>IFERROR(IF(VLOOKUP($C133,'C'!$A$1:$N$1998,4,FALSE)=0,IF(VLOOKUP($C133,'C'!$A$1:$N$1998,7,FALSE)=0,VLOOKUP($C133,'C'!$A$1:$N$1998,10,FALSE),VLOOKUP($C133,'C'!$A$1:$N$1998,7,FALSE)),VLOOKUP($C133,'C'!$A$1:$N$1998,4,FALSE)),"")</f>
        <v/>
      </c>
      <c r="E133" s="4" t="str">
        <f>IFERROR(VLOOKUP($C133,'C'!$A$1:$N$1998,2,FALSE),"")</f>
        <v/>
      </c>
      <c r="F133" s="4" t="str">
        <f>IFERROR(IF(VLOOKUP($C133,'C'!$A$1:$N$1998,3,FALSE)=1,"&lt;",""),"")</f>
        <v/>
      </c>
      <c r="G133" s="4" t="str">
        <f>IFERROR(VLOOKUP($C133,'C'!$A$1:$N$1998,5,FALSE),"")</f>
        <v/>
      </c>
      <c r="H133" s="4" t="str">
        <f>IFERROR(IF(VLOOKUP($C133,'C'!$A$1:$N$1998,6,FALSE)=1,"&lt;",""),"")</f>
        <v/>
      </c>
      <c r="I133" s="4" t="str">
        <f>IFERROR(VLOOKUP($C133,'C'!$A$1:$N$1998,8,FALSE),"")</f>
        <v/>
      </c>
      <c r="J133" s="4" t="str">
        <f>IFERROR(IF(VLOOKUP($C133,'C'!$A$1:$N$1998,9,FALSE)=1,"&lt;",""),"")</f>
        <v/>
      </c>
      <c r="M133" s="4" t="str">
        <f t="shared" si="37"/>
        <v/>
      </c>
      <c r="N133" s="4" t="str">
        <f t="shared" si="43"/>
        <v/>
      </c>
      <c r="O133" s="4" t="str">
        <f t="shared" si="57"/>
        <v/>
      </c>
      <c r="P133" s="4" t="str">
        <f t="shared" si="44"/>
        <v/>
      </c>
      <c r="Q133" s="4" t="str">
        <f t="shared" si="58"/>
        <v/>
      </c>
      <c r="R133" s="4" t="str">
        <f t="shared" si="45"/>
        <v/>
      </c>
      <c r="V133" s="4">
        <f>IFERROR(IF(VLOOKUP(B133,E!$B$1:$AK$300,4,FALSE)=0,1000000,VLOOKUP(B133,E!$B$1:$AK$300,4,FALSE)),1000000)</f>
        <v>1000000</v>
      </c>
      <c r="Z133" s="17" t="str">
        <f>IF(AA133=-1,IF(SUM(AA$133:AA$134)=-2,0,(0.7*M133)),AA133)</f>
        <v/>
      </c>
      <c r="AA133" s="17" t="str">
        <f>IF(M133="","",IF(AND(N133="&lt;",M133&lt;=V133),-1,(IF(N133="&lt;",0.7*M133,M133))))</f>
        <v/>
      </c>
      <c r="AC133" s="17" t="str">
        <f>IF(AD133=-1,IF(SUM(AD$133:AD$134)=-2,0,(0.7*O133)),AD133)</f>
        <v/>
      </c>
      <c r="AD133" s="17" t="str">
        <f>IF(O133="","",IF(AND(P133="&lt;",O133&lt;=V133),-1,(IF(P133="&lt;",0.7*O133,O133))))</f>
        <v/>
      </c>
      <c r="AF133" s="17" t="str">
        <f>IF(AG133=-1,IF(SUM(AG$133:AG$134)=-2,0,(0.7*Q133)),AG133)</f>
        <v/>
      </c>
      <c r="AG133" s="17" t="str">
        <f>IF(Q133="","",IF(AND(R133="&lt;",Q133&lt;=V133),-1,(IF(R133="&lt;",0.7*Q133,Q133))))</f>
        <v/>
      </c>
      <c r="AI133" s="77">
        <v>0</v>
      </c>
      <c r="AJ133" s="77">
        <v>0</v>
      </c>
      <c r="AK133" s="77">
        <v>1</v>
      </c>
      <c r="AO133" s="4">
        <f t="shared" si="46"/>
        <v>5</v>
      </c>
      <c r="AQ133" s="4">
        <f t="shared" si="47"/>
        <v>5</v>
      </c>
      <c r="AS133" s="4">
        <f t="shared" si="48"/>
        <v>5</v>
      </c>
      <c r="AV133" s="4" t="str">
        <f t="shared" si="49"/>
        <v/>
      </c>
      <c r="AX133" s="4" t="str">
        <f t="shared" si="50"/>
        <v/>
      </c>
      <c r="AZ133" s="4" t="str">
        <f t="shared" si="51"/>
        <v/>
      </c>
    </row>
    <row r="134" spans="1:52" x14ac:dyDescent="0.2">
      <c r="A134" s="4" t="s">
        <v>920</v>
      </c>
      <c r="B134" s="4">
        <v>224</v>
      </c>
      <c r="C134" s="4" t="str">
        <f t="shared" si="0"/>
        <v>urn:immetingen:parameter:id:224</v>
      </c>
      <c r="D134" s="4" t="str">
        <f>IFERROR(IF(VLOOKUP($C134,'C'!$A$1:$N$1998,4,FALSE)=0,IF(VLOOKUP($C134,'C'!$A$1:$N$1998,7,FALSE)=0,VLOOKUP($C134,'C'!$A$1:$N$1998,10,FALSE),VLOOKUP($C134,'C'!$A$1:$N$1998,7,FALSE)),VLOOKUP($C134,'C'!$A$1:$N$1998,4,FALSE)),"")</f>
        <v/>
      </c>
      <c r="E134" s="4" t="str">
        <f>IFERROR(VLOOKUP($C134,'C'!$A$1:$N$1998,2,FALSE),"")</f>
        <v/>
      </c>
      <c r="F134" s="4" t="str">
        <f>IFERROR(IF(VLOOKUP($C134,'C'!$A$1:$N$1998,3,FALSE)=1,"&lt;",""),"")</f>
        <v/>
      </c>
      <c r="G134" s="4" t="str">
        <f>IFERROR(VLOOKUP($C134,'C'!$A$1:$N$1998,5,FALSE),"")</f>
        <v/>
      </c>
      <c r="H134" s="4" t="str">
        <f>IFERROR(IF(VLOOKUP($C134,'C'!$A$1:$N$1998,6,FALSE)=1,"&lt;",""),"")</f>
        <v/>
      </c>
      <c r="I134" s="4" t="str">
        <f>IFERROR(VLOOKUP($C134,'C'!$A$1:$N$1998,8,FALSE),"")</f>
        <v/>
      </c>
      <c r="J134" s="4" t="str">
        <f>IFERROR(IF(VLOOKUP($C134,'C'!$A$1:$N$1998,9,FALSE)=1,"&lt;",""),"")</f>
        <v/>
      </c>
      <c r="M134" s="4" t="str">
        <f t="shared" si="37"/>
        <v/>
      </c>
      <c r="N134" s="4" t="str">
        <f t="shared" si="43"/>
        <v/>
      </c>
      <c r="O134" s="4" t="str">
        <f t="shared" si="57"/>
        <v/>
      </c>
      <c r="P134" s="4" t="str">
        <f t="shared" si="44"/>
        <v/>
      </c>
      <c r="Q134" s="4" t="str">
        <f t="shared" si="58"/>
        <v/>
      </c>
      <c r="R134" s="4" t="str">
        <f t="shared" si="45"/>
        <v/>
      </c>
      <c r="V134" s="4">
        <f>IFERROR(IF(VLOOKUP(B134,E!$B$1:$AK$300,4,FALSE)=0,1000000,VLOOKUP(B134,E!$B$1:$AK$300,4,FALSE)),1000000)</f>
        <v>1000000</v>
      </c>
      <c r="Z134" s="17" t="str">
        <f>IF(AA134=-1,IF(SUM(AA$133:AA$134)=-2,0,(0.7*M134)),AA134)</f>
        <v/>
      </c>
      <c r="AA134" s="17" t="str">
        <f>IF(M134="","",IF(AND(N134="&lt;",M134&lt;=V134),-1,(IF(N134="&lt;",0.7*M134,M134))))</f>
        <v/>
      </c>
      <c r="AC134" s="17" t="str">
        <f>IF(AD134=-1,IF(SUM(AD$133:AD$134)=-2,0,(0.7*O134)),AD134)</f>
        <v/>
      </c>
      <c r="AD134" s="17" t="str">
        <f>IF(O134="","",IF(AND(P134="&lt;",O134&lt;=V134),-1,(IF(P134="&lt;",0.7*O134,O134))))</f>
        <v/>
      </c>
      <c r="AF134" s="17" t="str">
        <f>IF(AG134=-1,IF(SUM(AG$133:AG$134)=-2,0,(0.7*Q134)),AG134)</f>
        <v/>
      </c>
      <c r="AG134" s="17" t="str">
        <f>IF(Q134="","",IF(AND(R134="&lt;",Q134&lt;=V134),-1,(IF(R134="&lt;",0.7*Q134,Q134))))</f>
        <v/>
      </c>
      <c r="AI134" s="77">
        <v>0</v>
      </c>
      <c r="AJ134" s="77">
        <v>0</v>
      </c>
      <c r="AK134" s="77">
        <v>1</v>
      </c>
      <c r="AO134" s="4">
        <f t="shared" si="46"/>
        <v>5</v>
      </c>
      <c r="AQ134" s="4">
        <f t="shared" si="47"/>
        <v>5</v>
      </c>
      <c r="AS134" s="4">
        <f t="shared" si="48"/>
        <v>5</v>
      </c>
      <c r="AV134" s="4" t="str">
        <f t="shared" si="49"/>
        <v/>
      </c>
      <c r="AX134" s="4" t="str">
        <f t="shared" si="50"/>
        <v/>
      </c>
      <c r="AZ134" s="4" t="str">
        <f t="shared" si="51"/>
        <v/>
      </c>
    </row>
    <row r="135" spans="1:52" x14ac:dyDescent="0.2">
      <c r="A135" s="81" t="s">
        <v>828</v>
      </c>
      <c r="B135" s="4">
        <v>2253</v>
      </c>
      <c r="C135" s="4" t="str">
        <f t="shared" si="0"/>
        <v>urn:immetingen:parameter:id:2253</v>
      </c>
      <c r="D135" s="17" t="str">
        <f>D133</f>
        <v/>
      </c>
      <c r="E135" s="17" t="str">
        <f>IFERROR(IF($D135=131,IF(AND(F133="&lt;",F134="&lt;"),SUM(E133:E134),AA135*1000),IF(AND(F133="&lt;",F134="&lt;"),SUM(E133:E134),AA135)),"")</f>
        <v/>
      </c>
      <c r="F135" s="17" t="str">
        <f>IFERROR(IF(AND(F133="&lt;",F134="&lt;"),"&lt;",""),"")</f>
        <v/>
      </c>
      <c r="G135" s="17" t="str">
        <f>IFERROR(IF($D135=131,IF(AND(H133="&lt;",H134="&lt;"),SUM(G133:G134),AD135*1000),IF(AND(H133="&lt;",H134="&lt;"),SUM(G133:G134),AD135)),"")</f>
        <v/>
      </c>
      <c r="H135" s="17" t="str">
        <f>IFERROR(IF(AND(H133="&lt;",H134="&lt;"),"&lt;",""),"")</f>
        <v/>
      </c>
      <c r="I135" s="17" t="str">
        <f>IFERROR(IF($D135=131,IF(AND(J133="&lt;",J134="&lt;"),SUM(I133:I134),AG135*1000),IF(AND(J133="&lt;",J134="&lt;"),SUM(I133:I134),AG135)),"")</f>
        <v/>
      </c>
      <c r="J135" s="17" t="str">
        <f>IFERROR(IF(AND(J133="&lt;",J134="&lt;"),"&lt;",""),"")</f>
        <v/>
      </c>
      <c r="M135" s="4" t="str">
        <f t="shared" si="37"/>
        <v/>
      </c>
      <c r="N135" s="4" t="str">
        <f t="shared" si="43"/>
        <v/>
      </c>
      <c r="O135" s="4" t="str">
        <f t="shared" si="57"/>
        <v/>
      </c>
      <c r="P135" s="4" t="str">
        <f t="shared" si="44"/>
        <v/>
      </c>
      <c r="Q135" s="4" t="str">
        <f t="shared" si="58"/>
        <v/>
      </c>
      <c r="R135" s="4" t="str">
        <f t="shared" si="45"/>
        <v/>
      </c>
      <c r="V135" s="4">
        <f>IFERROR(IF(VLOOKUP(B135,E!$B$1:$AK$300,4,FALSE)=0,1000000,VLOOKUP(B135,E!$B$1:$AK$300,4,FALSE)),1000000)</f>
        <v>1000000000</v>
      </c>
      <c r="Z135" s="17">
        <f>SUM(Z133:Z134)</f>
        <v>0</v>
      </c>
      <c r="AA135" s="64" t="str">
        <f>IF(M133="","",IF(Z135=0,SUM(M133:M134),Z135))</f>
        <v/>
      </c>
      <c r="AC135" s="17">
        <f>SUM(AC133:AC134)</f>
        <v>0</v>
      </c>
      <c r="AD135" s="64" t="str">
        <f>IF(O133="","",IF(AC135=0,SUM(O133:O134),AC135))</f>
        <v/>
      </c>
      <c r="AF135" s="17">
        <f>SUM(AF133:AF134)</f>
        <v>0</v>
      </c>
      <c r="AG135" s="64" t="str">
        <f>IF(Q133="","",IF(AF135=0,SUM(Q133:Q134),AF135))</f>
        <v/>
      </c>
      <c r="AI135" s="77">
        <v>0</v>
      </c>
      <c r="AJ135" s="77">
        <v>0</v>
      </c>
      <c r="AK135" s="77">
        <v>1</v>
      </c>
      <c r="AO135" s="4">
        <f t="shared" si="46"/>
        <v>5</v>
      </c>
      <c r="AQ135" s="4">
        <f t="shared" si="47"/>
        <v>5</v>
      </c>
      <c r="AS135" s="4">
        <f t="shared" si="48"/>
        <v>5</v>
      </c>
      <c r="AV135" s="4" t="str">
        <f t="shared" si="49"/>
        <v/>
      </c>
      <c r="AX135" s="4" t="str">
        <f t="shared" si="50"/>
        <v/>
      </c>
      <c r="AZ135" s="4" t="str">
        <f t="shared" si="51"/>
        <v/>
      </c>
    </row>
    <row r="136" spans="1:52" x14ac:dyDescent="0.2">
      <c r="A136" s="81" t="s">
        <v>921</v>
      </c>
      <c r="B136" s="4">
        <v>94</v>
      </c>
      <c r="C136" s="4" t="str">
        <f t="shared" si="0"/>
        <v>urn:immetingen:parameter:id:94</v>
      </c>
      <c r="D136" s="4" t="str">
        <f>IFERROR(IF(VLOOKUP($C136,'C'!$A$1:$N$1998,4,FALSE)=0,IF(VLOOKUP($C136,'C'!$A$1:$N$1998,7,FALSE)=0,VLOOKUP($C136,'C'!$A$1:$N$1998,10,FALSE),VLOOKUP($C136,'C'!$A$1:$N$1998,7,FALSE)),VLOOKUP($C136,'C'!$A$1:$N$1998,4,FALSE)),"")</f>
        <v/>
      </c>
      <c r="E136" s="4" t="str">
        <f>IFERROR(VLOOKUP($C136,'C'!$A$1:$N$1998,2,FALSE),"")</f>
        <v/>
      </c>
      <c r="F136" s="4" t="str">
        <f>IFERROR(IF(VLOOKUP($C136,'C'!$A$1:$N$1998,3,FALSE)=1,"&lt;",""),"")</f>
        <v/>
      </c>
      <c r="G136" s="4" t="str">
        <f>IFERROR(VLOOKUP($C136,'C'!$A$1:$N$1998,5,FALSE),"")</f>
        <v/>
      </c>
      <c r="H136" s="4" t="str">
        <f>IFERROR(IF(VLOOKUP($C136,'C'!$A$1:$N$1998,6,FALSE)=1,"&lt;",""),"")</f>
        <v/>
      </c>
      <c r="I136" s="4" t="str">
        <f>IFERROR(VLOOKUP($C136,'C'!$A$1:$N$1998,8,FALSE),"")</f>
        <v/>
      </c>
      <c r="J136" s="4" t="str">
        <f>IFERROR(IF(VLOOKUP($C136,'C'!$A$1:$N$1998,9,FALSE)=1,"&lt;",""),"")</f>
        <v/>
      </c>
      <c r="M136" s="4" t="str">
        <f t="shared" si="37"/>
        <v/>
      </c>
      <c r="N136" s="4" t="str">
        <f t="shared" si="43"/>
        <v/>
      </c>
      <c r="O136" s="4" t="str">
        <f t="shared" si="57"/>
        <v/>
      </c>
      <c r="P136" s="4" t="str">
        <f t="shared" si="44"/>
        <v/>
      </c>
      <c r="Q136" s="4" t="str">
        <f t="shared" si="58"/>
        <v/>
      </c>
      <c r="R136" s="4" t="str">
        <f t="shared" si="45"/>
        <v/>
      </c>
      <c r="V136" s="4">
        <f>IFERROR(IF(VLOOKUP(B136,E!$B$1:$AK$300,4,FALSE)=0,1000000,VLOOKUP(B136,E!$B$1:$AK$300,4,FALSE)),1000000)</f>
        <v>1000000</v>
      </c>
      <c r="Z136" s="17" t="str">
        <f>IF(AA136=-1,IF(SUM(AA$136:AA$141)=-6,0,(0.7*M136)),AA136)</f>
        <v/>
      </c>
      <c r="AA136" s="17" t="str">
        <f>IF(M136="","",IF(AND(N136="&lt;",M136&lt;=V136),-1,(IF(N136="&lt;",0.7*M136,M136))))</f>
        <v/>
      </c>
      <c r="AC136" s="17" t="str">
        <f>IF(AD136=-1,IF(SUM(AD$136:AD$141)=-6,0,(0.7*O136)),AD136)</f>
        <v/>
      </c>
      <c r="AD136" s="17" t="str">
        <f>IF(O136="","",IF(AND(P136="&lt;",O136&lt;=V136),-1,(IF(P136="&lt;",0.7*O136,O136))))</f>
        <v/>
      </c>
      <c r="AF136" s="17" t="str">
        <f>IF(AG136=-1,IF(SUM(AG$136:AG$141)=-6,0,(0.7*Q136)),AG136)</f>
        <v/>
      </c>
      <c r="AG136" s="17" t="str">
        <f>IF(Q136="","",IF(AND(R136="&lt;",Q136&lt;=V136),-1,(IF(R136="&lt;",0.7*Q136,Q136))))</f>
        <v/>
      </c>
      <c r="AI136" s="77">
        <v>0</v>
      </c>
      <c r="AJ136" s="77">
        <v>0</v>
      </c>
      <c r="AK136" s="77">
        <v>1</v>
      </c>
      <c r="AO136" s="4">
        <f t="shared" si="46"/>
        <v>5</v>
      </c>
      <c r="AQ136" s="4">
        <f t="shared" si="47"/>
        <v>5</v>
      </c>
      <c r="AS136" s="4">
        <f t="shared" si="48"/>
        <v>5</v>
      </c>
      <c r="AV136" s="4" t="str">
        <f t="shared" si="49"/>
        <v/>
      </c>
      <c r="AX136" s="4" t="str">
        <f t="shared" si="50"/>
        <v/>
      </c>
      <c r="AZ136" s="4" t="str">
        <f t="shared" si="51"/>
        <v/>
      </c>
    </row>
    <row r="137" spans="1:52" x14ac:dyDescent="0.2">
      <c r="A137" s="81" t="s">
        <v>922</v>
      </c>
      <c r="B137" s="4">
        <v>115</v>
      </c>
      <c r="C137" s="4" t="str">
        <f t="shared" si="0"/>
        <v>urn:immetingen:parameter:id:115</v>
      </c>
      <c r="D137" s="4" t="str">
        <f>IFERROR(IF(VLOOKUP($C137,'C'!$A$1:$N$1998,4,FALSE)=0,IF(VLOOKUP($C137,'C'!$A$1:$N$1998,7,FALSE)=0,VLOOKUP($C137,'C'!$A$1:$N$1998,10,FALSE),VLOOKUP($C137,'C'!$A$1:$N$1998,7,FALSE)),VLOOKUP($C137,'C'!$A$1:$N$1998,4,FALSE)),"")</f>
        <v/>
      </c>
      <c r="E137" s="4" t="str">
        <f>IFERROR(VLOOKUP($C137,'C'!$A$1:$N$1998,2,FALSE),"")</f>
        <v/>
      </c>
      <c r="F137" s="4" t="str">
        <f>IFERROR(IF(VLOOKUP($C137,'C'!$A$1:$N$1998,3,FALSE)=1,"&lt;",""),"")</f>
        <v/>
      </c>
      <c r="G137" s="4" t="str">
        <f>IFERROR(VLOOKUP($C137,'C'!$A$1:$N$1998,5,FALSE),"")</f>
        <v/>
      </c>
      <c r="H137" s="4" t="str">
        <f>IFERROR(IF(VLOOKUP($C137,'C'!$A$1:$N$1998,6,FALSE)=1,"&lt;",""),"")</f>
        <v/>
      </c>
      <c r="I137" s="4" t="str">
        <f>IFERROR(VLOOKUP($C137,'C'!$A$1:$N$1998,8,FALSE),"")</f>
        <v/>
      </c>
      <c r="J137" s="4" t="str">
        <f>IFERROR(IF(VLOOKUP($C137,'C'!$A$1:$N$1998,9,FALSE)=1,"&lt;",""),"")</f>
        <v/>
      </c>
      <c r="M137" s="4" t="str">
        <f t="shared" si="37"/>
        <v/>
      </c>
      <c r="N137" s="4" t="str">
        <f t="shared" si="43"/>
        <v/>
      </c>
      <c r="O137" s="4" t="str">
        <f t="shared" si="57"/>
        <v/>
      </c>
      <c r="P137" s="4" t="str">
        <f t="shared" si="44"/>
        <v/>
      </c>
      <c r="Q137" s="4" t="str">
        <f t="shared" si="58"/>
        <v/>
      </c>
      <c r="R137" s="4" t="str">
        <f t="shared" si="45"/>
        <v/>
      </c>
      <c r="V137" s="4">
        <f>IFERROR(IF(VLOOKUP(B137,E!$B$1:$AK$300,4,FALSE)=0,1000000,VLOOKUP(B137,E!$B$1:$AK$300,4,FALSE)),1000000)</f>
        <v>1000000</v>
      </c>
      <c r="Z137" s="17" t="str">
        <f t="shared" ref="Z137:Z141" si="93">IF(AA137=-1,IF(SUM(AA$136:AA$141)=-6,0,(0.7*M137)),AA137)</f>
        <v/>
      </c>
      <c r="AA137" s="17" t="str">
        <f t="shared" ref="AA137:AA141" si="94">IF(M137="","",IF(AND(N137="&lt;",M137&lt;=V137),-1,(IF(N137="&lt;",0.7*M137,M137))))</f>
        <v/>
      </c>
      <c r="AC137" s="17" t="str">
        <f t="shared" ref="AC137:AC141" si="95">IF(AD137=-1,IF(SUM(AD$136:AD$141)=-6,0,(0.7*O137)),AD137)</f>
        <v/>
      </c>
      <c r="AD137" s="17" t="str">
        <f t="shared" ref="AD137:AD141" si="96">IF(O137="","",IF(AND(P137="&lt;",O137&lt;=V137),-1,(IF(P137="&lt;",0.7*O137,O137))))</f>
        <v/>
      </c>
      <c r="AF137" s="17" t="str">
        <f t="shared" ref="AF137:AF141" si="97">IF(AG137=-1,IF(SUM(AG$136:AG$141)=-6,0,(0.7*Q137)),AG137)</f>
        <v/>
      </c>
      <c r="AG137" s="17" t="str">
        <f t="shared" ref="AG137:AG141" si="98">IF(Q137="","",IF(AND(R137="&lt;",Q137&lt;=V137),-1,(IF(R137="&lt;",0.7*Q137,Q137))))</f>
        <v/>
      </c>
      <c r="AI137" s="77">
        <v>0</v>
      </c>
      <c r="AJ137" s="77">
        <v>0</v>
      </c>
      <c r="AK137" s="77">
        <v>1</v>
      </c>
      <c r="AO137" s="4">
        <f t="shared" si="46"/>
        <v>5</v>
      </c>
      <c r="AQ137" s="4">
        <f t="shared" si="47"/>
        <v>5</v>
      </c>
      <c r="AS137" s="4">
        <f t="shared" si="48"/>
        <v>5</v>
      </c>
      <c r="AV137" s="4" t="str">
        <f t="shared" si="49"/>
        <v/>
      </c>
      <c r="AX137" s="4" t="str">
        <f t="shared" si="50"/>
        <v/>
      </c>
      <c r="AZ137" s="4" t="str">
        <f t="shared" si="51"/>
        <v/>
      </c>
    </row>
    <row r="138" spans="1:52" x14ac:dyDescent="0.2">
      <c r="A138" s="81" t="s">
        <v>923</v>
      </c>
      <c r="B138" s="4">
        <v>127</v>
      </c>
      <c r="C138" s="4" t="str">
        <f t="shared" si="0"/>
        <v>urn:immetingen:parameter:id:127</v>
      </c>
      <c r="D138" s="4" t="str">
        <f>IFERROR(IF(VLOOKUP($C138,'C'!$A$1:$N$1998,4,FALSE)=0,IF(VLOOKUP($C138,'C'!$A$1:$N$1998,7,FALSE)=0,VLOOKUP($C138,'C'!$A$1:$N$1998,10,FALSE),VLOOKUP($C138,'C'!$A$1:$N$1998,7,FALSE)),VLOOKUP($C138,'C'!$A$1:$N$1998,4,FALSE)),"")</f>
        <v/>
      </c>
      <c r="E138" s="4" t="str">
        <f>IFERROR(VLOOKUP($C138,'C'!$A$1:$N$1998,2,FALSE),"")</f>
        <v/>
      </c>
      <c r="F138" s="4" t="str">
        <f>IFERROR(IF(VLOOKUP($C138,'C'!$A$1:$N$1998,3,FALSE)=1,"&lt;",""),"")</f>
        <v/>
      </c>
      <c r="G138" s="4" t="str">
        <f>IFERROR(VLOOKUP($C138,'C'!$A$1:$N$1998,5,FALSE),"")</f>
        <v/>
      </c>
      <c r="H138" s="4" t="str">
        <f>IFERROR(IF(VLOOKUP($C138,'C'!$A$1:$N$1998,6,FALSE)=1,"&lt;",""),"")</f>
        <v/>
      </c>
      <c r="I138" s="4" t="str">
        <f>IFERROR(VLOOKUP($C138,'C'!$A$1:$N$1998,8,FALSE),"")</f>
        <v/>
      </c>
      <c r="J138" s="4" t="str">
        <f>IFERROR(IF(VLOOKUP($C138,'C'!$A$1:$N$1998,9,FALSE)=1,"&lt;",""),"")</f>
        <v/>
      </c>
      <c r="M138" s="4" t="str">
        <f t="shared" si="37"/>
        <v/>
      </c>
      <c r="N138" s="4" t="str">
        <f t="shared" si="43"/>
        <v/>
      </c>
      <c r="O138" s="4" t="str">
        <f t="shared" si="57"/>
        <v/>
      </c>
      <c r="P138" s="4" t="str">
        <f t="shared" si="44"/>
        <v/>
      </c>
      <c r="Q138" s="4" t="str">
        <f t="shared" si="58"/>
        <v/>
      </c>
      <c r="R138" s="4" t="str">
        <f t="shared" si="45"/>
        <v/>
      </c>
      <c r="V138" s="4">
        <f>IFERROR(IF(VLOOKUP(B138,E!$B$1:$AK$300,4,FALSE)=0,1000000,VLOOKUP(B138,E!$B$1:$AK$300,4,FALSE)),1000000)</f>
        <v>1000000</v>
      </c>
      <c r="Z138" s="17" t="str">
        <f t="shared" si="93"/>
        <v/>
      </c>
      <c r="AA138" s="17" t="str">
        <f t="shared" si="94"/>
        <v/>
      </c>
      <c r="AC138" s="17" t="str">
        <f t="shared" si="95"/>
        <v/>
      </c>
      <c r="AD138" s="17" t="str">
        <f t="shared" si="96"/>
        <v/>
      </c>
      <c r="AF138" s="17" t="str">
        <f t="shared" si="97"/>
        <v/>
      </c>
      <c r="AG138" s="17" t="str">
        <f t="shared" si="98"/>
        <v/>
      </c>
      <c r="AI138" s="77">
        <v>0</v>
      </c>
      <c r="AJ138" s="77">
        <v>0</v>
      </c>
      <c r="AK138" s="77">
        <v>1</v>
      </c>
      <c r="AO138" s="4">
        <f t="shared" si="46"/>
        <v>5</v>
      </c>
      <c r="AQ138" s="4">
        <f t="shared" si="47"/>
        <v>5</v>
      </c>
      <c r="AS138" s="4">
        <f t="shared" si="48"/>
        <v>5</v>
      </c>
      <c r="AV138" s="4" t="str">
        <f t="shared" si="49"/>
        <v/>
      </c>
      <c r="AX138" s="4" t="str">
        <f t="shared" si="50"/>
        <v/>
      </c>
      <c r="AZ138" s="4" t="str">
        <f t="shared" si="51"/>
        <v/>
      </c>
    </row>
    <row r="139" spans="1:52" x14ac:dyDescent="0.2">
      <c r="A139" s="81" t="s">
        <v>924</v>
      </c>
      <c r="B139" s="4">
        <v>136</v>
      </c>
      <c r="C139" s="4" t="str">
        <f t="shared" si="0"/>
        <v>urn:immetingen:parameter:id:136</v>
      </c>
      <c r="D139" s="4" t="str">
        <f>IFERROR(IF(VLOOKUP($C139,'C'!$A$1:$N$1998,4,FALSE)=0,IF(VLOOKUP($C139,'C'!$A$1:$N$1998,7,FALSE)=0,VLOOKUP($C139,'C'!$A$1:$N$1998,10,FALSE),VLOOKUP($C139,'C'!$A$1:$N$1998,7,FALSE)),VLOOKUP($C139,'C'!$A$1:$N$1998,4,FALSE)),"")</f>
        <v/>
      </c>
      <c r="E139" s="4" t="str">
        <f>IFERROR(VLOOKUP($C139,'C'!$A$1:$N$1998,2,FALSE),"")</f>
        <v/>
      </c>
      <c r="F139" s="4" t="str">
        <f>IFERROR(IF(VLOOKUP($C139,'C'!$A$1:$N$1998,3,FALSE)=1,"&lt;",""),"")</f>
        <v/>
      </c>
      <c r="G139" s="4" t="str">
        <f>IFERROR(VLOOKUP($C139,'C'!$A$1:$N$1998,5,FALSE),"")</f>
        <v/>
      </c>
      <c r="H139" s="4" t="str">
        <f>IFERROR(IF(VLOOKUP($C139,'C'!$A$1:$N$1998,6,FALSE)=1,"&lt;",""),"")</f>
        <v/>
      </c>
      <c r="I139" s="4" t="str">
        <f>IFERROR(VLOOKUP($C139,'C'!$A$1:$N$1998,8,FALSE),"")</f>
        <v/>
      </c>
      <c r="J139" s="4" t="str">
        <f>IFERROR(IF(VLOOKUP($C139,'C'!$A$1:$N$1998,9,FALSE)=1,"&lt;",""),"")</f>
        <v/>
      </c>
      <c r="M139" s="4" t="str">
        <f t="shared" si="37"/>
        <v/>
      </c>
      <c r="N139" s="4" t="str">
        <f t="shared" si="43"/>
        <v/>
      </c>
      <c r="O139" s="4" t="str">
        <f t="shared" si="57"/>
        <v/>
      </c>
      <c r="P139" s="4" t="str">
        <f t="shared" si="44"/>
        <v/>
      </c>
      <c r="Q139" s="4" t="str">
        <f t="shared" si="58"/>
        <v/>
      </c>
      <c r="R139" s="4" t="str">
        <f t="shared" si="45"/>
        <v/>
      </c>
      <c r="V139" s="4">
        <f>IFERROR(IF(VLOOKUP(B139,E!$B$1:$AK$300,4,FALSE)=0,1000000,VLOOKUP(B139,E!$B$1:$AK$300,4,FALSE)),1000000)</f>
        <v>1000000</v>
      </c>
      <c r="Z139" s="17" t="str">
        <f t="shared" si="93"/>
        <v/>
      </c>
      <c r="AA139" s="17" t="str">
        <f t="shared" si="94"/>
        <v/>
      </c>
      <c r="AC139" s="17" t="str">
        <f t="shared" si="95"/>
        <v/>
      </c>
      <c r="AD139" s="17" t="str">
        <f t="shared" si="96"/>
        <v/>
      </c>
      <c r="AF139" s="17" t="str">
        <f t="shared" si="97"/>
        <v/>
      </c>
      <c r="AG139" s="17" t="str">
        <f t="shared" si="98"/>
        <v/>
      </c>
      <c r="AI139" s="77">
        <v>0</v>
      </c>
      <c r="AJ139" s="77">
        <v>0</v>
      </c>
      <c r="AK139" s="77">
        <v>1</v>
      </c>
      <c r="AO139" s="4">
        <f t="shared" si="46"/>
        <v>5</v>
      </c>
      <c r="AQ139" s="4">
        <f t="shared" si="47"/>
        <v>5</v>
      </c>
      <c r="AS139" s="4">
        <f t="shared" si="48"/>
        <v>5</v>
      </c>
      <c r="AV139" s="4" t="str">
        <f t="shared" si="49"/>
        <v/>
      </c>
      <c r="AX139" s="4" t="str">
        <f t="shared" si="50"/>
        <v/>
      </c>
      <c r="AZ139" s="4" t="str">
        <f t="shared" si="51"/>
        <v/>
      </c>
    </row>
    <row r="140" spans="1:52" x14ac:dyDescent="0.2">
      <c r="A140" s="81" t="s">
        <v>925</v>
      </c>
      <c r="B140" s="4">
        <v>179</v>
      </c>
      <c r="C140" s="4" t="str">
        <f t="shared" si="0"/>
        <v>urn:immetingen:parameter:id:179</v>
      </c>
      <c r="D140" s="4" t="str">
        <f>IFERROR(IF(VLOOKUP($C140,'C'!$A$1:$N$1998,4,FALSE)=0,IF(VLOOKUP($C140,'C'!$A$1:$N$1998,7,FALSE)=0,VLOOKUP($C140,'C'!$A$1:$N$1998,10,FALSE),VLOOKUP($C140,'C'!$A$1:$N$1998,7,FALSE)),VLOOKUP($C140,'C'!$A$1:$N$1998,4,FALSE)),"")</f>
        <v/>
      </c>
      <c r="E140" s="4" t="str">
        <f>IFERROR(VLOOKUP($C140,'C'!$A$1:$N$1998,2,FALSE),"")</f>
        <v/>
      </c>
      <c r="F140" s="4" t="str">
        <f>IFERROR(IF(VLOOKUP($C140,'C'!$A$1:$N$1998,3,FALSE)=1,"&lt;",""),"")</f>
        <v/>
      </c>
      <c r="G140" s="4" t="str">
        <f>IFERROR(VLOOKUP($C140,'C'!$A$1:$N$1998,5,FALSE),"")</f>
        <v/>
      </c>
      <c r="H140" s="4" t="str">
        <f>IFERROR(IF(VLOOKUP($C140,'C'!$A$1:$N$1998,6,FALSE)=1,"&lt;",""),"")</f>
        <v/>
      </c>
      <c r="I140" s="4" t="str">
        <f>IFERROR(VLOOKUP($C140,'C'!$A$1:$N$1998,8,FALSE),"")</f>
        <v/>
      </c>
      <c r="J140" s="4" t="str">
        <f>IFERROR(IF(VLOOKUP($C140,'C'!$A$1:$N$1998,9,FALSE)=1,"&lt;",""),"")</f>
        <v/>
      </c>
      <c r="M140" s="4" t="str">
        <f t="shared" si="37"/>
        <v/>
      </c>
      <c r="N140" s="4" t="str">
        <f t="shared" si="43"/>
        <v/>
      </c>
      <c r="O140" s="4" t="str">
        <f t="shared" si="57"/>
        <v/>
      </c>
      <c r="P140" s="4" t="str">
        <f t="shared" si="44"/>
        <v/>
      </c>
      <c r="Q140" s="4" t="str">
        <f t="shared" si="58"/>
        <v/>
      </c>
      <c r="R140" s="4" t="str">
        <f t="shared" si="45"/>
        <v/>
      </c>
      <c r="V140" s="4">
        <f>IFERROR(IF(VLOOKUP(B140,E!$B$1:$AK$300,4,FALSE)=0,1000000,VLOOKUP(B140,E!$B$1:$AK$300,4,FALSE)),1000000)</f>
        <v>1000000</v>
      </c>
      <c r="Z140" s="17" t="str">
        <f t="shared" si="93"/>
        <v/>
      </c>
      <c r="AA140" s="17" t="str">
        <f>IF(M140="","",IF(AND(N140="&lt;",M140&lt;=V140),-1,(IF(N140="&lt;",0.7*M140,M140))))</f>
        <v/>
      </c>
      <c r="AC140" s="17" t="str">
        <f t="shared" si="95"/>
        <v/>
      </c>
      <c r="AD140" s="17" t="str">
        <f t="shared" si="96"/>
        <v/>
      </c>
      <c r="AF140" s="17" t="str">
        <f t="shared" si="97"/>
        <v/>
      </c>
      <c r="AG140" s="17" t="str">
        <f t="shared" si="98"/>
        <v/>
      </c>
      <c r="AI140" s="77">
        <v>0</v>
      </c>
      <c r="AJ140" s="77">
        <v>0</v>
      </c>
      <c r="AK140" s="77">
        <v>1</v>
      </c>
      <c r="AO140" s="4">
        <f t="shared" si="46"/>
        <v>5</v>
      </c>
      <c r="AQ140" s="4">
        <f t="shared" si="47"/>
        <v>5</v>
      </c>
      <c r="AS140" s="4">
        <f t="shared" si="48"/>
        <v>5</v>
      </c>
      <c r="AV140" s="4" t="str">
        <f t="shared" si="49"/>
        <v/>
      </c>
      <c r="AX140" s="4" t="str">
        <f t="shared" si="50"/>
        <v/>
      </c>
      <c r="AZ140" s="4" t="str">
        <f t="shared" si="51"/>
        <v/>
      </c>
    </row>
    <row r="141" spans="1:52" x14ac:dyDescent="0.2">
      <c r="A141" s="81" t="s">
        <v>926</v>
      </c>
      <c r="B141" s="4">
        <v>186</v>
      </c>
      <c r="C141" s="4" t="str">
        <f t="shared" si="0"/>
        <v>urn:immetingen:parameter:id:186</v>
      </c>
      <c r="D141" s="4" t="str">
        <f>IFERROR(IF(VLOOKUP($C141,'C'!$A$1:$N$1998,4,FALSE)=0,IF(VLOOKUP($C141,'C'!$A$1:$N$1998,7,FALSE)=0,VLOOKUP($C141,'C'!$A$1:$N$1998,10,FALSE),VLOOKUP($C141,'C'!$A$1:$N$1998,7,FALSE)),VLOOKUP($C141,'C'!$A$1:$N$1998,4,FALSE)),"")</f>
        <v/>
      </c>
      <c r="E141" s="4" t="str">
        <f>IFERROR(VLOOKUP($C141,'C'!$A$1:$N$1998,2,FALSE),"")</f>
        <v/>
      </c>
      <c r="F141" s="4" t="str">
        <f>IFERROR(IF(VLOOKUP($C141,'C'!$A$1:$N$1998,3,FALSE)=1,"&lt;",""),"")</f>
        <v/>
      </c>
      <c r="G141" s="4" t="str">
        <f>IFERROR(VLOOKUP($C141,'C'!$A$1:$N$1998,5,FALSE),"")</f>
        <v/>
      </c>
      <c r="H141" s="4" t="str">
        <f>IFERROR(IF(VLOOKUP($C141,'C'!$A$1:$N$1998,6,FALSE)=1,"&lt;",""),"")</f>
        <v/>
      </c>
      <c r="I141" s="4" t="str">
        <f>IFERROR(VLOOKUP($C141,'C'!$A$1:$N$1998,8,FALSE),"")</f>
        <v/>
      </c>
      <c r="J141" s="4" t="str">
        <f>IFERROR(IF(VLOOKUP($C141,'C'!$A$1:$N$1998,9,FALSE)=1,"&lt;",""),"")</f>
        <v/>
      </c>
      <c r="M141" s="4" t="str">
        <f t="shared" si="37"/>
        <v/>
      </c>
      <c r="N141" s="4" t="str">
        <f t="shared" si="43"/>
        <v/>
      </c>
      <c r="O141" s="4" t="str">
        <f t="shared" si="57"/>
        <v/>
      </c>
      <c r="P141" s="4" t="str">
        <f t="shared" si="44"/>
        <v/>
      </c>
      <c r="Q141" s="4" t="str">
        <f t="shared" si="58"/>
        <v/>
      </c>
      <c r="R141" s="4" t="str">
        <f t="shared" si="45"/>
        <v/>
      </c>
      <c r="V141" s="4">
        <f>IFERROR(IF(VLOOKUP(B141,E!$B$1:$AK$300,4,FALSE)=0,1000000,VLOOKUP(B141,E!$B$1:$AK$300,4,FALSE)),1000000)</f>
        <v>1000000</v>
      </c>
      <c r="Z141" s="17" t="str">
        <f t="shared" si="93"/>
        <v/>
      </c>
      <c r="AA141" s="17" t="str">
        <f t="shared" si="94"/>
        <v/>
      </c>
      <c r="AC141" s="17" t="str">
        <f t="shared" si="95"/>
        <v/>
      </c>
      <c r="AD141" s="17" t="str">
        <f t="shared" si="96"/>
        <v/>
      </c>
      <c r="AF141" s="17" t="str">
        <f t="shared" si="97"/>
        <v/>
      </c>
      <c r="AG141" s="17" t="str">
        <f t="shared" si="98"/>
        <v/>
      </c>
      <c r="AI141" s="77">
        <v>0</v>
      </c>
      <c r="AJ141" s="77">
        <v>0</v>
      </c>
      <c r="AK141" s="77">
        <v>1</v>
      </c>
      <c r="AO141" s="4">
        <f t="shared" si="46"/>
        <v>5</v>
      </c>
      <c r="AQ141" s="4">
        <f t="shared" si="47"/>
        <v>5</v>
      </c>
      <c r="AS141" s="4">
        <f t="shared" si="48"/>
        <v>5</v>
      </c>
      <c r="AV141" s="4" t="str">
        <f t="shared" ref="AV141:AV204" si="99">IFERROR(IF(F141="&lt;",0.7*M141*AO141,M141*AO141),"")</f>
        <v/>
      </c>
      <c r="AX141" s="4" t="str">
        <f t="shared" ref="AX141:AX204" si="100">IFERROR(IF(H141="&lt;",0.7*O141*AQ141,O141*AQ141),"")</f>
        <v/>
      </c>
      <c r="AZ141" s="4" t="str">
        <f t="shared" ref="AZ141:AZ204" si="101">IFERROR(IF(J141="&lt;",0.7*Q141*AS141,Q141*AS141),"")</f>
        <v/>
      </c>
    </row>
    <row r="142" spans="1:52" x14ac:dyDescent="0.2">
      <c r="A142" s="81" t="s">
        <v>824</v>
      </c>
      <c r="B142" s="4">
        <v>615</v>
      </c>
      <c r="C142" s="4" t="str">
        <f t="shared" si="0"/>
        <v>urn:immetingen:parameter:id:615</v>
      </c>
      <c r="D142" s="17" t="str">
        <f>D139</f>
        <v/>
      </c>
      <c r="E142" s="17" t="str">
        <f>IFERROR(IF($D142=131,IF(AND(F136="&lt;",F137="&lt;",F138="&lt;",F139="&lt;",F140="&lt;",F141="&lt;"),SUM(E136:E141),AA142*1000),IF(AND(F136="&lt;",F137="&lt;",F138="&lt;",F139="&lt;",F140="&lt;",F141="&lt;"),SUM(E136:E141),AA142)),"")</f>
        <v/>
      </c>
      <c r="F142" s="17" t="str">
        <f>IFERROR(IF(AND(F136="&lt;",F137="&lt;",F138="&lt;",F139="&lt;",F140="&lt;",F141="&lt;"),"&lt;",""),"")</f>
        <v/>
      </c>
      <c r="G142" s="17" t="str">
        <f>IFERROR(IF($D142=131,IF(AND(H136="&lt;",H137="&lt;",H138="&lt;",H139="&lt;",H140="&lt;",H141="&lt;"),SUM(G136:G141),AD142*1000),IF(AND(H136="&lt;",H137="&lt;",H138="&lt;",H139="&lt;",H140="&lt;",H141="&lt;"),SUM(G136:G141),AD142)),"")</f>
        <v/>
      </c>
      <c r="H142" s="17" t="str">
        <f>IFERROR(IF(AND(H136="&lt;",H137="&lt;",H138="&lt;",H139="&lt;",H140="&lt;",H141="&lt;"),"&lt;",""),"")</f>
        <v/>
      </c>
      <c r="I142" s="17" t="str">
        <f>IFERROR(IF($D142=131,IF(AND(J136="&lt;",J137="&lt;",J138="&lt;",J139="&lt;",J140="&lt;",J141="&lt;"),SUM(I136:I141),AG142*1000),IF(AND(J136="&lt;",J137="&lt;",J138="&lt;",J139="&lt;",J140="&lt;",J141="&lt;"),SUM(I136:I141),AG142)),"")</f>
        <v/>
      </c>
      <c r="J142" s="17" t="str">
        <f>IFERROR(IF(AND(J136="&lt;",J137="&lt;",J138="&lt;",J139="&lt;",J140="&lt;",J141="&lt;"),"&lt;",""),"")</f>
        <v/>
      </c>
      <c r="M142" s="4" t="str">
        <f t="shared" si="37"/>
        <v/>
      </c>
      <c r="N142" s="4" t="str">
        <f t="shared" si="43"/>
        <v/>
      </c>
      <c r="O142" s="4" t="str">
        <f t="shared" si="57"/>
        <v/>
      </c>
      <c r="P142" s="4" t="str">
        <f t="shared" si="44"/>
        <v/>
      </c>
      <c r="Q142" s="4" t="str">
        <f t="shared" si="58"/>
        <v/>
      </c>
      <c r="R142" s="4" t="str">
        <f t="shared" si="45"/>
        <v/>
      </c>
      <c r="V142" s="4">
        <f>IFERROR(IF(VLOOKUP(B142,E!$B$1:$AK$300,4,FALSE)=0,1000000,VLOOKUP(B142,E!$B$1:$AK$300,4,FALSE)),1000000)</f>
        <v>1000000000</v>
      </c>
      <c r="Z142" s="17">
        <f>SUM(Z136:Z141)</f>
        <v>0</v>
      </c>
      <c r="AA142" s="64" t="str">
        <f>IF(M136="","",IF(Z142=0,SUM(M136:M141),Z142))</f>
        <v/>
      </c>
      <c r="AC142" s="17">
        <f>SUM(AC136:AC141)</f>
        <v>0</v>
      </c>
      <c r="AD142" s="64" t="str">
        <f>IF(O136="","",IF(AC142=0,SUM(O136:O141),AC142))</f>
        <v/>
      </c>
      <c r="AF142" s="17">
        <f>SUM(AF136:AF141)</f>
        <v>0</v>
      </c>
      <c r="AG142" s="64" t="str">
        <f>IF(Q136="","",IF(AF142=0,SUM(Q136:Q141),AF142))</f>
        <v/>
      </c>
      <c r="AI142" s="77">
        <v>0</v>
      </c>
      <c r="AJ142" s="77">
        <v>0</v>
      </c>
      <c r="AK142" s="77">
        <v>1</v>
      </c>
      <c r="AO142" s="4">
        <f t="shared" si="46"/>
        <v>5</v>
      </c>
      <c r="AQ142" s="4">
        <f t="shared" si="47"/>
        <v>5</v>
      </c>
      <c r="AS142" s="4">
        <f t="shared" si="48"/>
        <v>5</v>
      </c>
      <c r="AV142" s="4" t="str">
        <f t="shared" si="99"/>
        <v/>
      </c>
      <c r="AX142" s="4" t="str">
        <f t="shared" si="100"/>
        <v/>
      </c>
      <c r="AZ142" s="4" t="str">
        <f t="shared" si="101"/>
        <v/>
      </c>
    </row>
    <row r="143" spans="1:52" x14ac:dyDescent="0.2">
      <c r="A143" s="81" t="s">
        <v>933</v>
      </c>
      <c r="B143" s="4">
        <v>78</v>
      </c>
      <c r="C143" s="4" t="str">
        <f t="shared" si="0"/>
        <v>urn:immetingen:parameter:id:78</v>
      </c>
      <c r="D143" s="4" t="str">
        <f>IFERROR(IF(VLOOKUP($C143,'C'!$A$1:$N$1998,4,FALSE)=0,IF(VLOOKUP($C143,'C'!$A$1:$N$1998,7,FALSE)=0,VLOOKUP($C143,'C'!$A$1:$N$1998,10,FALSE),VLOOKUP($C143,'C'!$A$1:$N$1998,7,FALSE)),VLOOKUP($C143,'C'!$A$1:$N$1998,4,FALSE)),"")</f>
        <v/>
      </c>
      <c r="E143" s="4" t="str">
        <f>IFERROR(VLOOKUP($C143,'C'!$A$1:$N$1998,2,FALSE),"")</f>
        <v/>
      </c>
      <c r="F143" s="4" t="str">
        <f>IFERROR(IF(VLOOKUP($C143,'C'!$A$1:$N$1998,3,FALSE)=1,"&lt;",""),"")</f>
        <v/>
      </c>
      <c r="G143" s="4" t="str">
        <f>IFERROR(VLOOKUP($C143,'C'!$A$1:$N$1998,2,FALSE),"")</f>
        <v/>
      </c>
      <c r="H143" s="4" t="str">
        <f>IFERROR(IF(VLOOKUP($C143,'C'!$A$1:$N$1998,3,FALSE)=1,"&lt;",""),"")</f>
        <v/>
      </c>
      <c r="I143" s="4" t="str">
        <f>IFERROR(VLOOKUP($C143,'C'!$A$1:$N$1998,2,FALSE),"")</f>
        <v/>
      </c>
      <c r="J143" s="4" t="str">
        <f>IFERROR(IF(VLOOKUP($C143,'C'!$A$1:$N$1998,3,FALSE)=1,"&lt;",""),"")</f>
        <v/>
      </c>
      <c r="M143" s="4" t="str">
        <f t="shared" si="37"/>
        <v/>
      </c>
      <c r="N143" s="4" t="str">
        <f t="shared" si="43"/>
        <v/>
      </c>
      <c r="O143" s="4" t="str">
        <f t="shared" si="57"/>
        <v/>
      </c>
      <c r="P143" s="4" t="str">
        <f t="shared" si="44"/>
        <v/>
      </c>
      <c r="Q143" s="4" t="str">
        <f t="shared" si="58"/>
        <v/>
      </c>
      <c r="R143" s="4" t="str">
        <f t="shared" si="45"/>
        <v/>
      </c>
      <c r="V143" s="4">
        <f>IFERROR(IF(VLOOKUP(B143,E!$B$1:$AK$300,4,FALSE)=0,1000000,VLOOKUP(B143,E!$B$1:$AK$300,4,FALSE)),1000000)</f>
        <v>1000000</v>
      </c>
      <c r="Z143" s="17" t="str">
        <f>IF(AA143=-1,IF(SUM(AA$143:AA$145)=-3,0,(0.7*M143)),AA143)</f>
        <v/>
      </c>
      <c r="AA143" s="17" t="str">
        <f>IF(M143="","",IF(AND(N143="&lt;",M143&lt;=V143),-1,(IF(N143="&lt;",0.7*M143,M143))))</f>
        <v/>
      </c>
      <c r="AC143" s="17" t="str">
        <f>IF(AD143=-1,IF(SUM(AD$143:AD$145)=-3,0,(0.7*O143)),AD143)</f>
        <v/>
      </c>
      <c r="AD143" s="17" t="str">
        <f>IF(O143="","",IF(AND(P143="&lt;",O143&lt;=V143),-1,(IF(P143="&lt;",0.7*O143,O143))))</f>
        <v/>
      </c>
      <c r="AF143" s="17" t="str">
        <f>IF(AG143=-1,IF(SUM(AG$143:AG$145)=-3,0,(0.7*Q143)),AG143)</f>
        <v/>
      </c>
      <c r="AG143" s="17" t="str">
        <f>IF(Q143="","",IF(AND(R143="&lt;",Q143&lt;=V143),-1,(IF(R143="&lt;",0.7*Q143,Q143))))</f>
        <v/>
      </c>
      <c r="AI143" s="77">
        <v>0</v>
      </c>
      <c r="AJ143" s="77">
        <v>0</v>
      </c>
      <c r="AK143" s="77">
        <v>1</v>
      </c>
      <c r="AO143" s="4">
        <f t="shared" si="46"/>
        <v>5</v>
      </c>
      <c r="AQ143" s="4">
        <f t="shared" si="47"/>
        <v>5</v>
      </c>
      <c r="AS143" s="4">
        <f t="shared" si="48"/>
        <v>5</v>
      </c>
      <c r="AV143" s="4" t="str">
        <f t="shared" si="99"/>
        <v/>
      </c>
      <c r="AX143" s="4" t="str">
        <f t="shared" si="100"/>
        <v/>
      </c>
      <c r="AZ143" s="4" t="str">
        <f t="shared" si="101"/>
        <v/>
      </c>
    </row>
    <row r="144" spans="1:52" x14ac:dyDescent="0.2">
      <c r="A144" s="81" t="s">
        <v>934</v>
      </c>
      <c r="B144" s="4">
        <v>80</v>
      </c>
      <c r="C144" s="4" t="str">
        <f t="shared" si="0"/>
        <v>urn:immetingen:parameter:id:80</v>
      </c>
      <c r="D144" s="4" t="str">
        <f>IFERROR(IF(VLOOKUP($C144,'C'!$A$1:$N$1998,4,FALSE)=0,IF(VLOOKUP($C144,'C'!$A$1:$N$1998,7,FALSE)=0,VLOOKUP($C144,'C'!$A$1:$N$1998,10,FALSE),VLOOKUP($C144,'C'!$A$1:$N$1998,7,FALSE)),VLOOKUP($C144,'C'!$A$1:$N$1998,4,FALSE)),"")</f>
        <v/>
      </c>
      <c r="E144" s="4" t="str">
        <f>IFERROR(VLOOKUP($C144,'C'!$A$1:$N$1998,2,FALSE),"")</f>
        <v/>
      </c>
      <c r="F144" s="4" t="str">
        <f>IFERROR(IF(VLOOKUP($C144,'C'!$A$1:$N$1998,3,FALSE)=1,"&lt;",""),"")</f>
        <v/>
      </c>
      <c r="G144" s="4" t="str">
        <f>IFERROR(VLOOKUP($C144,'C'!$A$1:$N$1998,2,FALSE),"")</f>
        <v/>
      </c>
      <c r="H144" s="4" t="str">
        <f>IFERROR(IF(VLOOKUP($C144,'C'!$A$1:$N$1998,3,FALSE)=1,"&lt;",""),"")</f>
        <v/>
      </c>
      <c r="I144" s="4" t="str">
        <f>IFERROR(VLOOKUP($C144,'C'!$A$1:$N$1998,2,FALSE),"")</f>
        <v/>
      </c>
      <c r="J144" s="4" t="str">
        <f>IFERROR(IF(VLOOKUP($C144,'C'!$A$1:$N$1998,3,FALSE)=1,"&lt;",""),"")</f>
        <v/>
      </c>
      <c r="M144" s="4" t="str">
        <f t="shared" si="37"/>
        <v/>
      </c>
      <c r="N144" s="4" t="str">
        <f t="shared" si="43"/>
        <v/>
      </c>
      <c r="O144" s="4" t="str">
        <f t="shared" si="57"/>
        <v/>
      </c>
      <c r="P144" s="4" t="str">
        <f t="shared" si="44"/>
        <v/>
      </c>
      <c r="Q144" s="4" t="str">
        <f t="shared" si="58"/>
        <v/>
      </c>
      <c r="R144" s="4" t="str">
        <f t="shared" si="45"/>
        <v/>
      </c>
      <c r="V144" s="4">
        <f>IFERROR(IF(VLOOKUP(B144,E!$B$1:$AK$300,4,FALSE)=0,1000000,VLOOKUP(B144,E!$B$1:$AK$300,4,FALSE)),1000000)</f>
        <v>1000000</v>
      </c>
      <c r="Z144" s="17" t="str">
        <f>IF(AA144=-1,IF(SUM(AA$143:AA$145)=-3,0,(0.7*M144)),AA144)</f>
        <v/>
      </c>
      <c r="AA144" s="17" t="str">
        <f t="shared" ref="AA144:AA145" si="102">IF(M144="","",IF(AND(N144="&lt;",M144&lt;=V144),-1,(IF(N144="&lt;",0.7*M144,M144))))</f>
        <v/>
      </c>
      <c r="AC144" s="17" t="str">
        <f t="shared" ref="AC144:AC145" si="103">IF(AD144=-1,IF(SUM(AD$143:AD$145)=-3,0,(0.7*O144)),AD144)</f>
        <v/>
      </c>
      <c r="AD144" s="17" t="str">
        <f t="shared" ref="AD144:AD145" si="104">IF(O144="","",IF(AND(P144="&lt;",O144&lt;=V144),-1,(IF(P144="&lt;",0.7*O144,O144))))</f>
        <v/>
      </c>
      <c r="AF144" s="17" t="str">
        <f t="shared" ref="AF144:AF145" si="105">IF(AG144=-1,IF(SUM(AG$143:AG$145)=-3,0,(0.7*Q144)),AG144)</f>
        <v/>
      </c>
      <c r="AG144" s="17" t="str">
        <f t="shared" ref="AG144:AG145" si="106">IF(Q144="","",IF(AND(R144="&lt;",Q144&lt;=V144),-1,(IF(R144="&lt;",0.7*Q144,Q144))))</f>
        <v/>
      </c>
      <c r="AI144" s="77">
        <v>0</v>
      </c>
      <c r="AJ144" s="77">
        <v>0</v>
      </c>
      <c r="AK144" s="77">
        <v>1</v>
      </c>
      <c r="AO144" s="4">
        <f t="shared" si="46"/>
        <v>5</v>
      </c>
      <c r="AQ144" s="4">
        <f t="shared" si="47"/>
        <v>5</v>
      </c>
      <c r="AS144" s="4">
        <f t="shared" si="48"/>
        <v>5</v>
      </c>
      <c r="AV144" s="4" t="str">
        <f t="shared" si="99"/>
        <v/>
      </c>
      <c r="AX144" s="4" t="str">
        <f t="shared" si="100"/>
        <v/>
      </c>
      <c r="AZ144" s="4" t="str">
        <f t="shared" si="101"/>
        <v/>
      </c>
    </row>
    <row r="145" spans="1:52" x14ac:dyDescent="0.2">
      <c r="A145" s="81" t="s">
        <v>935</v>
      </c>
      <c r="B145" s="4">
        <v>84</v>
      </c>
      <c r="C145" s="4" t="str">
        <f t="shared" si="0"/>
        <v>urn:immetingen:parameter:id:84</v>
      </c>
      <c r="D145" s="4" t="str">
        <f>IFERROR(IF(VLOOKUP($C145,'C'!$A$1:$N$1998,4,FALSE)=0,IF(VLOOKUP($C145,'C'!$A$1:$N$1998,7,FALSE)=0,VLOOKUP($C145,'C'!$A$1:$N$1998,10,FALSE),VLOOKUP($C145,'C'!$A$1:$N$1998,7,FALSE)),VLOOKUP($C145,'C'!$A$1:$N$1998,4,FALSE)),"")</f>
        <v/>
      </c>
      <c r="E145" s="4" t="str">
        <f>IFERROR(VLOOKUP($C145,'C'!$A$1:$N$1998,2,FALSE),"")</f>
        <v/>
      </c>
      <c r="F145" s="4" t="str">
        <f>IFERROR(IF(VLOOKUP($C145,'C'!$A$1:$N$1998,3,FALSE)=1,"&lt;",""),"")</f>
        <v/>
      </c>
      <c r="G145" s="4" t="str">
        <f>IFERROR(VLOOKUP($C145,'C'!$A$1:$N$1998,2,FALSE),"")</f>
        <v/>
      </c>
      <c r="H145" s="4" t="str">
        <f>IFERROR(IF(VLOOKUP($C145,'C'!$A$1:$N$1998,3,FALSE)=1,"&lt;",""),"")</f>
        <v/>
      </c>
      <c r="I145" s="4" t="str">
        <f>IFERROR(VLOOKUP($C145,'C'!$A$1:$N$1998,2,FALSE),"")</f>
        <v/>
      </c>
      <c r="J145" s="4" t="str">
        <f>IFERROR(IF(VLOOKUP($C145,'C'!$A$1:$N$1998,3,FALSE)=1,"&lt;",""),"")</f>
        <v/>
      </c>
      <c r="M145" s="4" t="str">
        <f t="shared" si="37"/>
        <v/>
      </c>
      <c r="N145" s="4" t="str">
        <f t="shared" si="43"/>
        <v/>
      </c>
      <c r="O145" s="4" t="str">
        <f t="shared" si="57"/>
        <v/>
      </c>
      <c r="P145" s="4" t="str">
        <f t="shared" si="44"/>
        <v/>
      </c>
      <c r="Q145" s="4" t="str">
        <f t="shared" si="58"/>
        <v/>
      </c>
      <c r="R145" s="4" t="str">
        <f t="shared" si="45"/>
        <v/>
      </c>
      <c r="V145" s="4">
        <f>IFERROR(IF(VLOOKUP(B145,E!$B$1:$AK$300,4,FALSE)=0,1000000,VLOOKUP(B145,E!$B$1:$AK$300,4,FALSE)),1000000)</f>
        <v>1000000</v>
      </c>
      <c r="Z145" s="17" t="str">
        <f>IF(AA145=-1,IF(SUM(AA$143:AA$145)=-3,0,(0.7*M145)),AA145)</f>
        <v/>
      </c>
      <c r="AA145" s="17" t="str">
        <f t="shared" si="102"/>
        <v/>
      </c>
      <c r="AC145" s="17" t="str">
        <f t="shared" si="103"/>
        <v/>
      </c>
      <c r="AD145" s="17" t="str">
        <f t="shared" si="104"/>
        <v/>
      </c>
      <c r="AF145" s="17" t="str">
        <f t="shared" si="105"/>
        <v/>
      </c>
      <c r="AG145" s="17" t="str">
        <f t="shared" si="106"/>
        <v/>
      </c>
      <c r="AI145" s="77">
        <v>0</v>
      </c>
      <c r="AJ145" s="77">
        <v>0</v>
      </c>
      <c r="AK145" s="77">
        <v>1</v>
      </c>
      <c r="AO145" s="4">
        <f t="shared" si="46"/>
        <v>5</v>
      </c>
      <c r="AQ145" s="4">
        <f t="shared" si="47"/>
        <v>5</v>
      </c>
      <c r="AS145" s="4">
        <f t="shared" si="48"/>
        <v>5</v>
      </c>
      <c r="AV145" s="4" t="str">
        <f t="shared" si="99"/>
        <v/>
      </c>
      <c r="AX145" s="4" t="str">
        <f t="shared" si="100"/>
        <v/>
      </c>
      <c r="AZ145" s="4" t="str">
        <f t="shared" si="101"/>
        <v/>
      </c>
    </row>
    <row r="146" spans="1:52" x14ac:dyDescent="0.2">
      <c r="A146" s="81" t="s">
        <v>826</v>
      </c>
      <c r="B146" s="4">
        <v>1537</v>
      </c>
      <c r="C146" s="4" t="str">
        <f t="shared" si="0"/>
        <v>urn:immetingen:parameter:id:1537</v>
      </c>
      <c r="D146" s="17" t="str">
        <f>D144</f>
        <v/>
      </c>
      <c r="E146" s="17" t="str">
        <f>IFERROR(IF($D146=131,IF(AND(F143="&lt;",F144="&lt;",F145="&lt;"),SUM(E143:E145),AA146*1000),IF(AND(F143="&lt;",F144="&lt;",F145="&lt;"),SUM(E143:E145),AA146)),"")</f>
        <v/>
      </c>
      <c r="F146" s="17" t="str">
        <f>IFERROR(IF(AND(F143="&lt;",F144="&lt;",F145="&lt;"),"&lt;",""),"")</f>
        <v/>
      </c>
      <c r="G146" s="17" t="str">
        <f>IFERROR(IF($D146=131,IF(AND(H143="&lt;",H144="&lt;",H145="&lt;"),SUM(G143:G145),AD146*1000),IF(AND(H143="&lt;",H144="&lt;",H145="&lt;"),SUM(G143:G145),AD146)),"")</f>
        <v/>
      </c>
      <c r="H146" s="17" t="str">
        <f>IFERROR(IF(AND(H143="&lt;",H144="&lt;",H145="&lt;"),"&lt;",""),"")</f>
        <v/>
      </c>
      <c r="I146" s="17" t="str">
        <f>IFERROR(IF($D146=131,IF(AND(J143="&lt;",J144="&lt;",J145="&lt;"),SUM(I143:I145),AG146*1000),IF(AND(J143="&lt;",J144="&lt;",J145="&lt;"),SUM(I143:I145),AG146)),"")</f>
        <v/>
      </c>
      <c r="J146" s="17" t="str">
        <f>IFERROR(IF(AND(J143="&lt;",J144="&lt;",J145="&lt;"),"&lt;",""),"")</f>
        <v/>
      </c>
      <c r="M146" s="4" t="str">
        <f t="shared" si="37"/>
        <v/>
      </c>
      <c r="N146" s="4" t="str">
        <f t="shared" si="43"/>
        <v/>
      </c>
      <c r="O146" s="4" t="str">
        <f t="shared" si="57"/>
        <v/>
      </c>
      <c r="P146" s="4" t="str">
        <f t="shared" si="44"/>
        <v/>
      </c>
      <c r="Q146" s="4" t="str">
        <f t="shared" si="58"/>
        <v/>
      </c>
      <c r="R146" s="4" t="str">
        <f t="shared" si="45"/>
        <v/>
      </c>
      <c r="V146" s="4">
        <f>IFERROR(IF(VLOOKUP(B146,E!$B$1:$AK$300,4,FALSE)=0,1000000,VLOOKUP(B146,E!$B$1:$AK$300,4,FALSE)),1000000)</f>
        <v>1000000000</v>
      </c>
      <c r="Z146" s="17">
        <f>SUM(Z143:Z145)</f>
        <v>0</v>
      </c>
      <c r="AA146" s="64" t="str">
        <f>IF(M143="","",IF(Z146=0,SUM(M143:M145),Z146))</f>
        <v/>
      </c>
      <c r="AC146" s="17">
        <f>SUM(AC143:AC145)</f>
        <v>0</v>
      </c>
      <c r="AD146" s="64" t="str">
        <f>IF(O143="","",IF(AC146=0,SUM(O143:O145),AC146))</f>
        <v/>
      </c>
      <c r="AF146" s="17">
        <f>SUM(AF143:AF145)</f>
        <v>0</v>
      </c>
      <c r="AG146" s="64" t="str">
        <f>IF(Q143="","",IF(AF146=0,SUM(Q143:Q145),AF146))</f>
        <v/>
      </c>
      <c r="AI146" s="77">
        <v>0</v>
      </c>
      <c r="AJ146" s="77">
        <v>0</v>
      </c>
      <c r="AK146" s="77">
        <v>1</v>
      </c>
      <c r="AO146" s="4">
        <f t="shared" si="46"/>
        <v>5</v>
      </c>
      <c r="AQ146" s="4">
        <f t="shared" si="47"/>
        <v>5</v>
      </c>
      <c r="AS146" s="4">
        <f t="shared" si="48"/>
        <v>5</v>
      </c>
      <c r="AV146" s="4" t="str">
        <f t="shared" si="99"/>
        <v/>
      </c>
      <c r="AX146" s="4" t="str">
        <f t="shared" si="100"/>
        <v/>
      </c>
      <c r="AZ146" s="4" t="str">
        <f t="shared" si="101"/>
        <v/>
      </c>
    </row>
    <row r="147" spans="1:52" x14ac:dyDescent="0.2">
      <c r="A147" s="4" t="s">
        <v>641</v>
      </c>
      <c r="B147" s="4">
        <v>1390</v>
      </c>
      <c r="C147" s="4" t="str">
        <f t="shared" si="0"/>
        <v>urn:immetingen:parameter:id:1390</v>
      </c>
      <c r="D147" s="4" t="str">
        <f>IFERROR(IF(VLOOKUP($C147,'C'!$A$1:$N$1998,4,FALSE)=0,IF(VLOOKUP($C147,'C'!$A$1:$N$1998,7,FALSE)=0,VLOOKUP($C147,'C'!$A$1:$N$1998,10,FALSE),VLOOKUP($C147,'C'!$A$1:$N$1998,7,FALSE)),VLOOKUP($C147,'C'!$A$1:$N$1998,4,FALSE)),"")</f>
        <v/>
      </c>
      <c r="E147" s="4" t="str">
        <f>IFERROR(VLOOKUP($C147,'C'!$A$1:$N$1998,2,FALSE),"")</f>
        <v/>
      </c>
      <c r="F147" s="4" t="str">
        <f>IFERROR(IF(VLOOKUP($C147,'C'!$A$1:$N$1998,3,FALSE)=1,"&lt;",""),"")</f>
        <v/>
      </c>
      <c r="G147" s="4" t="str">
        <f>IFERROR(VLOOKUP($C147,'C'!$A$1:$N$1998,5,FALSE),"")</f>
        <v/>
      </c>
      <c r="H147" s="4" t="str">
        <f>IFERROR(IF(VLOOKUP($C147,'C'!$A$1:$N$1998,6,FALSE)=1,"&lt;",""),"")</f>
        <v/>
      </c>
      <c r="I147" s="4" t="str">
        <f>IFERROR(VLOOKUP($C147,'C'!$A$1:$N$1998,8,FALSE),"")</f>
        <v/>
      </c>
      <c r="J147" s="4" t="str">
        <f>IFERROR(IF(VLOOKUP($C147,'C'!$A$1:$N$1998,9,FALSE)=1,"&lt;",""),"")</f>
        <v/>
      </c>
      <c r="M147" s="4" t="str">
        <f t="shared" si="37"/>
        <v/>
      </c>
      <c r="N147" s="4" t="str">
        <f t="shared" si="43"/>
        <v/>
      </c>
      <c r="O147" s="4" t="str">
        <f t="shared" si="57"/>
        <v/>
      </c>
      <c r="P147" s="4" t="str">
        <f t="shared" si="44"/>
        <v/>
      </c>
      <c r="Q147" s="4" t="str">
        <f t="shared" si="58"/>
        <v/>
      </c>
      <c r="R147" s="4" t="str">
        <f t="shared" si="45"/>
        <v/>
      </c>
      <c r="V147" s="4">
        <f>IFERROR(IF(VLOOKUP(B147,E!$B$1:$AK$300,4,FALSE)=0,1000000,VLOOKUP(B147,E!$B$1:$AK$300,4,FALSE)),1000000)</f>
        <v>1000000000</v>
      </c>
      <c r="Z147" s="4" t="str">
        <f t="shared" ref="Z147:Z148" si="107">IF(M147="","",IF(AND(N147="&lt;",M147&lt;=$V147),-1,(IF(N147="&lt;",0.7*M147,M147))))</f>
        <v/>
      </c>
      <c r="AC147" s="4" t="str">
        <f t="shared" ref="AC147:AC148" si="108">IF(O147="","",IF(AND(P147="&lt;",O147&lt;=$V147),-1,(IF(P147="&lt;",0.7*O147,O147))))</f>
        <v/>
      </c>
      <c r="AF147" s="4" t="str">
        <f t="shared" ref="AF147:AF148" si="109">IF(Q147="","",IF(AND(R147="&lt;",Q147&lt;=$V147),-1,(IF(R147="&lt;",0.7*Q147,Q147))))</f>
        <v/>
      </c>
      <c r="AI147" s="77">
        <v>0</v>
      </c>
      <c r="AJ147" s="77">
        <v>0</v>
      </c>
      <c r="AK147" s="77">
        <v>1</v>
      </c>
      <c r="AO147" s="4">
        <f t="shared" si="46"/>
        <v>5</v>
      </c>
      <c r="AQ147" s="4">
        <f t="shared" si="47"/>
        <v>5</v>
      </c>
      <c r="AS147" s="4">
        <f t="shared" si="48"/>
        <v>5</v>
      </c>
      <c r="AV147" s="4" t="str">
        <f t="shared" si="99"/>
        <v/>
      </c>
      <c r="AX147" s="4" t="str">
        <f t="shared" si="100"/>
        <v/>
      </c>
      <c r="AZ147" s="4" t="str">
        <f t="shared" si="101"/>
        <v/>
      </c>
    </row>
    <row r="148" spans="1:52" x14ac:dyDescent="0.2">
      <c r="A148" s="81" t="s">
        <v>827</v>
      </c>
      <c r="B148" s="4">
        <v>482</v>
      </c>
      <c r="C148" s="4" t="str">
        <f t="shared" si="0"/>
        <v>urn:immetingen:parameter:id:482</v>
      </c>
      <c r="D148" s="17" t="str">
        <f>D146</f>
        <v/>
      </c>
      <c r="E148" s="4" t="str">
        <f>IFERROR(VLOOKUP($C148,'C'!$A$1:$N$1998,2,FALSE),"")</f>
        <v/>
      </c>
      <c r="F148" s="4" t="str">
        <f>IFERROR(IF(VLOOKUP($C148,'C'!$A$1:$N$1998,3,FALSE)=1,"&lt;",""),"")</f>
        <v/>
      </c>
      <c r="M148" s="4" t="str">
        <f t="shared" si="37"/>
        <v/>
      </c>
      <c r="N148" s="4" t="str">
        <f t="shared" si="43"/>
        <v/>
      </c>
      <c r="O148" s="4" t="str">
        <f t="shared" si="57"/>
        <v/>
      </c>
      <c r="P148" s="4" t="str">
        <f t="shared" si="44"/>
        <v/>
      </c>
      <c r="Q148" s="4" t="str">
        <f t="shared" si="58"/>
        <v/>
      </c>
      <c r="R148" s="4" t="str">
        <f t="shared" si="45"/>
        <v/>
      </c>
      <c r="V148" s="4">
        <f>IFERROR(IF(VLOOKUP(B148,E!$B$1:$AK$300,4,FALSE)=0,1000000,VLOOKUP(B148,E!$B$1:$AK$300,4,FALSE)),1000000)</f>
        <v>1000000000</v>
      </c>
      <c r="Z148" s="4" t="str">
        <f t="shared" si="107"/>
        <v/>
      </c>
      <c r="AC148" s="4" t="str">
        <f t="shared" si="108"/>
        <v/>
      </c>
      <c r="AF148" s="4" t="str">
        <f t="shared" si="109"/>
        <v/>
      </c>
      <c r="AI148" s="77">
        <v>0</v>
      </c>
      <c r="AJ148" s="77">
        <v>0</v>
      </c>
      <c r="AK148" s="77">
        <v>1</v>
      </c>
      <c r="AO148" s="4">
        <f t="shared" si="46"/>
        <v>5</v>
      </c>
      <c r="AQ148" s="4">
        <f t="shared" si="47"/>
        <v>5</v>
      </c>
      <c r="AS148" s="4">
        <f t="shared" si="48"/>
        <v>5</v>
      </c>
      <c r="AV148" s="4" t="str">
        <f t="shared" si="99"/>
        <v/>
      </c>
      <c r="AX148" s="4" t="str">
        <f t="shared" si="100"/>
        <v/>
      </c>
      <c r="AZ148" s="4" t="str">
        <f t="shared" si="101"/>
        <v/>
      </c>
    </row>
    <row r="149" spans="1:52" x14ac:dyDescent="0.2">
      <c r="A149" s="4" t="s">
        <v>92</v>
      </c>
      <c r="B149" s="4">
        <v>113</v>
      </c>
      <c r="C149" s="4" t="str">
        <f t="shared" si="0"/>
        <v>urn:immetingen:parameter:id:113</v>
      </c>
      <c r="D149" s="4" t="str">
        <f>IFERROR(IF(VLOOKUP($C149,'C'!$A$1:$N$1998,4,FALSE)=0,IF(VLOOKUP($C149,'C'!$A$1:$N$1998,7,FALSE)=0,VLOOKUP($C149,'C'!$A$1:$N$1998,10,FALSE),VLOOKUP($C149,'C'!$A$1:$N$1998,7,FALSE)),VLOOKUP($C149,'C'!$A$1:$N$1998,4,FALSE)),"")</f>
        <v/>
      </c>
      <c r="E149" s="4" t="str">
        <f>IFERROR(VLOOKUP($C149,'C'!$A$1:$N$1998,2,FALSE),"")</f>
        <v/>
      </c>
      <c r="F149" s="4" t="str">
        <f>IFERROR(IF(VLOOKUP($C149,'C'!$A$1:$N$1998,3,FALSE)=1,"&lt;",""),"")</f>
        <v/>
      </c>
      <c r="G149" s="4" t="str">
        <f>IFERROR(VLOOKUP($C149,'C'!$A$1:$N$1998,5,FALSE),"")</f>
        <v/>
      </c>
      <c r="H149" s="4" t="str">
        <f>IFERROR(IF(VLOOKUP($C149,'C'!$A$1:$N$1998,6,FALSE)=1,"&lt;",""),"")</f>
        <v/>
      </c>
      <c r="I149" s="4" t="str">
        <f>IFERROR(VLOOKUP($C149,'C'!$A$1:$N$1998,8,FALSE),"")</f>
        <v/>
      </c>
      <c r="J149" s="4" t="str">
        <f>IFERROR(IF(VLOOKUP($C149,'C'!$A$1:$N$1998,9,FALSE)=1,"&lt;",""),"")</f>
        <v/>
      </c>
      <c r="M149" s="4" t="str">
        <f t="shared" si="37"/>
        <v/>
      </c>
      <c r="N149" s="4" t="str">
        <f t="shared" si="43"/>
        <v/>
      </c>
      <c r="O149" s="4" t="str">
        <f t="shared" si="57"/>
        <v/>
      </c>
      <c r="P149" s="4" t="str">
        <f t="shared" si="44"/>
        <v/>
      </c>
      <c r="Q149" s="4" t="str">
        <f t="shared" si="58"/>
        <v/>
      </c>
      <c r="R149" s="4" t="str">
        <f t="shared" si="45"/>
        <v/>
      </c>
      <c r="V149" s="4">
        <v>1E-3</v>
      </c>
      <c r="Z149" s="17" t="str">
        <f>IF(AA149=-1,IF(SUM(AA$149:AA$150)=-2,0,(0.7*M149)),AA149)</f>
        <v/>
      </c>
      <c r="AA149" s="17" t="str">
        <f>IF(M149="","",IF(AND(N149="&lt;",M149&lt;=V149),-1,(IF(N149="&lt;",0.7*M149,M149))))</f>
        <v/>
      </c>
      <c r="AC149" s="17" t="str">
        <f>IF(AD149=-1,IF(SUM(AD$149:AD$150)=-2,0,(0.7*O149)),AD149)</f>
        <v/>
      </c>
      <c r="AD149" s="17" t="str">
        <f>IF(O149="","",IF(AND(P149="&lt;",O149&lt;=V149),-1,(IF(P149="&lt;",0.7*O149,O149))))</f>
        <v/>
      </c>
      <c r="AF149" s="17" t="str">
        <f>IF(AG149=-1,IF(SUM(AG$149:AG$150)=-2,0,(0.7*Q149)),AG149)</f>
        <v/>
      </c>
      <c r="AG149" s="17" t="str">
        <f>IF(Q149="","",IF(AND(R149="&lt;",Q149&lt;=V149),-1,(IF(R149="&lt;",0.7*Q149,Q149))))</f>
        <v/>
      </c>
      <c r="AI149" s="77">
        <v>0</v>
      </c>
      <c r="AJ149" s="77">
        <v>0</v>
      </c>
      <c r="AK149" s="77">
        <v>1</v>
      </c>
      <c r="AO149" s="4">
        <f t="shared" si="46"/>
        <v>5</v>
      </c>
      <c r="AQ149" s="4">
        <f t="shared" si="47"/>
        <v>5</v>
      </c>
      <c r="AS149" s="4">
        <f t="shared" si="48"/>
        <v>5</v>
      </c>
      <c r="AV149" s="4" t="str">
        <f t="shared" si="99"/>
        <v/>
      </c>
      <c r="AX149" s="4" t="str">
        <f t="shared" si="100"/>
        <v/>
      </c>
      <c r="AZ149" s="4" t="str">
        <f t="shared" si="101"/>
        <v/>
      </c>
    </row>
    <row r="150" spans="1:52" x14ac:dyDescent="0.2">
      <c r="A150" s="4" t="s">
        <v>93</v>
      </c>
      <c r="B150" s="4">
        <v>217</v>
      </c>
      <c r="C150" s="4" t="str">
        <f t="shared" si="0"/>
        <v>urn:immetingen:parameter:id:217</v>
      </c>
      <c r="D150" s="4" t="str">
        <f>IFERROR(IF(VLOOKUP($C150,'C'!$A$1:$N$1998,4,FALSE)=0,IF(VLOOKUP($C150,'C'!$A$1:$N$1998,7,FALSE)=0,VLOOKUP($C150,'C'!$A$1:$N$1998,10,FALSE),VLOOKUP($C150,'C'!$A$1:$N$1998,7,FALSE)),VLOOKUP($C150,'C'!$A$1:$N$1998,4,FALSE)),"")</f>
        <v/>
      </c>
      <c r="E150" s="4" t="str">
        <f>IFERROR(VLOOKUP($C150,'C'!$A$1:$N$1998,2,FALSE),"")</f>
        <v/>
      </c>
      <c r="F150" s="4" t="str">
        <f>IFERROR(IF(VLOOKUP($C150,'C'!$A$1:$N$1998,3,FALSE)=1,"&lt;",""),"")</f>
        <v/>
      </c>
      <c r="G150" s="4" t="str">
        <f>IFERROR(VLOOKUP($C150,'C'!$A$1:$N$1998,5,FALSE),"")</f>
        <v/>
      </c>
      <c r="H150" s="4" t="str">
        <f>IFERROR(IF(VLOOKUP($C150,'C'!$A$1:$N$1998,6,FALSE)=1,"&lt;",""),"")</f>
        <v/>
      </c>
      <c r="I150" s="4" t="str">
        <f>IFERROR(VLOOKUP($C150,'C'!$A$1:$N$1998,8,FALSE),"")</f>
        <v/>
      </c>
      <c r="J150" s="4" t="str">
        <f>IFERROR(IF(VLOOKUP($C150,'C'!$A$1:$N$1998,9,FALSE)=1,"&lt;",""),"")</f>
        <v/>
      </c>
      <c r="M150" s="4" t="str">
        <f t="shared" si="37"/>
        <v/>
      </c>
      <c r="N150" s="4" t="str">
        <f t="shared" si="43"/>
        <v/>
      </c>
      <c r="O150" s="4" t="str">
        <f t="shared" si="57"/>
        <v/>
      </c>
      <c r="P150" s="4" t="str">
        <f t="shared" si="44"/>
        <v/>
      </c>
      <c r="Q150" s="4" t="str">
        <f t="shared" si="58"/>
        <v/>
      </c>
      <c r="R150" s="4" t="str">
        <f t="shared" si="45"/>
        <v/>
      </c>
      <c r="V150" s="4">
        <v>1E-3</v>
      </c>
      <c r="Z150" s="17" t="str">
        <f>IF(AA150=-1,IF(SUM(AA$149:AA$150)=-2,0,(0.7*M150)),AA150)</f>
        <v/>
      </c>
      <c r="AA150" s="17" t="str">
        <f>IF(M150="","",IF(AND(N150="&lt;",M150&lt;=V150),-1,(IF(N150="&lt;",0.7*M150,M150))))</f>
        <v/>
      </c>
      <c r="AC150" s="17" t="str">
        <f>IF(AD150=-1,IF(SUM(AD$149:AD$150)=-2,0,(0.7*O150)),AD150)</f>
        <v/>
      </c>
      <c r="AD150" s="17" t="str">
        <f>IF(O150="","",IF(AND(P150="&lt;",O150&lt;=V150),-1,(IF(P150="&lt;",0.7*O150,O150))))</f>
        <v/>
      </c>
      <c r="AF150" s="17" t="str">
        <f>IF(AG150=-1,IF(SUM(AG$149:AG$150)=-2,0,(0.7*Q150)),AG150)</f>
        <v/>
      </c>
      <c r="AG150" s="17" t="str">
        <f>IF(Q150="","",IF(AND(R150="&lt;",Q150&lt;=V150),-1,(IF(R150="&lt;",0.7*Q150,Q150))))</f>
        <v/>
      </c>
      <c r="AI150" s="77">
        <v>0</v>
      </c>
      <c r="AJ150" s="77">
        <v>0</v>
      </c>
      <c r="AK150" s="77">
        <v>1</v>
      </c>
      <c r="AO150" s="4">
        <f t="shared" si="46"/>
        <v>5</v>
      </c>
      <c r="AQ150" s="4">
        <f t="shared" si="47"/>
        <v>5</v>
      </c>
      <c r="AS150" s="4">
        <f t="shared" si="48"/>
        <v>5</v>
      </c>
      <c r="AV150" s="4" t="str">
        <f t="shared" si="99"/>
        <v/>
      </c>
      <c r="AX150" s="4" t="str">
        <f t="shared" si="100"/>
        <v/>
      </c>
      <c r="AZ150" s="4" t="str">
        <f t="shared" si="101"/>
        <v/>
      </c>
    </row>
    <row r="151" spans="1:52" x14ac:dyDescent="0.2">
      <c r="A151" s="4" t="s">
        <v>166</v>
      </c>
      <c r="B151" s="4">
        <v>554</v>
      </c>
      <c r="C151" s="4" t="str">
        <f t="shared" si="0"/>
        <v>urn:immetingen:parameter:id:554</v>
      </c>
      <c r="D151" s="17" t="str">
        <f>D150</f>
        <v/>
      </c>
      <c r="E151" s="17" t="str">
        <f>IFERROR(IF($D151=131,IF(AND(F149="&lt;",F150="&lt;"),SUM(E149:E150),AA151*1000),IF(AND(F149="&lt;",F150="&lt;"),SUM(E149:E150),AA151)),"")</f>
        <v/>
      </c>
      <c r="F151" s="17" t="str">
        <f>IFERROR(IF(AND(F149="&lt;",F150="&lt;"),"&lt;",""),"")</f>
        <v/>
      </c>
      <c r="G151" s="17" t="str">
        <f>IFERROR(IF($D151=131,IF(AND(H149="&lt;",H150="&lt;"),SUM(G149:G150),AD151*1000),IF(AND(H149="&lt;",H150="&lt;"),SUM(G149:G150),AD151)),"")</f>
        <v/>
      </c>
      <c r="H151" s="17" t="str">
        <f>IFERROR(IF(AND(H149="&lt;",H150="&lt;"),"&lt;",""),"")</f>
        <v/>
      </c>
      <c r="I151" s="17" t="str">
        <f>IFERROR(IF($D151=131,IF(AND(J149="&lt;",J150="&lt;"),SUM(I149:I150),AG151*1000),IF(AND(J149="&lt;",J150="&lt;"),SUM(I149:I150),AG151)),"")</f>
        <v/>
      </c>
      <c r="J151" s="17" t="str">
        <f>IFERROR(IF(AND(J149="&lt;",J150="&lt;"),"&lt;",""),"")</f>
        <v/>
      </c>
      <c r="M151" s="4" t="str">
        <f t="shared" si="37"/>
        <v/>
      </c>
      <c r="N151" s="4" t="str">
        <f t="shared" si="43"/>
        <v/>
      </c>
      <c r="O151" s="4" t="str">
        <f t="shared" si="57"/>
        <v/>
      </c>
      <c r="P151" s="4" t="str">
        <f t="shared" si="44"/>
        <v/>
      </c>
      <c r="Q151" s="4" t="str">
        <f t="shared" si="58"/>
        <v/>
      </c>
      <c r="R151" s="4" t="str">
        <f t="shared" si="45"/>
        <v/>
      </c>
      <c r="V151" s="4">
        <f>IFERROR(IF(VLOOKUP(B151,E!$B$1:$AK$300,4,FALSE)=0,1000000,VLOOKUP(B151,E!$B$1:$AK$300,4,FALSE)),1000000)</f>
        <v>2E-3</v>
      </c>
      <c r="Z151" s="17">
        <f>SUM(Z149:Z150)</f>
        <v>0</v>
      </c>
      <c r="AA151" s="64" t="str">
        <f>IF(M149="","",IF(Z151=0,SUM(M149:M150),Z151))</f>
        <v/>
      </c>
      <c r="AC151" s="17">
        <f>SUM(AC149:AC150)</f>
        <v>0</v>
      </c>
      <c r="AD151" s="64" t="str">
        <f>IF(O149="","",IF(AC151=0,SUM(O149:O150),AC151))</f>
        <v/>
      </c>
      <c r="AF151" s="17">
        <f>SUM(AF149:AF150)</f>
        <v>0</v>
      </c>
      <c r="AG151" s="64" t="str">
        <f>IF(Q149="","",IF(AF151=0,SUM(Q149:Q150),AF151))</f>
        <v/>
      </c>
      <c r="AI151" s="77">
        <v>0</v>
      </c>
      <c r="AJ151" s="77">
        <v>0</v>
      </c>
      <c r="AK151" s="77">
        <v>1</v>
      </c>
      <c r="AO151" s="4">
        <f t="shared" si="46"/>
        <v>5</v>
      </c>
      <c r="AQ151" s="4">
        <f t="shared" si="47"/>
        <v>5</v>
      </c>
      <c r="AS151" s="4">
        <f t="shared" si="48"/>
        <v>5</v>
      </c>
      <c r="AV151" s="4" t="str">
        <f t="shared" si="99"/>
        <v/>
      </c>
      <c r="AX151" s="4" t="str">
        <f t="shared" si="100"/>
        <v/>
      </c>
      <c r="AZ151" s="4" t="str">
        <f t="shared" si="101"/>
        <v/>
      </c>
    </row>
    <row r="152" spans="1:52" x14ac:dyDescent="0.2">
      <c r="A152" s="4" t="s">
        <v>94</v>
      </c>
      <c r="B152" s="4">
        <v>111</v>
      </c>
      <c r="C152" s="4" t="str">
        <f t="shared" si="0"/>
        <v>urn:immetingen:parameter:id:111</v>
      </c>
      <c r="D152" s="4" t="str">
        <f>IFERROR(IF(VLOOKUP($C152,'C'!$A$1:$N$1998,4,FALSE)=0,IF(VLOOKUP($C152,'C'!$A$1:$N$1998,7,FALSE)=0,VLOOKUP($C152,'C'!$A$1:$N$1998,10,FALSE),VLOOKUP($C152,'C'!$A$1:$N$1998,7,FALSE)),VLOOKUP($C152,'C'!$A$1:$N$1998,4,FALSE)),"")</f>
        <v/>
      </c>
      <c r="E152" s="4" t="str">
        <f>IFERROR(VLOOKUP($C152,'C'!$A$1:$N$1998,2,FALSE),"")</f>
        <v/>
      </c>
      <c r="F152" s="4" t="str">
        <f>IFERROR(IF(VLOOKUP($C152,'C'!$A$1:$N$1998,3,FALSE)=1,"&lt;",""),"")</f>
        <v/>
      </c>
      <c r="G152" s="4" t="str">
        <f>IFERROR(VLOOKUP($C152,'C'!$A$1:$N$1998,5,FALSE),"")</f>
        <v/>
      </c>
      <c r="H152" s="4" t="str">
        <f>IFERROR(IF(VLOOKUP($C152,'C'!$A$1:$N$1998,6,FALSE)=1,"&lt;",""),"")</f>
        <v/>
      </c>
      <c r="I152" s="4" t="str">
        <f>IFERROR(VLOOKUP($C152,'C'!$A$1:$N$1998,8,FALSE),"")</f>
        <v/>
      </c>
      <c r="J152" s="4" t="str">
        <f>IFERROR(IF(VLOOKUP($C152,'C'!$A$1:$N$1998,9,FALSE)=1,"&lt;",""),"")</f>
        <v/>
      </c>
      <c r="M152" s="4" t="str">
        <f t="shared" si="37"/>
        <v/>
      </c>
      <c r="N152" s="4" t="str">
        <f t="shared" si="43"/>
        <v/>
      </c>
      <c r="O152" s="4" t="str">
        <f t="shared" si="57"/>
        <v/>
      </c>
      <c r="P152" s="4" t="str">
        <f t="shared" si="44"/>
        <v/>
      </c>
      <c r="Q152" s="4" t="str">
        <f t="shared" si="58"/>
        <v/>
      </c>
      <c r="R152" s="4" t="str">
        <f t="shared" si="45"/>
        <v/>
      </c>
      <c r="V152" s="4">
        <v>1E-3</v>
      </c>
      <c r="Z152" s="17" t="str">
        <f>IF(AA152=-1,IF(SUM(AA$152:AA$153)=-2,0,(0.7*M152)),AA152)</f>
        <v/>
      </c>
      <c r="AA152" s="17" t="str">
        <f>IF(M152="","",IF(AND(N152="&lt;",M152&lt;=V152),-1,(IF(N152="&lt;",0.7*M152,M152))))</f>
        <v/>
      </c>
      <c r="AC152" s="17" t="str">
        <f>IF(AD152=-1,IF(SUM(AD$152:AD$153)=-2,0,(0.7*O152)),AD152)</f>
        <v/>
      </c>
      <c r="AD152" s="17" t="str">
        <f>IF(O152="","",IF(AND(P152="&lt;",O152&lt;=V152),-1,(IF(P152="&lt;",0.7*O152,O152))))</f>
        <v/>
      </c>
      <c r="AF152" s="17" t="str">
        <f>IF(AG152=-1,IF(SUM(AG$152:AG$153)=-2,0,(0.7*Q152)),AG152)</f>
        <v/>
      </c>
      <c r="AG152" s="17" t="str">
        <f>IF(Q152="","",IF(AND(R152="&lt;",Q152&lt;=V152),-1,(IF(R152="&lt;",0.7*Q152,Q152))))</f>
        <v/>
      </c>
      <c r="AI152" s="77">
        <v>0</v>
      </c>
      <c r="AJ152" s="77">
        <v>0</v>
      </c>
      <c r="AK152" s="77">
        <v>1</v>
      </c>
      <c r="AO152" s="4">
        <f t="shared" si="46"/>
        <v>5</v>
      </c>
      <c r="AQ152" s="4">
        <f t="shared" si="47"/>
        <v>5</v>
      </c>
      <c r="AS152" s="4">
        <f t="shared" si="48"/>
        <v>5</v>
      </c>
      <c r="AV152" s="4" t="str">
        <f t="shared" si="99"/>
        <v/>
      </c>
      <c r="AX152" s="4" t="str">
        <f t="shared" si="100"/>
        <v/>
      </c>
      <c r="AZ152" s="4" t="str">
        <f t="shared" si="101"/>
        <v/>
      </c>
    </row>
    <row r="153" spans="1:52" x14ac:dyDescent="0.2">
      <c r="A153" s="4" t="s">
        <v>95</v>
      </c>
      <c r="B153" s="4">
        <v>215</v>
      </c>
      <c r="C153" s="4" t="str">
        <f t="shared" si="0"/>
        <v>urn:immetingen:parameter:id:215</v>
      </c>
      <c r="D153" s="4" t="str">
        <f>IFERROR(IF(VLOOKUP($C153,'C'!$A$1:$N$1998,4,FALSE)=0,IF(VLOOKUP($C153,'C'!$A$1:$N$1998,7,FALSE)=0,VLOOKUP($C153,'C'!$A$1:$N$1998,10,FALSE),VLOOKUP($C153,'C'!$A$1:$N$1998,7,FALSE)),VLOOKUP($C153,'C'!$A$1:$N$1998,4,FALSE)),"")</f>
        <v/>
      </c>
      <c r="E153" s="4" t="str">
        <f>IFERROR(VLOOKUP($C153,'C'!$A$1:$N$1998,2,FALSE),"")</f>
        <v/>
      </c>
      <c r="F153" s="4" t="str">
        <f>IFERROR(IF(VLOOKUP($C153,'C'!$A$1:$N$1998,3,FALSE)=1,"&lt;",""),"")</f>
        <v/>
      </c>
      <c r="G153" s="4" t="str">
        <f>IFERROR(VLOOKUP($C153,'C'!$A$1:$N$1998,5,FALSE),"")</f>
        <v/>
      </c>
      <c r="H153" s="4" t="str">
        <f>IFERROR(IF(VLOOKUP($C153,'C'!$A$1:$N$1998,6,FALSE)=1,"&lt;",""),"")</f>
        <v/>
      </c>
      <c r="I153" s="4" t="str">
        <f>IFERROR(VLOOKUP($C153,'C'!$A$1:$N$1998,8,FALSE),"")</f>
        <v/>
      </c>
      <c r="J153" s="4" t="str">
        <f>IFERROR(IF(VLOOKUP($C153,'C'!$A$1:$N$1998,9,FALSE)=1,"&lt;",""),"")</f>
        <v/>
      </c>
      <c r="M153" s="4" t="str">
        <f t="shared" si="37"/>
        <v/>
      </c>
      <c r="N153" s="4" t="str">
        <f t="shared" si="43"/>
        <v/>
      </c>
      <c r="O153" s="4" t="str">
        <f t="shared" si="57"/>
        <v/>
      </c>
      <c r="P153" s="4" t="str">
        <f t="shared" si="44"/>
        <v/>
      </c>
      <c r="Q153" s="4" t="str">
        <f t="shared" si="58"/>
        <v/>
      </c>
      <c r="R153" s="4" t="str">
        <f t="shared" si="45"/>
        <v/>
      </c>
      <c r="V153" s="4">
        <v>1E-3</v>
      </c>
      <c r="Z153" s="17" t="str">
        <f>IF(AA153=-1,IF(SUM(AA$152:AA$153)=-2,0,(0.7*M153)),AA153)</f>
        <v/>
      </c>
      <c r="AA153" s="17" t="str">
        <f>IF(M153="","",IF(AND(N153="&lt;",M153&lt;=V153),-1,(IF(N153="&lt;",0.7*M153,M153))))</f>
        <v/>
      </c>
      <c r="AC153" s="17" t="str">
        <f>IF(AD153=-1,IF(SUM(AD$152:AD$153)=-2,0,(0.7*O153)),AD153)</f>
        <v/>
      </c>
      <c r="AD153" s="17" t="str">
        <f>IF(O153="","",IF(AND(P153="&lt;",O153&lt;=V153),-1,(IF(P153="&lt;",0.7*O153,O153))))</f>
        <v/>
      </c>
      <c r="AF153" s="17" t="str">
        <f>IF(AG153=-1,IF(SUM(AG$152:AG$153)=-2,0,(0.7*Q153)),AG153)</f>
        <v/>
      </c>
      <c r="AG153" s="17" t="str">
        <f>IF(Q153="","",IF(AND(R153="&lt;",Q153&lt;=V153),-1,(IF(R153="&lt;",0.7*Q153,Q153))))</f>
        <v/>
      </c>
      <c r="AI153" s="77">
        <v>0</v>
      </c>
      <c r="AJ153" s="77">
        <v>0</v>
      </c>
      <c r="AK153" s="77">
        <v>1</v>
      </c>
      <c r="AO153" s="4">
        <f t="shared" si="46"/>
        <v>5</v>
      </c>
      <c r="AQ153" s="4">
        <f t="shared" si="47"/>
        <v>5</v>
      </c>
      <c r="AS153" s="4">
        <f t="shared" si="48"/>
        <v>5</v>
      </c>
      <c r="AV153" s="4" t="str">
        <f t="shared" si="99"/>
        <v/>
      </c>
      <c r="AX153" s="4" t="str">
        <f t="shared" si="100"/>
        <v/>
      </c>
      <c r="AZ153" s="4" t="str">
        <f t="shared" si="101"/>
        <v/>
      </c>
    </row>
    <row r="154" spans="1:52" x14ac:dyDescent="0.2">
      <c r="A154" s="4" t="s">
        <v>167</v>
      </c>
      <c r="B154" s="4">
        <v>552</v>
      </c>
      <c r="C154" s="4" t="str">
        <f t="shared" si="0"/>
        <v>urn:immetingen:parameter:id:552</v>
      </c>
      <c r="D154" s="17" t="str">
        <f>D153</f>
        <v/>
      </c>
      <c r="E154" s="17" t="str">
        <f>IFERROR(IF($D154=131,IF(AND(F152="&lt;",F153="&lt;"),SUM(E152:E153),AA154*1000),IF(AND(F152="&lt;",F153="&lt;"),SUM(E152:E153),AA154)),"")</f>
        <v/>
      </c>
      <c r="F154" s="17" t="str">
        <f>IFERROR(IF(AND(F152="&lt;",F153="&lt;"),"&lt;",""),"")</f>
        <v/>
      </c>
      <c r="G154" s="17" t="str">
        <f>IFERROR(IF($D154=131,IF(AND(H152="&lt;",H153="&lt;"),SUM(G152:G153),AD154*1000),IF(AND(H152="&lt;",H153="&lt;"),SUM(G152:G153),AD154)),"")</f>
        <v/>
      </c>
      <c r="H154" s="17" t="str">
        <f>IFERROR(IF(AND(H152="&lt;",H153="&lt;"),"&lt;",""),"")</f>
        <v/>
      </c>
      <c r="I154" s="17" t="str">
        <f>IFERROR(IF($D154=131,IF(AND(J152="&lt;",J153="&lt;"),SUM(I152:I153),AG154*1000),IF(AND(J152="&lt;",J153="&lt;"),SUM(I152:I153),AG154)),"")</f>
        <v/>
      </c>
      <c r="J154" s="17" t="str">
        <f>IFERROR(IF(AND(J152="&lt;",J153="&lt;"),"&lt;",""),"")</f>
        <v/>
      </c>
      <c r="M154" s="4" t="str">
        <f t="shared" si="37"/>
        <v/>
      </c>
      <c r="N154" s="4" t="str">
        <f t="shared" si="43"/>
        <v/>
      </c>
      <c r="O154" s="4" t="str">
        <f t="shared" si="57"/>
        <v/>
      </c>
      <c r="P154" s="4" t="str">
        <f t="shared" si="44"/>
        <v/>
      </c>
      <c r="Q154" s="4" t="str">
        <f t="shared" si="58"/>
        <v/>
      </c>
      <c r="R154" s="4" t="str">
        <f t="shared" si="45"/>
        <v/>
      </c>
      <c r="V154" s="4">
        <f>IFERROR(IF(VLOOKUP(B154,E!$B$1:$AK$300,4,FALSE)=0,1000000,VLOOKUP(B154,E!$B$1:$AK$300,4,FALSE)),1000000)</f>
        <v>2E-3</v>
      </c>
      <c r="Z154" s="17">
        <f>SUM(Z152:Z153)</f>
        <v>0</v>
      </c>
      <c r="AA154" s="64" t="str">
        <f>IF(M152="","",IF(Z154=0,SUM(M152:M153),Z154))</f>
        <v/>
      </c>
      <c r="AC154" s="17">
        <f>SUM(AC152:AC153)</f>
        <v>0</v>
      </c>
      <c r="AD154" s="64" t="str">
        <f>IF(O152="","",IF(AC154=0,SUM(O152:O153),AC154))</f>
        <v/>
      </c>
      <c r="AF154" s="17">
        <f>SUM(AF152:AF153)</f>
        <v>0</v>
      </c>
      <c r="AG154" s="64" t="str">
        <f>IF(Q152="","",IF(AF154=0,SUM(Q152:Q153),AF154))</f>
        <v/>
      </c>
      <c r="AI154" s="77">
        <v>0</v>
      </c>
      <c r="AJ154" s="77">
        <v>0</v>
      </c>
      <c r="AK154" s="77">
        <v>1</v>
      </c>
      <c r="AO154" s="4">
        <f t="shared" si="46"/>
        <v>5</v>
      </c>
      <c r="AQ154" s="4">
        <f t="shared" si="47"/>
        <v>5</v>
      </c>
      <c r="AS154" s="4">
        <f t="shared" si="48"/>
        <v>5</v>
      </c>
      <c r="AV154" s="4" t="str">
        <f t="shared" si="99"/>
        <v/>
      </c>
      <c r="AX154" s="4" t="str">
        <f t="shared" si="100"/>
        <v/>
      </c>
      <c r="AZ154" s="4" t="str">
        <f t="shared" si="101"/>
        <v/>
      </c>
    </row>
    <row r="155" spans="1:52" x14ac:dyDescent="0.2">
      <c r="A155" s="4" t="s">
        <v>96</v>
      </c>
      <c r="B155" s="4">
        <v>112</v>
      </c>
      <c r="C155" s="4" t="str">
        <f t="shared" si="0"/>
        <v>urn:immetingen:parameter:id:112</v>
      </c>
      <c r="D155" s="4" t="str">
        <f>IFERROR(IF(VLOOKUP($C155,'C'!$A$1:$N$1998,4,FALSE)=0,IF(VLOOKUP($C155,'C'!$A$1:$N$1998,7,FALSE)=0,VLOOKUP($C155,'C'!$A$1:$N$1998,10,FALSE),VLOOKUP($C155,'C'!$A$1:$N$1998,7,FALSE)),VLOOKUP($C155,'C'!$A$1:$N$1998,4,FALSE)),"")</f>
        <v/>
      </c>
      <c r="E155" s="4" t="str">
        <f>IFERROR(VLOOKUP($C155,'C'!$A$1:$N$1998,2,FALSE),"")</f>
        <v/>
      </c>
      <c r="F155" s="4" t="str">
        <f>IFERROR(IF(VLOOKUP($C155,'C'!$A$1:$N$1998,3,FALSE)=1,"&lt;",""),"")</f>
        <v/>
      </c>
      <c r="G155" s="4" t="str">
        <f>IFERROR(VLOOKUP($C155,'C'!$A$1:$N$1998,5,FALSE),"")</f>
        <v/>
      </c>
      <c r="H155" s="4" t="str">
        <f>IFERROR(IF(VLOOKUP($C155,'C'!$A$1:$N$1998,6,FALSE)=1,"&lt;",""),"")</f>
        <v/>
      </c>
      <c r="I155" s="4" t="str">
        <f>IFERROR(VLOOKUP($C155,'C'!$A$1:$N$1998,8,FALSE),"")</f>
        <v/>
      </c>
      <c r="J155" s="4" t="str">
        <f>IFERROR(IF(VLOOKUP($C155,'C'!$A$1:$N$1998,9,FALSE)=1,"&lt;",""),"")</f>
        <v/>
      </c>
      <c r="M155" s="4" t="str">
        <f t="shared" si="37"/>
        <v/>
      </c>
      <c r="N155" s="4" t="str">
        <f t="shared" si="43"/>
        <v/>
      </c>
      <c r="O155" s="4" t="str">
        <f t="shared" si="57"/>
        <v/>
      </c>
      <c r="P155" s="4" t="str">
        <f t="shared" si="44"/>
        <v/>
      </c>
      <c r="Q155" s="4" t="str">
        <f t="shared" si="58"/>
        <v/>
      </c>
      <c r="R155" s="4" t="str">
        <f t="shared" si="45"/>
        <v/>
      </c>
      <c r="V155" s="4">
        <v>1E-3</v>
      </c>
      <c r="Z155" s="17" t="str">
        <f>IF(AA155=-1,IF(SUM(AA$155:AA$156)=-2,0,(0.7*M155)),AA155)</f>
        <v/>
      </c>
      <c r="AA155" s="17" t="str">
        <f>IF(M155="","",IF(AND(N155="&lt;",M155&lt;=V155),-1,(IF(N155="&lt;",0.7*M155,M155))))</f>
        <v/>
      </c>
      <c r="AC155" s="17" t="str">
        <f>IF(AD155=-1,IF(SUM(AD$155:AD$156)=-2,0,(0.7*O155)),AD155)</f>
        <v/>
      </c>
      <c r="AD155" s="17" t="str">
        <f>IF(O155="","",IF(AND(P155="&lt;",O155&lt;=V155),-1,(IF(P155="&lt;",0.7*O155,O155))))</f>
        <v/>
      </c>
      <c r="AF155" s="17" t="str">
        <f>IF(AG155=-1,IF(SUM(AG$155:AG$156)=-2,0,(0.7*Q155)),AG155)</f>
        <v/>
      </c>
      <c r="AG155" s="17" t="str">
        <f>IF(Q155="","",IF(AND(R155="&lt;",Q155&lt;=V155),-1,(IF(R155="&lt;",0.7*Q155,Q155))))</f>
        <v/>
      </c>
      <c r="AI155" s="77">
        <v>0</v>
      </c>
      <c r="AJ155" s="77">
        <v>0</v>
      </c>
      <c r="AK155" s="77">
        <v>1</v>
      </c>
      <c r="AO155" s="4">
        <f t="shared" si="46"/>
        <v>5</v>
      </c>
      <c r="AQ155" s="4">
        <f t="shared" si="47"/>
        <v>5</v>
      </c>
      <c r="AS155" s="4">
        <f t="shared" si="48"/>
        <v>5</v>
      </c>
      <c r="AV155" s="4" t="str">
        <f t="shared" si="99"/>
        <v/>
      </c>
      <c r="AX155" s="4" t="str">
        <f t="shared" si="100"/>
        <v/>
      </c>
      <c r="AZ155" s="4" t="str">
        <f t="shared" si="101"/>
        <v/>
      </c>
    </row>
    <row r="156" spans="1:52" x14ac:dyDescent="0.2">
      <c r="A156" s="4" t="s">
        <v>97</v>
      </c>
      <c r="B156" s="4">
        <v>216</v>
      </c>
      <c r="C156" s="4" t="str">
        <f t="shared" si="0"/>
        <v>urn:immetingen:parameter:id:216</v>
      </c>
      <c r="D156" s="4" t="str">
        <f>IFERROR(IF(VLOOKUP($C156,'C'!$A$1:$N$1998,4,FALSE)=0,IF(VLOOKUP($C156,'C'!$A$1:$N$1998,7,FALSE)=0,VLOOKUP($C156,'C'!$A$1:$N$1998,10,FALSE),VLOOKUP($C156,'C'!$A$1:$N$1998,7,FALSE)),VLOOKUP($C156,'C'!$A$1:$N$1998,4,FALSE)),"")</f>
        <v/>
      </c>
      <c r="E156" s="4" t="str">
        <f>IFERROR(VLOOKUP($C156,'C'!$A$1:$N$1998,2,FALSE),"")</f>
        <v/>
      </c>
      <c r="F156" s="4" t="str">
        <f>IFERROR(IF(VLOOKUP($C156,'C'!$A$1:$N$1998,3,FALSE)=1,"&lt;",""),"")</f>
        <v/>
      </c>
      <c r="G156" s="4" t="str">
        <f>IFERROR(VLOOKUP($C156,'C'!$A$1:$N$1998,5,FALSE),"")</f>
        <v/>
      </c>
      <c r="H156" s="4" t="str">
        <f>IFERROR(IF(VLOOKUP($C156,'C'!$A$1:$N$1998,6,FALSE)=1,"&lt;",""),"")</f>
        <v/>
      </c>
      <c r="I156" s="4" t="str">
        <f>IFERROR(VLOOKUP($C156,'C'!$A$1:$N$1998,8,FALSE),"")</f>
        <v/>
      </c>
      <c r="J156" s="4" t="str">
        <f>IFERROR(IF(VLOOKUP($C156,'C'!$A$1:$N$1998,9,FALSE)=1,"&lt;",""),"")</f>
        <v/>
      </c>
      <c r="M156" s="4" t="str">
        <f t="shared" si="37"/>
        <v/>
      </c>
      <c r="N156" s="4" t="str">
        <f t="shared" si="43"/>
        <v/>
      </c>
      <c r="O156" s="4" t="str">
        <f t="shared" si="57"/>
        <v/>
      </c>
      <c r="P156" s="4" t="str">
        <f t="shared" si="44"/>
        <v/>
      </c>
      <c r="Q156" s="4" t="str">
        <f t="shared" si="58"/>
        <v/>
      </c>
      <c r="R156" s="4" t="str">
        <f t="shared" si="45"/>
        <v/>
      </c>
      <c r="V156" s="4">
        <v>1E-3</v>
      </c>
      <c r="Z156" s="17" t="str">
        <f>IF(AA156=-1,IF(SUM(AA$155:AA$156)=-2,0,(0.7*M156)),AA156)</f>
        <v/>
      </c>
      <c r="AA156" s="17" t="str">
        <f>IF(M156="","",IF(AND(N156="&lt;",M156&lt;=V156),-1,(IF(N156="&lt;",0.7*M156,M156))))</f>
        <v/>
      </c>
      <c r="AC156" s="17" t="str">
        <f>IF(AD156=-1,IF(SUM(AD$155:AD$156)=-2,0,(0.7*O156)),AD156)</f>
        <v/>
      </c>
      <c r="AD156" s="17" t="str">
        <f>IF(O156="","",IF(AND(P156="&lt;",O156&lt;=V156),-1,(IF(P156="&lt;",0.7*O156,O156))))</f>
        <v/>
      </c>
      <c r="AF156" s="17" t="str">
        <f>IF(AG156=-1,IF(SUM(AG$155:AG$156)=-2,0,(0.7*Q156)),AG156)</f>
        <v/>
      </c>
      <c r="AG156" s="17" t="str">
        <f>IF(Q156="","",IF(AND(R156="&lt;",Q156&lt;=V156),-1,(IF(R156="&lt;",0.7*Q156,Q156))))</f>
        <v/>
      </c>
      <c r="AI156" s="77">
        <v>0</v>
      </c>
      <c r="AJ156" s="77">
        <v>0</v>
      </c>
      <c r="AK156" s="77">
        <v>1</v>
      </c>
      <c r="AO156" s="4">
        <f t="shared" si="46"/>
        <v>5</v>
      </c>
      <c r="AQ156" s="4">
        <f t="shared" si="47"/>
        <v>5</v>
      </c>
      <c r="AS156" s="4">
        <f t="shared" si="48"/>
        <v>5</v>
      </c>
      <c r="AV156" s="4" t="str">
        <f t="shared" si="99"/>
        <v/>
      </c>
      <c r="AX156" s="4" t="str">
        <f t="shared" si="100"/>
        <v/>
      </c>
      <c r="AZ156" s="4" t="str">
        <f t="shared" si="101"/>
        <v/>
      </c>
    </row>
    <row r="157" spans="1:52" x14ac:dyDescent="0.2">
      <c r="A157" s="4" t="s">
        <v>168</v>
      </c>
      <c r="B157" s="4">
        <v>553</v>
      </c>
      <c r="C157" s="4" t="str">
        <f t="shared" si="0"/>
        <v>urn:immetingen:parameter:id:553</v>
      </c>
      <c r="D157" s="17" t="str">
        <f>D156</f>
        <v/>
      </c>
      <c r="E157" s="17" t="str">
        <f>IFERROR(IF($D157=131,IF(AND(F155="&lt;",F156="&lt;"),SUM(E155:E156),AA157*1000),IF(AND(F155="&lt;",F156="&lt;"),SUM(E155:E156),AA157)),"")</f>
        <v/>
      </c>
      <c r="F157" s="17" t="str">
        <f>IFERROR(IF(AND(F155="&lt;",F156="&lt;"),"&lt;",""),"")</f>
        <v/>
      </c>
      <c r="G157" s="17" t="str">
        <f>IFERROR(IF($D157=131,IF(AND(H155="&lt;",H156="&lt;"),SUM(G155:G156),AD157*1000),IF(AND(H155="&lt;",H156="&lt;"),SUM(G155:G156),AD157)),"")</f>
        <v/>
      </c>
      <c r="H157" s="17" t="str">
        <f>IFERROR(IF(AND(H155="&lt;",H156="&lt;"),"&lt;",""),"")</f>
        <v/>
      </c>
      <c r="I157" s="17" t="str">
        <f>IFERROR(IF($D157=131,IF(AND(J155="&lt;",J156="&lt;"),SUM(I155:I156),AG157*1000),IF(AND(J155="&lt;",J156="&lt;"),SUM(I155:I156),AG157)),"")</f>
        <v/>
      </c>
      <c r="J157" s="17" t="str">
        <f>IFERROR(IF(AND(J155="&lt;",J156="&lt;"),"&lt;",""),"")</f>
        <v/>
      </c>
      <c r="M157" s="4" t="str">
        <f t="shared" si="37"/>
        <v/>
      </c>
      <c r="N157" s="4" t="str">
        <f t="shared" si="43"/>
        <v/>
      </c>
      <c r="O157" s="4" t="str">
        <f t="shared" si="57"/>
        <v/>
      </c>
      <c r="P157" s="4" t="str">
        <f t="shared" si="44"/>
        <v/>
      </c>
      <c r="Q157" s="4" t="str">
        <f t="shared" si="58"/>
        <v/>
      </c>
      <c r="R157" s="4" t="str">
        <f t="shared" si="45"/>
        <v/>
      </c>
      <c r="V157" s="4">
        <f>IFERROR(IF(VLOOKUP(B157,E!$B$1:$AK$300,4,FALSE)=0,1000000,VLOOKUP(B157,E!$B$1:$AK$300,4,FALSE)),1000000)</f>
        <v>2E-3</v>
      </c>
      <c r="Z157" s="17">
        <f>SUM(Z155:Z156)</f>
        <v>0</v>
      </c>
      <c r="AA157" s="64" t="str">
        <f>IF(M155="","",IF(Z157=0,SUM(M155:M156),Z157))</f>
        <v/>
      </c>
      <c r="AC157" s="17">
        <f>SUM(AC155:AC156)</f>
        <v>0</v>
      </c>
      <c r="AD157" s="64" t="str">
        <f>IF(O155="","",IF(AC157=0,SUM(O155:O156),AC157))</f>
        <v/>
      </c>
      <c r="AF157" s="17">
        <f>SUM(AF155:AF156)</f>
        <v>0</v>
      </c>
      <c r="AG157" s="64" t="str">
        <f>IF(Q155="","",IF(AF157=0,SUM(Q155:Q156),AF157))</f>
        <v/>
      </c>
      <c r="AI157" s="77">
        <v>0</v>
      </c>
      <c r="AJ157" s="77">
        <v>0</v>
      </c>
      <c r="AK157" s="77">
        <v>1</v>
      </c>
      <c r="AO157" s="4">
        <f t="shared" si="46"/>
        <v>5</v>
      </c>
      <c r="AQ157" s="4">
        <f t="shared" si="47"/>
        <v>5</v>
      </c>
      <c r="AS157" s="4">
        <f t="shared" si="48"/>
        <v>5</v>
      </c>
      <c r="AV157" s="4" t="str">
        <f t="shared" si="99"/>
        <v/>
      </c>
      <c r="AX157" s="4" t="str">
        <f t="shared" si="100"/>
        <v/>
      </c>
      <c r="AZ157" s="4" t="str">
        <f t="shared" si="101"/>
        <v/>
      </c>
    </row>
    <row r="158" spans="1:52" x14ac:dyDescent="0.2">
      <c r="A158" s="4" t="s">
        <v>173</v>
      </c>
      <c r="B158" s="4">
        <v>555</v>
      </c>
      <c r="C158" s="4" t="str">
        <f t="shared" si="0"/>
        <v>urn:immetingen:parameter:id:555</v>
      </c>
      <c r="D158" s="17" t="str">
        <f>D157</f>
        <v/>
      </c>
      <c r="E158" s="4" t="str">
        <f>IFERROR(VLOOKUP($C158,'C'!$A$1:$N$1998,2,FALSE),"")</f>
        <v/>
      </c>
      <c r="F158" s="4" t="str">
        <f>IFERROR(IF(VLOOKUP($C158,'C'!$A$1:$N$1998,3,FALSE)=1,"&lt;",""),"")</f>
        <v/>
      </c>
      <c r="G158" s="4" t="str">
        <f>IFERROR(VLOOKUP($C158,'C'!$A$1:$N$1998,5,FALSE),"")</f>
        <v/>
      </c>
      <c r="H158" s="4" t="str">
        <f>IFERROR(IF(VLOOKUP($C158,'C'!$A$1:$N$1998,6,FALSE)=1,"&lt;",""),"")</f>
        <v/>
      </c>
      <c r="I158" s="4" t="str">
        <f>IFERROR(VLOOKUP($C158,'C'!$A$1:$N$1998,8,FALSE),"")</f>
        <v/>
      </c>
      <c r="J158" s="4" t="str">
        <f>IFERROR(IF(VLOOKUP($C158,'C'!$A$1:$N$1998,9,FALSE)=1,"&lt;",""),"")</f>
        <v/>
      </c>
      <c r="M158" s="4" t="str">
        <f t="shared" ref="M158:M221" si="110">IF(E158="","",IF($D158=131,E158/1000,E158))</f>
        <v/>
      </c>
      <c r="N158" s="4" t="str">
        <f t="shared" si="43"/>
        <v/>
      </c>
      <c r="O158" s="4" t="str">
        <f t="shared" si="57"/>
        <v/>
      </c>
      <c r="P158" s="4" t="str">
        <f t="shared" si="44"/>
        <v/>
      </c>
      <c r="Q158" s="4" t="str">
        <f t="shared" si="58"/>
        <v/>
      </c>
      <c r="R158" s="4" t="str">
        <f t="shared" si="45"/>
        <v/>
      </c>
      <c r="V158" s="4">
        <f>IFERROR(IF(VLOOKUP(B158,E!$B$1:$AK$300,4,FALSE)=0,1000000,VLOOKUP(B158,E!$B$1:$AK$300,4,FALSE)),1000000)</f>
        <v>6.0000000000000001E-3</v>
      </c>
      <c r="Z158" s="4" t="str">
        <f t="shared" ref="Z158" si="111">IF(M158="","",IF(AND(N158="&lt;",M158&lt;=$V158),-1,(IF(N158="&lt;",0.7*M158,M158))))</f>
        <v/>
      </c>
      <c r="AA158" s="4">
        <f>SUM(AA149:AA150,AA152:AA153,AA155:AA156)</f>
        <v>0</v>
      </c>
      <c r="AC158" s="4" t="str">
        <f t="shared" ref="AC158" si="112">IF(O158="","",IF(AND(P158="&lt;",O158&lt;=$V158),-1,(IF(P158="&lt;",0.7*O158,O158))))</f>
        <v/>
      </c>
      <c r="AD158" s="4">
        <f>SUM(AD149:AD150,AD152:AD153,AD155:AD156)</f>
        <v>0</v>
      </c>
      <c r="AF158" s="4" t="str">
        <f t="shared" ref="AF158" si="113">IF(Q158="","",IF(AND(R158="&lt;",Q158&lt;=$V158),-1,(IF(R158="&lt;",0.7*Q158,Q158))))</f>
        <v/>
      </c>
      <c r="AG158" s="4">
        <f>SUM(AG149:AG150,AG152:AG153,AG155:AG156)</f>
        <v>0</v>
      </c>
      <c r="AI158" s="77">
        <v>0</v>
      </c>
      <c r="AJ158" s="77">
        <v>0</v>
      </c>
      <c r="AK158" s="77">
        <v>1</v>
      </c>
      <c r="AO158" s="4">
        <f t="shared" si="46"/>
        <v>5</v>
      </c>
      <c r="AQ158" s="4">
        <f t="shared" si="47"/>
        <v>5</v>
      </c>
      <c r="AS158" s="4">
        <f t="shared" si="48"/>
        <v>5</v>
      </c>
      <c r="AV158" s="4" t="str">
        <f t="shared" si="99"/>
        <v/>
      </c>
      <c r="AX158" s="4" t="str">
        <f t="shared" si="100"/>
        <v/>
      </c>
      <c r="AZ158" s="4" t="str">
        <f t="shared" si="101"/>
        <v/>
      </c>
    </row>
    <row r="159" spans="1:52" x14ac:dyDescent="0.2">
      <c r="A159" s="4" t="s">
        <v>98</v>
      </c>
      <c r="B159" s="4">
        <v>268</v>
      </c>
      <c r="C159" s="4" t="str">
        <f t="shared" si="0"/>
        <v>urn:immetingen:parameter:id:268</v>
      </c>
      <c r="D159" s="4" t="str">
        <f>IFERROR(IF(VLOOKUP($C159,'C'!$A$1:$N$1998,4,FALSE)=0,IF(VLOOKUP($C159,'C'!$A$1:$N$1998,7,FALSE)=0,VLOOKUP($C159,'C'!$A$1:$N$1998,10,FALSE),VLOOKUP($C159,'C'!$A$1:$N$1998,7,FALSE)),VLOOKUP($C159,'C'!$A$1:$N$1998,4,FALSE)),"")</f>
        <v/>
      </c>
      <c r="E159" s="4" t="str">
        <f>IFERROR(VLOOKUP($C159,'C'!$A$1:$N$1998,2,FALSE),"")</f>
        <v/>
      </c>
      <c r="F159" s="4" t="str">
        <f>IFERROR(IF(VLOOKUP($C159,'C'!$A$1:$N$1998,3,FALSE)=1,"&lt;",""),"")</f>
        <v/>
      </c>
      <c r="G159" s="4" t="str">
        <f>IFERROR(VLOOKUP($C159,'C'!$A$1:$N$1998,5,FALSE),"")</f>
        <v/>
      </c>
      <c r="H159" s="4" t="str">
        <f>IFERROR(IF(VLOOKUP($C159,'C'!$A$1:$N$1998,6,FALSE)=1,"&lt;",""),"")</f>
        <v/>
      </c>
      <c r="I159" s="4" t="str">
        <f>IFERROR(VLOOKUP($C159,'C'!$A$1:$N$1998,8,FALSE),"")</f>
        <v/>
      </c>
      <c r="J159" s="4" t="str">
        <f>IFERROR(IF(VLOOKUP($C159,'C'!$A$1:$N$1998,9,FALSE)=1,"&lt;",""),"")</f>
        <v/>
      </c>
      <c r="M159" s="4" t="str">
        <f t="shared" si="110"/>
        <v/>
      </c>
      <c r="N159" s="4" t="str">
        <f t="shared" ref="N159:N222" si="114">IF(F159="","",F159)</f>
        <v/>
      </c>
      <c r="O159" s="4" t="str">
        <f t="shared" si="57"/>
        <v/>
      </c>
      <c r="P159" s="4" t="str">
        <f t="shared" ref="P159:P222" si="115">IF(H159="","",H159)</f>
        <v/>
      </c>
      <c r="Q159" s="4" t="str">
        <f t="shared" si="58"/>
        <v/>
      </c>
      <c r="R159" s="4" t="str">
        <f t="shared" ref="R159:R222" si="116">IF(J159="","",J159)</f>
        <v/>
      </c>
      <c r="V159" s="4">
        <f>IFERROR(IF(VLOOKUP(B159,E!$B$1:$AK$300,4,FALSE)=0,1000000,VLOOKUP(B159,E!$B$1:$AK$300,4,FALSE)),1000000)</f>
        <v>1E-3</v>
      </c>
      <c r="Z159" s="17" t="str">
        <f>IF(AA159=-1,IF(SUM(AA$159:AA$161)=-3,0,(0.7*M159)),AA159)</f>
        <v/>
      </c>
      <c r="AA159" s="17" t="str">
        <f>IF(M159="","",IF(AND(N159="&lt;",M159&lt;=V159),-1,(IF(N159="&lt;",0.7*M159,M159))))</f>
        <v/>
      </c>
      <c r="AC159" s="17" t="str">
        <f>IF(AD159=-1,IF(SUM(AD$159:AD$161)=-3,0,(0.7*O159)),AD159)</f>
        <v/>
      </c>
      <c r="AD159" s="17" t="str">
        <f>IF(O159="","",IF(AND(P159="&lt;",O159&lt;=V159),-1,(IF(P159="&lt;",0.7*O159,O159))))</f>
        <v/>
      </c>
      <c r="AF159" s="17" t="str">
        <f>IF(AG159=-1,IF(SUM(AG$159:AG$161)=-3,0,(0.7*Q159)),AG159)</f>
        <v/>
      </c>
      <c r="AG159" s="17" t="str">
        <f>IF(Q159="","",IF(AND(R159="&lt;",Q159&lt;=V159),-1,(IF(R159="&lt;",0.7*Q159,Q159))))</f>
        <v/>
      </c>
      <c r="AI159" s="77">
        <v>0</v>
      </c>
      <c r="AJ159" s="77">
        <v>0</v>
      </c>
      <c r="AK159" s="77">
        <v>1</v>
      </c>
      <c r="AO159" s="4">
        <f t="shared" ref="AO159:AO222" si="117">($AI159+($AJ159*25)+($AK159*10))/($AI159+($AJ159*AO$7)+($AK159*AO$6))</f>
        <v>5</v>
      </c>
      <c r="AQ159" s="4">
        <f t="shared" ref="AQ159:AQ222" si="118">($AI159+($AJ159*25)+($AK159*10))/($AI159+($AJ159*AQ$7)+($AK159*AQ$6))</f>
        <v>5</v>
      </c>
      <c r="AS159" s="4">
        <f t="shared" ref="AS159:AS222" si="119">($AI159+($AJ159*25)+($AK159*10))/($AI159+($AJ159*AS$7)+($AK159*AS$6))</f>
        <v>5</v>
      </c>
      <c r="AV159" s="4" t="str">
        <f t="shared" si="99"/>
        <v/>
      </c>
      <c r="AX159" s="4" t="str">
        <f t="shared" si="100"/>
        <v/>
      </c>
      <c r="AZ159" s="4" t="str">
        <f t="shared" si="101"/>
        <v/>
      </c>
    </row>
    <row r="160" spans="1:52" x14ac:dyDescent="0.2">
      <c r="A160" s="4" t="s">
        <v>99</v>
      </c>
      <c r="B160" s="4">
        <v>633</v>
      </c>
      <c r="C160" s="4" t="str">
        <f t="shared" si="0"/>
        <v>urn:immetingen:parameter:id:633</v>
      </c>
      <c r="D160" s="4" t="str">
        <f>IFERROR(IF(VLOOKUP($C160,'C'!$A$1:$N$1998,4,FALSE)=0,IF(VLOOKUP($C160,'C'!$A$1:$N$1998,7,FALSE)=0,VLOOKUP($C160,'C'!$A$1:$N$1998,10,FALSE),VLOOKUP($C160,'C'!$A$1:$N$1998,7,FALSE)),VLOOKUP($C160,'C'!$A$1:$N$1998,4,FALSE)),"")</f>
        <v/>
      </c>
      <c r="E160" s="4" t="str">
        <f>IFERROR(VLOOKUP($C160,'C'!$A$1:$N$1998,2,FALSE),"")</f>
        <v/>
      </c>
      <c r="F160" s="4" t="str">
        <f>IFERROR(IF(VLOOKUP($C160,'C'!$A$1:$N$1998,3,FALSE)=1,"&lt;",""),"")</f>
        <v/>
      </c>
      <c r="G160" s="4" t="str">
        <f>IFERROR(VLOOKUP($C160,'C'!$A$1:$N$1998,5,FALSE),"")</f>
        <v/>
      </c>
      <c r="H160" s="4" t="str">
        <f>IFERROR(IF(VLOOKUP($C160,'C'!$A$1:$N$1998,6,FALSE)=1,"&lt;",""),"")</f>
        <v/>
      </c>
      <c r="I160" s="4" t="str">
        <f>IFERROR(VLOOKUP($C160,'C'!$A$1:$N$1998,8,FALSE),"")</f>
        <v/>
      </c>
      <c r="J160" s="4" t="str">
        <f>IFERROR(IF(VLOOKUP($C160,'C'!$A$1:$N$1998,9,FALSE)=1,"&lt;",""),"")</f>
        <v/>
      </c>
      <c r="M160" s="4" t="str">
        <f t="shared" si="110"/>
        <v/>
      </c>
      <c r="N160" s="4" t="str">
        <f t="shared" si="114"/>
        <v/>
      </c>
      <c r="O160" s="4" t="str">
        <f t="shared" si="57"/>
        <v/>
      </c>
      <c r="P160" s="4" t="str">
        <f t="shared" si="115"/>
        <v/>
      </c>
      <c r="Q160" s="4" t="str">
        <f t="shared" si="58"/>
        <v/>
      </c>
      <c r="R160" s="4" t="str">
        <f t="shared" si="116"/>
        <v/>
      </c>
      <c r="V160" s="4">
        <f>IFERROR(IF(VLOOKUP(B160,E!$B$1:$AK$300,4,FALSE)=0,1000000,VLOOKUP(B160,E!$B$1:$AK$300,4,FALSE)),1000000)</f>
        <v>1E-3</v>
      </c>
      <c r="Z160" s="17" t="str">
        <f t="shared" ref="Z160:Z161" si="120">IF(AA160=-1,IF(SUM(AA$159:AA$161)=-3,0,(0.7*M160)),AA160)</f>
        <v/>
      </c>
      <c r="AA160" s="17" t="str">
        <f t="shared" ref="AA160:AA161" si="121">IF(M160="","",IF(AND(N160="&lt;",M160&lt;=V160),-1,(IF(N160="&lt;",0.7*M160,M160))))</f>
        <v/>
      </c>
      <c r="AC160" s="17" t="str">
        <f t="shared" ref="AC160:AC161" si="122">IF(AD160=-1,IF(SUM(AD$159:AD$161)=-3,0,(0.7*O160)),AD160)</f>
        <v/>
      </c>
      <c r="AD160" s="17" t="str">
        <f t="shared" ref="AD160:AD161" si="123">IF(O160="","",IF(AND(P160="&lt;",O160&lt;=V160),-1,(IF(P160="&lt;",0.7*O160,O160))))</f>
        <v/>
      </c>
      <c r="AF160" s="17" t="str">
        <f t="shared" ref="AF160:AF161" si="124">IF(AG160=-1,IF(SUM(AG$159:AG$161)=-3,0,(0.7*Q160)),AG160)</f>
        <v/>
      </c>
      <c r="AG160" s="17" t="str">
        <f t="shared" ref="AG160:AG161" si="125">IF(Q160="","",IF(AND(R160="&lt;",Q160&lt;=V160),-1,(IF(R160="&lt;",0.7*Q160,Q160))))</f>
        <v/>
      </c>
      <c r="AI160" s="77">
        <v>0</v>
      </c>
      <c r="AJ160" s="77">
        <v>0</v>
      </c>
      <c r="AK160" s="77">
        <v>1</v>
      </c>
      <c r="AO160" s="4">
        <f t="shared" si="117"/>
        <v>5</v>
      </c>
      <c r="AQ160" s="4">
        <f t="shared" si="118"/>
        <v>5</v>
      </c>
      <c r="AS160" s="4">
        <f t="shared" si="119"/>
        <v>5</v>
      </c>
      <c r="AV160" s="4" t="str">
        <f t="shared" si="99"/>
        <v/>
      </c>
      <c r="AX160" s="4" t="str">
        <f t="shared" si="100"/>
        <v/>
      </c>
      <c r="AZ160" s="4" t="str">
        <f t="shared" si="101"/>
        <v/>
      </c>
    </row>
    <row r="161" spans="1:52" x14ac:dyDescent="0.2">
      <c r="A161" s="4" t="s">
        <v>100</v>
      </c>
      <c r="B161" s="4">
        <v>704</v>
      </c>
      <c r="C161" s="4" t="str">
        <f t="shared" si="0"/>
        <v>urn:immetingen:parameter:id:704</v>
      </c>
      <c r="D161" s="4" t="str">
        <f>IFERROR(IF(VLOOKUP($C161,'C'!$A$1:$N$1998,4,FALSE)=0,IF(VLOOKUP($C161,'C'!$A$1:$N$1998,7,FALSE)=0,VLOOKUP($C161,'C'!$A$1:$N$1998,10,FALSE),VLOOKUP($C161,'C'!$A$1:$N$1998,7,FALSE)),VLOOKUP($C161,'C'!$A$1:$N$1998,4,FALSE)),"")</f>
        <v/>
      </c>
      <c r="E161" s="4" t="str">
        <f>IFERROR(VLOOKUP($C161,'C'!$A$1:$N$1998,2,FALSE),"")</f>
        <v/>
      </c>
      <c r="F161" s="4" t="str">
        <f>IFERROR(IF(VLOOKUP($C161,'C'!$A$1:$N$1998,3,FALSE)=1,"&lt;",""),"")</f>
        <v/>
      </c>
      <c r="G161" s="4" t="str">
        <f>IFERROR(VLOOKUP($C161,'C'!$A$1:$N$1998,5,FALSE),"")</f>
        <v/>
      </c>
      <c r="H161" s="4" t="str">
        <f>IFERROR(IF(VLOOKUP($C161,'C'!$A$1:$N$1998,6,FALSE)=1,"&lt;",""),"")</f>
        <v/>
      </c>
      <c r="I161" s="4" t="str">
        <f>IFERROR(VLOOKUP($C161,'C'!$A$1:$N$1998,8,FALSE),"")</f>
        <v/>
      </c>
      <c r="J161" s="4" t="str">
        <f>IFERROR(IF(VLOOKUP($C161,'C'!$A$1:$N$1998,9,FALSE)=1,"&lt;",""),"")</f>
        <v/>
      </c>
      <c r="M161" s="4" t="str">
        <f t="shared" si="110"/>
        <v/>
      </c>
      <c r="N161" s="4" t="str">
        <f t="shared" si="114"/>
        <v/>
      </c>
      <c r="O161" s="4" t="str">
        <f t="shared" si="57"/>
        <v/>
      </c>
      <c r="P161" s="4" t="str">
        <f t="shared" si="115"/>
        <v/>
      </c>
      <c r="Q161" s="4" t="str">
        <f t="shared" si="58"/>
        <v/>
      </c>
      <c r="R161" s="4" t="str">
        <f t="shared" si="116"/>
        <v/>
      </c>
      <c r="V161" s="4">
        <f>IFERROR(IF(VLOOKUP(B161,E!$B$1:$AK$300,4,FALSE)=0,1000000,VLOOKUP(B161,E!$B$1:$AK$300,4,FALSE)),1000000)</f>
        <v>1E-3</v>
      </c>
      <c r="Z161" s="17" t="str">
        <f t="shared" si="120"/>
        <v/>
      </c>
      <c r="AA161" s="17" t="str">
        <f t="shared" si="121"/>
        <v/>
      </c>
      <c r="AC161" s="17" t="str">
        <f t="shared" si="122"/>
        <v/>
      </c>
      <c r="AD161" s="17" t="str">
        <f t="shared" si="123"/>
        <v/>
      </c>
      <c r="AF161" s="17" t="str">
        <f t="shared" si="124"/>
        <v/>
      </c>
      <c r="AG161" s="17" t="str">
        <f t="shared" si="125"/>
        <v/>
      </c>
      <c r="AI161" s="77">
        <v>0</v>
      </c>
      <c r="AJ161" s="77">
        <v>0</v>
      </c>
      <c r="AK161" s="77">
        <v>1</v>
      </c>
      <c r="AO161" s="4">
        <f t="shared" si="117"/>
        <v>5</v>
      </c>
      <c r="AQ161" s="4">
        <f t="shared" si="118"/>
        <v>5</v>
      </c>
      <c r="AS161" s="4">
        <f t="shared" si="119"/>
        <v>5</v>
      </c>
      <c r="AV161" s="4" t="str">
        <f t="shared" si="99"/>
        <v/>
      </c>
      <c r="AX161" s="4" t="str">
        <f t="shared" si="100"/>
        <v/>
      </c>
      <c r="AZ161" s="4" t="str">
        <f t="shared" si="101"/>
        <v/>
      </c>
    </row>
    <row r="162" spans="1:52" x14ac:dyDescent="0.2">
      <c r="A162" s="4" t="s">
        <v>174</v>
      </c>
      <c r="B162" s="4">
        <v>689</v>
      </c>
      <c r="C162" s="4" t="str">
        <f t="shared" si="0"/>
        <v>urn:immetingen:parameter:id:689</v>
      </c>
      <c r="D162" s="17" t="str">
        <f>D160</f>
        <v/>
      </c>
      <c r="E162" s="4" t="str">
        <f>IFERROR(VLOOKUP($C162,'C'!$A$1:$N$1998,2,FALSE),"")</f>
        <v/>
      </c>
      <c r="F162" s="4" t="str">
        <f>IFERROR(IF(VLOOKUP($C162,'C'!$A$1:$N$1998,3,FALSE)=1,"&lt;",""),"")</f>
        <v/>
      </c>
      <c r="G162" s="4" t="str">
        <f>IFERROR(VLOOKUP($C162,'C'!$A$1:$N$1998,5,FALSE),"")</f>
        <v/>
      </c>
      <c r="H162" s="4" t="str">
        <f>IFERROR(IF(VLOOKUP($C162,'C'!$A$1:$N$1998,6,FALSE)=1,"&lt;",""),"")</f>
        <v/>
      </c>
      <c r="I162" s="4" t="str">
        <f>IFERROR(VLOOKUP($C162,'C'!$A$1:$N$1998,8,FALSE),"")</f>
        <v/>
      </c>
      <c r="J162" s="4" t="str">
        <f>IFERROR(IF(VLOOKUP($C162,'C'!$A$1:$N$1998,9,FALSE)=1,"&lt;",""),"")</f>
        <v/>
      </c>
      <c r="M162" s="4" t="str">
        <f t="shared" si="110"/>
        <v/>
      </c>
      <c r="N162" s="4" t="str">
        <f t="shared" si="114"/>
        <v/>
      </c>
      <c r="O162" s="4" t="str">
        <f t="shared" si="57"/>
        <v/>
      </c>
      <c r="P162" s="4" t="str">
        <f t="shared" si="115"/>
        <v/>
      </c>
      <c r="Q162" s="4" t="str">
        <f t="shared" si="58"/>
        <v/>
      </c>
      <c r="R162" s="4" t="str">
        <f t="shared" si="116"/>
        <v/>
      </c>
      <c r="V162" s="4">
        <f>IFERROR(IF(VLOOKUP(B162,E!$B$1:$AK$300,4,FALSE)=0,1000000,VLOOKUP(B162,E!$B$1:$AK$300,4,FALSE)),1000000)</f>
        <v>3.0000000000000001E-3</v>
      </c>
      <c r="Z162" s="17">
        <f>SUM(Z159:Z161)</f>
        <v>0</v>
      </c>
      <c r="AA162" s="64" t="str">
        <f>IF(M159="","",IF(Z162=0,SUM(M159:M161),Z162))</f>
        <v/>
      </c>
      <c r="AC162" s="17">
        <f>SUM(AC159:AC161)</f>
        <v>0</v>
      </c>
      <c r="AD162" s="64" t="str">
        <f>IF(O159="","",IF(AC162=0,SUM(O159:O161),AC162))</f>
        <v/>
      </c>
      <c r="AF162" s="17">
        <f>SUM(AF159:AF161)</f>
        <v>0</v>
      </c>
      <c r="AG162" s="64" t="str">
        <f>IF(Q159="","",IF(AF162=0,SUM(Q159:Q161),AF162))</f>
        <v/>
      </c>
      <c r="AI162" s="77">
        <v>0</v>
      </c>
      <c r="AJ162" s="77">
        <v>0</v>
      </c>
      <c r="AK162" s="77">
        <v>1</v>
      </c>
      <c r="AO162" s="4">
        <f t="shared" si="117"/>
        <v>5</v>
      </c>
      <c r="AQ162" s="4">
        <f t="shared" si="118"/>
        <v>5</v>
      </c>
      <c r="AS162" s="4">
        <f t="shared" si="119"/>
        <v>5</v>
      </c>
      <c r="AV162" s="4" t="str">
        <f t="shared" si="99"/>
        <v/>
      </c>
      <c r="AX162" s="4" t="str">
        <f t="shared" si="100"/>
        <v/>
      </c>
      <c r="AZ162" s="4" t="str">
        <f t="shared" si="101"/>
        <v/>
      </c>
    </row>
    <row r="163" spans="1:52" x14ac:dyDescent="0.2">
      <c r="A163" s="4" t="s">
        <v>101</v>
      </c>
      <c r="B163" s="4">
        <v>907</v>
      </c>
      <c r="C163" s="4" t="str">
        <f t="shared" si="0"/>
        <v>urn:immetingen:parameter:id:907</v>
      </c>
      <c r="D163" s="4" t="str">
        <f>IFERROR(IF(VLOOKUP($C163,'C'!$A$1:$N$1998,4,FALSE)=0,IF(VLOOKUP($C163,'C'!$A$1:$N$1998,7,FALSE)=0,VLOOKUP($C163,'C'!$A$1:$N$1998,10,FALSE),VLOOKUP($C163,'C'!$A$1:$N$1998,7,FALSE)),VLOOKUP($C163,'C'!$A$1:$N$1998,4,FALSE)),"")</f>
        <v/>
      </c>
      <c r="E163" s="4" t="str">
        <f>IFERROR(VLOOKUP($C163,'C'!$A$1:$N$1998,2,FALSE),"")</f>
        <v/>
      </c>
      <c r="F163" s="4" t="str">
        <f>IFERROR(IF(VLOOKUP($C163,'C'!$A$1:$N$1998,3,FALSE)=1,"&lt;",""),"")</f>
        <v/>
      </c>
      <c r="G163" s="4" t="str">
        <f>IFERROR(VLOOKUP($C163,'C'!$A$1:$N$1998,5,FALSE),"")</f>
        <v/>
      </c>
      <c r="H163" s="4" t="str">
        <f>IFERROR(IF(VLOOKUP($C163,'C'!$A$1:$N$1998,6,FALSE)=1,"&lt;",""),"")</f>
        <v/>
      </c>
      <c r="I163" s="4" t="str">
        <f>IFERROR(VLOOKUP($C163,'C'!$A$1:$N$1998,8,FALSE),"")</f>
        <v/>
      </c>
      <c r="J163" s="4" t="str">
        <f>IFERROR(IF(VLOOKUP($C163,'C'!$A$1:$N$1998,9,FALSE)=1,"&lt;",""),"")</f>
        <v/>
      </c>
      <c r="M163" s="4" t="str">
        <f t="shared" si="110"/>
        <v/>
      </c>
      <c r="N163" s="4" t="str">
        <f t="shared" si="114"/>
        <v/>
      </c>
      <c r="O163" s="4" t="str">
        <f t="shared" ref="O163:O226" si="126">IF(G163="","",IF($D163=131,G163/1000,G163))</f>
        <v/>
      </c>
      <c r="P163" s="4" t="str">
        <f t="shared" si="115"/>
        <v/>
      </c>
      <c r="Q163" s="4" t="str">
        <f t="shared" ref="Q163:Q226" si="127">IF(I163="","",IF($D163=131,I163/1000,I163))</f>
        <v/>
      </c>
      <c r="R163" s="4" t="str">
        <f t="shared" si="116"/>
        <v/>
      </c>
      <c r="V163" s="4">
        <f>IFERROR(IF(VLOOKUP(B163,E!$B$1:$AK$300,4,FALSE)=0,1000000,VLOOKUP(B163,E!$B$1:$AK$300,4,FALSE)),1000000)</f>
        <v>1E-3</v>
      </c>
      <c r="Z163" s="4" t="str">
        <f t="shared" ref="Z163:Z164" si="128">IF(M163="","",IF(AND(N163="&lt;",M163&lt;=$V163),-1,(IF(N163="&lt;",0.7*M163,M163))))</f>
        <v/>
      </c>
      <c r="AC163" s="4" t="str">
        <f t="shared" ref="AC163:AC164" si="129">IF(O163="","",IF(AND(P163="&lt;",O163&lt;=$V163),-1,(IF(P163="&lt;",0.7*O163,O163))))</f>
        <v/>
      </c>
      <c r="AF163" s="4" t="str">
        <f t="shared" ref="AF163:AF164" si="130">IF(Q163="","",IF(AND(R163="&lt;",Q163&lt;=$V163),-1,(IF(R163="&lt;",0.7*Q163,Q163))))</f>
        <v/>
      </c>
      <c r="AI163" s="77">
        <v>0</v>
      </c>
      <c r="AJ163" s="77">
        <v>0</v>
      </c>
      <c r="AK163" s="77">
        <v>1</v>
      </c>
      <c r="AO163" s="4">
        <f t="shared" si="117"/>
        <v>5</v>
      </c>
      <c r="AQ163" s="4">
        <f t="shared" si="118"/>
        <v>5</v>
      </c>
      <c r="AS163" s="4">
        <f t="shared" si="119"/>
        <v>5</v>
      </c>
      <c r="AV163" s="4" t="str">
        <f t="shared" si="99"/>
        <v/>
      </c>
      <c r="AX163" s="4" t="str">
        <f t="shared" si="100"/>
        <v/>
      </c>
      <c r="AZ163" s="4" t="str">
        <f t="shared" si="101"/>
        <v/>
      </c>
    </row>
    <row r="164" spans="1:52" x14ac:dyDescent="0.2">
      <c r="A164" s="4" t="s">
        <v>102</v>
      </c>
      <c r="B164" s="4">
        <v>1521</v>
      </c>
      <c r="C164" s="4" t="str">
        <f t="shared" si="0"/>
        <v>urn:immetingen:parameter:id:1521</v>
      </c>
      <c r="D164" s="4" t="str">
        <f>IFERROR(IF(VLOOKUP($C164,'C'!$A$1:$N$1998,4,FALSE)=0,IF(VLOOKUP($C164,'C'!$A$1:$N$1998,7,FALSE)=0,VLOOKUP($C164,'C'!$A$1:$N$1998,10,FALSE),VLOOKUP($C164,'C'!$A$1:$N$1998,7,FALSE)),VLOOKUP($C164,'C'!$A$1:$N$1998,4,FALSE)),"")</f>
        <v/>
      </c>
      <c r="E164" s="4" t="str">
        <f>IFERROR(VLOOKUP($C164,'C'!$A$1:$N$1998,2,FALSE),"")</f>
        <v/>
      </c>
      <c r="F164" s="4" t="str">
        <f>IFERROR(IF(VLOOKUP($C164,'C'!$A$1:$N$1998,3,FALSE)=1,"&lt;",""),"")</f>
        <v/>
      </c>
      <c r="G164" s="4" t="str">
        <f>IFERROR(VLOOKUP($C164,'C'!$A$1:$N$1998,5,FALSE),"")</f>
        <v/>
      </c>
      <c r="H164" s="4" t="str">
        <f>IFERROR(IF(VLOOKUP($C164,'C'!$A$1:$N$1998,6,FALSE)=1,"&lt;",""),"")</f>
        <v/>
      </c>
      <c r="I164" s="4" t="str">
        <f>IFERROR(VLOOKUP($C164,'C'!$A$1:$N$1998,8,FALSE),"")</f>
        <v/>
      </c>
      <c r="J164" s="4" t="str">
        <f>IFERROR(IF(VLOOKUP($C164,'C'!$A$1:$N$1998,9,FALSE)=1,"&lt;",""),"")</f>
        <v/>
      </c>
      <c r="M164" s="4" t="str">
        <f t="shared" si="110"/>
        <v/>
      </c>
      <c r="N164" s="4" t="str">
        <f t="shared" si="114"/>
        <v/>
      </c>
      <c r="O164" s="4" t="str">
        <f t="shared" si="126"/>
        <v/>
      </c>
      <c r="P164" s="4" t="str">
        <f t="shared" si="115"/>
        <v/>
      </c>
      <c r="Q164" s="4" t="str">
        <f t="shared" si="127"/>
        <v/>
      </c>
      <c r="R164" s="4" t="str">
        <f t="shared" si="116"/>
        <v/>
      </c>
      <c r="V164" s="4">
        <f>IFERROR(IF(VLOOKUP(B164,E!$B$1:$AK$300,4,FALSE)=0,1000000,VLOOKUP(B164,E!$B$1:$AK$300,4,FALSE)),1000000)</f>
        <v>1E-3</v>
      </c>
      <c r="Z164" s="4" t="str">
        <f t="shared" si="128"/>
        <v/>
      </c>
      <c r="AC164" s="4" t="str">
        <f t="shared" si="129"/>
        <v/>
      </c>
      <c r="AF164" s="4" t="str">
        <f t="shared" si="130"/>
        <v/>
      </c>
      <c r="AI164" s="77">
        <v>0</v>
      </c>
      <c r="AJ164" s="77">
        <v>0</v>
      </c>
      <c r="AK164" s="77">
        <v>1</v>
      </c>
      <c r="AO164" s="4">
        <f t="shared" si="117"/>
        <v>5</v>
      </c>
      <c r="AQ164" s="4">
        <f t="shared" si="118"/>
        <v>5</v>
      </c>
      <c r="AS164" s="4">
        <f t="shared" si="119"/>
        <v>5</v>
      </c>
      <c r="AV164" s="4" t="str">
        <f t="shared" si="99"/>
        <v/>
      </c>
      <c r="AX164" s="4" t="str">
        <f t="shared" si="100"/>
        <v/>
      </c>
      <c r="AZ164" s="4" t="str">
        <f t="shared" si="101"/>
        <v/>
      </c>
    </row>
    <row r="165" spans="1:52" x14ac:dyDescent="0.2">
      <c r="A165" s="4" t="s">
        <v>103</v>
      </c>
      <c r="B165" s="4">
        <v>271</v>
      </c>
      <c r="C165" s="4" t="str">
        <f t="shared" si="0"/>
        <v>urn:immetingen:parameter:id:271</v>
      </c>
      <c r="D165" s="4" t="str">
        <f>IFERROR(IF(VLOOKUP($C165,'C'!$A$1:$N$1998,4,FALSE)=0,IF(VLOOKUP($C165,'C'!$A$1:$N$1998,7,FALSE)=0,VLOOKUP($C165,'C'!$A$1:$N$1998,10,FALSE),VLOOKUP($C165,'C'!$A$1:$N$1998,7,FALSE)),VLOOKUP($C165,'C'!$A$1:$N$1998,4,FALSE)),"")</f>
        <v/>
      </c>
      <c r="E165" s="4" t="str">
        <f>IFERROR(VLOOKUP($C165,'C'!$A$1:$N$1998,2,FALSE),"")</f>
        <v/>
      </c>
      <c r="F165" s="4" t="str">
        <f>IFERROR(IF(VLOOKUP($C165,'C'!$A$1:$N$1998,3,FALSE)=1,"&lt;",""),"")</f>
        <v/>
      </c>
      <c r="G165" s="4" t="str">
        <f>IFERROR(VLOOKUP($C165,'C'!$A$1:$N$1998,5,FALSE),"")</f>
        <v/>
      </c>
      <c r="H165" s="4" t="str">
        <f>IFERROR(IF(VLOOKUP($C165,'C'!$A$1:$N$1998,6,FALSE)=1,"&lt;",""),"")</f>
        <v/>
      </c>
      <c r="I165" s="4" t="str">
        <f>IFERROR(VLOOKUP($C165,'C'!$A$1:$N$1998,8,FALSE),"")</f>
        <v/>
      </c>
      <c r="J165" s="4" t="str">
        <f>IFERROR(IF(VLOOKUP($C165,'C'!$A$1:$N$1998,9,FALSE)=1,"&lt;",""),"")</f>
        <v/>
      </c>
      <c r="M165" s="4" t="str">
        <f t="shared" si="110"/>
        <v/>
      </c>
      <c r="N165" s="4" t="str">
        <f t="shared" si="114"/>
        <v/>
      </c>
      <c r="O165" s="4" t="str">
        <f t="shared" si="126"/>
        <v/>
      </c>
      <c r="P165" s="4" t="str">
        <f t="shared" si="115"/>
        <v/>
      </c>
      <c r="Q165" s="4" t="str">
        <f t="shared" si="127"/>
        <v/>
      </c>
      <c r="R165" s="4" t="str">
        <f t="shared" si="116"/>
        <v/>
      </c>
      <c r="V165" s="4">
        <f>IFERROR(IF(VLOOKUP(B165,E!$B$1:$AK$300,4,FALSE)=0,1000000,VLOOKUP(B165,E!$B$1:$AK$300,4,FALSE)),1000000)</f>
        <v>1E-3</v>
      </c>
      <c r="Z165" s="17" t="str">
        <f>IF(AA165=-1,IF(SUM(AA$165:AA$168)=-4,0,(0.7*M165)),AA165)</f>
        <v/>
      </c>
      <c r="AA165" s="17" t="str">
        <f>IF(M165="","",IF(AND(N165="&lt;",M165&lt;=V165),-1,(IF(N165="&lt;",0.7*M165,M165))))</f>
        <v/>
      </c>
      <c r="AC165" s="17" t="str">
        <f>IF(AD165=-1,IF(SUM(AD$165:AD$168)=-4,0,(0.7*O165)),AD165)</f>
        <v/>
      </c>
      <c r="AD165" s="17" t="str">
        <f>IF(O165="","",IF(AND(P165="&lt;",O165&lt;=V165),-1,(IF(P165="&lt;",0.7*O165,O165))))</f>
        <v/>
      </c>
      <c r="AF165" s="17" t="str">
        <f>IF(AG165=-1,IF(SUM(AG$165:AG$168)=-4,0,(0.7*Q165)),AG165)</f>
        <v/>
      </c>
      <c r="AG165" s="17" t="str">
        <f>IF(Q165="","",IF(AND(R165="&lt;",Q165&lt;=V165),-1,(IF(R165="&lt;",0.7*Q165,Q165))))</f>
        <v/>
      </c>
      <c r="AI165" s="77">
        <v>0</v>
      </c>
      <c r="AJ165" s="77">
        <v>0</v>
      </c>
      <c r="AK165" s="77">
        <v>1</v>
      </c>
      <c r="AO165" s="4">
        <f t="shared" si="117"/>
        <v>5</v>
      </c>
      <c r="AQ165" s="4">
        <f t="shared" si="118"/>
        <v>5</v>
      </c>
      <c r="AS165" s="4">
        <f t="shared" si="119"/>
        <v>5</v>
      </c>
      <c r="AV165" s="4" t="str">
        <f t="shared" si="99"/>
        <v/>
      </c>
      <c r="AX165" s="4" t="str">
        <f t="shared" si="100"/>
        <v/>
      </c>
      <c r="AZ165" s="4" t="str">
        <f t="shared" si="101"/>
        <v/>
      </c>
    </row>
    <row r="166" spans="1:52" x14ac:dyDescent="0.2">
      <c r="A166" s="4" t="s">
        <v>104</v>
      </c>
      <c r="B166" s="4">
        <v>366</v>
      </c>
      <c r="C166" s="4" t="str">
        <f t="shared" si="0"/>
        <v>urn:immetingen:parameter:id:366</v>
      </c>
      <c r="D166" s="4" t="str">
        <f>IFERROR(IF(VLOOKUP($C166,'C'!$A$1:$N$1998,4,FALSE)=0,IF(VLOOKUP($C166,'C'!$A$1:$N$1998,7,FALSE)=0,VLOOKUP($C166,'C'!$A$1:$N$1998,10,FALSE),VLOOKUP($C166,'C'!$A$1:$N$1998,7,FALSE)),VLOOKUP($C166,'C'!$A$1:$N$1998,4,FALSE)),"")</f>
        <v/>
      </c>
      <c r="E166" s="4" t="str">
        <f>IFERROR(VLOOKUP($C166,'C'!$A$1:$N$1998,2,FALSE),"")</f>
        <v/>
      </c>
      <c r="F166" s="4" t="str">
        <f>IFERROR(IF(VLOOKUP($C166,'C'!$A$1:$N$1998,3,FALSE)=1,"&lt;",""),"")</f>
        <v/>
      </c>
      <c r="G166" s="4" t="str">
        <f>IFERROR(VLOOKUP($C166,'C'!$A$1:$N$1998,5,FALSE),"")</f>
        <v/>
      </c>
      <c r="H166" s="4" t="str">
        <f>IFERROR(IF(VLOOKUP($C166,'C'!$A$1:$N$1998,6,FALSE)=1,"&lt;",""),"")</f>
        <v/>
      </c>
      <c r="I166" s="4" t="str">
        <f>IFERROR(VLOOKUP($C166,'C'!$A$1:$N$1998,8,FALSE),"")</f>
        <v/>
      </c>
      <c r="J166" s="4" t="str">
        <f>IFERROR(IF(VLOOKUP($C166,'C'!$A$1:$N$1998,9,FALSE)=1,"&lt;",""),"")</f>
        <v/>
      </c>
      <c r="M166" s="4" t="str">
        <f t="shared" si="110"/>
        <v/>
      </c>
      <c r="N166" s="4" t="str">
        <f t="shared" si="114"/>
        <v/>
      </c>
      <c r="O166" s="4" t="str">
        <f t="shared" si="126"/>
        <v/>
      </c>
      <c r="P166" s="4" t="str">
        <f t="shared" si="115"/>
        <v/>
      </c>
      <c r="Q166" s="4" t="str">
        <f t="shared" si="127"/>
        <v/>
      </c>
      <c r="R166" s="4" t="str">
        <f t="shared" si="116"/>
        <v/>
      </c>
      <c r="V166" s="4">
        <f>IFERROR(IF(VLOOKUP(B166,E!$B$1:$AK$300,4,FALSE)=0,1000000,VLOOKUP(B166,E!$B$1:$AK$300,4,FALSE)),1000000)</f>
        <v>1E-3</v>
      </c>
      <c r="Z166" s="17" t="str">
        <f t="shared" ref="Z166:Z168" si="131">IF(AA166=-1,IF(SUM(AA$165:AA$168)=-4,0,(0.7*M166)),AA166)</f>
        <v/>
      </c>
      <c r="AA166" s="17" t="str">
        <f t="shared" ref="AA166:AA168" si="132">IF(M166="","",IF(AND(N166="&lt;",M166&lt;=V166),-1,(IF(N166="&lt;",0.7*M166,M166))))</f>
        <v/>
      </c>
      <c r="AC166" s="17" t="str">
        <f t="shared" ref="AC166:AC168" si="133">IF(AD166=-1,IF(SUM(AD$165:AD$168)=-4,0,(0.7*O166)),AD166)</f>
        <v/>
      </c>
      <c r="AD166" s="17" t="str">
        <f t="shared" ref="AD166:AD168" si="134">IF(O166="","",IF(AND(P166="&lt;",O166&lt;=V166),-1,(IF(P166="&lt;",0.7*O166,O166))))</f>
        <v/>
      </c>
      <c r="AF166" s="17" t="str">
        <f t="shared" ref="AF166:AF168" si="135">IF(AG166=-1,IF(SUM(AG$165:AG$168)=-4,0,(0.7*Q166)),AG166)</f>
        <v/>
      </c>
      <c r="AG166" s="17" t="str">
        <f t="shared" ref="AG166:AG168" si="136">IF(Q166="","",IF(AND(R166="&lt;",Q166&lt;=V166),-1,(IF(R166="&lt;",0.7*Q166,Q166))))</f>
        <v/>
      </c>
      <c r="AI166" s="77">
        <v>0</v>
      </c>
      <c r="AJ166" s="77">
        <v>0</v>
      </c>
      <c r="AK166" s="77">
        <v>1</v>
      </c>
      <c r="AO166" s="4">
        <f t="shared" si="117"/>
        <v>5</v>
      </c>
      <c r="AQ166" s="4">
        <f t="shared" si="118"/>
        <v>5</v>
      </c>
      <c r="AS166" s="4">
        <f t="shared" si="119"/>
        <v>5</v>
      </c>
      <c r="AV166" s="4" t="str">
        <f t="shared" si="99"/>
        <v/>
      </c>
      <c r="AX166" s="4" t="str">
        <f t="shared" si="100"/>
        <v/>
      </c>
      <c r="AZ166" s="4" t="str">
        <f t="shared" si="101"/>
        <v/>
      </c>
    </row>
    <row r="167" spans="1:52" x14ac:dyDescent="0.2">
      <c r="A167" s="4" t="s">
        <v>105</v>
      </c>
      <c r="B167" s="4">
        <v>816</v>
      </c>
      <c r="C167" s="4" t="str">
        <f t="shared" si="0"/>
        <v>urn:immetingen:parameter:id:816</v>
      </c>
      <c r="D167" s="4" t="str">
        <f>IFERROR(IF(VLOOKUP($C167,'C'!$A$1:$N$1998,4,FALSE)=0,IF(VLOOKUP($C167,'C'!$A$1:$N$1998,7,FALSE)=0,VLOOKUP($C167,'C'!$A$1:$N$1998,10,FALSE),VLOOKUP($C167,'C'!$A$1:$N$1998,7,FALSE)),VLOOKUP($C167,'C'!$A$1:$N$1998,4,FALSE)),"")</f>
        <v/>
      </c>
      <c r="E167" s="4" t="str">
        <f>IFERROR(VLOOKUP($C167,'C'!$A$1:$N$1998,2,FALSE),"")</f>
        <v/>
      </c>
      <c r="F167" s="4" t="str">
        <f>IFERROR(IF(VLOOKUP($C167,'C'!$A$1:$N$1998,3,FALSE)=1,"&lt;",""),"")</f>
        <v/>
      </c>
      <c r="G167" s="4" t="str">
        <f>IFERROR(VLOOKUP($C167,'C'!$A$1:$N$1998,5,FALSE),"")</f>
        <v/>
      </c>
      <c r="H167" s="4" t="str">
        <f>IFERROR(IF(VLOOKUP($C167,'C'!$A$1:$N$1998,6,FALSE)=1,"&lt;",""),"")</f>
        <v/>
      </c>
      <c r="I167" s="4" t="str">
        <f>IFERROR(VLOOKUP($C167,'C'!$A$1:$N$1998,8,FALSE),"")</f>
        <v/>
      </c>
      <c r="J167" s="4" t="str">
        <f>IFERROR(IF(VLOOKUP($C167,'C'!$A$1:$N$1998,9,FALSE)=1,"&lt;",""),"")</f>
        <v/>
      </c>
      <c r="M167" s="4" t="str">
        <f t="shared" si="110"/>
        <v/>
      </c>
      <c r="N167" s="4" t="str">
        <f t="shared" si="114"/>
        <v/>
      </c>
      <c r="O167" s="4" t="str">
        <f t="shared" si="126"/>
        <v/>
      </c>
      <c r="P167" s="4" t="str">
        <f t="shared" si="115"/>
        <v/>
      </c>
      <c r="Q167" s="4" t="str">
        <f t="shared" si="127"/>
        <v/>
      </c>
      <c r="R167" s="4" t="str">
        <f t="shared" si="116"/>
        <v/>
      </c>
      <c r="V167" s="4">
        <f>IFERROR(IF(VLOOKUP(B167,E!$B$1:$AK$300,4,FALSE)=0,1000000,VLOOKUP(B167,E!$B$1:$AK$300,4,FALSE)),1000000)</f>
        <v>1E-3</v>
      </c>
      <c r="Z167" s="17" t="str">
        <f t="shared" si="131"/>
        <v/>
      </c>
      <c r="AA167" s="17" t="str">
        <f t="shared" si="132"/>
        <v/>
      </c>
      <c r="AC167" s="17" t="str">
        <f t="shared" si="133"/>
        <v/>
      </c>
      <c r="AD167" s="17" t="str">
        <f t="shared" si="134"/>
        <v/>
      </c>
      <c r="AF167" s="17" t="str">
        <f t="shared" si="135"/>
        <v/>
      </c>
      <c r="AG167" s="17" t="str">
        <f t="shared" si="136"/>
        <v/>
      </c>
      <c r="AI167" s="77">
        <v>0</v>
      </c>
      <c r="AJ167" s="77">
        <v>0</v>
      </c>
      <c r="AK167" s="77">
        <v>1</v>
      </c>
      <c r="AO167" s="4">
        <f t="shared" si="117"/>
        <v>5</v>
      </c>
      <c r="AQ167" s="4">
        <f t="shared" si="118"/>
        <v>5</v>
      </c>
      <c r="AS167" s="4">
        <f t="shared" si="119"/>
        <v>5</v>
      </c>
      <c r="AV167" s="4" t="str">
        <f t="shared" si="99"/>
        <v/>
      </c>
      <c r="AX167" s="4" t="str">
        <f t="shared" si="100"/>
        <v/>
      </c>
      <c r="AZ167" s="4" t="str">
        <f t="shared" si="101"/>
        <v/>
      </c>
    </row>
    <row r="168" spans="1:52" x14ac:dyDescent="0.2">
      <c r="A168" s="4" t="s">
        <v>106</v>
      </c>
      <c r="B168" s="4">
        <v>562</v>
      </c>
      <c r="C168" s="4" t="str">
        <f t="shared" si="0"/>
        <v>urn:immetingen:parameter:id:562</v>
      </c>
      <c r="D168" s="4" t="str">
        <f>IFERROR(IF(VLOOKUP($C168,'C'!$A$1:$N$1998,4,FALSE)=0,IF(VLOOKUP($C168,'C'!$A$1:$N$1998,7,FALSE)=0,VLOOKUP($C168,'C'!$A$1:$N$1998,10,FALSE),VLOOKUP($C168,'C'!$A$1:$N$1998,7,FALSE)),VLOOKUP($C168,'C'!$A$1:$N$1998,4,FALSE)),"")</f>
        <v/>
      </c>
      <c r="E168" s="4" t="str">
        <f>IFERROR(VLOOKUP($C168,'C'!$A$1:$N$1998,2,FALSE),"")</f>
        <v/>
      </c>
      <c r="F168" s="4" t="str">
        <f>IFERROR(IF(VLOOKUP($C168,'C'!$A$1:$N$1998,3,FALSE)=1,"&lt;",""),"")</f>
        <v/>
      </c>
      <c r="G168" s="4" t="str">
        <f>IFERROR(VLOOKUP($C168,'C'!$A$1:$N$1998,5,FALSE),"")</f>
        <v/>
      </c>
      <c r="H168" s="4" t="str">
        <f>IFERROR(IF(VLOOKUP($C168,'C'!$A$1:$N$1998,6,FALSE)=1,"&lt;",""),"")</f>
        <v/>
      </c>
      <c r="I168" s="4" t="str">
        <f>IFERROR(VLOOKUP($C168,'C'!$A$1:$N$1998,8,FALSE),"")</f>
        <v/>
      </c>
      <c r="J168" s="4" t="str">
        <f>IFERROR(IF(VLOOKUP($C168,'C'!$A$1:$N$1998,9,FALSE)=1,"&lt;",""),"")</f>
        <v/>
      </c>
      <c r="M168" s="4" t="str">
        <f t="shared" si="110"/>
        <v/>
      </c>
      <c r="N168" s="4" t="str">
        <f t="shared" si="114"/>
        <v/>
      </c>
      <c r="O168" s="4" t="str">
        <f t="shared" si="126"/>
        <v/>
      </c>
      <c r="P168" s="4" t="str">
        <f t="shared" si="115"/>
        <v/>
      </c>
      <c r="Q168" s="4" t="str">
        <f t="shared" si="127"/>
        <v/>
      </c>
      <c r="R168" s="4" t="str">
        <f t="shared" si="116"/>
        <v/>
      </c>
      <c r="V168" s="4">
        <f>IFERROR(IF(VLOOKUP(B168,E!$B$1:$AK$300,4,FALSE)=0,1000000,VLOOKUP(B168,E!$B$1:$AK$300,4,FALSE)),1000000)</f>
        <v>1E-3</v>
      </c>
      <c r="Z168" s="17" t="str">
        <f t="shared" si="131"/>
        <v/>
      </c>
      <c r="AA168" s="17" t="str">
        <f t="shared" si="132"/>
        <v/>
      </c>
      <c r="AC168" s="17" t="str">
        <f t="shared" si="133"/>
        <v/>
      </c>
      <c r="AD168" s="17" t="str">
        <f t="shared" si="134"/>
        <v/>
      </c>
      <c r="AF168" s="17" t="str">
        <f t="shared" si="135"/>
        <v/>
      </c>
      <c r="AG168" s="17" t="str">
        <f t="shared" si="136"/>
        <v/>
      </c>
      <c r="AI168" s="77">
        <v>0</v>
      </c>
      <c r="AJ168" s="77">
        <v>0</v>
      </c>
      <c r="AK168" s="77">
        <v>1</v>
      </c>
      <c r="AO168" s="4">
        <f t="shared" si="117"/>
        <v>5</v>
      </c>
      <c r="AQ168" s="4">
        <f t="shared" si="118"/>
        <v>5</v>
      </c>
      <c r="AS168" s="4">
        <f t="shared" si="119"/>
        <v>5</v>
      </c>
      <c r="AV168" s="4" t="str">
        <f t="shared" si="99"/>
        <v/>
      </c>
      <c r="AX168" s="4" t="str">
        <f t="shared" si="100"/>
        <v/>
      </c>
      <c r="AZ168" s="4" t="str">
        <f t="shared" si="101"/>
        <v/>
      </c>
    </row>
    <row r="169" spans="1:52" x14ac:dyDescent="0.2">
      <c r="A169" s="4" t="s">
        <v>169</v>
      </c>
      <c r="B169" s="4">
        <v>849</v>
      </c>
      <c r="C169" s="4" t="str">
        <f t="shared" si="0"/>
        <v>urn:immetingen:parameter:id:849</v>
      </c>
      <c r="D169" s="17" t="str">
        <f>D165</f>
        <v/>
      </c>
      <c r="E169" s="4" t="str">
        <f>IFERROR(VLOOKUP($C169,'C'!$A$1:$N$1998,2,FALSE),"")</f>
        <v/>
      </c>
      <c r="F169" s="4" t="str">
        <f>IFERROR(IF(VLOOKUP($C169,'C'!$A$1:$N$1998,3,FALSE)=1,"&lt;",""),"")</f>
        <v/>
      </c>
      <c r="G169" s="4" t="str">
        <f>IFERROR(VLOOKUP($C169,'C'!$A$1:$N$1998,5,FALSE),"")</f>
        <v/>
      </c>
      <c r="H169" s="4" t="str">
        <f>IFERROR(IF(VLOOKUP($C169,'C'!$A$1:$N$1998,6,FALSE)=1,"&lt;",""),"")</f>
        <v/>
      </c>
      <c r="I169" s="4" t="str">
        <f>IFERROR(VLOOKUP($C169,'C'!$A$1:$N$1998,8,FALSE),"")</f>
        <v/>
      </c>
      <c r="J169" s="4" t="str">
        <f>IFERROR(IF(VLOOKUP($C169,'C'!$A$1:$N$1998,9,FALSE)=1,"&lt;",""),"")</f>
        <v/>
      </c>
      <c r="M169" s="4" t="str">
        <f t="shared" si="110"/>
        <v/>
      </c>
      <c r="N169" s="4" t="str">
        <f t="shared" si="114"/>
        <v/>
      </c>
      <c r="O169" s="4" t="str">
        <f t="shared" si="126"/>
        <v/>
      </c>
      <c r="P169" s="4" t="str">
        <f t="shared" si="115"/>
        <v/>
      </c>
      <c r="Q169" s="4" t="str">
        <f t="shared" si="127"/>
        <v/>
      </c>
      <c r="R169" s="4" t="str">
        <f t="shared" si="116"/>
        <v/>
      </c>
      <c r="V169" s="4">
        <f>IFERROR(IF(VLOOKUP(B169,E!$B$1:$AK$300,4,FALSE)=0,1000000,VLOOKUP(B169,E!$B$1:$AK$300,4,FALSE)),1000000)</f>
        <v>4.0000000000000001E-3</v>
      </c>
      <c r="Z169" s="17">
        <f>SUM(Z165:Z168)</f>
        <v>0</v>
      </c>
      <c r="AA169" s="64" t="str">
        <f>IF(M165="","",IF(Z169=0,SUM(M165:M168),Z169))</f>
        <v/>
      </c>
      <c r="AC169" s="17">
        <f>SUM(AC165:AC168)</f>
        <v>0</v>
      </c>
      <c r="AD169" s="64" t="str">
        <f>IF(O165="","",IF(AC169=0,SUM(O165:O168),AC169))</f>
        <v/>
      </c>
      <c r="AF169" s="17">
        <f>SUM(AF165:AF168)</f>
        <v>0</v>
      </c>
      <c r="AG169" s="64" t="str">
        <f>IF(Q165="","",IF(AF169=0,SUM(Q165:Q168),AF169))</f>
        <v/>
      </c>
      <c r="AI169" s="77">
        <v>0</v>
      </c>
      <c r="AJ169" s="77">
        <v>0</v>
      </c>
      <c r="AK169" s="77">
        <v>1</v>
      </c>
      <c r="AO169" s="4">
        <f t="shared" si="117"/>
        <v>5</v>
      </c>
      <c r="AQ169" s="4">
        <f t="shared" si="118"/>
        <v>5</v>
      </c>
      <c r="AS169" s="4">
        <f t="shared" si="119"/>
        <v>5</v>
      </c>
      <c r="AV169" s="4" t="str">
        <f t="shared" si="99"/>
        <v/>
      </c>
      <c r="AX169" s="4" t="str">
        <f t="shared" si="100"/>
        <v/>
      </c>
      <c r="AZ169" s="4" t="str">
        <f t="shared" si="101"/>
        <v/>
      </c>
    </row>
    <row r="170" spans="1:52" x14ac:dyDescent="0.2">
      <c r="A170" s="4" t="s">
        <v>107</v>
      </c>
      <c r="B170" s="4">
        <v>853</v>
      </c>
      <c r="C170" s="4" t="str">
        <f t="shared" si="0"/>
        <v>urn:immetingen:parameter:id:853</v>
      </c>
      <c r="D170" s="4" t="str">
        <f>IFERROR(IF(VLOOKUP($C170,'C'!$A$1:$N$1998,4,FALSE)=0,IF(VLOOKUP($C170,'C'!$A$1:$N$1998,7,FALSE)=0,VLOOKUP($C170,'C'!$A$1:$N$1998,10,FALSE),VLOOKUP($C170,'C'!$A$1:$N$1998,7,FALSE)),VLOOKUP($C170,'C'!$A$1:$N$1998,4,FALSE)),"")</f>
        <v/>
      </c>
      <c r="E170" s="4" t="str">
        <f>IFERROR(VLOOKUP($C170,'C'!$A$1:$N$1998,2,FALSE),"")</f>
        <v/>
      </c>
      <c r="F170" s="4" t="str">
        <f>IFERROR(IF(VLOOKUP($C170,'C'!$A$1:$N$1998,3,FALSE)=1,"&lt;",""),"")</f>
        <v/>
      </c>
      <c r="G170" s="4" t="str">
        <f>IFERROR(VLOOKUP($C170,'C'!$A$1:$N$1998,5,FALSE),"")</f>
        <v/>
      </c>
      <c r="H170" s="4" t="str">
        <f>IFERROR(IF(VLOOKUP($C170,'C'!$A$1:$N$1998,6,FALSE)=1,"&lt;",""),"")</f>
        <v/>
      </c>
      <c r="I170" s="4" t="str">
        <f>IFERROR(VLOOKUP($C170,'C'!$A$1:$N$1998,8,FALSE),"")</f>
        <v/>
      </c>
      <c r="J170" s="4" t="str">
        <f>IFERROR(IF(VLOOKUP($C170,'C'!$A$1:$N$1998,9,FALSE)=1,"&lt;",""),"")</f>
        <v/>
      </c>
      <c r="M170" s="4" t="str">
        <f t="shared" si="110"/>
        <v/>
      </c>
      <c r="N170" s="4" t="str">
        <f t="shared" si="114"/>
        <v/>
      </c>
      <c r="O170" s="4" t="str">
        <f t="shared" si="126"/>
        <v/>
      </c>
      <c r="P170" s="4" t="str">
        <f t="shared" si="115"/>
        <v/>
      </c>
      <c r="Q170" s="4" t="str">
        <f t="shared" si="127"/>
        <v/>
      </c>
      <c r="R170" s="4" t="str">
        <f t="shared" si="116"/>
        <v/>
      </c>
      <c r="V170" s="4">
        <f>IFERROR(IF(VLOOKUP(B170,E!$B$1:$AK$300,4,FALSE)=0,1000000,VLOOKUP(B170,E!$B$1:$AK$300,4,FALSE)),1000000)</f>
        <v>1E-3</v>
      </c>
      <c r="Z170" s="4" t="str">
        <f t="shared" ref="Z170" si="137">IF(M170="","",IF(AND(N170="&lt;",M170&lt;=$V170),-1,(IF(N170="&lt;",0.7*M170,M170))))</f>
        <v/>
      </c>
      <c r="AC170" s="4" t="str">
        <f t="shared" ref="AC170" si="138">IF(O170="","",IF(AND(P170="&lt;",O170&lt;=$V170),-1,(IF(P170="&lt;",0.7*O170,O170))))</f>
        <v/>
      </c>
      <c r="AF170" s="4" t="str">
        <f t="shared" ref="AF170" si="139">IF(Q170="","",IF(AND(R170="&lt;",Q170&lt;=$V170),-1,(IF(R170="&lt;",0.7*Q170,Q170))))</f>
        <v/>
      </c>
      <c r="AI170" s="77">
        <v>0</v>
      </c>
      <c r="AJ170" s="77">
        <v>0</v>
      </c>
      <c r="AK170" s="77">
        <v>1</v>
      </c>
      <c r="AO170" s="4">
        <f t="shared" si="117"/>
        <v>5</v>
      </c>
      <c r="AQ170" s="4">
        <f t="shared" si="118"/>
        <v>5</v>
      </c>
      <c r="AS170" s="4">
        <f t="shared" si="119"/>
        <v>5</v>
      </c>
      <c r="AV170" s="4" t="str">
        <f t="shared" si="99"/>
        <v/>
      </c>
      <c r="AX170" s="4" t="str">
        <f t="shared" si="100"/>
        <v/>
      </c>
      <c r="AZ170" s="4" t="str">
        <f t="shared" si="101"/>
        <v/>
      </c>
    </row>
    <row r="171" spans="1:52" x14ac:dyDescent="0.2">
      <c r="A171" s="4" t="s">
        <v>108</v>
      </c>
      <c r="B171" s="4">
        <v>272</v>
      </c>
      <c r="C171" s="4" t="str">
        <f t="shared" si="0"/>
        <v>urn:immetingen:parameter:id:272</v>
      </c>
      <c r="D171" s="4" t="str">
        <f>IFERROR(IF(VLOOKUP($C171,'C'!$A$1:$N$1998,4,FALSE)=0,IF(VLOOKUP($C171,'C'!$A$1:$N$1998,7,FALSE)=0,VLOOKUP($C171,'C'!$A$1:$N$1998,10,FALSE),VLOOKUP($C171,'C'!$A$1:$N$1998,7,FALSE)),VLOOKUP($C171,'C'!$A$1:$N$1998,4,FALSE)),"")</f>
        <v/>
      </c>
      <c r="E171" s="4" t="str">
        <f>IFERROR(VLOOKUP($C171,'C'!$A$1:$N$1998,2,FALSE),"")</f>
        <v/>
      </c>
      <c r="F171" s="4" t="str">
        <f>IFERROR(IF(VLOOKUP($C171,'C'!$A$1:$N$1998,3,FALSE)=1,"&lt;",""),"")</f>
        <v/>
      </c>
      <c r="G171" s="4" t="str">
        <f>IFERROR(VLOOKUP($C171,'C'!$A$1:$N$1998,5,FALSE),"")</f>
        <v/>
      </c>
      <c r="H171" s="4" t="str">
        <f>IFERROR(IF(VLOOKUP($C171,'C'!$A$1:$N$1998,6,FALSE)=1,"&lt;",""),"")</f>
        <v/>
      </c>
      <c r="I171" s="4" t="str">
        <f>IFERROR(VLOOKUP($C171,'C'!$A$1:$N$1998,8,FALSE),"")</f>
        <v/>
      </c>
      <c r="J171" s="4" t="str">
        <f>IFERROR(IF(VLOOKUP($C171,'C'!$A$1:$N$1998,9,FALSE)=1,"&lt;",""),"")</f>
        <v/>
      </c>
      <c r="M171" s="4" t="str">
        <f t="shared" si="110"/>
        <v/>
      </c>
      <c r="N171" s="4" t="str">
        <f t="shared" si="114"/>
        <v/>
      </c>
      <c r="O171" s="4" t="str">
        <f t="shared" si="126"/>
        <v/>
      </c>
      <c r="P171" s="4" t="str">
        <f t="shared" si="115"/>
        <v/>
      </c>
      <c r="Q171" s="4" t="str">
        <f t="shared" si="127"/>
        <v/>
      </c>
      <c r="R171" s="4" t="str">
        <f t="shared" si="116"/>
        <v/>
      </c>
      <c r="V171" s="4">
        <v>1E-3</v>
      </c>
      <c r="Z171" s="17" t="str">
        <f>IF(AA171=-1,IF(SUM(AA$171:AA$172)=-2,0,(0.7*M171)),AA171)</f>
        <v/>
      </c>
      <c r="AA171" s="17" t="str">
        <f>IF(M171="","",IF(AND(N171="&lt;",M171&lt;=V171),-1,(IF(N171="&lt;",0.7*M171,M171))))</f>
        <v/>
      </c>
      <c r="AC171" s="17" t="str">
        <f>IF(AD171=-1,IF(SUM(AD$171:AD$172)=-2,0,(0.7*O171)),AD171)</f>
        <v/>
      </c>
      <c r="AD171" s="17" t="str">
        <f>IF(O171="","",IF(AND(P171="&lt;",O171&lt;=V171),-1,(IF(P171="&lt;",0.7*O171,O171))))</f>
        <v/>
      </c>
      <c r="AF171" s="17" t="str">
        <f>IF(AG171=-1,IF(SUM(AG$171:AG$172)=-2,0,(0.7*Q171)),AG171)</f>
        <v/>
      </c>
      <c r="AG171" s="17" t="str">
        <f>IF(Q171="","",IF(AND(R171="&lt;",Q171&lt;=V171),-1,(IF(R171="&lt;",0.7*Q171,Q171))))</f>
        <v/>
      </c>
      <c r="AI171" s="77">
        <v>0</v>
      </c>
      <c r="AJ171" s="77">
        <v>0</v>
      </c>
      <c r="AK171" s="77">
        <v>1</v>
      </c>
      <c r="AO171" s="4">
        <f t="shared" si="117"/>
        <v>5</v>
      </c>
      <c r="AQ171" s="4">
        <f t="shared" si="118"/>
        <v>5</v>
      </c>
      <c r="AS171" s="4">
        <f t="shared" si="119"/>
        <v>5</v>
      </c>
      <c r="AV171" s="4" t="str">
        <f t="shared" si="99"/>
        <v/>
      </c>
      <c r="AX171" s="4" t="str">
        <f t="shared" si="100"/>
        <v/>
      </c>
      <c r="AZ171" s="4" t="str">
        <f t="shared" si="101"/>
        <v/>
      </c>
    </row>
    <row r="172" spans="1:52" x14ac:dyDescent="0.2">
      <c r="A172" s="4" t="s">
        <v>109</v>
      </c>
      <c r="B172" s="4">
        <v>1581</v>
      </c>
      <c r="C172" s="4" t="str">
        <f t="shared" ref="C172:C361" si="140">CONCATENATE("urn:immetingen:parameter:id:",B172)</f>
        <v>urn:immetingen:parameter:id:1581</v>
      </c>
      <c r="D172" s="4" t="str">
        <f>IFERROR(IF(VLOOKUP($C172,'C'!$A$1:$N$1998,4,FALSE)=0,IF(VLOOKUP($C172,'C'!$A$1:$N$1998,7,FALSE)=0,VLOOKUP($C172,'C'!$A$1:$N$1998,10,FALSE),VLOOKUP($C172,'C'!$A$1:$N$1998,7,FALSE)),VLOOKUP($C172,'C'!$A$1:$N$1998,4,FALSE)),"")</f>
        <v/>
      </c>
      <c r="E172" s="4" t="str">
        <f>IFERROR(VLOOKUP($C172,'C'!$A$1:$N$1998,2,FALSE),"")</f>
        <v/>
      </c>
      <c r="F172" s="4" t="str">
        <f>IFERROR(IF(VLOOKUP($C172,'C'!$A$1:$N$1998,3,FALSE)=1,"&lt;",""),"")</f>
        <v/>
      </c>
      <c r="G172" s="4" t="str">
        <f>IFERROR(VLOOKUP($C172,'C'!$A$1:$N$1998,5,FALSE),"")</f>
        <v/>
      </c>
      <c r="H172" s="4" t="str">
        <f>IFERROR(IF(VLOOKUP($C172,'C'!$A$1:$N$1998,6,FALSE)=1,"&lt;",""),"")</f>
        <v/>
      </c>
      <c r="I172" s="4" t="str">
        <f>IFERROR(VLOOKUP($C172,'C'!$A$1:$N$1998,8,FALSE),"")</f>
        <v/>
      </c>
      <c r="J172" s="4" t="str">
        <f>IFERROR(IF(VLOOKUP($C172,'C'!$A$1:$N$1998,9,FALSE)=1,"&lt;",""),"")</f>
        <v/>
      </c>
      <c r="M172" s="4" t="str">
        <f t="shared" si="110"/>
        <v/>
      </c>
      <c r="N172" s="4" t="str">
        <f t="shared" si="114"/>
        <v/>
      </c>
      <c r="O172" s="4" t="str">
        <f t="shared" si="126"/>
        <v/>
      </c>
      <c r="P172" s="4" t="str">
        <f t="shared" si="115"/>
        <v/>
      </c>
      <c r="Q172" s="4" t="str">
        <f t="shared" si="127"/>
        <v/>
      </c>
      <c r="R172" s="4" t="str">
        <f t="shared" si="116"/>
        <v/>
      </c>
      <c r="V172" s="4">
        <v>1E-3</v>
      </c>
      <c r="Z172" s="17" t="str">
        <f>IF(AA172=-1,IF(SUM(AA$171:AA$172)=-2,0,(0.7*M172)),AA172)</f>
        <v/>
      </c>
      <c r="AA172" s="17" t="str">
        <f>IF(M172="","",IF(AND(N172="&lt;",M172&lt;=V172),-1,(IF(N172="&lt;",0.7*M172,M172))))</f>
        <v/>
      </c>
      <c r="AC172" s="17" t="str">
        <f>IF(AD172=-1,IF(SUM(AD$171:AD$172)=-2,0,(0.7*O172)),AD172)</f>
        <v/>
      </c>
      <c r="AD172" s="17" t="str">
        <f>IF(O172="","",IF(AND(P172="&lt;",O172&lt;=V172),-1,(IF(P172="&lt;",0.7*O172,O172))))</f>
        <v/>
      </c>
      <c r="AF172" s="17" t="str">
        <f>IF(AG172=-1,IF(SUM(AG$171:AG$172)=-2,0,(0.7*Q172)),AG172)</f>
        <v/>
      </c>
      <c r="AG172" s="17" t="str">
        <f>IF(Q172="","",IF(AND(R172="&lt;",Q172&lt;=V172),-1,(IF(R172="&lt;",0.7*Q172,Q172))))</f>
        <v/>
      </c>
      <c r="AI172" s="77">
        <v>0</v>
      </c>
      <c r="AJ172" s="77">
        <v>0</v>
      </c>
      <c r="AK172" s="77">
        <v>1</v>
      </c>
      <c r="AO172" s="4">
        <f t="shared" si="117"/>
        <v>5</v>
      </c>
      <c r="AQ172" s="4">
        <f t="shared" si="118"/>
        <v>5</v>
      </c>
      <c r="AS172" s="4">
        <f t="shared" si="119"/>
        <v>5</v>
      </c>
      <c r="AV172" s="4" t="str">
        <f t="shared" si="99"/>
        <v/>
      </c>
      <c r="AX172" s="4" t="str">
        <f t="shared" si="100"/>
        <v/>
      </c>
      <c r="AZ172" s="4" t="str">
        <f t="shared" si="101"/>
        <v/>
      </c>
    </row>
    <row r="173" spans="1:52" x14ac:dyDescent="0.2">
      <c r="A173" s="4" t="s">
        <v>170</v>
      </c>
      <c r="B173" s="4">
        <v>857</v>
      </c>
      <c r="C173" s="4" t="str">
        <f t="shared" si="140"/>
        <v>urn:immetingen:parameter:id:857</v>
      </c>
      <c r="D173" s="4" t="str">
        <f>IFERROR(IF(VLOOKUP($C173,'C'!$A$1:$N$1998,4,FALSE)=0,IF(VLOOKUP($C173,'C'!$A$1:$N$1998,7,FALSE)=0,VLOOKUP($C173,'C'!$A$1:$N$1998,10,FALSE),VLOOKUP($C173,'C'!$A$1:$N$1998,7,FALSE)),VLOOKUP($C173,'C'!$A$1:$N$1998,4,FALSE)),"")</f>
        <v/>
      </c>
      <c r="E173" s="4" t="str">
        <f>IFERROR(VLOOKUP($C173,'C'!$A$1:$N$1998,2,FALSE),"")</f>
        <v/>
      </c>
      <c r="F173" s="4" t="str">
        <f>IFERROR(IF(VLOOKUP($C173,'C'!$A$1:$N$1998,3,FALSE)=1,"&lt;",""),"")</f>
        <v/>
      </c>
      <c r="G173" s="4" t="str">
        <f>IFERROR(VLOOKUP($C173,'C'!$A$1:$N$1998,5,FALSE),"")</f>
        <v/>
      </c>
      <c r="H173" s="4" t="str">
        <f>IFERROR(IF(VLOOKUP($C173,'C'!$A$1:$N$1998,6,FALSE)=1,"&lt;",""),"")</f>
        <v/>
      </c>
      <c r="I173" s="4" t="str">
        <f>IFERROR(VLOOKUP($C173,'C'!$A$1:$N$1998,8,FALSE),"")</f>
        <v/>
      </c>
      <c r="J173" s="4" t="str">
        <f>IFERROR(IF(VLOOKUP($C173,'C'!$A$1:$N$1998,9,FALSE)=1,"&lt;",""),"")</f>
        <v/>
      </c>
      <c r="M173" s="4" t="str">
        <f t="shared" si="110"/>
        <v/>
      </c>
      <c r="N173" s="4" t="str">
        <f t="shared" si="114"/>
        <v/>
      </c>
      <c r="O173" s="4" t="str">
        <f t="shared" si="126"/>
        <v/>
      </c>
      <c r="P173" s="4" t="str">
        <f t="shared" si="115"/>
        <v/>
      </c>
      <c r="Q173" s="4" t="str">
        <f t="shared" si="127"/>
        <v/>
      </c>
      <c r="R173" s="4" t="str">
        <f t="shared" si="116"/>
        <v/>
      </c>
      <c r="V173" s="4">
        <f>IFERROR(IF(VLOOKUP(B173,E!$B$1:$AK$300,4,FALSE)=0,1000000,VLOOKUP(B173,E!$B$1:$AK$300,4,FALSE)),1000000)</f>
        <v>2E-3</v>
      </c>
      <c r="Z173" s="17">
        <f>SUM(Z171:Z172)</f>
        <v>0</v>
      </c>
      <c r="AA173" s="64" t="str">
        <f>IF(M171="","",IF(Z173=0,SUM(M171:M172),Z173))</f>
        <v/>
      </c>
      <c r="AC173" s="17">
        <f>SUM(AC171:AC172)</f>
        <v>0</v>
      </c>
      <c r="AD173" s="64" t="str">
        <f>IF(O171="","",IF(AC173=0,SUM(O171:O172),AC173))</f>
        <v/>
      </c>
      <c r="AF173" s="17">
        <f>SUM(AF171:AF172)</f>
        <v>0</v>
      </c>
      <c r="AG173" s="64" t="str">
        <f>IF(Q171="","",IF(AF173=0,SUM(Q171:Q172),AF173))</f>
        <v/>
      </c>
      <c r="AI173" s="77">
        <v>0</v>
      </c>
      <c r="AJ173" s="77">
        <v>0</v>
      </c>
      <c r="AK173" s="77">
        <v>1</v>
      </c>
      <c r="AO173" s="4">
        <f t="shared" si="117"/>
        <v>5</v>
      </c>
      <c r="AQ173" s="4">
        <f t="shared" si="118"/>
        <v>5</v>
      </c>
      <c r="AS173" s="4">
        <f t="shared" si="119"/>
        <v>5</v>
      </c>
      <c r="AV173" s="4" t="str">
        <f t="shared" si="99"/>
        <v/>
      </c>
      <c r="AX173" s="4" t="str">
        <f t="shared" si="100"/>
        <v/>
      </c>
      <c r="AZ173" s="4" t="str">
        <f t="shared" si="101"/>
        <v/>
      </c>
    </row>
    <row r="174" spans="1:52" x14ac:dyDescent="0.2">
      <c r="A174" s="4" t="s">
        <v>110</v>
      </c>
      <c r="B174" s="4">
        <v>269</v>
      </c>
      <c r="C174" s="4" t="str">
        <f t="shared" si="140"/>
        <v>urn:immetingen:parameter:id:269</v>
      </c>
      <c r="D174" s="4" t="str">
        <f>IFERROR(IF(VLOOKUP($C174,'C'!$A$1:$N$1998,4,FALSE)=0,IF(VLOOKUP($C174,'C'!$A$1:$N$1998,7,FALSE)=0,VLOOKUP($C174,'C'!$A$1:$N$1998,10,FALSE),VLOOKUP($C174,'C'!$A$1:$N$1998,7,FALSE)),VLOOKUP($C174,'C'!$A$1:$N$1998,4,FALSE)),"")</f>
        <v/>
      </c>
      <c r="E174" s="4" t="str">
        <f>IFERROR(VLOOKUP($C174,'C'!$A$1:$N$1998,2,FALSE),"")</f>
        <v/>
      </c>
      <c r="F174" s="4" t="str">
        <f>IFERROR(IF(VLOOKUP($C174,'C'!$A$1:$N$1998,3,FALSE)=1,"&lt;",""),"")</f>
        <v/>
      </c>
      <c r="G174" s="4" t="str">
        <f>IFERROR(VLOOKUP($C174,'C'!$A$1:$N$1998,5,FALSE),"")</f>
        <v/>
      </c>
      <c r="H174" s="4" t="str">
        <f>IFERROR(IF(VLOOKUP($C174,'C'!$A$1:$N$1998,6,FALSE)=1,"&lt;",""),"")</f>
        <v/>
      </c>
      <c r="I174" s="4" t="str">
        <f>IFERROR(VLOOKUP($C174,'C'!$A$1:$N$1998,8,FALSE),"")</f>
        <v/>
      </c>
      <c r="J174" s="4" t="str">
        <f>IFERROR(IF(VLOOKUP($C174,'C'!$A$1:$N$1998,9,FALSE)=1,"&lt;",""),"")</f>
        <v/>
      </c>
      <c r="M174" s="4" t="str">
        <f t="shared" si="110"/>
        <v/>
      </c>
      <c r="N174" s="4" t="str">
        <f t="shared" si="114"/>
        <v/>
      </c>
      <c r="O174" s="4" t="str">
        <f t="shared" si="126"/>
        <v/>
      </c>
      <c r="P174" s="4" t="str">
        <f t="shared" si="115"/>
        <v/>
      </c>
      <c r="Q174" s="4" t="str">
        <f t="shared" si="127"/>
        <v/>
      </c>
      <c r="R174" s="4" t="str">
        <f t="shared" si="116"/>
        <v/>
      </c>
      <c r="V174" s="4">
        <f>IFERROR(IF(VLOOKUP(B174,E!$B$1:$AK$300,4,FALSE)=0,1000000,VLOOKUP(B174,E!$B$1:$AK$300,4,FALSE)),1000000)</f>
        <v>1E-3</v>
      </c>
      <c r="Z174" s="4" t="str">
        <f t="shared" ref="Z174:Z175" si="141">IF(M174="","",IF(AND(N174="&lt;",M174&lt;=$V174),-1,(IF(N174="&lt;",0.7*M174,M174))))</f>
        <v/>
      </c>
      <c r="AC174" s="4" t="str">
        <f t="shared" ref="AC174:AC175" si="142">IF(O174="","",IF(AND(P174="&lt;",O174&lt;=$V174),-1,(IF(P174="&lt;",0.7*O174,O174))))</f>
        <v/>
      </c>
      <c r="AF174" s="4" t="str">
        <f t="shared" ref="AF174:AF175" si="143">IF(Q174="","",IF(AND(R174="&lt;",Q174&lt;=$V174),-1,(IF(R174="&lt;",0.7*Q174,Q174))))</f>
        <v/>
      </c>
      <c r="AI174" s="77">
        <v>0</v>
      </c>
      <c r="AJ174" s="77">
        <v>0</v>
      </c>
      <c r="AK174" s="77">
        <v>1</v>
      </c>
      <c r="AO174" s="4">
        <f t="shared" si="117"/>
        <v>5</v>
      </c>
      <c r="AQ174" s="4">
        <f t="shared" si="118"/>
        <v>5</v>
      </c>
      <c r="AS174" s="4">
        <f t="shared" si="119"/>
        <v>5</v>
      </c>
      <c r="AV174" s="4" t="str">
        <f t="shared" si="99"/>
        <v/>
      </c>
      <c r="AX174" s="4" t="str">
        <f t="shared" si="100"/>
        <v/>
      </c>
      <c r="AZ174" s="4" t="str">
        <f t="shared" si="101"/>
        <v/>
      </c>
    </row>
    <row r="175" spans="1:52" x14ac:dyDescent="0.2">
      <c r="A175" s="4" t="s">
        <v>111</v>
      </c>
      <c r="B175" s="4">
        <v>2146</v>
      </c>
      <c r="C175" s="4" t="str">
        <f t="shared" si="140"/>
        <v>urn:immetingen:parameter:id:2146</v>
      </c>
      <c r="D175" s="4" t="str">
        <f>IFERROR(IF(VLOOKUP($C175,'C'!$A$1:$N$1998,4,FALSE)=0,IF(VLOOKUP($C175,'C'!$A$1:$N$1998,7,FALSE)=0,VLOOKUP($C175,'C'!$A$1:$N$1998,10,FALSE),VLOOKUP($C175,'C'!$A$1:$N$1998,7,FALSE)),VLOOKUP($C175,'C'!$A$1:$N$1998,4,FALSE)),"")</f>
        <v/>
      </c>
      <c r="E175" s="4" t="str">
        <f>IFERROR(VLOOKUP($C175,'C'!$A$1:$N$1998,2,FALSE),"")</f>
        <v/>
      </c>
      <c r="F175" s="4" t="str">
        <f>IFERROR(IF(VLOOKUP($C175,'C'!$A$1:$N$1998,3,FALSE)=1,"&lt;",""),"")</f>
        <v/>
      </c>
      <c r="G175" s="4" t="str">
        <f>IFERROR(VLOOKUP($C175,'C'!$A$1:$N$1998,5,FALSE),"")</f>
        <v/>
      </c>
      <c r="H175" s="4" t="str">
        <f>IFERROR(IF(VLOOKUP($C175,'C'!$A$1:$N$1998,6,FALSE)=1,"&lt;",""),"")</f>
        <v/>
      </c>
      <c r="I175" s="4" t="str">
        <f>IFERROR(VLOOKUP($C175,'C'!$A$1:$N$1998,8,FALSE),"")</f>
        <v/>
      </c>
      <c r="J175" s="4" t="str">
        <f>IFERROR(IF(VLOOKUP($C175,'C'!$A$1:$N$1998,9,FALSE)=1,"&lt;",""),"")</f>
        <v/>
      </c>
      <c r="M175" s="4" t="str">
        <f t="shared" si="110"/>
        <v/>
      </c>
      <c r="N175" s="4" t="str">
        <f t="shared" si="114"/>
        <v/>
      </c>
      <c r="O175" s="4" t="str">
        <f t="shared" si="126"/>
        <v/>
      </c>
      <c r="P175" s="4" t="str">
        <f t="shared" si="115"/>
        <v/>
      </c>
      <c r="Q175" s="4" t="str">
        <f t="shared" si="127"/>
        <v/>
      </c>
      <c r="R175" s="4" t="str">
        <f t="shared" si="116"/>
        <v/>
      </c>
      <c r="V175" s="4">
        <f>IFERROR(IF(VLOOKUP(B175,E!$B$1:$AK$300,4,FALSE)=0,1000000,VLOOKUP(B175,E!$B$1:$AK$300,4,FALSE)),1000000)</f>
        <v>1E-3</v>
      </c>
      <c r="Z175" s="4" t="str">
        <f t="shared" si="141"/>
        <v/>
      </c>
      <c r="AC175" s="4" t="str">
        <f t="shared" si="142"/>
        <v/>
      </c>
      <c r="AF175" s="4" t="str">
        <f t="shared" si="143"/>
        <v/>
      </c>
      <c r="AI175" s="77">
        <v>0</v>
      </c>
      <c r="AJ175" s="77">
        <v>0</v>
      </c>
      <c r="AK175" s="77">
        <v>1</v>
      </c>
      <c r="AO175" s="4">
        <f t="shared" si="117"/>
        <v>5</v>
      </c>
      <c r="AQ175" s="4">
        <f t="shared" si="118"/>
        <v>5</v>
      </c>
      <c r="AS175" s="4">
        <f t="shared" si="119"/>
        <v>5</v>
      </c>
      <c r="AV175" s="4" t="str">
        <f t="shared" si="99"/>
        <v/>
      </c>
      <c r="AX175" s="4" t="str">
        <f t="shared" si="100"/>
        <v/>
      </c>
      <c r="AZ175" s="4" t="str">
        <f t="shared" si="101"/>
        <v/>
      </c>
    </row>
    <row r="176" spans="1:52" x14ac:dyDescent="0.2">
      <c r="A176" s="4" t="s">
        <v>112</v>
      </c>
      <c r="B176" s="4">
        <v>1580</v>
      </c>
      <c r="C176" s="4" t="str">
        <f t="shared" si="140"/>
        <v>urn:immetingen:parameter:id:1580</v>
      </c>
      <c r="D176" s="4" t="str">
        <f>IFERROR(IF(VLOOKUP($C176,'C'!$A$1:$N$1998,4,FALSE)=0,IF(VLOOKUP($C176,'C'!$A$1:$N$1998,7,FALSE)=0,VLOOKUP($C176,'C'!$A$1:$N$1998,10,FALSE),VLOOKUP($C176,'C'!$A$1:$N$1998,7,FALSE)),VLOOKUP($C176,'C'!$A$1:$N$1998,4,FALSE)),"")</f>
        <v/>
      </c>
      <c r="E176" s="4" t="str">
        <f>IFERROR(VLOOKUP($C176,'C'!$A$1:$N$1998,2,FALSE),"")</f>
        <v/>
      </c>
      <c r="F176" s="4" t="str">
        <f>IFERROR(IF(VLOOKUP($C176,'C'!$A$1:$N$1998,3,FALSE)=1,"&lt;",""),"")</f>
        <v/>
      </c>
      <c r="G176" s="4" t="str">
        <f>IFERROR(VLOOKUP($C176,'C'!$A$1:$N$1998,5,FALSE),"")</f>
        <v/>
      </c>
      <c r="H176" s="4" t="str">
        <f>IFERROR(IF(VLOOKUP($C176,'C'!$A$1:$N$1998,6,FALSE)=1,"&lt;",""),"")</f>
        <v/>
      </c>
      <c r="I176" s="4" t="str">
        <f>IFERROR(VLOOKUP($C176,'C'!$A$1:$N$1998,8,FALSE),"")</f>
        <v/>
      </c>
      <c r="J176" s="4" t="str">
        <f>IFERROR(IF(VLOOKUP($C176,'C'!$A$1:$N$1998,9,FALSE)=1,"&lt;",""),"")</f>
        <v/>
      </c>
      <c r="M176" s="4" t="str">
        <f t="shared" si="110"/>
        <v/>
      </c>
      <c r="N176" s="4" t="str">
        <f t="shared" si="114"/>
        <v/>
      </c>
      <c r="O176" s="4" t="str">
        <f t="shared" si="126"/>
        <v/>
      </c>
      <c r="P176" s="4" t="str">
        <f t="shared" si="115"/>
        <v/>
      </c>
      <c r="Q176" s="4" t="str">
        <f t="shared" si="127"/>
        <v/>
      </c>
      <c r="R176" s="4" t="str">
        <f t="shared" si="116"/>
        <v/>
      </c>
      <c r="V176" s="4">
        <v>1E-3</v>
      </c>
      <c r="Z176" s="17" t="str">
        <f>IF(AA176=-1,IF(SUM(AA$176:AA$177)=-2,0,(0.7*M176)),AA176)</f>
        <v/>
      </c>
      <c r="AA176" s="17" t="str">
        <f>IF(M176="","",IF(AND(N176="&lt;",M176&lt;=V176),-1,(IF(N176="&lt;",0.7*M176,M176))))</f>
        <v/>
      </c>
      <c r="AC176" s="17" t="str">
        <f>IF(AD176=-1,IF(SUM(AD$176:AD$177)=-2,0,(0.7*O176)),AD176)</f>
        <v/>
      </c>
      <c r="AD176" s="17" t="str">
        <f>IF(O176="","",IF(AND(P176="&lt;",O176&lt;=V176),-1,(IF(P176="&lt;",0.7*O176,O176))))</f>
        <v/>
      </c>
      <c r="AF176" s="17" t="str">
        <f>IF(AG176=-1,IF(SUM(AG$176:AG$177)=-2,0,(0.7*Q176)),AG176)</f>
        <v/>
      </c>
      <c r="AG176" s="17" t="str">
        <f>IF(Q176="","",IF(AND(R176="&lt;",Q176&lt;=V176),-1,(IF(R176="&lt;",0.7*Q176,Q176))))</f>
        <v/>
      </c>
      <c r="AI176" s="77">
        <v>0</v>
      </c>
      <c r="AJ176" s="77">
        <v>0</v>
      </c>
      <c r="AK176" s="77">
        <v>1</v>
      </c>
      <c r="AO176" s="4">
        <f t="shared" si="117"/>
        <v>5</v>
      </c>
      <c r="AQ176" s="4">
        <f t="shared" si="118"/>
        <v>5</v>
      </c>
      <c r="AS176" s="4">
        <f t="shared" si="119"/>
        <v>5</v>
      </c>
      <c r="AV176" s="4" t="str">
        <f t="shared" si="99"/>
        <v/>
      </c>
      <c r="AX176" s="4" t="str">
        <f t="shared" si="100"/>
        <v/>
      </c>
      <c r="AZ176" s="4" t="str">
        <f t="shared" si="101"/>
        <v/>
      </c>
    </row>
    <row r="177" spans="1:52" x14ac:dyDescent="0.2">
      <c r="A177" s="4" t="s">
        <v>113</v>
      </c>
      <c r="B177" s="4">
        <v>522</v>
      </c>
      <c r="C177" s="4" t="str">
        <f t="shared" si="140"/>
        <v>urn:immetingen:parameter:id:522</v>
      </c>
      <c r="D177" s="4" t="str">
        <f>IFERROR(IF(VLOOKUP($C177,'C'!$A$1:$N$1998,4,FALSE)=0,IF(VLOOKUP($C177,'C'!$A$1:$N$1998,7,FALSE)=0,VLOOKUP($C177,'C'!$A$1:$N$1998,10,FALSE),VLOOKUP($C177,'C'!$A$1:$N$1998,7,FALSE)),VLOOKUP($C177,'C'!$A$1:$N$1998,4,FALSE)),"")</f>
        <v/>
      </c>
      <c r="E177" s="4" t="str">
        <f>IFERROR(VLOOKUP($C177,'C'!$A$1:$N$1998,2,FALSE),"")</f>
        <v/>
      </c>
      <c r="F177" s="4" t="str">
        <f>IFERROR(IF(VLOOKUP($C177,'C'!$A$1:$N$1998,3,FALSE)=1,"&lt;",""),"")</f>
        <v/>
      </c>
      <c r="G177" s="4" t="str">
        <f>IFERROR(VLOOKUP($C177,'C'!$A$1:$N$1998,5,FALSE),"")</f>
        <v/>
      </c>
      <c r="H177" s="4" t="str">
        <f>IFERROR(IF(VLOOKUP($C177,'C'!$A$1:$N$1998,6,FALSE)=1,"&lt;",""),"")</f>
        <v/>
      </c>
      <c r="I177" s="4" t="str">
        <f>IFERROR(VLOOKUP($C177,'C'!$A$1:$N$1998,8,FALSE),"")</f>
        <v/>
      </c>
      <c r="J177" s="4" t="str">
        <f>IFERROR(IF(VLOOKUP($C177,'C'!$A$1:$N$1998,9,FALSE)=1,"&lt;",""),"")</f>
        <v/>
      </c>
      <c r="M177" s="4" t="str">
        <f t="shared" si="110"/>
        <v/>
      </c>
      <c r="N177" s="4" t="str">
        <f t="shared" si="114"/>
        <v/>
      </c>
      <c r="O177" s="4" t="str">
        <f t="shared" si="126"/>
        <v/>
      </c>
      <c r="P177" s="4" t="str">
        <f t="shared" si="115"/>
        <v/>
      </c>
      <c r="Q177" s="4" t="str">
        <f t="shared" si="127"/>
        <v/>
      </c>
      <c r="R177" s="4" t="str">
        <f t="shared" si="116"/>
        <v/>
      </c>
      <c r="V177" s="4">
        <v>1E-3</v>
      </c>
      <c r="Z177" s="17" t="str">
        <f>IF(AA177=-1,IF(SUM(AA$176:AA$177)=-2,0,(0.7*M177)),AA177)</f>
        <v/>
      </c>
      <c r="AA177" s="17" t="str">
        <f>IF(M177="","",IF(AND(N177="&lt;",M177&lt;=V177),-1,(IF(N177="&lt;",0.7*M177,M177))))</f>
        <v/>
      </c>
      <c r="AC177" s="17" t="str">
        <f>IF(AD177=-1,IF(SUM(AD$176:AD$177)=-2,0,(0.7*O177)),AD177)</f>
        <v/>
      </c>
      <c r="AD177" s="17" t="str">
        <f>IF(O177="","",IF(AND(P177="&lt;",O177&lt;=V177),-1,(IF(P177="&lt;",0.7*O177,O177))))</f>
        <v/>
      </c>
      <c r="AF177" s="17" t="str">
        <f>IF(AG177=-1,IF(SUM(AG$176:AG$177)=-2,0,(0.7*Q177)),AG177)</f>
        <v/>
      </c>
      <c r="AG177" s="17" t="str">
        <f>IF(Q177="","",IF(AND(R177="&lt;",Q177&lt;=V177),-1,(IF(R177="&lt;",0.7*Q177,Q177))))</f>
        <v/>
      </c>
      <c r="AI177" s="77">
        <v>0</v>
      </c>
      <c r="AJ177" s="77">
        <v>0</v>
      </c>
      <c r="AK177" s="77">
        <v>1</v>
      </c>
      <c r="AO177" s="4">
        <f t="shared" si="117"/>
        <v>5</v>
      </c>
      <c r="AQ177" s="4">
        <f t="shared" si="118"/>
        <v>5</v>
      </c>
      <c r="AS177" s="4">
        <f t="shared" si="119"/>
        <v>5</v>
      </c>
      <c r="AV177" s="4" t="str">
        <f t="shared" si="99"/>
        <v/>
      </c>
      <c r="AX177" s="4" t="str">
        <f t="shared" si="100"/>
        <v/>
      </c>
      <c r="AZ177" s="4" t="str">
        <f t="shared" si="101"/>
        <v/>
      </c>
    </row>
    <row r="178" spans="1:52" x14ac:dyDescent="0.2">
      <c r="A178" s="4" t="s">
        <v>171</v>
      </c>
      <c r="B178" s="4">
        <v>480</v>
      </c>
      <c r="C178" s="4" t="str">
        <f t="shared" si="140"/>
        <v>urn:immetingen:parameter:id:480</v>
      </c>
      <c r="D178" s="17" t="str">
        <f>D176</f>
        <v/>
      </c>
      <c r="E178" s="4" t="str">
        <f>IFERROR(VLOOKUP($C178,'C'!$A$1:$N$1998,2,FALSE),"")</f>
        <v/>
      </c>
      <c r="F178" s="4" t="str">
        <f>IFERROR(IF(VLOOKUP($C178,'C'!$A$1:$N$1998,3,FALSE)=1,"&lt;",""),"")</f>
        <v/>
      </c>
      <c r="G178" s="4" t="str">
        <f>IFERROR(VLOOKUP($C178,'C'!$A$1:$N$1998,5,FALSE),"")</f>
        <v/>
      </c>
      <c r="H178" s="4" t="str">
        <f>IFERROR(IF(VLOOKUP($C178,'C'!$A$1:$N$1998,6,FALSE)=1,"&lt;",""),"")</f>
        <v/>
      </c>
      <c r="I178" s="4" t="str">
        <f>IFERROR(VLOOKUP($C178,'C'!$A$1:$N$1998,8,FALSE),"")</f>
        <v/>
      </c>
      <c r="J178" s="4" t="str">
        <f>IFERROR(IF(VLOOKUP($C178,'C'!$A$1:$N$1998,9,FALSE)=1,"&lt;",""),"")</f>
        <v/>
      </c>
      <c r="M178" s="4" t="str">
        <f t="shared" si="110"/>
        <v/>
      </c>
      <c r="N178" s="4" t="str">
        <f t="shared" si="114"/>
        <v/>
      </c>
      <c r="O178" s="4" t="str">
        <f t="shared" si="126"/>
        <v/>
      </c>
      <c r="P178" s="4" t="str">
        <f t="shared" si="115"/>
        <v/>
      </c>
      <c r="Q178" s="4" t="str">
        <f t="shared" si="127"/>
        <v/>
      </c>
      <c r="R178" s="4" t="str">
        <f t="shared" si="116"/>
        <v/>
      </c>
      <c r="V178" s="4">
        <f>IFERROR(IF(VLOOKUP(B178,E!$B$1:$AK$300,4,FALSE)=0,1000000,VLOOKUP(B178,E!$B$1:$AK$300,4,FALSE)),1000000)</f>
        <v>2E-3</v>
      </c>
      <c r="Z178" s="17">
        <f>SUM(Z176:Z177)</f>
        <v>0</v>
      </c>
      <c r="AA178" s="64" t="str">
        <f>IF(M176="","",IF(Z178=0,SUM(M176:M177),Z178))</f>
        <v/>
      </c>
      <c r="AC178" s="17">
        <f>SUM(AC176:AC177)</f>
        <v>0</v>
      </c>
      <c r="AD178" s="64" t="str">
        <f>IF(O176="","",IF(AC178=0,SUM(O176:O177),AC178))</f>
        <v/>
      </c>
      <c r="AF178" s="17">
        <f>SUM(AF176:AF177)</f>
        <v>0</v>
      </c>
      <c r="AG178" s="64" t="str">
        <f>IF(Q176="","",IF(AF178=0,SUM(Q176:Q177),AF178))</f>
        <v/>
      </c>
      <c r="AI178" s="77">
        <v>0</v>
      </c>
      <c r="AJ178" s="77">
        <v>0</v>
      </c>
      <c r="AK178" s="77">
        <v>1</v>
      </c>
      <c r="AO178" s="4">
        <f t="shared" si="117"/>
        <v>5</v>
      </c>
      <c r="AQ178" s="4">
        <f t="shared" si="118"/>
        <v>5</v>
      </c>
      <c r="AS178" s="4">
        <f t="shared" si="119"/>
        <v>5</v>
      </c>
      <c r="AV178" s="4" t="str">
        <f t="shared" si="99"/>
        <v/>
      </c>
      <c r="AX178" s="4" t="str">
        <f t="shared" si="100"/>
        <v/>
      </c>
      <c r="AZ178" s="4" t="str">
        <f t="shared" si="101"/>
        <v/>
      </c>
    </row>
    <row r="179" spans="1:52" x14ac:dyDescent="0.2">
      <c r="A179" s="4" t="s">
        <v>172</v>
      </c>
      <c r="B179" s="4">
        <v>2718</v>
      </c>
      <c r="C179" s="4" t="str">
        <f t="shared" si="140"/>
        <v>urn:immetingen:parameter:id:2718</v>
      </c>
      <c r="D179" s="4" t="str">
        <f>IFERROR(IF(VLOOKUP($C179,'C'!$A$1:$N$1998,4,FALSE)=0,IF(VLOOKUP($C179,'C'!$A$1:$N$1998,7,FALSE)=0,VLOOKUP($C179,'C'!$A$1:$N$1998,10,FALSE),VLOOKUP($C179,'C'!$A$1:$N$1998,7,FALSE)),VLOOKUP($C179,'C'!$A$1:$N$1998,4,FALSE)),"")</f>
        <v/>
      </c>
      <c r="E179" s="4" t="str">
        <f>IFERROR(VLOOKUP($C179,'C'!$A$1:$N$1998,2,FALSE),"")</f>
        <v/>
      </c>
      <c r="F179" s="4" t="str">
        <f>IFERROR(IF(VLOOKUP($C179,'C'!$A$1:$N$1998,3,FALSE)=1,"&lt;",""),"")</f>
        <v/>
      </c>
      <c r="G179" s="4" t="str">
        <f>IFERROR(VLOOKUP($C179,'C'!$A$1:$N$1998,5,FALSE),"")</f>
        <v/>
      </c>
      <c r="H179" s="4" t="str">
        <f>IFERROR(IF(VLOOKUP($C179,'C'!$A$1:$N$1998,6,FALSE)=1,"&lt;",""),"")</f>
        <v/>
      </c>
      <c r="I179" s="4" t="str">
        <f>IFERROR(VLOOKUP($C179,'C'!$A$1:$N$1998,8,FALSE),"")</f>
        <v/>
      </c>
      <c r="J179" s="4" t="str">
        <f>IFERROR(IF(VLOOKUP($C179,'C'!$A$1:$N$1998,9,FALSE)=1,"&lt;",""),"")</f>
        <v/>
      </c>
      <c r="M179" s="4" t="str">
        <f t="shared" si="110"/>
        <v/>
      </c>
      <c r="N179" s="4" t="str">
        <f t="shared" si="114"/>
        <v/>
      </c>
      <c r="O179" s="4" t="str">
        <f t="shared" si="126"/>
        <v/>
      </c>
      <c r="P179" s="4" t="str">
        <f t="shared" si="115"/>
        <v/>
      </c>
      <c r="Q179" s="4" t="str">
        <f t="shared" si="127"/>
        <v/>
      </c>
      <c r="R179" s="4" t="str">
        <f t="shared" si="116"/>
        <v/>
      </c>
      <c r="V179" s="4">
        <f>IFERROR(IF(VLOOKUP(B179,E!$B$1:$AK$300,4,FALSE)=0,1000000,VLOOKUP(B179,E!$B$1:$AK$300,4,FALSE)),1000000)</f>
        <v>1000000000</v>
      </c>
      <c r="Z179" s="4" t="str">
        <f t="shared" ref="Z179:Z242" si="144">IF(M179="","",IF(AND(N179="&lt;",M179&lt;=$V179),-1,(IF(N179="&lt;",0.7*M179,M179))))</f>
        <v/>
      </c>
      <c r="AC179" s="4" t="str">
        <f t="shared" ref="AC179:AC242" si="145">IF(O179="","",IF(AND(P179="&lt;",O179&lt;=$V179),-1,(IF(P179="&lt;",0.7*O179,O179))))</f>
        <v/>
      </c>
      <c r="AF179" s="4" t="str">
        <f t="shared" ref="AF179:AF242" si="146">IF(Q179="","",IF(AND(R179="&lt;",Q179&lt;=$V179),-1,(IF(R179="&lt;",0.7*Q179,Q179))))</f>
        <v/>
      </c>
      <c r="AI179" s="77">
        <v>0</v>
      </c>
      <c r="AJ179" s="77">
        <v>0</v>
      </c>
      <c r="AK179" s="77">
        <v>1</v>
      </c>
      <c r="AO179" s="4">
        <f t="shared" si="117"/>
        <v>5</v>
      </c>
      <c r="AQ179" s="4">
        <f t="shared" si="118"/>
        <v>5</v>
      </c>
      <c r="AS179" s="4">
        <f t="shared" si="119"/>
        <v>5</v>
      </c>
      <c r="AV179" s="4" t="str">
        <f t="shared" si="99"/>
        <v/>
      </c>
      <c r="AX179" s="4" t="str">
        <f t="shared" si="100"/>
        <v/>
      </c>
      <c r="AZ179" s="4" t="str">
        <f t="shared" si="101"/>
        <v/>
      </c>
    </row>
    <row r="180" spans="1:52" x14ac:dyDescent="0.2">
      <c r="A180" s="4" t="s">
        <v>642</v>
      </c>
      <c r="B180" s="4">
        <v>497</v>
      </c>
      <c r="C180" s="4" t="str">
        <f t="shared" si="140"/>
        <v>urn:immetingen:parameter:id:497</v>
      </c>
      <c r="D180" s="4" t="str">
        <f>IFERROR(IF(VLOOKUP($C180,'C'!$A$1:$N$1998,4,FALSE)=0,IF(VLOOKUP($C180,'C'!$A$1:$N$1998,7,FALSE)=0,VLOOKUP($C180,'C'!$A$1:$N$1998,10,FALSE),VLOOKUP($C180,'C'!$A$1:$N$1998,7,FALSE)),VLOOKUP($C180,'C'!$A$1:$N$1998,4,FALSE)),"")</f>
        <v/>
      </c>
      <c r="E180" s="4" t="str">
        <f>IFERROR(VLOOKUP($C180,'C'!$A$1:$N$1998,2,FALSE),"")</f>
        <v/>
      </c>
      <c r="F180" s="4" t="str">
        <f>IFERROR(IF(VLOOKUP($C180,'C'!$A$1:$N$1998,3,FALSE)=1,"&lt;",""),"")</f>
        <v/>
      </c>
      <c r="G180" s="4" t="str">
        <f>IFERROR(VLOOKUP($C180,'C'!$A$1:$N$1998,5,FALSE),"")</f>
        <v/>
      </c>
      <c r="H180" s="4" t="str">
        <f>IFERROR(IF(VLOOKUP($C180,'C'!$A$1:$N$1998,6,FALSE)=1,"&lt;",""),"")</f>
        <v/>
      </c>
      <c r="I180" s="4" t="str">
        <f>IFERROR(VLOOKUP($C180,'C'!$A$1:$N$1998,8,FALSE),"")</f>
        <v/>
      </c>
      <c r="J180" s="4" t="str">
        <f>IFERROR(IF(VLOOKUP($C180,'C'!$A$1:$N$1998,9,FALSE)=1,"&lt;",""),"")</f>
        <v/>
      </c>
      <c r="M180" s="4" t="str">
        <f t="shared" si="110"/>
        <v/>
      </c>
      <c r="N180" s="4" t="str">
        <f t="shared" si="114"/>
        <v/>
      </c>
      <c r="O180" s="4" t="str">
        <f t="shared" si="126"/>
        <v/>
      </c>
      <c r="P180" s="4" t="str">
        <f t="shared" si="115"/>
        <v/>
      </c>
      <c r="Q180" s="4" t="str">
        <f t="shared" si="127"/>
        <v/>
      </c>
      <c r="R180" s="4" t="str">
        <f t="shared" si="116"/>
        <v/>
      </c>
      <c r="V180" s="4">
        <f>IFERROR(IF(VLOOKUP(B180,E!$B$1:$AK$300,4,FALSE)=0,1000000,VLOOKUP(B180,E!$B$1:$AK$300,4,FALSE)),1000000)</f>
        <v>1000000</v>
      </c>
      <c r="Z180" s="4" t="str">
        <f t="shared" si="144"/>
        <v/>
      </c>
      <c r="AC180" s="4" t="str">
        <f t="shared" si="145"/>
        <v/>
      </c>
      <c r="AF180" s="4" t="str">
        <f t="shared" si="146"/>
        <v/>
      </c>
      <c r="AI180" s="77">
        <v>0</v>
      </c>
      <c r="AJ180" s="77">
        <v>0</v>
      </c>
      <c r="AK180" s="77">
        <v>1</v>
      </c>
      <c r="AO180" s="4">
        <f t="shared" si="117"/>
        <v>5</v>
      </c>
      <c r="AQ180" s="4">
        <f t="shared" si="118"/>
        <v>5</v>
      </c>
      <c r="AS180" s="4">
        <f t="shared" si="119"/>
        <v>5</v>
      </c>
      <c r="AV180" s="4" t="str">
        <f t="shared" si="99"/>
        <v/>
      </c>
      <c r="AX180" s="4" t="str">
        <f t="shared" si="100"/>
        <v/>
      </c>
      <c r="AZ180" s="4" t="str">
        <f t="shared" si="101"/>
        <v/>
      </c>
    </row>
    <row r="181" spans="1:52" x14ac:dyDescent="0.2">
      <c r="A181" s="4" t="s">
        <v>643</v>
      </c>
      <c r="B181" s="4">
        <v>365</v>
      </c>
      <c r="C181" s="4" t="str">
        <f t="shared" si="140"/>
        <v>urn:immetingen:parameter:id:365</v>
      </c>
      <c r="D181" s="4" t="str">
        <f>IFERROR(IF(VLOOKUP($C181,'C'!$A$1:$N$1998,4,FALSE)=0,IF(VLOOKUP($C181,'C'!$A$1:$N$1998,7,FALSE)=0,VLOOKUP($C181,'C'!$A$1:$N$1998,10,FALSE),VLOOKUP($C181,'C'!$A$1:$N$1998,7,FALSE)),VLOOKUP($C181,'C'!$A$1:$N$1998,4,FALSE)),"")</f>
        <v/>
      </c>
      <c r="E181" s="4" t="str">
        <f>IFERROR(VLOOKUP($C181,'C'!$A$1:$N$1998,2,FALSE),"")</f>
        <v/>
      </c>
      <c r="F181" s="4" t="str">
        <f>IFERROR(IF(VLOOKUP($C181,'C'!$A$1:$N$1998,3,FALSE)=1,"&lt;",""),"")</f>
        <v/>
      </c>
      <c r="G181" s="4" t="str">
        <f>IFERROR(VLOOKUP($C181,'C'!$A$1:$N$1998,5,FALSE),"")</f>
        <v/>
      </c>
      <c r="H181" s="4" t="str">
        <f>IFERROR(IF(VLOOKUP($C181,'C'!$A$1:$N$1998,6,FALSE)=1,"&lt;",""),"")</f>
        <v/>
      </c>
      <c r="I181" s="4" t="str">
        <f>IFERROR(VLOOKUP($C181,'C'!$A$1:$N$1998,8,FALSE),"")</f>
        <v/>
      </c>
      <c r="J181" s="4" t="str">
        <f>IFERROR(IF(VLOOKUP($C181,'C'!$A$1:$N$1998,9,FALSE)=1,"&lt;",""),"")</f>
        <v/>
      </c>
      <c r="M181" s="4" t="str">
        <f t="shared" si="110"/>
        <v/>
      </c>
      <c r="N181" s="4" t="str">
        <f t="shared" si="114"/>
        <v/>
      </c>
      <c r="O181" s="4" t="str">
        <f t="shared" si="126"/>
        <v/>
      </c>
      <c r="P181" s="4" t="str">
        <f t="shared" si="115"/>
        <v/>
      </c>
      <c r="Q181" s="4" t="str">
        <f t="shared" si="127"/>
        <v/>
      </c>
      <c r="R181" s="4" t="str">
        <f t="shared" si="116"/>
        <v/>
      </c>
      <c r="V181" s="4">
        <f>IFERROR(IF(VLOOKUP(B181,E!$B$1:$AK$300,4,FALSE)=0,1000000,VLOOKUP(B181,E!$B$1:$AK$300,4,FALSE)),1000000)</f>
        <v>1000000</v>
      </c>
      <c r="Z181" s="4" t="str">
        <f t="shared" si="144"/>
        <v/>
      </c>
      <c r="AC181" s="4" t="str">
        <f t="shared" si="145"/>
        <v/>
      </c>
      <c r="AF181" s="4" t="str">
        <f t="shared" si="146"/>
        <v/>
      </c>
      <c r="AI181" s="77">
        <v>0</v>
      </c>
      <c r="AJ181" s="77">
        <v>0</v>
      </c>
      <c r="AK181" s="77">
        <v>1</v>
      </c>
      <c r="AO181" s="4">
        <f t="shared" si="117"/>
        <v>5</v>
      </c>
      <c r="AQ181" s="4">
        <f t="shared" si="118"/>
        <v>5</v>
      </c>
      <c r="AS181" s="4">
        <f t="shared" si="119"/>
        <v>5</v>
      </c>
      <c r="AV181" s="4" t="str">
        <f t="shared" si="99"/>
        <v/>
      </c>
      <c r="AX181" s="4" t="str">
        <f t="shared" si="100"/>
        <v/>
      </c>
      <c r="AZ181" s="4" t="str">
        <f t="shared" si="101"/>
        <v/>
      </c>
    </row>
    <row r="182" spans="1:52" x14ac:dyDescent="0.2">
      <c r="A182" s="4" t="s">
        <v>644</v>
      </c>
      <c r="B182" s="4">
        <v>703</v>
      </c>
      <c r="C182" s="4" t="str">
        <f t="shared" si="140"/>
        <v>urn:immetingen:parameter:id:703</v>
      </c>
      <c r="D182" s="4" t="str">
        <f>IFERROR(IF(VLOOKUP($C182,'C'!$A$1:$N$1998,4,FALSE)=0,IF(VLOOKUP($C182,'C'!$A$1:$N$1998,7,FALSE)=0,VLOOKUP($C182,'C'!$A$1:$N$1998,10,FALSE),VLOOKUP($C182,'C'!$A$1:$N$1998,7,FALSE)),VLOOKUP($C182,'C'!$A$1:$N$1998,4,FALSE)),"")</f>
        <v/>
      </c>
      <c r="E182" s="4" t="str">
        <f>IFERROR(VLOOKUP($C182,'C'!$A$1:$N$1998,2,FALSE),"")</f>
        <v/>
      </c>
      <c r="F182" s="4" t="str">
        <f>IFERROR(IF(VLOOKUP($C182,'C'!$A$1:$N$1998,3,FALSE)=1,"&lt;",""),"")</f>
        <v/>
      </c>
      <c r="G182" s="4" t="str">
        <f>IFERROR(VLOOKUP($C182,'C'!$A$1:$N$1998,5,FALSE),"")</f>
        <v/>
      </c>
      <c r="H182" s="4" t="str">
        <f>IFERROR(IF(VLOOKUP($C182,'C'!$A$1:$N$1998,6,FALSE)=1,"&lt;",""),"")</f>
        <v/>
      </c>
      <c r="I182" s="4" t="str">
        <f>IFERROR(VLOOKUP($C182,'C'!$A$1:$N$1998,8,FALSE),"")</f>
        <v/>
      </c>
      <c r="J182" s="4" t="str">
        <f>IFERROR(IF(VLOOKUP($C182,'C'!$A$1:$N$1998,9,FALSE)=1,"&lt;",""),"")</f>
        <v/>
      </c>
      <c r="M182" s="4" t="str">
        <f t="shared" si="110"/>
        <v/>
      </c>
      <c r="N182" s="4" t="str">
        <f t="shared" si="114"/>
        <v/>
      </c>
      <c r="O182" s="4" t="str">
        <f t="shared" si="126"/>
        <v/>
      </c>
      <c r="P182" s="4" t="str">
        <f t="shared" si="115"/>
        <v/>
      </c>
      <c r="Q182" s="4" t="str">
        <f t="shared" si="127"/>
        <v/>
      </c>
      <c r="R182" s="4" t="str">
        <f t="shared" si="116"/>
        <v/>
      </c>
      <c r="V182" s="4">
        <f>IFERROR(IF(VLOOKUP(B182,E!$B$1:$AK$300,4,FALSE)=0,1000000,VLOOKUP(B182,E!$B$1:$AK$300,4,FALSE)),1000000)</f>
        <v>1000000</v>
      </c>
      <c r="Z182" s="4" t="str">
        <f t="shared" si="144"/>
        <v/>
      </c>
      <c r="AC182" s="4" t="str">
        <f t="shared" si="145"/>
        <v/>
      </c>
      <c r="AF182" s="4" t="str">
        <f t="shared" si="146"/>
        <v/>
      </c>
      <c r="AI182" s="77">
        <v>0</v>
      </c>
      <c r="AJ182" s="77">
        <v>0</v>
      </c>
      <c r="AK182" s="77">
        <v>1</v>
      </c>
      <c r="AO182" s="4">
        <f t="shared" si="117"/>
        <v>5</v>
      </c>
      <c r="AQ182" s="4">
        <f t="shared" si="118"/>
        <v>5</v>
      </c>
      <c r="AS182" s="4">
        <f t="shared" si="119"/>
        <v>5</v>
      </c>
      <c r="AV182" s="4" t="str">
        <f t="shared" si="99"/>
        <v/>
      </c>
      <c r="AX182" s="4" t="str">
        <f t="shared" si="100"/>
        <v/>
      </c>
      <c r="AZ182" s="4" t="str">
        <f t="shared" si="101"/>
        <v/>
      </c>
    </row>
    <row r="183" spans="1:52" x14ac:dyDescent="0.2">
      <c r="A183" s="4" t="s">
        <v>645</v>
      </c>
      <c r="B183" s="4">
        <v>2161</v>
      </c>
      <c r="C183" s="71" t="str">
        <f t="shared" si="140"/>
        <v>urn:immetingen:parameter:id:2161</v>
      </c>
      <c r="D183" s="17" t="str">
        <f>D181</f>
        <v/>
      </c>
      <c r="E183" s="71">
        <f>Invoer!D48</f>
        <v>0</v>
      </c>
      <c r="F183" s="71" t="str">
        <f>IF(Invoer!C48="&lt;","&lt;","")</f>
        <v/>
      </c>
      <c r="G183" s="71">
        <f>Invoer!F48</f>
        <v>0</v>
      </c>
      <c r="H183" s="71" t="str">
        <f>IF(Invoer!E48="&lt;","&lt;","")</f>
        <v/>
      </c>
      <c r="I183" s="71">
        <f>Invoer!H48</f>
        <v>0</v>
      </c>
      <c r="J183" s="71" t="str">
        <f>IF(Invoer!G48="&lt;","&lt;","")</f>
        <v/>
      </c>
      <c r="K183" s="71"/>
      <c r="L183" s="71"/>
      <c r="M183" s="4">
        <f t="shared" si="110"/>
        <v>0</v>
      </c>
      <c r="N183" s="4" t="str">
        <f t="shared" si="114"/>
        <v/>
      </c>
      <c r="O183" s="4">
        <f t="shared" si="126"/>
        <v>0</v>
      </c>
      <c r="P183" s="4" t="str">
        <f t="shared" si="115"/>
        <v/>
      </c>
      <c r="Q183" s="4">
        <f t="shared" si="127"/>
        <v>0</v>
      </c>
      <c r="R183" s="4" t="str">
        <f t="shared" si="116"/>
        <v/>
      </c>
      <c r="S183" s="71"/>
      <c r="T183" s="71"/>
      <c r="U183" s="71"/>
      <c r="V183" s="4">
        <f>IFERROR(IF(VLOOKUP(B183,E!$B$1:$AK$300,4,FALSE)=0,1000000,VLOOKUP(B183,E!$B$1:$AK$300,4,FALSE)),1000000)</f>
        <v>1000000</v>
      </c>
      <c r="W183" s="71"/>
      <c r="X183" s="71"/>
      <c r="Z183" s="4">
        <f t="shared" si="144"/>
        <v>0</v>
      </c>
      <c r="AC183" s="4">
        <f t="shared" si="145"/>
        <v>0</v>
      </c>
      <c r="AF183" s="4">
        <f t="shared" si="146"/>
        <v>0</v>
      </c>
      <c r="AI183" s="77">
        <v>0</v>
      </c>
      <c r="AJ183" s="77">
        <v>0</v>
      </c>
      <c r="AK183" s="77">
        <v>1</v>
      </c>
      <c r="AO183" s="4">
        <f t="shared" si="117"/>
        <v>5</v>
      </c>
      <c r="AQ183" s="4">
        <f t="shared" si="118"/>
        <v>5</v>
      </c>
      <c r="AS183" s="4">
        <f t="shared" si="119"/>
        <v>5</v>
      </c>
      <c r="AV183" s="4">
        <f t="shared" si="99"/>
        <v>0</v>
      </c>
      <c r="AX183" s="4">
        <f t="shared" si="100"/>
        <v>0</v>
      </c>
      <c r="AZ183" s="4">
        <f t="shared" si="101"/>
        <v>0</v>
      </c>
    </row>
    <row r="184" spans="1:52" x14ac:dyDescent="0.2">
      <c r="A184" s="4" t="s">
        <v>646</v>
      </c>
      <c r="B184" s="4">
        <v>865</v>
      </c>
      <c r="C184" s="4" t="str">
        <f t="shared" si="140"/>
        <v>urn:immetingen:parameter:id:865</v>
      </c>
      <c r="D184" s="4" t="str">
        <f>IFERROR(IF(VLOOKUP($C184,'C'!$A$1:$N$1998,4,FALSE)=0,IF(VLOOKUP($C184,'C'!$A$1:$N$1998,7,FALSE)=0,VLOOKUP($C184,'C'!$A$1:$N$1998,10,FALSE),VLOOKUP($C184,'C'!$A$1:$N$1998,7,FALSE)),VLOOKUP($C184,'C'!$A$1:$N$1998,4,FALSE)),"")</f>
        <v/>
      </c>
      <c r="E184" s="4" t="str">
        <f>IFERROR(VLOOKUP($C184,'C'!$A$1:$N$1998,2,FALSE),"")</f>
        <v/>
      </c>
      <c r="F184" s="4" t="str">
        <f>IFERROR(IF(VLOOKUP($C184,'C'!$A$1:$N$1998,3,FALSE)=1,"&lt;",""),"")</f>
        <v/>
      </c>
      <c r="G184" s="4" t="str">
        <f>IFERROR(VLOOKUP($C184,'C'!$A$1:$N$1998,5,FALSE),"")</f>
        <v/>
      </c>
      <c r="H184" s="4" t="str">
        <f>IFERROR(IF(VLOOKUP($C184,'C'!$A$1:$N$1998,6,FALSE)=1,"&lt;",""),"")</f>
        <v/>
      </c>
      <c r="I184" s="4" t="str">
        <f>IFERROR(VLOOKUP($C184,'C'!$A$1:$N$1998,8,FALSE),"")</f>
        <v/>
      </c>
      <c r="J184" s="4" t="str">
        <f>IFERROR(IF(VLOOKUP($C184,'C'!$A$1:$N$1998,9,FALSE)=1,"&lt;",""),"")</f>
        <v/>
      </c>
      <c r="M184" s="4" t="str">
        <f t="shared" si="110"/>
        <v/>
      </c>
      <c r="N184" s="4" t="str">
        <f t="shared" si="114"/>
        <v/>
      </c>
      <c r="O184" s="4" t="str">
        <f t="shared" si="126"/>
        <v/>
      </c>
      <c r="P184" s="4" t="str">
        <f t="shared" si="115"/>
        <v/>
      </c>
      <c r="Q184" s="4" t="str">
        <f t="shared" si="127"/>
        <v/>
      </c>
      <c r="R184" s="4" t="str">
        <f t="shared" si="116"/>
        <v/>
      </c>
      <c r="V184" s="4">
        <f>IFERROR(IF(VLOOKUP(B184,E!$B$1:$AK$300,4,FALSE)=0,1000000,VLOOKUP(B184,E!$B$1:$AK$300,4,FALSE)),1000000)</f>
        <v>1000000</v>
      </c>
      <c r="Z184" s="4" t="str">
        <f t="shared" si="144"/>
        <v/>
      </c>
      <c r="AC184" s="4" t="str">
        <f t="shared" si="145"/>
        <v/>
      </c>
      <c r="AF184" s="4" t="str">
        <f t="shared" si="146"/>
        <v/>
      </c>
      <c r="AI184" s="77">
        <v>0</v>
      </c>
      <c r="AJ184" s="77">
        <v>0</v>
      </c>
      <c r="AK184" s="77">
        <v>1</v>
      </c>
      <c r="AO184" s="4">
        <f t="shared" si="117"/>
        <v>5</v>
      </c>
      <c r="AQ184" s="4">
        <f t="shared" si="118"/>
        <v>5</v>
      </c>
      <c r="AS184" s="4">
        <f t="shared" si="119"/>
        <v>5</v>
      </c>
      <c r="AV184" s="4" t="str">
        <f t="shared" si="99"/>
        <v/>
      </c>
      <c r="AX184" s="4" t="str">
        <f t="shared" si="100"/>
        <v/>
      </c>
      <c r="AZ184" s="4" t="str">
        <f t="shared" si="101"/>
        <v/>
      </c>
    </row>
    <row r="185" spans="1:52" x14ac:dyDescent="0.2">
      <c r="A185" s="4" t="s">
        <v>647</v>
      </c>
      <c r="B185" s="4">
        <v>1455</v>
      </c>
      <c r="C185" s="4" t="str">
        <f t="shared" si="140"/>
        <v>urn:immetingen:parameter:id:1455</v>
      </c>
      <c r="D185" s="4" t="str">
        <f>IFERROR(IF(VLOOKUP($C185,'C'!$A$1:$N$1998,4,FALSE)=0,IF(VLOOKUP($C185,'C'!$A$1:$N$1998,7,FALSE)=0,VLOOKUP($C185,'C'!$A$1:$N$1998,10,FALSE),VLOOKUP($C185,'C'!$A$1:$N$1998,7,FALSE)),VLOOKUP($C185,'C'!$A$1:$N$1998,4,FALSE)),"")</f>
        <v/>
      </c>
      <c r="E185" s="4" t="str">
        <f>IFERROR(VLOOKUP($C185,'C'!$A$1:$N$1998,2,FALSE),"")</f>
        <v/>
      </c>
      <c r="F185" s="4" t="str">
        <f>IFERROR(IF(VLOOKUP($C185,'C'!$A$1:$N$1998,3,FALSE)=1,"&lt;",""),"")</f>
        <v/>
      </c>
      <c r="G185" s="4" t="str">
        <f>IFERROR(VLOOKUP($C185,'C'!$A$1:$N$1998,5,FALSE),"")</f>
        <v/>
      </c>
      <c r="H185" s="4" t="str">
        <f>IFERROR(IF(VLOOKUP($C185,'C'!$A$1:$N$1998,6,FALSE)=1,"&lt;",""),"")</f>
        <v/>
      </c>
      <c r="I185" s="4" t="str">
        <f>IFERROR(VLOOKUP($C185,'C'!$A$1:$N$1998,8,FALSE),"")</f>
        <v/>
      </c>
      <c r="J185" s="4" t="str">
        <f>IFERROR(IF(VLOOKUP($C185,'C'!$A$1:$N$1998,9,FALSE)=1,"&lt;",""),"")</f>
        <v/>
      </c>
      <c r="M185" s="4" t="str">
        <f t="shared" si="110"/>
        <v/>
      </c>
      <c r="N185" s="4" t="str">
        <f t="shared" si="114"/>
        <v/>
      </c>
      <c r="O185" s="4" t="str">
        <f t="shared" si="126"/>
        <v/>
      </c>
      <c r="P185" s="4" t="str">
        <f t="shared" si="115"/>
        <v/>
      </c>
      <c r="Q185" s="4" t="str">
        <f t="shared" si="127"/>
        <v/>
      </c>
      <c r="R185" s="4" t="str">
        <f t="shared" si="116"/>
        <v/>
      </c>
      <c r="V185" s="4">
        <f>IFERROR(IF(VLOOKUP(B185,E!$B$1:$AK$300,4,FALSE)=0,1000000,VLOOKUP(B185,E!$B$1:$AK$300,4,FALSE)),1000000)</f>
        <v>1000000</v>
      </c>
      <c r="Z185" s="4" t="str">
        <f t="shared" si="144"/>
        <v/>
      </c>
      <c r="AC185" s="4" t="str">
        <f t="shared" si="145"/>
        <v/>
      </c>
      <c r="AF185" s="4" t="str">
        <f t="shared" si="146"/>
        <v/>
      </c>
      <c r="AI185" s="77">
        <v>0</v>
      </c>
      <c r="AJ185" s="77">
        <v>0</v>
      </c>
      <c r="AK185" s="77">
        <v>1</v>
      </c>
      <c r="AO185" s="4">
        <f t="shared" si="117"/>
        <v>5</v>
      </c>
      <c r="AQ185" s="4">
        <f t="shared" si="118"/>
        <v>5</v>
      </c>
      <c r="AS185" s="4">
        <f t="shared" si="119"/>
        <v>5</v>
      </c>
      <c r="AV185" s="4" t="str">
        <f t="shared" si="99"/>
        <v/>
      </c>
      <c r="AX185" s="4" t="str">
        <f t="shared" si="100"/>
        <v/>
      </c>
      <c r="AZ185" s="4" t="str">
        <f t="shared" si="101"/>
        <v/>
      </c>
    </row>
    <row r="186" spans="1:52" x14ac:dyDescent="0.2">
      <c r="A186" s="4" t="s">
        <v>648</v>
      </c>
      <c r="B186" s="4">
        <v>1519</v>
      </c>
      <c r="C186" s="4" t="str">
        <f t="shared" si="140"/>
        <v>urn:immetingen:parameter:id:1519</v>
      </c>
      <c r="D186" s="4" t="str">
        <f>IFERROR(IF(VLOOKUP($C186,'C'!$A$1:$N$1998,4,FALSE)=0,IF(VLOOKUP($C186,'C'!$A$1:$N$1998,7,FALSE)=0,VLOOKUP($C186,'C'!$A$1:$N$1998,10,FALSE),VLOOKUP($C186,'C'!$A$1:$N$1998,7,FALSE)),VLOOKUP($C186,'C'!$A$1:$N$1998,4,FALSE)),"")</f>
        <v/>
      </c>
      <c r="E186" s="4" t="str">
        <f>IFERROR(VLOOKUP($C186,'C'!$A$1:$N$1998,2,FALSE),"")</f>
        <v/>
      </c>
      <c r="F186" s="4" t="str">
        <f>IFERROR(IF(VLOOKUP($C186,'C'!$A$1:$N$1998,3,FALSE)=1,"&lt;",""),"")</f>
        <v/>
      </c>
      <c r="G186" s="4" t="str">
        <f>IFERROR(VLOOKUP($C186,'C'!$A$1:$N$1998,5,FALSE),"")</f>
        <v/>
      </c>
      <c r="H186" s="4" t="str">
        <f>IFERROR(IF(VLOOKUP($C186,'C'!$A$1:$N$1998,6,FALSE)=1,"&lt;",""),"")</f>
        <v/>
      </c>
      <c r="I186" s="4" t="str">
        <f>IFERROR(VLOOKUP($C186,'C'!$A$1:$N$1998,8,FALSE),"")</f>
        <v/>
      </c>
      <c r="J186" s="4" t="str">
        <f>IFERROR(IF(VLOOKUP($C186,'C'!$A$1:$N$1998,9,FALSE)=1,"&lt;",""),"")</f>
        <v/>
      </c>
      <c r="M186" s="4" t="str">
        <f t="shared" si="110"/>
        <v/>
      </c>
      <c r="N186" s="4" t="str">
        <f t="shared" si="114"/>
        <v/>
      </c>
      <c r="O186" s="4" t="str">
        <f t="shared" si="126"/>
        <v/>
      </c>
      <c r="P186" s="4" t="str">
        <f t="shared" si="115"/>
        <v/>
      </c>
      <c r="Q186" s="4" t="str">
        <f t="shared" si="127"/>
        <v/>
      </c>
      <c r="R186" s="4" t="str">
        <f t="shared" si="116"/>
        <v/>
      </c>
      <c r="V186" s="4">
        <f>IFERROR(IF(VLOOKUP(B186,E!$B$1:$AK$300,4,FALSE)=0,1000000,VLOOKUP(B186,E!$B$1:$AK$300,4,FALSE)),1000000)</f>
        <v>1000000</v>
      </c>
      <c r="Z186" s="4" t="str">
        <f t="shared" si="144"/>
        <v/>
      </c>
      <c r="AC186" s="4" t="str">
        <f t="shared" si="145"/>
        <v/>
      </c>
      <c r="AF186" s="4" t="str">
        <f t="shared" si="146"/>
        <v/>
      </c>
      <c r="AI186" s="77">
        <v>0</v>
      </c>
      <c r="AJ186" s="77">
        <v>0</v>
      </c>
      <c r="AK186" s="77">
        <v>1</v>
      </c>
      <c r="AO186" s="4">
        <f t="shared" si="117"/>
        <v>5</v>
      </c>
      <c r="AQ186" s="4">
        <f t="shared" si="118"/>
        <v>5</v>
      </c>
      <c r="AS186" s="4">
        <f t="shared" si="119"/>
        <v>5</v>
      </c>
      <c r="AV186" s="4" t="str">
        <f t="shared" si="99"/>
        <v/>
      </c>
      <c r="AX186" s="4" t="str">
        <f t="shared" si="100"/>
        <v/>
      </c>
      <c r="AZ186" s="4" t="str">
        <f t="shared" si="101"/>
        <v/>
      </c>
    </row>
    <row r="187" spans="1:52" x14ac:dyDescent="0.2">
      <c r="A187" s="4" t="s">
        <v>649</v>
      </c>
      <c r="B187" s="4">
        <v>4773</v>
      </c>
      <c r="C187" s="71" t="str">
        <f t="shared" si="140"/>
        <v>urn:immetingen:parameter:id:4773</v>
      </c>
      <c r="D187" s="4" t="str">
        <f>IFERROR(IF(VLOOKUP($C187,'C'!$A$1:$N$1998,4,FALSE)=0,IF(VLOOKUP($C187,'C'!$A$1:$N$1998,7,FALSE)=0,VLOOKUP($C187,'C'!$A$1:$N$1998,10,FALSE),VLOOKUP($C187,'C'!$A$1:$N$1998,7,FALSE)),VLOOKUP($C187,'C'!$A$1:$N$1998,4,FALSE)),"")</f>
        <v/>
      </c>
      <c r="E187" s="71">
        <f>Invoer!D49</f>
        <v>0</v>
      </c>
      <c r="F187" s="71" t="str">
        <f>IF(Invoer!C49="&lt;","&lt;","")</f>
        <v/>
      </c>
      <c r="G187" s="71">
        <f>Invoer!F49</f>
        <v>0</v>
      </c>
      <c r="H187" s="71" t="str">
        <f>IF(Invoer!E49="&lt;","&lt;","")</f>
        <v/>
      </c>
      <c r="I187" s="71">
        <f>Invoer!H49</f>
        <v>0</v>
      </c>
      <c r="J187" s="71" t="str">
        <f>IF(Invoer!G49="&lt;","&lt;","")</f>
        <v/>
      </c>
      <c r="K187" s="71"/>
      <c r="L187" s="71"/>
      <c r="M187" s="4">
        <f t="shared" si="110"/>
        <v>0</v>
      </c>
      <c r="N187" s="4" t="str">
        <f t="shared" si="114"/>
        <v/>
      </c>
      <c r="O187" s="4">
        <f t="shared" si="126"/>
        <v>0</v>
      </c>
      <c r="P187" s="4" t="str">
        <f t="shared" si="115"/>
        <v/>
      </c>
      <c r="Q187" s="4">
        <f t="shared" si="127"/>
        <v>0</v>
      </c>
      <c r="R187" s="4" t="str">
        <f t="shared" si="116"/>
        <v/>
      </c>
      <c r="S187" s="71"/>
      <c r="T187" s="71"/>
      <c r="U187" s="71"/>
      <c r="V187" s="4">
        <f>IFERROR(IF(VLOOKUP(B187,E!$B$1:$AK$300,4,FALSE)=0,1000000,VLOOKUP(B187,E!$B$1:$AK$300,4,FALSE)),1000000)</f>
        <v>1000000</v>
      </c>
      <c r="W187" s="71"/>
      <c r="X187" s="71"/>
      <c r="Z187" s="4">
        <f t="shared" si="144"/>
        <v>0</v>
      </c>
      <c r="AC187" s="4">
        <f t="shared" si="145"/>
        <v>0</v>
      </c>
      <c r="AF187" s="4">
        <f t="shared" si="146"/>
        <v>0</v>
      </c>
      <c r="AI187" s="77">
        <v>0</v>
      </c>
      <c r="AJ187" s="77">
        <v>0</v>
      </c>
      <c r="AK187" s="77">
        <v>1</v>
      </c>
      <c r="AO187" s="4">
        <f t="shared" si="117"/>
        <v>5</v>
      </c>
      <c r="AQ187" s="4">
        <f t="shared" si="118"/>
        <v>5</v>
      </c>
      <c r="AS187" s="4">
        <f t="shared" si="119"/>
        <v>5</v>
      </c>
      <c r="AV187" s="4">
        <f t="shared" si="99"/>
        <v>0</v>
      </c>
      <c r="AX187" s="4">
        <f t="shared" si="100"/>
        <v>0</v>
      </c>
      <c r="AZ187" s="4">
        <f t="shared" si="101"/>
        <v>0</v>
      </c>
    </row>
    <row r="188" spans="1:52" x14ac:dyDescent="0.2">
      <c r="A188" s="4" t="s">
        <v>650</v>
      </c>
      <c r="B188" s="4">
        <v>1159</v>
      </c>
      <c r="C188" s="71" t="str">
        <f t="shared" si="140"/>
        <v>urn:immetingen:parameter:id:1159</v>
      </c>
      <c r="D188" s="4" t="str">
        <f>IFERROR(IF(VLOOKUP($C188,'C'!$A$1:$N$1998,4,FALSE)=0,IF(VLOOKUP($C188,'C'!$A$1:$N$1998,7,FALSE)=0,VLOOKUP($C188,'C'!$A$1:$N$1998,10,FALSE),VLOOKUP($C188,'C'!$A$1:$N$1998,7,FALSE)),VLOOKUP($C188,'C'!$A$1:$N$1998,4,FALSE)),"")</f>
        <v/>
      </c>
      <c r="E188" s="71">
        <f>Invoer!D50</f>
        <v>0</v>
      </c>
      <c r="F188" s="71" t="str">
        <f>IF(Invoer!C50="&lt;","&lt;","")</f>
        <v/>
      </c>
      <c r="G188" s="71">
        <f>Invoer!F50</f>
        <v>0</v>
      </c>
      <c r="H188" s="71" t="str">
        <f>IF(Invoer!E50="&lt;","&lt;","")</f>
        <v/>
      </c>
      <c r="I188" s="71">
        <f>Invoer!H50</f>
        <v>0</v>
      </c>
      <c r="J188" s="71" t="str">
        <f>IF(Invoer!G50="&lt;","&lt;","")</f>
        <v/>
      </c>
      <c r="K188" s="71"/>
      <c r="L188" s="71"/>
      <c r="M188" s="4">
        <f t="shared" si="110"/>
        <v>0</v>
      </c>
      <c r="N188" s="4" t="str">
        <f t="shared" si="114"/>
        <v/>
      </c>
      <c r="O188" s="4">
        <f t="shared" si="126"/>
        <v>0</v>
      </c>
      <c r="P188" s="4" t="str">
        <f t="shared" si="115"/>
        <v/>
      </c>
      <c r="Q188" s="4">
        <f t="shared" si="127"/>
        <v>0</v>
      </c>
      <c r="R188" s="4" t="str">
        <f t="shared" si="116"/>
        <v/>
      </c>
      <c r="S188" s="71"/>
      <c r="T188" s="71"/>
      <c r="U188" s="71"/>
      <c r="V188" s="4">
        <f>IFERROR(IF(VLOOKUP(B188,E!$B$1:$AK$300,4,FALSE)=0,1000000,VLOOKUP(B188,E!$B$1:$AK$300,4,FALSE)),1000000)</f>
        <v>1000000</v>
      </c>
      <c r="W188" s="71"/>
      <c r="X188" s="71"/>
      <c r="Z188" s="4">
        <f t="shared" si="144"/>
        <v>0</v>
      </c>
      <c r="AC188" s="4">
        <f t="shared" si="145"/>
        <v>0</v>
      </c>
      <c r="AF188" s="4">
        <f t="shared" si="146"/>
        <v>0</v>
      </c>
      <c r="AI188" s="77">
        <v>0</v>
      </c>
      <c r="AJ188" s="77">
        <v>0</v>
      </c>
      <c r="AK188" s="77">
        <v>1</v>
      </c>
      <c r="AO188" s="4">
        <f t="shared" si="117"/>
        <v>5</v>
      </c>
      <c r="AQ188" s="4">
        <f t="shared" si="118"/>
        <v>5</v>
      </c>
      <c r="AS188" s="4">
        <f t="shared" si="119"/>
        <v>5</v>
      </c>
      <c r="AV188" s="4">
        <f t="shared" si="99"/>
        <v>0</v>
      </c>
      <c r="AX188" s="4">
        <f t="shared" si="100"/>
        <v>0</v>
      </c>
      <c r="AZ188" s="4">
        <f t="shared" si="101"/>
        <v>0</v>
      </c>
    </row>
    <row r="189" spans="1:52" x14ac:dyDescent="0.2">
      <c r="A189" s="4" t="s">
        <v>651</v>
      </c>
      <c r="B189" s="4">
        <v>327</v>
      </c>
      <c r="C189" s="4" t="str">
        <f t="shared" si="140"/>
        <v>urn:immetingen:parameter:id:327</v>
      </c>
      <c r="D189" s="4" t="str">
        <f>IFERROR(IF(VLOOKUP($C189,'C'!$A$1:$N$1998,4,FALSE)=0,IF(VLOOKUP($C189,'C'!$A$1:$N$1998,7,FALSE)=0,VLOOKUP($C189,'C'!$A$1:$N$1998,10,FALSE),VLOOKUP($C189,'C'!$A$1:$N$1998,7,FALSE)),VLOOKUP($C189,'C'!$A$1:$N$1998,4,FALSE)),"")</f>
        <v/>
      </c>
      <c r="E189" s="4" t="str">
        <f>IFERROR(VLOOKUP($C189,'C'!$A$1:$N$1998,2,FALSE),"")</f>
        <v/>
      </c>
      <c r="F189" s="4" t="str">
        <f>IFERROR(IF(VLOOKUP($C189,'C'!$A$1:$N$1998,3,FALSE)=1,"&lt;",""),"")</f>
        <v/>
      </c>
      <c r="G189" s="4" t="str">
        <f>IFERROR(VLOOKUP($C189,'C'!$A$1:$N$1998,5,FALSE),"")</f>
        <v/>
      </c>
      <c r="H189" s="4" t="str">
        <f>IFERROR(IF(VLOOKUP($C189,'C'!$A$1:$N$1998,6,FALSE)=1,"&lt;",""),"")</f>
        <v/>
      </c>
      <c r="I189" s="4" t="str">
        <f>IFERROR(VLOOKUP($C189,'C'!$A$1:$N$1998,8,FALSE),"")</f>
        <v/>
      </c>
      <c r="J189" s="4" t="str">
        <f>IFERROR(IF(VLOOKUP($C189,'C'!$A$1:$N$1998,9,FALSE)=1,"&lt;",""),"")</f>
        <v/>
      </c>
      <c r="M189" s="4" t="str">
        <f t="shared" si="110"/>
        <v/>
      </c>
      <c r="N189" s="4" t="str">
        <f t="shared" si="114"/>
        <v/>
      </c>
      <c r="O189" s="4" t="str">
        <f t="shared" si="126"/>
        <v/>
      </c>
      <c r="P189" s="4" t="str">
        <f t="shared" si="115"/>
        <v/>
      </c>
      <c r="Q189" s="4" t="str">
        <f t="shared" si="127"/>
        <v/>
      </c>
      <c r="R189" s="4" t="str">
        <f t="shared" si="116"/>
        <v/>
      </c>
      <c r="V189" s="4">
        <f>IFERROR(IF(VLOOKUP(B189,E!$B$1:$AK$300,4,FALSE)=0,1000000,VLOOKUP(B189,E!$B$1:$AK$300,4,FALSE)),1000000)</f>
        <v>1000000</v>
      </c>
      <c r="Z189" s="4" t="str">
        <f t="shared" si="144"/>
        <v/>
      </c>
      <c r="AC189" s="4" t="str">
        <f t="shared" si="145"/>
        <v/>
      </c>
      <c r="AF189" s="4" t="str">
        <f t="shared" si="146"/>
        <v/>
      </c>
      <c r="AI189" s="77">
        <v>0</v>
      </c>
      <c r="AJ189" s="77">
        <v>0</v>
      </c>
      <c r="AK189" s="77">
        <v>1</v>
      </c>
      <c r="AO189" s="4">
        <f t="shared" si="117"/>
        <v>5</v>
      </c>
      <c r="AQ189" s="4">
        <f t="shared" si="118"/>
        <v>5</v>
      </c>
      <c r="AS189" s="4">
        <f t="shared" si="119"/>
        <v>5</v>
      </c>
      <c r="AV189" s="4" t="str">
        <f t="shared" si="99"/>
        <v/>
      </c>
      <c r="AX189" s="4" t="str">
        <f t="shared" si="100"/>
        <v/>
      </c>
      <c r="AZ189" s="4" t="str">
        <f t="shared" si="101"/>
        <v/>
      </c>
    </row>
    <row r="190" spans="1:52" x14ac:dyDescent="0.2">
      <c r="A190" s="4" t="s">
        <v>652</v>
      </c>
      <c r="B190" s="4">
        <v>328</v>
      </c>
      <c r="C190" s="4" t="str">
        <f t="shared" si="140"/>
        <v>urn:immetingen:parameter:id:328</v>
      </c>
      <c r="D190" s="4" t="str">
        <f>IFERROR(IF(VLOOKUP($C190,'C'!$A$1:$N$1998,4,FALSE)=0,IF(VLOOKUP($C190,'C'!$A$1:$N$1998,7,FALSE)=0,VLOOKUP($C190,'C'!$A$1:$N$1998,10,FALSE),VLOOKUP($C190,'C'!$A$1:$N$1998,7,FALSE)),VLOOKUP($C190,'C'!$A$1:$N$1998,4,FALSE)),"")</f>
        <v/>
      </c>
      <c r="E190" s="4" t="str">
        <f>IFERROR(VLOOKUP($C190,'C'!$A$1:$N$1998,2,FALSE),"")</f>
        <v/>
      </c>
      <c r="F190" s="4" t="str">
        <f>IFERROR(IF(VLOOKUP($C190,'C'!$A$1:$N$1998,3,FALSE)=1,"&lt;",""),"")</f>
        <v/>
      </c>
      <c r="G190" s="4" t="str">
        <f>IFERROR(VLOOKUP($C190,'C'!$A$1:$N$1998,5,FALSE),"")</f>
        <v/>
      </c>
      <c r="H190" s="4" t="str">
        <f>IFERROR(IF(VLOOKUP($C190,'C'!$A$1:$N$1998,6,FALSE)=1,"&lt;",""),"")</f>
        <v/>
      </c>
      <c r="I190" s="4" t="str">
        <f>IFERROR(VLOOKUP($C190,'C'!$A$1:$N$1998,8,FALSE),"")</f>
        <v/>
      </c>
      <c r="J190" s="4" t="str">
        <f>IFERROR(IF(VLOOKUP($C190,'C'!$A$1:$N$1998,9,FALSE)=1,"&lt;",""),"")</f>
        <v/>
      </c>
      <c r="M190" s="4" t="str">
        <f t="shared" si="110"/>
        <v/>
      </c>
      <c r="N190" s="4" t="str">
        <f t="shared" si="114"/>
        <v/>
      </c>
      <c r="O190" s="4" t="str">
        <f t="shared" si="126"/>
        <v/>
      </c>
      <c r="P190" s="4" t="str">
        <f t="shared" si="115"/>
        <v/>
      </c>
      <c r="Q190" s="4" t="str">
        <f t="shared" si="127"/>
        <v/>
      </c>
      <c r="R190" s="4" t="str">
        <f t="shared" si="116"/>
        <v/>
      </c>
      <c r="V190" s="4">
        <f>IFERROR(IF(VLOOKUP(B190,E!$B$1:$AK$300,4,FALSE)=0,1000000,VLOOKUP(B190,E!$B$1:$AK$300,4,FALSE)),1000000)</f>
        <v>1000000000</v>
      </c>
      <c r="Z190" s="4" t="str">
        <f t="shared" si="144"/>
        <v/>
      </c>
      <c r="AC190" s="4" t="str">
        <f t="shared" si="145"/>
        <v/>
      </c>
      <c r="AF190" s="4" t="str">
        <f t="shared" si="146"/>
        <v/>
      </c>
      <c r="AI190" s="77">
        <v>0</v>
      </c>
      <c r="AJ190" s="77">
        <v>0</v>
      </c>
      <c r="AK190" s="77">
        <v>1</v>
      </c>
      <c r="AO190" s="4">
        <f t="shared" si="117"/>
        <v>5</v>
      </c>
      <c r="AQ190" s="4">
        <f t="shared" si="118"/>
        <v>5</v>
      </c>
      <c r="AS190" s="4">
        <f t="shared" si="119"/>
        <v>5</v>
      </c>
      <c r="AV190" s="4" t="str">
        <f t="shared" si="99"/>
        <v/>
      </c>
      <c r="AX190" s="4" t="str">
        <f t="shared" si="100"/>
        <v/>
      </c>
      <c r="AZ190" s="4" t="str">
        <f t="shared" si="101"/>
        <v/>
      </c>
    </row>
    <row r="191" spans="1:52" x14ac:dyDescent="0.2">
      <c r="A191" s="4" t="s">
        <v>653</v>
      </c>
      <c r="B191" s="4">
        <v>461</v>
      </c>
      <c r="C191" s="4" t="str">
        <f t="shared" si="140"/>
        <v>urn:immetingen:parameter:id:461</v>
      </c>
      <c r="D191" s="4" t="str">
        <f>IFERROR(IF(VLOOKUP($C191,'C'!$A$1:$N$1998,4,FALSE)=0,IF(VLOOKUP($C191,'C'!$A$1:$N$1998,7,FALSE)=0,VLOOKUP($C191,'C'!$A$1:$N$1998,10,FALSE),VLOOKUP($C191,'C'!$A$1:$N$1998,7,FALSE)),VLOOKUP($C191,'C'!$A$1:$N$1998,4,FALSE)),"")</f>
        <v/>
      </c>
      <c r="E191" s="4" t="str">
        <f>IFERROR(VLOOKUP($C191,'C'!$A$1:$N$1998,2,FALSE),"")</f>
        <v/>
      </c>
      <c r="F191" s="4" t="str">
        <f>IFERROR(IF(VLOOKUP($C191,'C'!$A$1:$N$1998,3,FALSE)=1,"&lt;",""),"")</f>
        <v/>
      </c>
      <c r="G191" s="4" t="str">
        <f>IFERROR(VLOOKUP($C191,'C'!$A$1:$N$1998,5,FALSE),"")</f>
        <v/>
      </c>
      <c r="H191" s="4" t="str">
        <f>IFERROR(IF(VLOOKUP($C191,'C'!$A$1:$N$1998,6,FALSE)=1,"&lt;",""),"")</f>
        <v/>
      </c>
      <c r="I191" s="4" t="str">
        <f>IFERROR(VLOOKUP($C191,'C'!$A$1:$N$1998,8,FALSE),"")</f>
        <v/>
      </c>
      <c r="J191" s="4" t="str">
        <f>IFERROR(IF(VLOOKUP($C191,'C'!$A$1:$N$1998,9,FALSE)=1,"&lt;",""),"")</f>
        <v/>
      </c>
      <c r="M191" s="4" t="str">
        <f t="shared" si="110"/>
        <v/>
      </c>
      <c r="N191" s="4" t="str">
        <f t="shared" si="114"/>
        <v/>
      </c>
      <c r="O191" s="4" t="str">
        <f t="shared" si="126"/>
        <v/>
      </c>
      <c r="P191" s="4" t="str">
        <f t="shared" si="115"/>
        <v/>
      </c>
      <c r="Q191" s="4" t="str">
        <f t="shared" si="127"/>
        <v/>
      </c>
      <c r="R191" s="4" t="str">
        <f t="shared" si="116"/>
        <v/>
      </c>
      <c r="V191" s="4">
        <f>IFERROR(IF(VLOOKUP(B191,E!$B$1:$AK$300,4,FALSE)=0,1000000,VLOOKUP(B191,E!$B$1:$AK$300,4,FALSE)),1000000)</f>
        <v>1000000</v>
      </c>
      <c r="Z191" s="4" t="str">
        <f t="shared" si="144"/>
        <v/>
      </c>
      <c r="AC191" s="4" t="str">
        <f t="shared" si="145"/>
        <v/>
      </c>
      <c r="AF191" s="4" t="str">
        <f t="shared" si="146"/>
        <v/>
      </c>
      <c r="AI191" s="77">
        <v>0</v>
      </c>
      <c r="AJ191" s="77">
        <v>0</v>
      </c>
      <c r="AK191" s="77">
        <v>1</v>
      </c>
      <c r="AO191" s="4">
        <f t="shared" si="117"/>
        <v>5</v>
      </c>
      <c r="AQ191" s="4">
        <f t="shared" si="118"/>
        <v>5</v>
      </c>
      <c r="AS191" s="4">
        <f t="shared" si="119"/>
        <v>5</v>
      </c>
      <c r="AV191" s="4" t="str">
        <f t="shared" si="99"/>
        <v/>
      </c>
      <c r="AX191" s="4" t="str">
        <f t="shared" si="100"/>
        <v/>
      </c>
      <c r="AZ191" s="4" t="str">
        <f t="shared" si="101"/>
        <v/>
      </c>
    </row>
    <row r="192" spans="1:52" x14ac:dyDescent="0.2">
      <c r="A192" s="4" t="s">
        <v>859</v>
      </c>
      <c r="B192" s="4">
        <v>3125</v>
      </c>
      <c r="C192" s="71" t="str">
        <f t="shared" si="140"/>
        <v>urn:immetingen:parameter:id:3125</v>
      </c>
      <c r="D192" s="4" t="str">
        <f>IFERROR(IF(VLOOKUP($C192,'C'!$A$1:$N$1998,4,FALSE)=0,IF(VLOOKUP($C192,'C'!$A$1:$N$1998,7,FALSE)=0,VLOOKUP($C192,'C'!$A$1:$N$1998,10,FALSE),VLOOKUP($C192,'C'!$A$1:$N$1998,7,FALSE)),VLOOKUP($C192,'C'!$A$1:$N$1998,4,FALSE)),"")</f>
        <v/>
      </c>
      <c r="E192" s="71">
        <f>Invoer!D54</f>
        <v>0</v>
      </c>
      <c r="F192" s="71" t="str">
        <f>IF(Invoer!C51="&lt;","&lt;","")</f>
        <v/>
      </c>
      <c r="G192" s="71">
        <f>Invoer!F51</f>
        <v>0</v>
      </c>
      <c r="H192" s="71" t="str">
        <f>IF(Invoer!E51="&lt;","&lt;","")</f>
        <v/>
      </c>
      <c r="I192" s="71">
        <f>Invoer!H51</f>
        <v>0</v>
      </c>
      <c r="J192" s="71" t="str">
        <f>IF(Invoer!G51="&lt;","&lt;","")</f>
        <v/>
      </c>
      <c r="K192" s="71"/>
      <c r="L192" s="71"/>
      <c r="M192" s="4">
        <f t="shared" si="110"/>
        <v>0</v>
      </c>
      <c r="N192" s="4" t="str">
        <f t="shared" si="114"/>
        <v/>
      </c>
      <c r="O192" s="4">
        <f t="shared" si="126"/>
        <v>0</v>
      </c>
      <c r="P192" s="4" t="str">
        <f t="shared" si="115"/>
        <v/>
      </c>
      <c r="Q192" s="4">
        <f t="shared" si="127"/>
        <v>0</v>
      </c>
      <c r="R192" s="4" t="str">
        <f t="shared" si="116"/>
        <v/>
      </c>
      <c r="S192" s="71"/>
      <c r="T192" s="71"/>
      <c r="U192" s="71"/>
      <c r="V192" s="4">
        <f>IFERROR(IF(VLOOKUP(B192,E!$B$1:$AK$300,4,FALSE)=0,1000000,VLOOKUP(B192,E!$B$1:$AK$300,4,FALSE)),1000000)</f>
        <v>1000000</v>
      </c>
      <c r="W192" s="71"/>
      <c r="X192" s="71"/>
      <c r="Z192" s="4">
        <f t="shared" si="144"/>
        <v>0</v>
      </c>
      <c r="AC192" s="4">
        <f t="shared" si="145"/>
        <v>0</v>
      </c>
      <c r="AF192" s="4">
        <f t="shared" si="146"/>
        <v>0</v>
      </c>
      <c r="AI192" s="77">
        <v>0</v>
      </c>
      <c r="AJ192" s="77">
        <v>0</v>
      </c>
      <c r="AK192" s="77">
        <v>1</v>
      </c>
      <c r="AO192" s="4">
        <f t="shared" si="117"/>
        <v>5</v>
      </c>
      <c r="AQ192" s="4">
        <f t="shared" si="118"/>
        <v>5</v>
      </c>
      <c r="AS192" s="4">
        <f t="shared" si="119"/>
        <v>5</v>
      </c>
      <c r="AV192" s="4">
        <f t="shared" si="99"/>
        <v>0</v>
      </c>
      <c r="AX192" s="4">
        <f t="shared" si="100"/>
        <v>0</v>
      </c>
      <c r="AZ192" s="4">
        <f t="shared" si="101"/>
        <v>0</v>
      </c>
    </row>
    <row r="193" spans="1:52" x14ac:dyDescent="0.2">
      <c r="A193" s="4" t="s">
        <v>860</v>
      </c>
      <c r="B193" s="4">
        <v>3207</v>
      </c>
      <c r="C193" s="71" t="str">
        <f t="shared" si="140"/>
        <v>urn:immetingen:parameter:id:3207</v>
      </c>
      <c r="D193" s="4" t="str">
        <f>IFERROR(IF(VLOOKUP($C193,'C'!$A$1:$N$1998,4,FALSE)=0,IF(VLOOKUP($C193,'C'!$A$1:$N$1998,7,FALSE)=0,VLOOKUP($C193,'C'!$A$1:$N$1998,10,FALSE),VLOOKUP($C193,'C'!$A$1:$N$1998,7,FALSE)),VLOOKUP($C193,'C'!$A$1:$N$1998,4,FALSE)),"")</f>
        <v/>
      </c>
      <c r="E193" s="71">
        <f>Invoer!D55</f>
        <v>0</v>
      </c>
      <c r="F193" s="71" t="str">
        <f>IF(Invoer!C52="&lt;","&lt;","")</f>
        <v/>
      </c>
      <c r="G193" s="71">
        <f>Invoer!F52</f>
        <v>0</v>
      </c>
      <c r="H193" s="71" t="str">
        <f>IF(Invoer!E52="&lt;","&lt;","")</f>
        <v/>
      </c>
      <c r="I193" s="71">
        <f>Invoer!H52</f>
        <v>0</v>
      </c>
      <c r="J193" s="71" t="str">
        <f>IF(Invoer!G52="&lt;","&lt;","")</f>
        <v/>
      </c>
      <c r="K193" s="71"/>
      <c r="L193" s="71"/>
      <c r="M193" s="4">
        <f t="shared" si="110"/>
        <v>0</v>
      </c>
      <c r="N193" s="4" t="str">
        <f t="shared" si="114"/>
        <v/>
      </c>
      <c r="O193" s="4">
        <f t="shared" si="126"/>
        <v>0</v>
      </c>
      <c r="P193" s="4" t="str">
        <f t="shared" si="115"/>
        <v/>
      </c>
      <c r="Q193" s="4">
        <f t="shared" si="127"/>
        <v>0</v>
      </c>
      <c r="R193" s="4" t="str">
        <f t="shared" si="116"/>
        <v/>
      </c>
      <c r="S193" s="71"/>
      <c r="T193" s="71"/>
      <c r="U193" s="71"/>
      <c r="V193" s="4">
        <f>IFERROR(IF(VLOOKUP(B193,E!$B$1:$AK$300,4,FALSE)=0,1000000,VLOOKUP(B193,E!$B$1:$AK$300,4,FALSE)),1000000)</f>
        <v>1000000</v>
      </c>
      <c r="W193" s="71"/>
      <c r="X193" s="71"/>
      <c r="Z193" s="4">
        <f t="shared" si="144"/>
        <v>0</v>
      </c>
      <c r="AC193" s="4">
        <f t="shared" si="145"/>
        <v>0</v>
      </c>
      <c r="AF193" s="4">
        <f t="shared" si="146"/>
        <v>0</v>
      </c>
      <c r="AI193" s="77">
        <v>0</v>
      </c>
      <c r="AJ193" s="77">
        <v>0</v>
      </c>
      <c r="AK193" s="77">
        <v>1</v>
      </c>
      <c r="AO193" s="4">
        <f t="shared" si="117"/>
        <v>5</v>
      </c>
      <c r="AQ193" s="4">
        <f t="shared" si="118"/>
        <v>5</v>
      </c>
      <c r="AS193" s="4">
        <f t="shared" si="119"/>
        <v>5</v>
      </c>
      <c r="AV193" s="4">
        <f t="shared" si="99"/>
        <v>0</v>
      </c>
      <c r="AX193" s="4">
        <f t="shared" si="100"/>
        <v>0</v>
      </c>
      <c r="AZ193" s="4">
        <f t="shared" si="101"/>
        <v>0</v>
      </c>
    </row>
    <row r="194" spans="1:52" x14ac:dyDescent="0.2">
      <c r="A194" s="4" t="s">
        <v>654</v>
      </c>
      <c r="B194" s="4">
        <v>487</v>
      </c>
      <c r="C194" s="4" t="str">
        <f t="shared" si="140"/>
        <v>urn:immetingen:parameter:id:487</v>
      </c>
      <c r="D194" s="17" t="str">
        <f>D192</f>
        <v/>
      </c>
      <c r="E194" s="4" t="str">
        <f>IFERROR(VLOOKUP($C194,'C'!$A$1:$N$1998,2,FALSE),"")</f>
        <v/>
      </c>
      <c r="F194" s="4" t="str">
        <f>IFERROR(IF(VLOOKUP($C194,'C'!$A$1:$N$1998,3,FALSE)=1,"&lt;",""),"")</f>
        <v/>
      </c>
      <c r="G194" s="4" t="str">
        <f>IFERROR(VLOOKUP($C194,'C'!$A$1:$N$1998,5,FALSE),"")</f>
        <v/>
      </c>
      <c r="H194" s="4" t="str">
        <f>IFERROR(IF(VLOOKUP($C194,'C'!$A$1:$N$1998,6,FALSE)=1,"&lt;",""),"")</f>
        <v/>
      </c>
      <c r="I194" s="4" t="str">
        <f>IFERROR(VLOOKUP($C194,'C'!$A$1:$N$1998,8,FALSE),"")</f>
        <v/>
      </c>
      <c r="J194" s="4" t="str">
        <f>IFERROR(IF(VLOOKUP($C194,'C'!$A$1:$N$1998,9,FALSE)=1,"&lt;",""),"")</f>
        <v/>
      </c>
      <c r="M194" s="4" t="str">
        <f t="shared" si="110"/>
        <v/>
      </c>
      <c r="N194" s="4" t="str">
        <f t="shared" si="114"/>
        <v/>
      </c>
      <c r="O194" s="4" t="str">
        <f t="shared" si="126"/>
        <v/>
      </c>
      <c r="P194" s="4" t="str">
        <f t="shared" si="115"/>
        <v/>
      </c>
      <c r="Q194" s="4" t="str">
        <f t="shared" si="127"/>
        <v/>
      </c>
      <c r="R194" s="4" t="str">
        <f t="shared" si="116"/>
        <v/>
      </c>
      <c r="V194" s="4">
        <f>IFERROR(IF(VLOOKUP(B194,E!$B$1:$AK$300,4,FALSE)=0,1000000,VLOOKUP(B194,E!$B$1:$AK$300,4,FALSE)),1000000)</f>
        <v>1000000</v>
      </c>
      <c r="Z194" s="4" t="str">
        <f t="shared" si="144"/>
        <v/>
      </c>
      <c r="AC194" s="4" t="str">
        <f t="shared" si="145"/>
        <v/>
      </c>
      <c r="AF194" s="4" t="str">
        <f t="shared" si="146"/>
        <v/>
      </c>
      <c r="AI194" s="77">
        <v>0</v>
      </c>
      <c r="AJ194" s="77">
        <v>0</v>
      </c>
      <c r="AK194" s="77">
        <v>1</v>
      </c>
      <c r="AO194" s="4">
        <f t="shared" si="117"/>
        <v>5</v>
      </c>
      <c r="AQ194" s="4">
        <f t="shared" si="118"/>
        <v>5</v>
      </c>
      <c r="AS194" s="4">
        <f t="shared" si="119"/>
        <v>5</v>
      </c>
      <c r="AV194" s="4" t="str">
        <f t="shared" si="99"/>
        <v/>
      </c>
      <c r="AX194" s="4" t="str">
        <f t="shared" si="100"/>
        <v/>
      </c>
      <c r="AZ194" s="4" t="str">
        <f t="shared" si="101"/>
        <v/>
      </c>
    </row>
    <row r="195" spans="1:52" x14ac:dyDescent="0.2">
      <c r="A195" s="4" t="s">
        <v>655</v>
      </c>
      <c r="B195" s="4">
        <v>495</v>
      </c>
      <c r="C195" s="4" t="str">
        <f t="shared" si="140"/>
        <v>urn:immetingen:parameter:id:495</v>
      </c>
      <c r="D195" s="4" t="str">
        <f>IFERROR(IF(VLOOKUP($C195,'C'!$A$1:$N$1998,4,FALSE)=0,IF(VLOOKUP($C195,'C'!$A$1:$N$1998,7,FALSE)=0,VLOOKUP($C195,'C'!$A$1:$N$1998,10,FALSE),VLOOKUP($C195,'C'!$A$1:$N$1998,7,FALSE)),VLOOKUP($C195,'C'!$A$1:$N$1998,4,FALSE)),"")</f>
        <v/>
      </c>
      <c r="E195" s="4" t="str">
        <f>IFERROR(VLOOKUP($C195,'C'!$A$1:$N$1998,2,FALSE),"")</f>
        <v/>
      </c>
      <c r="F195" s="4" t="str">
        <f>IFERROR(IF(VLOOKUP($C195,'C'!$A$1:$N$1998,3,FALSE)=1,"&lt;",""),"")</f>
        <v/>
      </c>
      <c r="G195" s="4" t="str">
        <f>IFERROR(VLOOKUP($C195,'C'!$A$1:$N$1998,5,FALSE),"")</f>
        <v/>
      </c>
      <c r="H195" s="4" t="str">
        <f>IFERROR(IF(VLOOKUP($C195,'C'!$A$1:$N$1998,6,FALSE)=1,"&lt;",""),"")</f>
        <v/>
      </c>
      <c r="I195" s="4" t="str">
        <f>IFERROR(VLOOKUP($C195,'C'!$A$1:$N$1998,8,FALSE),"")</f>
        <v/>
      </c>
      <c r="J195" s="4" t="str">
        <f>IFERROR(IF(VLOOKUP($C195,'C'!$A$1:$N$1998,9,FALSE)=1,"&lt;",""),"")</f>
        <v/>
      </c>
      <c r="M195" s="4" t="str">
        <f t="shared" si="110"/>
        <v/>
      </c>
      <c r="N195" s="4" t="str">
        <f t="shared" si="114"/>
        <v/>
      </c>
      <c r="O195" s="4" t="str">
        <f t="shared" si="126"/>
        <v/>
      </c>
      <c r="P195" s="4" t="str">
        <f t="shared" si="115"/>
        <v/>
      </c>
      <c r="Q195" s="4" t="str">
        <f t="shared" si="127"/>
        <v/>
      </c>
      <c r="R195" s="4" t="str">
        <f t="shared" si="116"/>
        <v/>
      </c>
      <c r="V195" s="4">
        <f>IFERROR(IF(VLOOKUP(B195,E!$B$1:$AK$300,4,FALSE)=0,1000000,VLOOKUP(B195,E!$B$1:$AK$300,4,FALSE)),1000000)</f>
        <v>1000000</v>
      </c>
      <c r="Z195" s="4" t="str">
        <f t="shared" si="144"/>
        <v/>
      </c>
      <c r="AC195" s="4" t="str">
        <f t="shared" si="145"/>
        <v/>
      </c>
      <c r="AF195" s="4" t="str">
        <f t="shared" si="146"/>
        <v/>
      </c>
      <c r="AI195" s="77">
        <v>0</v>
      </c>
      <c r="AJ195" s="77">
        <v>0</v>
      </c>
      <c r="AK195" s="77">
        <v>1</v>
      </c>
      <c r="AO195" s="4">
        <f t="shared" si="117"/>
        <v>5</v>
      </c>
      <c r="AQ195" s="4">
        <f t="shared" si="118"/>
        <v>5</v>
      </c>
      <c r="AS195" s="4">
        <f t="shared" si="119"/>
        <v>5</v>
      </c>
      <c r="AV195" s="4" t="str">
        <f t="shared" si="99"/>
        <v/>
      </c>
      <c r="AX195" s="4" t="str">
        <f t="shared" si="100"/>
        <v/>
      </c>
      <c r="AZ195" s="4" t="str">
        <f t="shared" si="101"/>
        <v/>
      </c>
    </row>
    <row r="196" spans="1:52" x14ac:dyDescent="0.2">
      <c r="A196" s="4" t="s">
        <v>656</v>
      </c>
      <c r="B196" s="4">
        <v>496</v>
      </c>
      <c r="C196" s="4" t="str">
        <f t="shared" si="140"/>
        <v>urn:immetingen:parameter:id:496</v>
      </c>
      <c r="D196" s="4" t="str">
        <f>IFERROR(IF(VLOOKUP($C196,'C'!$A$1:$N$1998,4,FALSE)=0,IF(VLOOKUP($C196,'C'!$A$1:$N$1998,7,FALSE)=0,VLOOKUP($C196,'C'!$A$1:$N$1998,10,FALSE),VLOOKUP($C196,'C'!$A$1:$N$1998,7,FALSE)),VLOOKUP($C196,'C'!$A$1:$N$1998,4,FALSE)),"")</f>
        <v/>
      </c>
      <c r="E196" s="4" t="str">
        <f>IFERROR(VLOOKUP($C196,'C'!$A$1:$N$1998,2,FALSE),"")</f>
        <v/>
      </c>
      <c r="F196" s="4" t="str">
        <f>IFERROR(IF(VLOOKUP($C196,'C'!$A$1:$N$1998,3,FALSE)=1,"&lt;",""),"")</f>
        <v/>
      </c>
      <c r="G196" s="4" t="str">
        <f>IFERROR(VLOOKUP($C196,'C'!$A$1:$N$1998,5,FALSE),"")</f>
        <v/>
      </c>
      <c r="H196" s="4" t="str">
        <f>IFERROR(IF(VLOOKUP($C196,'C'!$A$1:$N$1998,6,FALSE)=1,"&lt;",""),"")</f>
        <v/>
      </c>
      <c r="I196" s="4" t="str">
        <f>IFERROR(VLOOKUP($C196,'C'!$A$1:$N$1998,8,FALSE),"")</f>
        <v/>
      </c>
      <c r="J196" s="4" t="str">
        <f>IFERROR(IF(VLOOKUP($C196,'C'!$A$1:$N$1998,9,FALSE)=1,"&lt;",""),"")</f>
        <v/>
      </c>
      <c r="M196" s="4" t="str">
        <f t="shared" si="110"/>
        <v/>
      </c>
      <c r="N196" s="4" t="str">
        <f t="shared" si="114"/>
        <v/>
      </c>
      <c r="O196" s="4" t="str">
        <f t="shared" si="126"/>
        <v/>
      </c>
      <c r="P196" s="4" t="str">
        <f t="shared" si="115"/>
        <v/>
      </c>
      <c r="Q196" s="4" t="str">
        <f t="shared" si="127"/>
        <v/>
      </c>
      <c r="R196" s="4" t="str">
        <f t="shared" si="116"/>
        <v/>
      </c>
      <c r="V196" s="4">
        <f>IFERROR(IF(VLOOKUP(B196,E!$B$1:$AK$300,4,FALSE)=0,1000000,VLOOKUP(B196,E!$B$1:$AK$300,4,FALSE)),1000000)</f>
        <v>1000000</v>
      </c>
      <c r="Z196" s="4" t="str">
        <f t="shared" si="144"/>
        <v/>
      </c>
      <c r="AC196" s="4" t="str">
        <f t="shared" si="145"/>
        <v/>
      </c>
      <c r="AF196" s="4" t="str">
        <f t="shared" si="146"/>
        <v/>
      </c>
      <c r="AI196" s="77">
        <v>0</v>
      </c>
      <c r="AJ196" s="77">
        <v>0</v>
      </c>
      <c r="AK196" s="77">
        <v>1</v>
      </c>
      <c r="AO196" s="4">
        <f t="shared" si="117"/>
        <v>5</v>
      </c>
      <c r="AQ196" s="4">
        <f t="shared" si="118"/>
        <v>5</v>
      </c>
      <c r="AS196" s="4">
        <f t="shared" si="119"/>
        <v>5</v>
      </c>
      <c r="AV196" s="4" t="str">
        <f t="shared" si="99"/>
        <v/>
      </c>
      <c r="AX196" s="4" t="str">
        <f t="shared" si="100"/>
        <v/>
      </c>
      <c r="AZ196" s="4" t="str">
        <f t="shared" si="101"/>
        <v/>
      </c>
    </row>
    <row r="197" spans="1:52" x14ac:dyDescent="0.2">
      <c r="A197" s="4" t="s">
        <v>657</v>
      </c>
      <c r="B197" s="4">
        <v>592</v>
      </c>
      <c r="C197" s="4" t="str">
        <f t="shared" si="140"/>
        <v>urn:immetingen:parameter:id:592</v>
      </c>
      <c r="D197" s="4" t="str">
        <f>IFERROR(IF(VLOOKUP($C197,'C'!$A$1:$N$1998,4,FALSE)=0,IF(VLOOKUP($C197,'C'!$A$1:$N$1998,7,FALSE)=0,VLOOKUP($C197,'C'!$A$1:$N$1998,10,FALSE),VLOOKUP($C197,'C'!$A$1:$N$1998,7,FALSE)),VLOOKUP($C197,'C'!$A$1:$N$1998,4,FALSE)),"")</f>
        <v/>
      </c>
      <c r="E197" s="4" t="str">
        <f>IFERROR(VLOOKUP($C197,'C'!$A$1:$N$1998,2,FALSE),"")</f>
        <v/>
      </c>
      <c r="F197" s="4" t="str">
        <f>IFERROR(IF(VLOOKUP($C197,'C'!$A$1:$N$1998,3,FALSE)=1,"&lt;",""),"")</f>
        <v/>
      </c>
      <c r="G197" s="4" t="str">
        <f>IFERROR(VLOOKUP($C197,'C'!$A$1:$N$1998,5,FALSE),"")</f>
        <v/>
      </c>
      <c r="H197" s="4" t="str">
        <f>IFERROR(IF(VLOOKUP($C197,'C'!$A$1:$N$1998,6,FALSE)=1,"&lt;",""),"")</f>
        <v/>
      </c>
      <c r="I197" s="4" t="str">
        <f>IFERROR(VLOOKUP($C197,'C'!$A$1:$N$1998,8,FALSE),"")</f>
        <v/>
      </c>
      <c r="J197" s="4" t="str">
        <f>IFERROR(IF(VLOOKUP($C197,'C'!$A$1:$N$1998,9,FALSE)=1,"&lt;",""),"")</f>
        <v/>
      </c>
      <c r="M197" s="4" t="str">
        <f t="shared" si="110"/>
        <v/>
      </c>
      <c r="N197" s="4" t="str">
        <f t="shared" si="114"/>
        <v/>
      </c>
      <c r="O197" s="4" t="str">
        <f t="shared" si="126"/>
        <v/>
      </c>
      <c r="P197" s="4" t="str">
        <f t="shared" si="115"/>
        <v/>
      </c>
      <c r="Q197" s="4" t="str">
        <f t="shared" si="127"/>
        <v/>
      </c>
      <c r="R197" s="4" t="str">
        <f t="shared" si="116"/>
        <v/>
      </c>
      <c r="V197" s="4">
        <f>IFERROR(IF(VLOOKUP(B197,E!$B$1:$AK$300,4,FALSE)=0,1000000,VLOOKUP(B197,E!$B$1:$AK$300,4,FALSE)),1000000)</f>
        <v>1000000</v>
      </c>
      <c r="Z197" s="4" t="str">
        <f t="shared" si="144"/>
        <v/>
      </c>
      <c r="AC197" s="4" t="str">
        <f t="shared" si="145"/>
        <v/>
      </c>
      <c r="AF197" s="4" t="str">
        <f t="shared" si="146"/>
        <v/>
      </c>
      <c r="AI197" s="77">
        <v>0</v>
      </c>
      <c r="AJ197" s="77">
        <v>0</v>
      </c>
      <c r="AK197" s="77">
        <v>1</v>
      </c>
      <c r="AO197" s="4">
        <f t="shared" si="117"/>
        <v>5</v>
      </c>
      <c r="AQ197" s="4">
        <f t="shared" si="118"/>
        <v>5</v>
      </c>
      <c r="AS197" s="4">
        <f t="shared" si="119"/>
        <v>5</v>
      </c>
      <c r="AV197" s="4" t="str">
        <f t="shared" si="99"/>
        <v/>
      </c>
      <c r="AX197" s="4" t="str">
        <f t="shared" si="100"/>
        <v/>
      </c>
      <c r="AZ197" s="4" t="str">
        <f t="shared" si="101"/>
        <v/>
      </c>
    </row>
    <row r="198" spans="1:52" x14ac:dyDescent="0.2">
      <c r="A198" s="4" t="s">
        <v>658</v>
      </c>
      <c r="B198" s="4">
        <v>624</v>
      </c>
      <c r="C198" s="4" t="str">
        <f t="shared" si="140"/>
        <v>urn:immetingen:parameter:id:624</v>
      </c>
      <c r="D198" s="4" t="str">
        <f>IFERROR(IF(VLOOKUP($C198,'C'!$A$1:$N$1998,4,FALSE)=0,IF(VLOOKUP($C198,'C'!$A$1:$N$1998,7,FALSE)=0,VLOOKUP($C198,'C'!$A$1:$N$1998,10,FALSE),VLOOKUP($C198,'C'!$A$1:$N$1998,7,FALSE)),VLOOKUP($C198,'C'!$A$1:$N$1998,4,FALSE)),"")</f>
        <v/>
      </c>
      <c r="E198" s="4" t="str">
        <f>IFERROR(VLOOKUP($C198,'C'!$A$1:$N$1998,2,FALSE),"")</f>
        <v/>
      </c>
      <c r="F198" s="4" t="str">
        <f>IFERROR(IF(VLOOKUP($C198,'C'!$A$1:$N$1998,3,FALSE)=1,"&lt;",""),"")</f>
        <v/>
      </c>
      <c r="G198" s="4" t="str">
        <f>IFERROR(VLOOKUP($C198,'C'!$A$1:$N$1998,5,FALSE),"")</f>
        <v/>
      </c>
      <c r="H198" s="4" t="str">
        <f>IFERROR(IF(VLOOKUP($C198,'C'!$A$1:$N$1998,6,FALSE)=1,"&lt;",""),"")</f>
        <v/>
      </c>
      <c r="I198" s="4" t="str">
        <f>IFERROR(VLOOKUP($C198,'C'!$A$1:$N$1998,8,FALSE),"")</f>
        <v/>
      </c>
      <c r="J198" s="4" t="str">
        <f>IFERROR(IF(VLOOKUP($C198,'C'!$A$1:$N$1998,9,FALSE)=1,"&lt;",""),"")</f>
        <v/>
      </c>
      <c r="M198" s="4" t="str">
        <f t="shared" si="110"/>
        <v/>
      </c>
      <c r="N198" s="4" t="str">
        <f t="shared" si="114"/>
        <v/>
      </c>
      <c r="O198" s="4" t="str">
        <f t="shared" si="126"/>
        <v/>
      </c>
      <c r="P198" s="4" t="str">
        <f t="shared" si="115"/>
        <v/>
      </c>
      <c r="Q198" s="4" t="str">
        <f t="shared" si="127"/>
        <v/>
      </c>
      <c r="R198" s="4" t="str">
        <f t="shared" si="116"/>
        <v/>
      </c>
      <c r="V198" s="4">
        <f>IFERROR(IF(VLOOKUP(B198,E!$B$1:$AK$300,4,FALSE)=0,1000000,VLOOKUP(B198,E!$B$1:$AK$300,4,FALSE)),1000000)</f>
        <v>1000000</v>
      </c>
      <c r="Z198" s="4" t="str">
        <f t="shared" si="144"/>
        <v/>
      </c>
      <c r="AC198" s="4" t="str">
        <f t="shared" si="145"/>
        <v/>
      </c>
      <c r="AF198" s="4" t="str">
        <f t="shared" si="146"/>
        <v/>
      </c>
      <c r="AI198" s="77">
        <v>0</v>
      </c>
      <c r="AJ198" s="77">
        <v>0</v>
      </c>
      <c r="AK198" s="77">
        <v>1</v>
      </c>
      <c r="AO198" s="4">
        <f t="shared" si="117"/>
        <v>5</v>
      </c>
      <c r="AQ198" s="4">
        <f t="shared" si="118"/>
        <v>5</v>
      </c>
      <c r="AS198" s="4">
        <f t="shared" si="119"/>
        <v>5</v>
      </c>
      <c r="AV198" s="4" t="str">
        <f t="shared" si="99"/>
        <v/>
      </c>
      <c r="AX198" s="4" t="str">
        <f t="shared" si="100"/>
        <v/>
      </c>
      <c r="AZ198" s="4" t="str">
        <f t="shared" si="101"/>
        <v/>
      </c>
    </row>
    <row r="199" spans="1:52" x14ac:dyDescent="0.2">
      <c r="A199" s="4" t="s">
        <v>659</v>
      </c>
      <c r="B199" s="4">
        <v>653</v>
      </c>
      <c r="C199" s="4" t="str">
        <f t="shared" si="140"/>
        <v>urn:immetingen:parameter:id:653</v>
      </c>
      <c r="D199" s="4" t="str">
        <f>IFERROR(IF(VLOOKUP($C199,'C'!$A$1:$N$1998,4,FALSE)=0,IF(VLOOKUP($C199,'C'!$A$1:$N$1998,7,FALSE)=0,VLOOKUP($C199,'C'!$A$1:$N$1998,10,FALSE),VLOOKUP($C199,'C'!$A$1:$N$1998,7,FALSE)),VLOOKUP($C199,'C'!$A$1:$N$1998,4,FALSE)),"")</f>
        <v/>
      </c>
      <c r="E199" s="4" t="str">
        <f>IFERROR(VLOOKUP($C199,'C'!$A$1:$N$1998,2,FALSE),"")</f>
        <v/>
      </c>
      <c r="F199" s="4" t="str">
        <f>IFERROR(IF(VLOOKUP($C199,'C'!$A$1:$N$1998,3,FALSE)=1,"&lt;",""),"")</f>
        <v/>
      </c>
      <c r="G199" s="4" t="str">
        <f>IFERROR(VLOOKUP($C199,'C'!$A$1:$N$1998,5,FALSE),"")</f>
        <v/>
      </c>
      <c r="H199" s="4" t="str">
        <f>IFERROR(IF(VLOOKUP($C199,'C'!$A$1:$N$1998,6,FALSE)=1,"&lt;",""),"")</f>
        <v/>
      </c>
      <c r="I199" s="4" t="str">
        <f>IFERROR(VLOOKUP($C199,'C'!$A$1:$N$1998,8,FALSE),"")</f>
        <v/>
      </c>
      <c r="J199" s="4" t="str">
        <f>IFERROR(IF(VLOOKUP($C199,'C'!$A$1:$N$1998,9,FALSE)=1,"&lt;",""),"")</f>
        <v/>
      </c>
      <c r="M199" s="4" t="str">
        <f t="shared" si="110"/>
        <v/>
      </c>
      <c r="N199" s="4" t="str">
        <f t="shared" si="114"/>
        <v/>
      </c>
      <c r="O199" s="4" t="str">
        <f t="shared" si="126"/>
        <v/>
      </c>
      <c r="P199" s="4" t="str">
        <f t="shared" si="115"/>
        <v/>
      </c>
      <c r="Q199" s="4" t="str">
        <f t="shared" si="127"/>
        <v/>
      </c>
      <c r="R199" s="4" t="str">
        <f t="shared" si="116"/>
        <v/>
      </c>
      <c r="V199" s="4">
        <f>IFERROR(IF(VLOOKUP(B199,E!$B$1:$AK$300,4,FALSE)=0,1000000,VLOOKUP(B199,E!$B$1:$AK$300,4,FALSE)),1000000)</f>
        <v>1000000</v>
      </c>
      <c r="Z199" s="4" t="str">
        <f t="shared" si="144"/>
        <v/>
      </c>
      <c r="AC199" s="4" t="str">
        <f t="shared" si="145"/>
        <v/>
      </c>
      <c r="AF199" s="4" t="str">
        <f t="shared" si="146"/>
        <v/>
      </c>
      <c r="AI199" s="77">
        <v>0</v>
      </c>
      <c r="AJ199" s="77">
        <v>0</v>
      </c>
      <c r="AK199" s="77">
        <v>1</v>
      </c>
      <c r="AO199" s="4">
        <f t="shared" si="117"/>
        <v>5</v>
      </c>
      <c r="AQ199" s="4">
        <f t="shared" si="118"/>
        <v>5</v>
      </c>
      <c r="AS199" s="4">
        <f t="shared" si="119"/>
        <v>5</v>
      </c>
      <c r="AV199" s="4" t="str">
        <f t="shared" si="99"/>
        <v/>
      </c>
      <c r="AX199" s="4" t="str">
        <f t="shared" si="100"/>
        <v/>
      </c>
      <c r="AZ199" s="4" t="str">
        <f t="shared" si="101"/>
        <v/>
      </c>
    </row>
    <row r="200" spans="1:52" x14ac:dyDescent="0.2">
      <c r="A200" s="4" t="s">
        <v>660</v>
      </c>
      <c r="B200" s="4">
        <v>680</v>
      </c>
      <c r="C200" s="4" t="str">
        <f t="shared" si="140"/>
        <v>urn:immetingen:parameter:id:680</v>
      </c>
      <c r="D200" s="4" t="str">
        <f>IFERROR(IF(VLOOKUP($C200,'C'!$A$1:$N$1998,4,FALSE)=0,IF(VLOOKUP($C200,'C'!$A$1:$N$1998,7,FALSE)=0,VLOOKUP($C200,'C'!$A$1:$N$1998,10,FALSE),VLOOKUP($C200,'C'!$A$1:$N$1998,7,FALSE)),VLOOKUP($C200,'C'!$A$1:$N$1998,4,FALSE)),"")</f>
        <v/>
      </c>
      <c r="E200" s="4" t="str">
        <f>IFERROR(VLOOKUP($C200,'C'!$A$1:$N$1998,2,FALSE),"")</f>
        <v/>
      </c>
      <c r="F200" s="4" t="str">
        <f>IFERROR(IF(VLOOKUP($C200,'C'!$A$1:$N$1998,3,FALSE)=1,"&lt;",""),"")</f>
        <v/>
      </c>
      <c r="G200" s="4" t="str">
        <f>IFERROR(VLOOKUP($C200,'C'!$A$1:$N$1998,5,FALSE),"")</f>
        <v/>
      </c>
      <c r="H200" s="4" t="str">
        <f>IFERROR(IF(VLOOKUP($C200,'C'!$A$1:$N$1998,6,FALSE)=1,"&lt;",""),"")</f>
        <v/>
      </c>
      <c r="I200" s="4" t="str">
        <f>IFERROR(VLOOKUP($C200,'C'!$A$1:$N$1998,8,FALSE),"")</f>
        <v/>
      </c>
      <c r="J200" s="4" t="str">
        <f>IFERROR(IF(VLOOKUP($C200,'C'!$A$1:$N$1998,9,FALSE)=1,"&lt;",""),"")</f>
        <v/>
      </c>
      <c r="M200" s="4" t="str">
        <f t="shared" si="110"/>
        <v/>
      </c>
      <c r="N200" s="4" t="str">
        <f t="shared" si="114"/>
        <v/>
      </c>
      <c r="O200" s="4" t="str">
        <f t="shared" si="126"/>
        <v/>
      </c>
      <c r="P200" s="4" t="str">
        <f t="shared" si="115"/>
        <v/>
      </c>
      <c r="Q200" s="4" t="str">
        <f t="shared" si="127"/>
        <v/>
      </c>
      <c r="R200" s="4" t="str">
        <f t="shared" si="116"/>
        <v/>
      </c>
      <c r="V200" s="4">
        <f>IFERROR(IF(VLOOKUP(B200,E!$B$1:$AK$300,4,FALSE)=0,1000000,VLOOKUP(B200,E!$B$1:$AK$300,4,FALSE)),1000000)</f>
        <v>1000000</v>
      </c>
      <c r="Z200" s="4" t="str">
        <f t="shared" si="144"/>
        <v/>
      </c>
      <c r="AC200" s="4" t="str">
        <f t="shared" si="145"/>
        <v/>
      </c>
      <c r="AF200" s="4" t="str">
        <f t="shared" si="146"/>
        <v/>
      </c>
      <c r="AI200" s="77">
        <v>0</v>
      </c>
      <c r="AJ200" s="77">
        <v>0</v>
      </c>
      <c r="AK200" s="77">
        <v>1</v>
      </c>
      <c r="AO200" s="4">
        <f t="shared" si="117"/>
        <v>5</v>
      </c>
      <c r="AQ200" s="4">
        <f t="shared" si="118"/>
        <v>5</v>
      </c>
      <c r="AS200" s="4">
        <f t="shared" si="119"/>
        <v>5</v>
      </c>
      <c r="AV200" s="4" t="str">
        <f t="shared" si="99"/>
        <v/>
      </c>
      <c r="AX200" s="4" t="str">
        <f t="shared" si="100"/>
        <v/>
      </c>
      <c r="AZ200" s="4" t="str">
        <f t="shared" si="101"/>
        <v/>
      </c>
    </row>
    <row r="201" spans="1:52" x14ac:dyDescent="0.2">
      <c r="A201" s="4" t="s">
        <v>661</v>
      </c>
      <c r="B201" s="4">
        <v>719</v>
      </c>
      <c r="C201" s="4" t="str">
        <f t="shared" si="140"/>
        <v>urn:immetingen:parameter:id:719</v>
      </c>
      <c r="D201" s="4" t="str">
        <f>IFERROR(IF(VLOOKUP($C201,'C'!$A$1:$N$1998,4,FALSE)=0,IF(VLOOKUP($C201,'C'!$A$1:$N$1998,7,FALSE)=0,VLOOKUP($C201,'C'!$A$1:$N$1998,10,FALSE),VLOOKUP($C201,'C'!$A$1:$N$1998,7,FALSE)),VLOOKUP($C201,'C'!$A$1:$N$1998,4,FALSE)),"")</f>
        <v/>
      </c>
      <c r="E201" s="4" t="str">
        <f>IFERROR(VLOOKUP($C201,'C'!$A$1:$N$1998,2,FALSE),"")</f>
        <v/>
      </c>
      <c r="F201" s="4" t="str">
        <f>IFERROR(IF(VLOOKUP($C201,'C'!$A$1:$N$1998,3,FALSE)=1,"&lt;",""),"")</f>
        <v/>
      </c>
      <c r="G201" s="4" t="str">
        <f>IFERROR(VLOOKUP($C201,'C'!$A$1:$N$1998,5,FALSE),"")</f>
        <v/>
      </c>
      <c r="H201" s="4" t="str">
        <f>IFERROR(IF(VLOOKUP($C201,'C'!$A$1:$N$1998,6,FALSE)=1,"&lt;",""),"")</f>
        <v/>
      </c>
      <c r="I201" s="4" t="str">
        <f>IFERROR(VLOOKUP($C201,'C'!$A$1:$N$1998,8,FALSE),"")</f>
        <v/>
      </c>
      <c r="J201" s="4" t="str">
        <f>IFERROR(IF(VLOOKUP($C201,'C'!$A$1:$N$1998,9,FALSE)=1,"&lt;",""),"")</f>
        <v/>
      </c>
      <c r="M201" s="4" t="str">
        <f t="shared" si="110"/>
        <v/>
      </c>
      <c r="N201" s="4" t="str">
        <f t="shared" si="114"/>
        <v/>
      </c>
      <c r="O201" s="4" t="str">
        <f t="shared" si="126"/>
        <v/>
      </c>
      <c r="P201" s="4" t="str">
        <f t="shared" si="115"/>
        <v/>
      </c>
      <c r="Q201" s="4" t="str">
        <f t="shared" si="127"/>
        <v/>
      </c>
      <c r="R201" s="4" t="str">
        <f t="shared" si="116"/>
        <v/>
      </c>
      <c r="V201" s="4">
        <f>IFERROR(IF(VLOOKUP(B201,E!$B$1:$AK$300,4,FALSE)=0,1000000,VLOOKUP(B201,E!$B$1:$AK$300,4,FALSE)),1000000)</f>
        <v>1000000</v>
      </c>
      <c r="Z201" s="4" t="str">
        <f t="shared" si="144"/>
        <v/>
      </c>
      <c r="AC201" s="4" t="str">
        <f t="shared" si="145"/>
        <v/>
      </c>
      <c r="AF201" s="4" t="str">
        <f t="shared" si="146"/>
        <v/>
      </c>
      <c r="AI201" s="77">
        <v>0</v>
      </c>
      <c r="AJ201" s="77">
        <v>0</v>
      </c>
      <c r="AK201" s="77">
        <v>1</v>
      </c>
      <c r="AO201" s="4">
        <f t="shared" si="117"/>
        <v>5</v>
      </c>
      <c r="AQ201" s="4">
        <f t="shared" si="118"/>
        <v>5</v>
      </c>
      <c r="AS201" s="4">
        <f t="shared" si="119"/>
        <v>5</v>
      </c>
      <c r="AV201" s="4" t="str">
        <f t="shared" si="99"/>
        <v/>
      </c>
      <c r="AX201" s="4" t="str">
        <f t="shared" si="100"/>
        <v/>
      </c>
      <c r="AZ201" s="4" t="str">
        <f t="shared" si="101"/>
        <v/>
      </c>
    </row>
    <row r="202" spans="1:52" x14ac:dyDescent="0.2">
      <c r="A202" s="4" t="s">
        <v>662</v>
      </c>
      <c r="B202" s="4">
        <v>741</v>
      </c>
      <c r="C202" s="4" t="str">
        <f t="shared" si="140"/>
        <v>urn:immetingen:parameter:id:741</v>
      </c>
      <c r="D202" s="4" t="str">
        <f>IFERROR(IF(VLOOKUP($C202,'C'!$A$1:$N$1998,4,FALSE)=0,IF(VLOOKUP($C202,'C'!$A$1:$N$1998,7,FALSE)=0,VLOOKUP($C202,'C'!$A$1:$N$1998,10,FALSE),VLOOKUP($C202,'C'!$A$1:$N$1998,7,FALSE)),VLOOKUP($C202,'C'!$A$1:$N$1998,4,FALSE)),"")</f>
        <v/>
      </c>
      <c r="E202" s="4" t="str">
        <f>IFERROR(VLOOKUP($C202,'C'!$A$1:$N$1998,2,FALSE),"")</f>
        <v/>
      </c>
      <c r="F202" s="4" t="str">
        <f>IFERROR(IF(VLOOKUP($C202,'C'!$A$1:$N$1998,3,FALSE)=1,"&lt;",""),"")</f>
        <v/>
      </c>
      <c r="G202" s="4" t="str">
        <f>IFERROR(VLOOKUP($C202,'C'!$A$1:$N$1998,5,FALSE),"")</f>
        <v/>
      </c>
      <c r="H202" s="4" t="str">
        <f>IFERROR(IF(VLOOKUP($C202,'C'!$A$1:$N$1998,6,FALSE)=1,"&lt;",""),"")</f>
        <v/>
      </c>
      <c r="I202" s="4" t="str">
        <f>IFERROR(VLOOKUP($C202,'C'!$A$1:$N$1998,8,FALSE),"")</f>
        <v/>
      </c>
      <c r="J202" s="4" t="str">
        <f>IFERROR(IF(VLOOKUP($C202,'C'!$A$1:$N$1998,9,FALSE)=1,"&lt;",""),"")</f>
        <v/>
      </c>
      <c r="M202" s="4" t="str">
        <f t="shared" si="110"/>
        <v/>
      </c>
      <c r="N202" s="4" t="str">
        <f t="shared" si="114"/>
        <v/>
      </c>
      <c r="O202" s="4" t="str">
        <f t="shared" si="126"/>
        <v/>
      </c>
      <c r="P202" s="4" t="str">
        <f t="shared" si="115"/>
        <v/>
      </c>
      <c r="Q202" s="4" t="str">
        <f t="shared" si="127"/>
        <v/>
      </c>
      <c r="R202" s="4" t="str">
        <f t="shared" si="116"/>
        <v/>
      </c>
      <c r="V202" s="4">
        <f>IFERROR(IF(VLOOKUP(B202,E!$B$1:$AK$300,4,FALSE)=0,1000000,VLOOKUP(B202,E!$B$1:$AK$300,4,FALSE)),1000000)</f>
        <v>1000000</v>
      </c>
      <c r="Z202" s="4" t="str">
        <f t="shared" si="144"/>
        <v/>
      </c>
      <c r="AC202" s="4" t="str">
        <f t="shared" si="145"/>
        <v/>
      </c>
      <c r="AF202" s="4" t="str">
        <f t="shared" si="146"/>
        <v/>
      </c>
      <c r="AI202" s="77">
        <v>0</v>
      </c>
      <c r="AJ202" s="77">
        <v>0</v>
      </c>
      <c r="AK202" s="77">
        <v>1</v>
      </c>
      <c r="AO202" s="4">
        <f t="shared" si="117"/>
        <v>5</v>
      </c>
      <c r="AQ202" s="4">
        <f t="shared" si="118"/>
        <v>5</v>
      </c>
      <c r="AS202" s="4">
        <f t="shared" si="119"/>
        <v>5</v>
      </c>
      <c r="AV202" s="4" t="str">
        <f t="shared" si="99"/>
        <v/>
      </c>
      <c r="AX202" s="4" t="str">
        <f t="shared" si="100"/>
        <v/>
      </c>
      <c r="AZ202" s="4" t="str">
        <f t="shared" si="101"/>
        <v/>
      </c>
    </row>
    <row r="203" spans="1:52" x14ac:dyDescent="0.2">
      <c r="A203" s="4" t="s">
        <v>663</v>
      </c>
      <c r="B203" s="4">
        <v>750</v>
      </c>
      <c r="C203" s="4" t="str">
        <f t="shared" si="140"/>
        <v>urn:immetingen:parameter:id:750</v>
      </c>
      <c r="D203" s="4" t="str">
        <f>IFERROR(IF(VLOOKUP($C203,'C'!$A$1:$N$1998,4,FALSE)=0,IF(VLOOKUP($C203,'C'!$A$1:$N$1998,7,FALSE)=0,VLOOKUP($C203,'C'!$A$1:$N$1998,10,FALSE),VLOOKUP($C203,'C'!$A$1:$N$1998,7,FALSE)),VLOOKUP($C203,'C'!$A$1:$N$1998,4,FALSE)),"")</f>
        <v/>
      </c>
      <c r="E203" s="4" t="str">
        <f>IFERROR(VLOOKUP($C203,'C'!$A$1:$N$1998,2,FALSE),"")</f>
        <v/>
      </c>
      <c r="F203" s="4" t="str">
        <f>IFERROR(IF(VLOOKUP($C203,'C'!$A$1:$N$1998,3,FALSE)=1,"&lt;",""),"")</f>
        <v/>
      </c>
      <c r="G203" s="4" t="str">
        <f>IFERROR(VLOOKUP($C203,'C'!$A$1:$N$1998,5,FALSE),"")</f>
        <v/>
      </c>
      <c r="H203" s="4" t="str">
        <f>IFERROR(IF(VLOOKUP($C203,'C'!$A$1:$N$1998,6,FALSE)=1,"&lt;",""),"")</f>
        <v/>
      </c>
      <c r="I203" s="4" t="str">
        <f>IFERROR(VLOOKUP($C203,'C'!$A$1:$N$1998,8,FALSE),"")</f>
        <v/>
      </c>
      <c r="J203" s="4" t="str">
        <f>IFERROR(IF(VLOOKUP($C203,'C'!$A$1:$N$1998,9,FALSE)=1,"&lt;",""),"")</f>
        <v/>
      </c>
      <c r="M203" s="4" t="str">
        <f t="shared" si="110"/>
        <v/>
      </c>
      <c r="N203" s="4" t="str">
        <f t="shared" si="114"/>
        <v/>
      </c>
      <c r="O203" s="4" t="str">
        <f t="shared" si="126"/>
        <v/>
      </c>
      <c r="P203" s="4" t="str">
        <f t="shared" si="115"/>
        <v/>
      </c>
      <c r="Q203" s="4" t="str">
        <f t="shared" si="127"/>
        <v/>
      </c>
      <c r="R203" s="4" t="str">
        <f t="shared" si="116"/>
        <v/>
      </c>
      <c r="V203" s="4">
        <f>IFERROR(IF(VLOOKUP(B203,E!$B$1:$AK$300,4,FALSE)=0,1000000,VLOOKUP(B203,E!$B$1:$AK$300,4,FALSE)),1000000)</f>
        <v>1000000</v>
      </c>
      <c r="Z203" s="4" t="str">
        <f t="shared" si="144"/>
        <v/>
      </c>
      <c r="AC203" s="4" t="str">
        <f t="shared" si="145"/>
        <v/>
      </c>
      <c r="AF203" s="4" t="str">
        <f t="shared" si="146"/>
        <v/>
      </c>
      <c r="AI203" s="77">
        <v>0</v>
      </c>
      <c r="AJ203" s="77">
        <v>0</v>
      </c>
      <c r="AK203" s="77">
        <v>1</v>
      </c>
      <c r="AO203" s="4">
        <f t="shared" si="117"/>
        <v>5</v>
      </c>
      <c r="AQ203" s="4">
        <f t="shared" si="118"/>
        <v>5</v>
      </c>
      <c r="AS203" s="4">
        <f t="shared" si="119"/>
        <v>5</v>
      </c>
      <c r="AV203" s="4" t="str">
        <f t="shared" si="99"/>
        <v/>
      </c>
      <c r="AX203" s="4" t="str">
        <f t="shared" si="100"/>
        <v/>
      </c>
      <c r="AZ203" s="4" t="str">
        <f t="shared" si="101"/>
        <v/>
      </c>
    </row>
    <row r="204" spans="1:52" x14ac:dyDescent="0.2">
      <c r="A204" s="4" t="s">
        <v>664</v>
      </c>
      <c r="B204" s="4">
        <v>760</v>
      </c>
      <c r="C204" s="4" t="str">
        <f t="shared" si="140"/>
        <v>urn:immetingen:parameter:id:760</v>
      </c>
      <c r="D204" s="4" t="str">
        <f>IFERROR(IF(VLOOKUP($C204,'C'!$A$1:$N$1998,4,FALSE)=0,IF(VLOOKUP($C204,'C'!$A$1:$N$1998,7,FALSE)=0,VLOOKUP($C204,'C'!$A$1:$N$1998,10,FALSE),VLOOKUP($C204,'C'!$A$1:$N$1998,7,FALSE)),VLOOKUP($C204,'C'!$A$1:$N$1998,4,FALSE)),"")</f>
        <v/>
      </c>
      <c r="E204" s="4" t="str">
        <f>IFERROR(VLOOKUP($C204,'C'!$A$1:$N$1998,2,FALSE),"")</f>
        <v/>
      </c>
      <c r="F204" s="4" t="str">
        <f>IFERROR(IF(VLOOKUP($C204,'C'!$A$1:$N$1998,3,FALSE)=1,"&lt;",""),"")</f>
        <v/>
      </c>
      <c r="G204" s="4" t="str">
        <f>IFERROR(VLOOKUP($C204,'C'!$A$1:$N$1998,5,FALSE),"")</f>
        <v/>
      </c>
      <c r="H204" s="4" t="str">
        <f>IFERROR(IF(VLOOKUP($C204,'C'!$A$1:$N$1998,6,FALSE)=1,"&lt;",""),"")</f>
        <v/>
      </c>
      <c r="I204" s="4" t="str">
        <f>IFERROR(VLOOKUP($C204,'C'!$A$1:$N$1998,8,FALSE),"")</f>
        <v/>
      </c>
      <c r="J204" s="4" t="str">
        <f>IFERROR(IF(VLOOKUP($C204,'C'!$A$1:$N$1998,9,FALSE)=1,"&lt;",""),"")</f>
        <v/>
      </c>
      <c r="M204" s="4" t="str">
        <f t="shared" si="110"/>
        <v/>
      </c>
      <c r="N204" s="4" t="str">
        <f t="shared" si="114"/>
        <v/>
      </c>
      <c r="O204" s="4" t="str">
        <f t="shared" si="126"/>
        <v/>
      </c>
      <c r="P204" s="4" t="str">
        <f t="shared" si="115"/>
        <v/>
      </c>
      <c r="Q204" s="4" t="str">
        <f t="shared" si="127"/>
        <v/>
      </c>
      <c r="R204" s="4" t="str">
        <f t="shared" si="116"/>
        <v/>
      </c>
      <c r="V204" s="4">
        <f>IFERROR(IF(VLOOKUP(B204,E!$B$1:$AK$300,4,FALSE)=0,1000000,VLOOKUP(B204,E!$B$1:$AK$300,4,FALSE)),1000000)</f>
        <v>1000000</v>
      </c>
      <c r="Z204" s="4" t="str">
        <f t="shared" si="144"/>
        <v/>
      </c>
      <c r="AC204" s="4" t="str">
        <f t="shared" si="145"/>
        <v/>
      </c>
      <c r="AF204" s="4" t="str">
        <f t="shared" si="146"/>
        <v/>
      </c>
      <c r="AI204" s="77">
        <v>0</v>
      </c>
      <c r="AJ204" s="77">
        <v>0</v>
      </c>
      <c r="AK204" s="77">
        <v>1</v>
      </c>
      <c r="AO204" s="4">
        <f t="shared" si="117"/>
        <v>5</v>
      </c>
      <c r="AQ204" s="4">
        <f t="shared" si="118"/>
        <v>5</v>
      </c>
      <c r="AS204" s="4">
        <f t="shared" si="119"/>
        <v>5</v>
      </c>
      <c r="AV204" s="4" t="str">
        <f t="shared" si="99"/>
        <v/>
      </c>
      <c r="AX204" s="4" t="str">
        <f t="shared" si="100"/>
        <v/>
      </c>
      <c r="AZ204" s="4" t="str">
        <f t="shared" si="101"/>
        <v/>
      </c>
    </row>
    <row r="205" spans="1:52" x14ac:dyDescent="0.2">
      <c r="A205" s="4" t="s">
        <v>665</v>
      </c>
      <c r="B205" s="4">
        <v>787</v>
      </c>
      <c r="C205" s="4" t="str">
        <f t="shared" si="140"/>
        <v>urn:immetingen:parameter:id:787</v>
      </c>
      <c r="D205" s="4" t="str">
        <f>IFERROR(IF(VLOOKUP($C205,'C'!$A$1:$N$1998,4,FALSE)=0,IF(VLOOKUP($C205,'C'!$A$1:$N$1998,7,FALSE)=0,VLOOKUP($C205,'C'!$A$1:$N$1998,10,FALSE),VLOOKUP($C205,'C'!$A$1:$N$1998,7,FALSE)),VLOOKUP($C205,'C'!$A$1:$N$1998,4,FALSE)),"")</f>
        <v/>
      </c>
      <c r="E205" s="4" t="str">
        <f>IFERROR(VLOOKUP($C205,'C'!$A$1:$N$1998,2,FALSE),"")</f>
        <v/>
      </c>
      <c r="F205" s="4" t="str">
        <f>IFERROR(IF(VLOOKUP($C205,'C'!$A$1:$N$1998,3,FALSE)=1,"&lt;",""),"")</f>
        <v/>
      </c>
      <c r="G205" s="4" t="str">
        <f>IFERROR(VLOOKUP($C205,'C'!$A$1:$N$1998,5,FALSE),"")</f>
        <v/>
      </c>
      <c r="H205" s="4" t="str">
        <f>IFERROR(IF(VLOOKUP($C205,'C'!$A$1:$N$1998,6,FALSE)=1,"&lt;",""),"")</f>
        <v/>
      </c>
      <c r="I205" s="4" t="str">
        <f>IFERROR(VLOOKUP($C205,'C'!$A$1:$N$1998,8,FALSE),"")</f>
        <v/>
      </c>
      <c r="J205" s="4" t="str">
        <f>IFERROR(IF(VLOOKUP($C205,'C'!$A$1:$N$1998,9,FALSE)=1,"&lt;",""),"")</f>
        <v/>
      </c>
      <c r="M205" s="4" t="str">
        <f t="shared" si="110"/>
        <v/>
      </c>
      <c r="N205" s="4" t="str">
        <f t="shared" si="114"/>
        <v/>
      </c>
      <c r="O205" s="4" t="str">
        <f t="shared" si="126"/>
        <v/>
      </c>
      <c r="P205" s="4" t="str">
        <f t="shared" si="115"/>
        <v/>
      </c>
      <c r="Q205" s="4" t="str">
        <f t="shared" si="127"/>
        <v/>
      </c>
      <c r="R205" s="4" t="str">
        <f t="shared" si="116"/>
        <v/>
      </c>
      <c r="V205" s="4">
        <f>IFERROR(IF(VLOOKUP(B205,E!$B$1:$AK$300,4,FALSE)=0,1000000,VLOOKUP(B205,E!$B$1:$AK$300,4,FALSE)),1000000)</f>
        <v>1000000</v>
      </c>
      <c r="Z205" s="4" t="str">
        <f t="shared" si="144"/>
        <v/>
      </c>
      <c r="AC205" s="4" t="str">
        <f t="shared" si="145"/>
        <v/>
      </c>
      <c r="AF205" s="4" t="str">
        <f t="shared" si="146"/>
        <v/>
      </c>
      <c r="AI205" s="77">
        <v>0</v>
      </c>
      <c r="AJ205" s="77">
        <v>0</v>
      </c>
      <c r="AK205" s="77">
        <v>1</v>
      </c>
      <c r="AO205" s="4">
        <f t="shared" si="117"/>
        <v>5</v>
      </c>
      <c r="AQ205" s="4">
        <f t="shared" si="118"/>
        <v>5</v>
      </c>
      <c r="AS205" s="4">
        <f t="shared" si="119"/>
        <v>5</v>
      </c>
      <c r="AV205" s="4" t="str">
        <f t="shared" ref="AV205:AV268" si="147">IFERROR(IF(F205="&lt;",0.7*M205*AO205,M205*AO205),"")</f>
        <v/>
      </c>
      <c r="AX205" s="4" t="str">
        <f t="shared" ref="AX205:AX268" si="148">IFERROR(IF(H205="&lt;",0.7*O205*AQ205,O205*AQ205),"")</f>
        <v/>
      </c>
      <c r="AZ205" s="4" t="str">
        <f t="shared" ref="AZ205:AZ268" si="149">IFERROR(IF(J205="&lt;",0.7*Q205*AS205,Q205*AS205),"")</f>
        <v/>
      </c>
    </row>
    <row r="206" spans="1:52" x14ac:dyDescent="0.2">
      <c r="A206" s="4" t="s">
        <v>666</v>
      </c>
      <c r="B206" s="4">
        <v>1127</v>
      </c>
      <c r="C206" s="4" t="str">
        <f t="shared" si="140"/>
        <v>urn:immetingen:parameter:id:1127</v>
      </c>
      <c r="D206" s="4" t="str">
        <f>IFERROR(IF(VLOOKUP($C206,'C'!$A$1:$N$1998,4,FALSE)=0,IF(VLOOKUP($C206,'C'!$A$1:$N$1998,7,FALSE)=0,VLOOKUP($C206,'C'!$A$1:$N$1998,10,FALSE),VLOOKUP($C206,'C'!$A$1:$N$1998,7,FALSE)),VLOOKUP($C206,'C'!$A$1:$N$1998,4,FALSE)),"")</f>
        <v/>
      </c>
      <c r="E206" s="4" t="str">
        <f>IFERROR(VLOOKUP($C206,'C'!$A$1:$N$1998,2,FALSE),"")</f>
        <v/>
      </c>
      <c r="F206" s="4" t="str">
        <f>IFERROR(IF(VLOOKUP($C206,'C'!$A$1:$N$1998,3,FALSE)=1,"&lt;",""),"")</f>
        <v/>
      </c>
      <c r="G206" s="4" t="str">
        <f>IFERROR(VLOOKUP($C206,'C'!$A$1:$N$1998,5,FALSE),"")</f>
        <v/>
      </c>
      <c r="H206" s="4" t="str">
        <f>IFERROR(IF(VLOOKUP($C206,'C'!$A$1:$N$1998,6,FALSE)=1,"&lt;",""),"")</f>
        <v/>
      </c>
      <c r="I206" s="4" t="str">
        <f>IFERROR(VLOOKUP($C206,'C'!$A$1:$N$1998,8,FALSE),"")</f>
        <v/>
      </c>
      <c r="J206" s="4" t="str">
        <f>IFERROR(IF(VLOOKUP($C206,'C'!$A$1:$N$1998,9,FALSE)=1,"&lt;",""),"")</f>
        <v/>
      </c>
      <c r="M206" s="4" t="str">
        <f t="shared" si="110"/>
        <v/>
      </c>
      <c r="N206" s="4" t="str">
        <f t="shared" si="114"/>
        <v/>
      </c>
      <c r="O206" s="4" t="str">
        <f t="shared" si="126"/>
        <v/>
      </c>
      <c r="P206" s="4" t="str">
        <f t="shared" si="115"/>
        <v/>
      </c>
      <c r="Q206" s="4" t="str">
        <f t="shared" si="127"/>
        <v/>
      </c>
      <c r="R206" s="4" t="str">
        <f t="shared" si="116"/>
        <v/>
      </c>
      <c r="V206" s="4">
        <f>IFERROR(IF(VLOOKUP(B206,E!$B$1:$AK$300,4,FALSE)=0,1000000,VLOOKUP(B206,E!$B$1:$AK$300,4,FALSE)),1000000)</f>
        <v>1000000</v>
      </c>
      <c r="Z206" s="4" t="str">
        <f t="shared" si="144"/>
        <v/>
      </c>
      <c r="AC206" s="4" t="str">
        <f t="shared" si="145"/>
        <v/>
      </c>
      <c r="AF206" s="4" t="str">
        <f t="shared" si="146"/>
        <v/>
      </c>
      <c r="AI206" s="77">
        <v>0</v>
      </c>
      <c r="AJ206" s="77">
        <v>0</v>
      </c>
      <c r="AK206" s="77">
        <v>1</v>
      </c>
      <c r="AO206" s="4">
        <f t="shared" si="117"/>
        <v>5</v>
      </c>
      <c r="AQ206" s="4">
        <f t="shared" si="118"/>
        <v>5</v>
      </c>
      <c r="AS206" s="4">
        <f t="shared" si="119"/>
        <v>5</v>
      </c>
      <c r="AV206" s="4" t="str">
        <f t="shared" si="147"/>
        <v/>
      </c>
      <c r="AX206" s="4" t="str">
        <f t="shared" si="148"/>
        <v/>
      </c>
      <c r="AZ206" s="4" t="str">
        <f t="shared" si="149"/>
        <v/>
      </c>
    </row>
    <row r="207" spans="1:52" x14ac:dyDescent="0.2">
      <c r="A207" s="4" t="s">
        <v>667</v>
      </c>
      <c r="B207" s="4">
        <v>1189</v>
      </c>
      <c r="C207" s="4" t="str">
        <f t="shared" si="140"/>
        <v>urn:immetingen:parameter:id:1189</v>
      </c>
      <c r="D207" s="4" t="str">
        <f>IFERROR(IF(VLOOKUP($C207,'C'!$A$1:$N$1998,4,FALSE)=0,IF(VLOOKUP($C207,'C'!$A$1:$N$1998,7,FALSE)=0,VLOOKUP($C207,'C'!$A$1:$N$1998,10,FALSE),VLOOKUP($C207,'C'!$A$1:$N$1998,7,FALSE)),VLOOKUP($C207,'C'!$A$1:$N$1998,4,FALSE)),"")</f>
        <v/>
      </c>
      <c r="E207" s="4" t="str">
        <f>IFERROR(VLOOKUP($C207,'C'!$A$1:$N$1998,2,FALSE),"")</f>
        <v/>
      </c>
      <c r="F207" s="4" t="str">
        <f>IFERROR(IF(VLOOKUP($C207,'C'!$A$1:$N$1998,3,FALSE)=1,"&lt;",""),"")</f>
        <v/>
      </c>
      <c r="G207" s="4" t="str">
        <f>IFERROR(VLOOKUP($C207,'C'!$A$1:$N$1998,5,FALSE),"")</f>
        <v/>
      </c>
      <c r="H207" s="4" t="str">
        <f>IFERROR(IF(VLOOKUP($C207,'C'!$A$1:$N$1998,6,FALSE)=1,"&lt;",""),"")</f>
        <v/>
      </c>
      <c r="I207" s="4" t="str">
        <f>IFERROR(VLOOKUP($C207,'C'!$A$1:$N$1998,8,FALSE),"")</f>
        <v/>
      </c>
      <c r="J207" s="4" t="str">
        <f>IFERROR(IF(VLOOKUP($C207,'C'!$A$1:$N$1998,9,FALSE)=1,"&lt;",""),"")</f>
        <v/>
      </c>
      <c r="M207" s="4" t="str">
        <f t="shared" si="110"/>
        <v/>
      </c>
      <c r="N207" s="4" t="str">
        <f t="shared" si="114"/>
        <v/>
      </c>
      <c r="O207" s="4" t="str">
        <f t="shared" si="126"/>
        <v/>
      </c>
      <c r="P207" s="4" t="str">
        <f t="shared" si="115"/>
        <v/>
      </c>
      <c r="Q207" s="4" t="str">
        <f t="shared" si="127"/>
        <v/>
      </c>
      <c r="R207" s="4" t="str">
        <f t="shared" si="116"/>
        <v/>
      </c>
      <c r="V207" s="4">
        <f>IFERROR(IF(VLOOKUP(B207,E!$B$1:$AK$300,4,FALSE)=0,1000000,VLOOKUP(B207,E!$B$1:$AK$300,4,FALSE)),1000000)</f>
        <v>1000000</v>
      </c>
      <c r="Z207" s="4" t="str">
        <f t="shared" si="144"/>
        <v/>
      </c>
      <c r="AC207" s="4" t="str">
        <f t="shared" si="145"/>
        <v/>
      </c>
      <c r="AF207" s="4" t="str">
        <f t="shared" si="146"/>
        <v/>
      </c>
      <c r="AI207" s="77">
        <v>0</v>
      </c>
      <c r="AJ207" s="77">
        <v>0</v>
      </c>
      <c r="AK207" s="77">
        <v>1</v>
      </c>
      <c r="AO207" s="4">
        <f t="shared" si="117"/>
        <v>5</v>
      </c>
      <c r="AQ207" s="4">
        <f t="shared" si="118"/>
        <v>5</v>
      </c>
      <c r="AS207" s="4">
        <f t="shared" si="119"/>
        <v>5</v>
      </c>
      <c r="AV207" s="4" t="str">
        <f t="shared" si="147"/>
        <v/>
      </c>
      <c r="AX207" s="4" t="str">
        <f t="shared" si="148"/>
        <v/>
      </c>
      <c r="AZ207" s="4" t="str">
        <f t="shared" si="149"/>
        <v/>
      </c>
    </row>
    <row r="208" spans="1:52" x14ac:dyDescent="0.2">
      <c r="A208" s="4" t="s">
        <v>668</v>
      </c>
      <c r="B208" s="4">
        <v>738</v>
      </c>
      <c r="C208" s="4" t="str">
        <f t="shared" si="140"/>
        <v>urn:immetingen:parameter:id:738</v>
      </c>
      <c r="D208" s="4" t="str">
        <f>IFERROR(IF(VLOOKUP($C208,'C'!$A$1:$N$1998,4,FALSE)=0,IF(VLOOKUP($C208,'C'!$A$1:$N$1998,7,FALSE)=0,VLOOKUP($C208,'C'!$A$1:$N$1998,10,FALSE),VLOOKUP($C208,'C'!$A$1:$N$1998,7,FALSE)),VLOOKUP($C208,'C'!$A$1:$N$1998,4,FALSE)),"")</f>
        <v/>
      </c>
      <c r="E208" s="4" t="str">
        <f>IFERROR(VLOOKUP($C208,'C'!$A$1:$N$1998,2,FALSE),"")</f>
        <v/>
      </c>
      <c r="F208" s="4" t="str">
        <f>IFERROR(IF(VLOOKUP($C208,'C'!$A$1:$N$1998,3,FALSE)=1,"&lt;",""),"")</f>
        <v/>
      </c>
      <c r="G208" s="4" t="str">
        <f>IFERROR(VLOOKUP($C208,'C'!$A$1:$N$1998,5,FALSE),"")</f>
        <v/>
      </c>
      <c r="H208" s="4" t="str">
        <f>IFERROR(IF(VLOOKUP($C208,'C'!$A$1:$N$1998,6,FALSE)=1,"&lt;",""),"")</f>
        <v/>
      </c>
      <c r="I208" s="4" t="str">
        <f>IFERROR(VLOOKUP($C208,'C'!$A$1:$N$1998,8,FALSE),"")</f>
        <v/>
      </c>
      <c r="J208" s="4" t="str">
        <f>IFERROR(IF(VLOOKUP($C208,'C'!$A$1:$N$1998,9,FALSE)=1,"&lt;",""),"")</f>
        <v/>
      </c>
      <c r="M208" s="4" t="str">
        <f t="shared" si="110"/>
        <v/>
      </c>
      <c r="N208" s="4" t="str">
        <f t="shared" si="114"/>
        <v/>
      </c>
      <c r="O208" s="4" t="str">
        <f t="shared" si="126"/>
        <v/>
      </c>
      <c r="P208" s="4" t="str">
        <f t="shared" si="115"/>
        <v/>
      </c>
      <c r="Q208" s="4" t="str">
        <f t="shared" si="127"/>
        <v/>
      </c>
      <c r="R208" s="4" t="str">
        <f t="shared" si="116"/>
        <v/>
      </c>
      <c r="V208" s="4">
        <f>IFERROR(IF(VLOOKUP(B208,E!$B$1:$AK$300,4,FALSE)=0,1000000,VLOOKUP(B208,E!$B$1:$AK$300,4,FALSE)),1000000)</f>
        <v>1000000</v>
      </c>
      <c r="Z208" s="4" t="str">
        <f t="shared" si="144"/>
        <v/>
      </c>
      <c r="AC208" s="4" t="str">
        <f t="shared" si="145"/>
        <v/>
      </c>
      <c r="AF208" s="4" t="str">
        <f t="shared" si="146"/>
        <v/>
      </c>
      <c r="AI208" s="77">
        <v>0</v>
      </c>
      <c r="AJ208" s="77">
        <v>0</v>
      </c>
      <c r="AK208" s="77">
        <v>1</v>
      </c>
      <c r="AO208" s="4">
        <f t="shared" si="117"/>
        <v>5</v>
      </c>
      <c r="AQ208" s="4">
        <f t="shared" si="118"/>
        <v>5</v>
      </c>
      <c r="AS208" s="4">
        <f t="shared" si="119"/>
        <v>5</v>
      </c>
      <c r="AV208" s="4" t="str">
        <f t="shared" si="147"/>
        <v/>
      </c>
      <c r="AX208" s="4" t="str">
        <f t="shared" si="148"/>
        <v/>
      </c>
      <c r="AZ208" s="4" t="str">
        <f t="shared" si="149"/>
        <v/>
      </c>
    </row>
    <row r="209" spans="1:52" x14ac:dyDescent="0.2">
      <c r="A209" s="4" t="s">
        <v>669</v>
      </c>
      <c r="B209" s="4">
        <v>1179</v>
      </c>
      <c r="C209" s="4" t="str">
        <f t="shared" si="140"/>
        <v>urn:immetingen:parameter:id:1179</v>
      </c>
      <c r="D209" s="4" t="str">
        <f>IFERROR(IF(VLOOKUP($C209,'C'!$A$1:$N$1998,4,FALSE)=0,IF(VLOOKUP($C209,'C'!$A$1:$N$1998,7,FALSE)=0,VLOOKUP($C209,'C'!$A$1:$N$1998,10,FALSE),VLOOKUP($C209,'C'!$A$1:$N$1998,7,FALSE)),VLOOKUP($C209,'C'!$A$1:$N$1998,4,FALSE)),"")</f>
        <v/>
      </c>
      <c r="E209" s="4" t="str">
        <f>IFERROR(VLOOKUP($C209,'C'!$A$1:$N$1998,2,FALSE),"")</f>
        <v/>
      </c>
      <c r="F209" s="4" t="str">
        <f>IFERROR(IF(VLOOKUP($C209,'C'!$A$1:$N$1998,3,FALSE)=1,"&lt;",""),"")</f>
        <v/>
      </c>
      <c r="G209" s="4" t="str">
        <f>IFERROR(VLOOKUP($C209,'C'!$A$1:$N$1998,5,FALSE),"")</f>
        <v/>
      </c>
      <c r="H209" s="4" t="str">
        <f>IFERROR(IF(VLOOKUP($C209,'C'!$A$1:$N$1998,6,FALSE)=1,"&lt;",""),"")</f>
        <v/>
      </c>
      <c r="I209" s="4" t="str">
        <f>IFERROR(VLOOKUP($C209,'C'!$A$1:$N$1998,8,FALSE),"")</f>
        <v/>
      </c>
      <c r="J209" s="4" t="str">
        <f>IFERROR(IF(VLOOKUP($C209,'C'!$A$1:$N$1998,9,FALSE)=1,"&lt;",""),"")</f>
        <v/>
      </c>
      <c r="M209" s="4" t="str">
        <f t="shared" si="110"/>
        <v/>
      </c>
      <c r="N209" s="4" t="str">
        <f t="shared" si="114"/>
        <v/>
      </c>
      <c r="O209" s="4" t="str">
        <f t="shared" si="126"/>
        <v/>
      </c>
      <c r="P209" s="4" t="str">
        <f t="shared" si="115"/>
        <v/>
      </c>
      <c r="Q209" s="4" t="str">
        <f t="shared" si="127"/>
        <v/>
      </c>
      <c r="R209" s="4" t="str">
        <f t="shared" si="116"/>
        <v/>
      </c>
      <c r="V209" s="4">
        <f>IFERROR(IF(VLOOKUP(B209,E!$B$1:$AK$300,4,FALSE)=0,1000000,VLOOKUP(B209,E!$B$1:$AK$300,4,FALSE)),1000000)</f>
        <v>1000000</v>
      </c>
      <c r="Z209" s="4" t="str">
        <f t="shared" si="144"/>
        <v/>
      </c>
      <c r="AC209" s="4" t="str">
        <f t="shared" si="145"/>
        <v/>
      </c>
      <c r="AF209" s="4" t="str">
        <f t="shared" si="146"/>
        <v/>
      </c>
      <c r="AI209" s="77">
        <v>0</v>
      </c>
      <c r="AJ209" s="77">
        <v>0</v>
      </c>
      <c r="AK209" s="77">
        <v>1</v>
      </c>
      <c r="AO209" s="4">
        <f t="shared" si="117"/>
        <v>5</v>
      </c>
      <c r="AQ209" s="4">
        <f t="shared" si="118"/>
        <v>5</v>
      </c>
      <c r="AS209" s="4">
        <f t="shared" si="119"/>
        <v>5</v>
      </c>
      <c r="AV209" s="4" t="str">
        <f t="shared" si="147"/>
        <v/>
      </c>
      <c r="AX209" s="4" t="str">
        <f t="shared" si="148"/>
        <v/>
      </c>
      <c r="AZ209" s="4" t="str">
        <f t="shared" si="149"/>
        <v/>
      </c>
    </row>
    <row r="210" spans="1:52" x14ac:dyDescent="0.2">
      <c r="A210" s="4" t="s">
        <v>670</v>
      </c>
      <c r="B210" s="4">
        <v>1408</v>
      </c>
      <c r="C210" s="4" t="str">
        <f t="shared" si="140"/>
        <v>urn:immetingen:parameter:id:1408</v>
      </c>
      <c r="D210" s="4" t="str">
        <f>IFERROR(IF(VLOOKUP($C210,'C'!$A$1:$N$1998,4,FALSE)=0,IF(VLOOKUP($C210,'C'!$A$1:$N$1998,7,FALSE)=0,VLOOKUP($C210,'C'!$A$1:$N$1998,10,FALSE),VLOOKUP($C210,'C'!$A$1:$N$1998,7,FALSE)),VLOOKUP($C210,'C'!$A$1:$N$1998,4,FALSE)),"")</f>
        <v/>
      </c>
      <c r="E210" s="4" t="str">
        <f>IFERROR(VLOOKUP($C210,'C'!$A$1:$N$1998,2,FALSE),"")</f>
        <v/>
      </c>
      <c r="F210" s="4" t="str">
        <f>IFERROR(IF(VLOOKUP($C210,'C'!$A$1:$N$1998,3,FALSE)=1,"&lt;",""),"")</f>
        <v/>
      </c>
      <c r="G210" s="4" t="str">
        <f>IFERROR(VLOOKUP($C210,'C'!$A$1:$N$1998,5,FALSE),"")</f>
        <v/>
      </c>
      <c r="H210" s="4" t="str">
        <f>IFERROR(IF(VLOOKUP($C210,'C'!$A$1:$N$1998,6,FALSE)=1,"&lt;",""),"")</f>
        <v/>
      </c>
      <c r="I210" s="4" t="str">
        <f>IFERROR(VLOOKUP($C210,'C'!$A$1:$N$1998,8,FALSE),"")</f>
        <v/>
      </c>
      <c r="J210" s="4" t="str">
        <f>IFERROR(IF(VLOOKUP($C210,'C'!$A$1:$N$1998,9,FALSE)=1,"&lt;",""),"")</f>
        <v/>
      </c>
      <c r="M210" s="4" t="str">
        <f t="shared" si="110"/>
        <v/>
      </c>
      <c r="N210" s="4" t="str">
        <f t="shared" si="114"/>
        <v/>
      </c>
      <c r="O210" s="4" t="str">
        <f t="shared" si="126"/>
        <v/>
      </c>
      <c r="P210" s="4" t="str">
        <f t="shared" si="115"/>
        <v/>
      </c>
      <c r="Q210" s="4" t="str">
        <f t="shared" si="127"/>
        <v/>
      </c>
      <c r="R210" s="4" t="str">
        <f t="shared" si="116"/>
        <v/>
      </c>
      <c r="V210" s="4">
        <f>IFERROR(IF(VLOOKUP(B210,E!$B$1:$AK$300,4,FALSE)=0,1000000,VLOOKUP(B210,E!$B$1:$AK$300,4,FALSE)),1000000)</f>
        <v>1000000</v>
      </c>
      <c r="Z210" s="4" t="str">
        <f t="shared" si="144"/>
        <v/>
      </c>
      <c r="AC210" s="4" t="str">
        <f t="shared" si="145"/>
        <v/>
      </c>
      <c r="AF210" s="4" t="str">
        <f t="shared" si="146"/>
        <v/>
      </c>
      <c r="AI210" s="77">
        <v>0</v>
      </c>
      <c r="AJ210" s="77">
        <v>0</v>
      </c>
      <c r="AK210" s="77">
        <v>1</v>
      </c>
      <c r="AO210" s="4">
        <f t="shared" si="117"/>
        <v>5</v>
      </c>
      <c r="AQ210" s="4">
        <f t="shared" si="118"/>
        <v>5</v>
      </c>
      <c r="AS210" s="4">
        <f t="shared" si="119"/>
        <v>5</v>
      </c>
      <c r="AV210" s="4" t="str">
        <f t="shared" si="147"/>
        <v/>
      </c>
      <c r="AX210" s="4" t="str">
        <f t="shared" si="148"/>
        <v/>
      </c>
      <c r="AZ210" s="4" t="str">
        <f t="shared" si="149"/>
        <v/>
      </c>
    </row>
    <row r="211" spans="1:52" x14ac:dyDescent="0.2">
      <c r="A211" s="4" t="s">
        <v>671</v>
      </c>
      <c r="B211" s="4">
        <v>1428</v>
      </c>
      <c r="C211" s="4" t="str">
        <f t="shared" si="140"/>
        <v>urn:immetingen:parameter:id:1428</v>
      </c>
      <c r="D211" s="4" t="str">
        <f>IFERROR(IF(VLOOKUP($C211,'C'!$A$1:$N$1998,4,FALSE)=0,IF(VLOOKUP($C211,'C'!$A$1:$N$1998,7,FALSE)=0,VLOOKUP($C211,'C'!$A$1:$N$1998,10,FALSE),VLOOKUP($C211,'C'!$A$1:$N$1998,7,FALSE)),VLOOKUP($C211,'C'!$A$1:$N$1998,4,FALSE)),"")</f>
        <v/>
      </c>
      <c r="E211" s="4" t="str">
        <f>IFERROR(VLOOKUP($C211,'C'!$A$1:$N$1998,2,FALSE),"")</f>
        <v/>
      </c>
      <c r="F211" s="4" t="str">
        <f>IFERROR(IF(VLOOKUP($C211,'C'!$A$1:$N$1998,3,FALSE)=1,"&lt;",""),"")</f>
        <v/>
      </c>
      <c r="G211" s="4" t="str">
        <f>IFERROR(VLOOKUP($C211,'C'!$A$1:$N$1998,5,FALSE),"")</f>
        <v/>
      </c>
      <c r="H211" s="4" t="str">
        <f>IFERROR(IF(VLOOKUP($C211,'C'!$A$1:$N$1998,6,FALSE)=1,"&lt;",""),"")</f>
        <v/>
      </c>
      <c r="I211" s="4" t="str">
        <f>IFERROR(VLOOKUP($C211,'C'!$A$1:$N$1998,8,FALSE),"")</f>
        <v/>
      </c>
      <c r="J211" s="4" t="str">
        <f>IFERROR(IF(VLOOKUP($C211,'C'!$A$1:$N$1998,9,FALSE)=1,"&lt;",""),"")</f>
        <v/>
      </c>
      <c r="M211" s="4" t="str">
        <f t="shared" si="110"/>
        <v/>
      </c>
      <c r="N211" s="4" t="str">
        <f t="shared" si="114"/>
        <v/>
      </c>
      <c r="O211" s="4" t="str">
        <f t="shared" si="126"/>
        <v/>
      </c>
      <c r="P211" s="4" t="str">
        <f t="shared" si="115"/>
        <v/>
      </c>
      <c r="Q211" s="4" t="str">
        <f t="shared" si="127"/>
        <v/>
      </c>
      <c r="R211" s="4" t="str">
        <f t="shared" si="116"/>
        <v/>
      </c>
      <c r="V211" s="4">
        <f>IFERROR(IF(VLOOKUP(B211,E!$B$1:$AK$300,4,FALSE)=0,1000000,VLOOKUP(B211,E!$B$1:$AK$300,4,FALSE)),1000000)</f>
        <v>1000000</v>
      </c>
      <c r="Z211" s="4" t="str">
        <f t="shared" si="144"/>
        <v/>
      </c>
      <c r="AC211" s="4" t="str">
        <f t="shared" si="145"/>
        <v/>
      </c>
      <c r="AF211" s="4" t="str">
        <f t="shared" si="146"/>
        <v/>
      </c>
      <c r="AI211" s="77">
        <v>0</v>
      </c>
      <c r="AJ211" s="77">
        <v>0</v>
      </c>
      <c r="AK211" s="77">
        <v>1</v>
      </c>
      <c r="AO211" s="4">
        <f t="shared" si="117"/>
        <v>5</v>
      </c>
      <c r="AQ211" s="4">
        <f t="shared" si="118"/>
        <v>5</v>
      </c>
      <c r="AS211" s="4">
        <f t="shared" si="119"/>
        <v>5</v>
      </c>
      <c r="AV211" s="4" t="str">
        <f t="shared" si="147"/>
        <v/>
      </c>
      <c r="AX211" s="4" t="str">
        <f t="shared" si="148"/>
        <v/>
      </c>
      <c r="AZ211" s="4" t="str">
        <f t="shared" si="149"/>
        <v/>
      </c>
    </row>
    <row r="212" spans="1:52" x14ac:dyDescent="0.2">
      <c r="A212" s="4" t="s">
        <v>672</v>
      </c>
      <c r="B212" s="4">
        <v>1589</v>
      </c>
      <c r="C212" s="71" t="str">
        <f t="shared" si="140"/>
        <v>urn:immetingen:parameter:id:1589</v>
      </c>
      <c r="D212" s="4" t="str">
        <f>IFERROR(IF(VLOOKUP($C212,'C'!$A$1:$N$1998,4,FALSE)=0,IF(VLOOKUP($C212,'C'!$A$1:$N$1998,7,FALSE)=0,VLOOKUP($C212,'C'!$A$1:$N$1998,10,FALSE),VLOOKUP($C212,'C'!$A$1:$N$1998,7,FALSE)),VLOOKUP($C212,'C'!$A$1:$N$1998,4,FALSE)),"")</f>
        <v/>
      </c>
      <c r="E212" s="71">
        <f>IFERROR(Invoer!D51,"")</f>
        <v>0</v>
      </c>
      <c r="F212" s="71" t="str">
        <f>IFERROR(IF(Invoer!C53="&lt;","&lt;",""),"")</f>
        <v/>
      </c>
      <c r="G212" s="71">
        <f>IFERROR(Invoer!F53,"")</f>
        <v>0</v>
      </c>
      <c r="H212" s="71" t="str">
        <f>IF(Invoer!E53="&lt;","&lt;","")</f>
        <v/>
      </c>
      <c r="I212" s="71">
        <f>IFERROR(Invoer!H53,"")</f>
        <v>0</v>
      </c>
      <c r="J212" s="71" t="str">
        <f>IFERROR(IF(Invoer!G53="&lt;","&lt;",""),"")</f>
        <v/>
      </c>
      <c r="K212" s="71"/>
      <c r="L212" s="71"/>
      <c r="M212" s="4">
        <f t="shared" si="110"/>
        <v>0</v>
      </c>
      <c r="N212" s="4" t="str">
        <f t="shared" si="114"/>
        <v/>
      </c>
      <c r="O212" s="4">
        <f t="shared" si="126"/>
        <v>0</v>
      </c>
      <c r="P212" s="4" t="str">
        <f t="shared" si="115"/>
        <v/>
      </c>
      <c r="Q212" s="4">
        <f t="shared" si="127"/>
        <v>0</v>
      </c>
      <c r="R212" s="4" t="str">
        <f t="shared" si="116"/>
        <v/>
      </c>
      <c r="S212" s="71"/>
      <c r="T212" s="71"/>
      <c r="U212" s="71"/>
      <c r="V212" s="4">
        <f>IFERROR(IF(VLOOKUP(B212,E!$B$1:$AK$300,4,FALSE)=0,1000000,VLOOKUP(B212,E!$B$1:$AK$300,4,FALSE)),1000000)</f>
        <v>1000000</v>
      </c>
      <c r="W212" s="71"/>
      <c r="X212" s="71"/>
      <c r="Z212" s="4">
        <f t="shared" si="144"/>
        <v>0</v>
      </c>
      <c r="AC212" s="4">
        <f t="shared" si="145"/>
        <v>0</v>
      </c>
      <c r="AF212" s="4">
        <f t="shared" si="146"/>
        <v>0</v>
      </c>
      <c r="AI212" s="77">
        <v>0</v>
      </c>
      <c r="AJ212" s="77">
        <v>0</v>
      </c>
      <c r="AK212" s="77">
        <v>1</v>
      </c>
      <c r="AO212" s="4">
        <f t="shared" si="117"/>
        <v>5</v>
      </c>
      <c r="AQ212" s="4">
        <f t="shared" si="118"/>
        <v>5</v>
      </c>
      <c r="AS212" s="4">
        <f t="shared" si="119"/>
        <v>5</v>
      </c>
      <c r="AV212" s="4">
        <f t="shared" si="147"/>
        <v>0</v>
      </c>
      <c r="AX212" s="4">
        <f t="shared" si="148"/>
        <v>0</v>
      </c>
      <c r="AZ212" s="4">
        <f t="shared" si="149"/>
        <v>0</v>
      </c>
    </row>
    <row r="213" spans="1:52" x14ac:dyDescent="0.2">
      <c r="A213" s="4" t="s">
        <v>673</v>
      </c>
      <c r="B213" s="4">
        <v>285</v>
      </c>
      <c r="C213" s="4" t="str">
        <f t="shared" si="140"/>
        <v>urn:immetingen:parameter:id:285</v>
      </c>
      <c r="D213" s="4" t="str">
        <f>IFERROR(IF(VLOOKUP($C213,'C'!$A$1:$N$1998,4,FALSE)=0,IF(VLOOKUP($C213,'C'!$A$1:$N$1998,7,FALSE)=0,VLOOKUP($C213,'C'!$A$1:$N$1998,10,FALSE),VLOOKUP($C213,'C'!$A$1:$N$1998,7,FALSE)),VLOOKUP($C213,'C'!$A$1:$N$1998,4,FALSE)),"")</f>
        <v/>
      </c>
      <c r="E213" s="4" t="str">
        <f>IFERROR(VLOOKUP($C213,'C'!$A$1:$N$1998,2,FALSE),"")</f>
        <v/>
      </c>
      <c r="F213" s="4" t="str">
        <f>IFERROR(IF(VLOOKUP($C213,'C'!$A$1:$N$1998,3,FALSE)=1,"&lt;",""),"")</f>
        <v/>
      </c>
      <c r="G213" s="4" t="str">
        <f>IFERROR(VLOOKUP($C213,'C'!$A$1:$N$1998,5,FALSE),"")</f>
        <v/>
      </c>
      <c r="H213" s="4" t="str">
        <f>IFERROR(IF(VLOOKUP($C213,'C'!$A$1:$N$1998,6,FALSE)=1,"&lt;",""),"")</f>
        <v/>
      </c>
      <c r="I213" s="4" t="str">
        <f>IFERROR(VLOOKUP($C213,'C'!$A$1:$N$1998,8,FALSE),"")</f>
        <v/>
      </c>
      <c r="J213" s="4" t="str">
        <f>IFERROR(IF(VLOOKUP($C213,'C'!$A$1:$N$1998,9,FALSE)=1,"&lt;",""),"")</f>
        <v/>
      </c>
      <c r="M213" s="4" t="str">
        <f t="shared" si="110"/>
        <v/>
      </c>
      <c r="N213" s="4" t="str">
        <f t="shared" si="114"/>
        <v/>
      </c>
      <c r="O213" s="4" t="str">
        <f t="shared" si="126"/>
        <v/>
      </c>
      <c r="P213" s="4" t="str">
        <f t="shared" si="115"/>
        <v/>
      </c>
      <c r="Q213" s="4" t="str">
        <f t="shared" si="127"/>
        <v/>
      </c>
      <c r="R213" s="4" t="str">
        <f t="shared" si="116"/>
        <v/>
      </c>
      <c r="V213" s="4">
        <f>IFERROR(IF(VLOOKUP(B213,E!$B$1:$AK$300,4,FALSE)=0,1000000,VLOOKUP(B213,E!$B$1:$AK$300,4,FALSE)),1000000)</f>
        <v>1000000</v>
      </c>
      <c r="Z213" s="4" t="str">
        <f t="shared" si="144"/>
        <v/>
      </c>
      <c r="AC213" s="4" t="str">
        <f t="shared" si="145"/>
        <v/>
      </c>
      <c r="AF213" s="4" t="str">
        <f t="shared" si="146"/>
        <v/>
      </c>
      <c r="AI213" s="77">
        <v>0</v>
      </c>
      <c r="AJ213" s="77">
        <v>0</v>
      </c>
      <c r="AK213" s="77">
        <v>1</v>
      </c>
      <c r="AO213" s="4">
        <f t="shared" si="117"/>
        <v>5</v>
      </c>
      <c r="AQ213" s="4">
        <f t="shared" si="118"/>
        <v>5</v>
      </c>
      <c r="AS213" s="4">
        <f t="shared" si="119"/>
        <v>5</v>
      </c>
      <c r="AV213" s="4" t="str">
        <f t="shared" si="147"/>
        <v/>
      </c>
      <c r="AX213" s="4" t="str">
        <f t="shared" si="148"/>
        <v/>
      </c>
      <c r="AZ213" s="4" t="str">
        <f t="shared" si="149"/>
        <v/>
      </c>
    </row>
    <row r="214" spans="1:52" x14ac:dyDescent="0.2">
      <c r="A214" s="4" t="s">
        <v>674</v>
      </c>
      <c r="B214" s="4">
        <v>324</v>
      </c>
      <c r="C214" s="4" t="str">
        <f t="shared" si="140"/>
        <v>urn:immetingen:parameter:id:324</v>
      </c>
      <c r="D214" s="4" t="str">
        <f>IFERROR(IF(VLOOKUP($C214,'C'!$A$1:$N$1998,4,FALSE)=0,IF(VLOOKUP($C214,'C'!$A$1:$N$1998,7,FALSE)=0,VLOOKUP($C214,'C'!$A$1:$N$1998,10,FALSE),VLOOKUP($C214,'C'!$A$1:$N$1998,7,FALSE)),VLOOKUP($C214,'C'!$A$1:$N$1998,4,FALSE)),"")</f>
        <v/>
      </c>
      <c r="E214" s="4" t="str">
        <f>IFERROR(VLOOKUP($C214,'C'!$A$1:$N$1998,2,FALSE),"")</f>
        <v/>
      </c>
      <c r="F214" s="4" t="str">
        <f>IFERROR(IF(VLOOKUP($C214,'C'!$A$1:$N$1998,3,FALSE)=1,"&lt;",""),"")</f>
        <v/>
      </c>
      <c r="G214" s="4" t="str">
        <f>IFERROR(VLOOKUP($C214,'C'!$A$1:$N$1998,5,FALSE),"")</f>
        <v/>
      </c>
      <c r="H214" s="4" t="str">
        <f>IFERROR(IF(VLOOKUP($C214,'C'!$A$1:$N$1998,6,FALSE)=1,"&lt;",""),"")</f>
        <v/>
      </c>
      <c r="I214" s="4" t="str">
        <f>IFERROR(VLOOKUP($C214,'C'!$A$1:$N$1998,8,FALSE),"")</f>
        <v/>
      </c>
      <c r="J214" s="4" t="str">
        <f>IFERROR(IF(VLOOKUP($C214,'C'!$A$1:$N$1998,9,FALSE)=1,"&lt;",""),"")</f>
        <v/>
      </c>
      <c r="M214" s="4" t="str">
        <f t="shared" si="110"/>
        <v/>
      </c>
      <c r="N214" s="4" t="str">
        <f t="shared" si="114"/>
        <v/>
      </c>
      <c r="O214" s="4" t="str">
        <f t="shared" si="126"/>
        <v/>
      </c>
      <c r="P214" s="4" t="str">
        <f t="shared" si="115"/>
        <v/>
      </c>
      <c r="Q214" s="4" t="str">
        <f t="shared" si="127"/>
        <v/>
      </c>
      <c r="R214" s="4" t="str">
        <f t="shared" si="116"/>
        <v/>
      </c>
      <c r="V214" s="4">
        <f>IFERROR(IF(VLOOKUP(B214,E!$B$1:$AK$300,4,FALSE)=0,1000000,VLOOKUP(B214,E!$B$1:$AK$300,4,FALSE)),1000000)</f>
        <v>1000000</v>
      </c>
      <c r="Z214" s="4" t="str">
        <f t="shared" si="144"/>
        <v/>
      </c>
      <c r="AC214" s="4" t="str">
        <f t="shared" si="145"/>
        <v/>
      </c>
      <c r="AF214" s="4" t="str">
        <f t="shared" si="146"/>
        <v/>
      </c>
      <c r="AI214" s="77">
        <v>0</v>
      </c>
      <c r="AJ214" s="77">
        <v>0</v>
      </c>
      <c r="AK214" s="77">
        <v>1</v>
      </c>
      <c r="AO214" s="4">
        <f t="shared" si="117"/>
        <v>5</v>
      </c>
      <c r="AQ214" s="4">
        <f t="shared" si="118"/>
        <v>5</v>
      </c>
      <c r="AS214" s="4">
        <f t="shared" si="119"/>
        <v>5</v>
      </c>
      <c r="AV214" s="4" t="str">
        <f t="shared" si="147"/>
        <v/>
      </c>
      <c r="AX214" s="4" t="str">
        <f t="shared" si="148"/>
        <v/>
      </c>
      <c r="AZ214" s="4" t="str">
        <f t="shared" si="149"/>
        <v/>
      </c>
    </row>
    <row r="215" spans="1:52" x14ac:dyDescent="0.2">
      <c r="A215" s="4" t="s">
        <v>675</v>
      </c>
      <c r="B215" s="4">
        <v>325</v>
      </c>
      <c r="C215" s="4" t="str">
        <f t="shared" si="140"/>
        <v>urn:immetingen:parameter:id:325</v>
      </c>
      <c r="D215" s="4" t="str">
        <f>IFERROR(IF(VLOOKUP($C215,'C'!$A$1:$N$1998,4,FALSE)=0,IF(VLOOKUP($C215,'C'!$A$1:$N$1998,7,FALSE)=0,VLOOKUP($C215,'C'!$A$1:$N$1998,10,FALSE),VLOOKUP($C215,'C'!$A$1:$N$1998,7,FALSE)),VLOOKUP($C215,'C'!$A$1:$N$1998,4,FALSE)),"")</f>
        <v/>
      </c>
      <c r="E215" s="4" t="str">
        <f>IFERROR(VLOOKUP($C215,'C'!$A$1:$N$1998,2,FALSE),"")</f>
        <v/>
      </c>
      <c r="F215" s="4" t="str">
        <f>IFERROR(IF(VLOOKUP($C215,'C'!$A$1:$N$1998,3,FALSE)=1,"&lt;",""),"")</f>
        <v/>
      </c>
      <c r="G215" s="4" t="str">
        <f>IFERROR(VLOOKUP($C215,'C'!$A$1:$N$1998,5,FALSE),"")</f>
        <v/>
      </c>
      <c r="H215" s="4" t="str">
        <f>IFERROR(IF(VLOOKUP($C215,'C'!$A$1:$N$1998,6,FALSE)=1,"&lt;",""),"")</f>
        <v/>
      </c>
      <c r="I215" s="4" t="str">
        <f>IFERROR(VLOOKUP($C215,'C'!$A$1:$N$1998,8,FALSE),"")</f>
        <v/>
      </c>
      <c r="J215" s="4" t="str">
        <f>IFERROR(IF(VLOOKUP($C215,'C'!$A$1:$N$1998,9,FALSE)=1,"&lt;",""),"")</f>
        <v/>
      </c>
      <c r="M215" s="4" t="str">
        <f t="shared" si="110"/>
        <v/>
      </c>
      <c r="N215" s="4" t="str">
        <f t="shared" si="114"/>
        <v/>
      </c>
      <c r="O215" s="4" t="str">
        <f t="shared" si="126"/>
        <v/>
      </c>
      <c r="P215" s="4" t="str">
        <f t="shared" si="115"/>
        <v/>
      </c>
      <c r="Q215" s="4" t="str">
        <f t="shared" si="127"/>
        <v/>
      </c>
      <c r="R215" s="4" t="str">
        <f t="shared" si="116"/>
        <v/>
      </c>
      <c r="V215" s="4">
        <f>IFERROR(IF(VLOOKUP(B215,E!$B$1:$AK$300,4,FALSE)=0,1000000,VLOOKUP(B215,E!$B$1:$AK$300,4,FALSE)),1000000)</f>
        <v>1000000000</v>
      </c>
      <c r="Z215" s="4" t="str">
        <f t="shared" si="144"/>
        <v/>
      </c>
      <c r="AC215" s="4" t="str">
        <f t="shared" si="145"/>
        <v/>
      </c>
      <c r="AF215" s="4" t="str">
        <f t="shared" si="146"/>
        <v/>
      </c>
      <c r="AI215" s="77">
        <v>0</v>
      </c>
      <c r="AJ215" s="77">
        <v>0</v>
      </c>
      <c r="AK215" s="77">
        <v>1</v>
      </c>
      <c r="AO215" s="4">
        <f t="shared" si="117"/>
        <v>5</v>
      </c>
      <c r="AQ215" s="4">
        <f t="shared" si="118"/>
        <v>5</v>
      </c>
      <c r="AS215" s="4">
        <f t="shared" si="119"/>
        <v>5</v>
      </c>
      <c r="AV215" s="4" t="str">
        <f t="shared" si="147"/>
        <v/>
      </c>
      <c r="AX215" s="4" t="str">
        <f t="shared" si="148"/>
        <v/>
      </c>
      <c r="AZ215" s="4" t="str">
        <f t="shared" si="149"/>
        <v/>
      </c>
    </row>
    <row r="216" spans="1:52" x14ac:dyDescent="0.2">
      <c r="A216" s="81" t="s">
        <v>830</v>
      </c>
      <c r="B216" s="4">
        <v>458</v>
      </c>
      <c r="C216" s="4" t="str">
        <f t="shared" si="140"/>
        <v>urn:immetingen:parameter:id:458</v>
      </c>
      <c r="D216" s="4" t="str">
        <f>IFERROR(IF(VLOOKUP($C216,'C'!$A$1:$N$1998,4,FALSE)=0,IF(VLOOKUP($C216,'C'!$A$1:$N$1998,7,FALSE)=0,VLOOKUP($C216,'C'!$A$1:$N$1998,10,FALSE),VLOOKUP($C216,'C'!$A$1:$N$1998,7,FALSE)),VLOOKUP($C216,'C'!$A$1:$N$1998,4,FALSE)),"")</f>
        <v/>
      </c>
      <c r="E216" s="4" t="str">
        <f>IFERROR(VLOOKUP($C216,'C'!$A$1:$N$1998,2,FALSE),"")</f>
        <v/>
      </c>
      <c r="F216" s="4" t="str">
        <f>IFERROR(IF(VLOOKUP($C216,'C'!$A$1:$N$1998,3,FALSE)=1,"&lt;",""),"")</f>
        <v/>
      </c>
      <c r="M216" s="4" t="str">
        <f t="shared" si="110"/>
        <v/>
      </c>
      <c r="N216" s="4" t="str">
        <f t="shared" si="114"/>
        <v/>
      </c>
      <c r="O216" s="4" t="str">
        <f t="shared" si="126"/>
        <v/>
      </c>
      <c r="P216" s="4" t="str">
        <f t="shared" si="115"/>
        <v/>
      </c>
      <c r="Q216" s="4" t="str">
        <f t="shared" si="127"/>
        <v/>
      </c>
      <c r="R216" s="4" t="str">
        <f t="shared" si="116"/>
        <v/>
      </c>
      <c r="V216" s="4">
        <f>IFERROR(IF(VLOOKUP(B216,E!$B$1:$AK$300,4,FALSE)=0,1000000,VLOOKUP(B216,E!$B$1:$AK$300,4,FALSE)),1000000)</f>
        <v>1000000000</v>
      </c>
      <c r="Z216" s="4" t="str">
        <f t="shared" si="144"/>
        <v/>
      </c>
      <c r="AC216" s="4" t="str">
        <f t="shared" si="145"/>
        <v/>
      </c>
      <c r="AF216" s="4" t="str">
        <f t="shared" si="146"/>
        <v/>
      </c>
      <c r="AI216" s="77">
        <v>0</v>
      </c>
      <c r="AJ216" s="77">
        <v>0</v>
      </c>
      <c r="AK216" s="77">
        <v>1</v>
      </c>
      <c r="AO216" s="4">
        <f t="shared" si="117"/>
        <v>5</v>
      </c>
      <c r="AQ216" s="4">
        <f t="shared" si="118"/>
        <v>5</v>
      </c>
      <c r="AS216" s="4">
        <f t="shared" si="119"/>
        <v>5</v>
      </c>
      <c r="AV216" s="4" t="str">
        <f t="shared" si="147"/>
        <v/>
      </c>
      <c r="AX216" s="4" t="str">
        <f t="shared" si="148"/>
        <v/>
      </c>
      <c r="AZ216" s="4" t="str">
        <f t="shared" si="149"/>
        <v/>
      </c>
    </row>
    <row r="217" spans="1:52" x14ac:dyDescent="0.2">
      <c r="A217" s="81" t="s">
        <v>831</v>
      </c>
      <c r="B217" s="4">
        <v>462</v>
      </c>
      <c r="C217" s="4" t="str">
        <f t="shared" si="140"/>
        <v>urn:immetingen:parameter:id:462</v>
      </c>
      <c r="D217" s="4" t="str">
        <f>IFERROR(IF(VLOOKUP($C217,'C'!$A$1:$N$1998,4,FALSE)=0,IF(VLOOKUP($C217,'C'!$A$1:$N$1998,7,FALSE)=0,VLOOKUP($C217,'C'!$A$1:$N$1998,10,FALSE),VLOOKUP($C217,'C'!$A$1:$N$1998,7,FALSE)),VLOOKUP($C217,'C'!$A$1:$N$1998,4,FALSE)),"")</f>
        <v/>
      </c>
      <c r="E217" s="4" t="str">
        <f>IFERROR(VLOOKUP($C217,'C'!$A$1:$N$1998,2,FALSE),"")</f>
        <v/>
      </c>
      <c r="F217" s="4" t="str">
        <f>IFERROR(IF(VLOOKUP($C217,'C'!$A$1:$N$1998,3,FALSE)=1,"&lt;",""),"")</f>
        <v/>
      </c>
      <c r="M217" s="4" t="str">
        <f t="shared" si="110"/>
        <v/>
      </c>
      <c r="N217" s="4" t="str">
        <f t="shared" si="114"/>
        <v/>
      </c>
      <c r="O217" s="4" t="str">
        <f t="shared" si="126"/>
        <v/>
      </c>
      <c r="P217" s="4" t="str">
        <f t="shared" si="115"/>
        <v/>
      </c>
      <c r="Q217" s="4" t="str">
        <f t="shared" si="127"/>
        <v/>
      </c>
      <c r="R217" s="4" t="str">
        <f t="shared" si="116"/>
        <v/>
      </c>
      <c r="V217" s="4">
        <f>IFERROR(IF(VLOOKUP(B217,E!$B$1:$AK$300,4,FALSE)=0,1000000,VLOOKUP(B217,E!$B$1:$AK$300,4,FALSE)),1000000)</f>
        <v>1000000000</v>
      </c>
      <c r="Z217" s="4" t="str">
        <f t="shared" si="144"/>
        <v/>
      </c>
      <c r="AC217" s="4" t="str">
        <f t="shared" si="145"/>
        <v/>
      </c>
      <c r="AF217" s="4" t="str">
        <f t="shared" si="146"/>
        <v/>
      </c>
      <c r="AI217" s="77">
        <v>0</v>
      </c>
      <c r="AJ217" s="77">
        <v>0</v>
      </c>
      <c r="AK217" s="77">
        <v>1</v>
      </c>
      <c r="AO217" s="4">
        <f t="shared" si="117"/>
        <v>5</v>
      </c>
      <c r="AQ217" s="4">
        <f t="shared" si="118"/>
        <v>5</v>
      </c>
      <c r="AS217" s="4">
        <f t="shared" si="119"/>
        <v>5</v>
      </c>
      <c r="AV217" s="4" t="str">
        <f t="shared" si="147"/>
        <v/>
      </c>
      <c r="AX217" s="4" t="str">
        <f t="shared" si="148"/>
        <v/>
      </c>
      <c r="AZ217" s="4" t="str">
        <f t="shared" si="149"/>
        <v/>
      </c>
    </row>
    <row r="218" spans="1:52" x14ac:dyDescent="0.2">
      <c r="A218" s="81" t="s">
        <v>832</v>
      </c>
      <c r="B218" s="4">
        <v>2253</v>
      </c>
      <c r="C218" s="4" t="str">
        <f t="shared" si="140"/>
        <v>urn:immetingen:parameter:id:2253</v>
      </c>
      <c r="D218" s="4" t="str">
        <f>IFERROR(IF(VLOOKUP($C218,'C'!$A$1:$N$1998,4,FALSE)=0,IF(VLOOKUP($C218,'C'!$A$1:$N$1998,7,FALSE)=0,VLOOKUP($C218,'C'!$A$1:$N$1998,10,FALSE),VLOOKUP($C218,'C'!$A$1:$N$1998,7,FALSE)),VLOOKUP($C218,'C'!$A$1:$N$1998,4,FALSE)),"")</f>
        <v/>
      </c>
      <c r="E218" s="4" t="str">
        <f>IFERROR(VLOOKUP($C218,'C'!$A$1:$N$1998,2,FALSE),"")</f>
        <v/>
      </c>
      <c r="F218" s="4" t="str">
        <f>IFERROR(IF(VLOOKUP($C218,'C'!$A$1:$N$1998,3,FALSE)=1,"&lt;",""),"")</f>
        <v/>
      </c>
      <c r="M218" s="4" t="str">
        <f t="shared" si="110"/>
        <v/>
      </c>
      <c r="N218" s="4" t="str">
        <f t="shared" si="114"/>
        <v/>
      </c>
      <c r="O218" s="4" t="str">
        <f t="shared" si="126"/>
        <v/>
      </c>
      <c r="P218" s="4" t="str">
        <f t="shared" si="115"/>
        <v/>
      </c>
      <c r="Q218" s="4" t="str">
        <f t="shared" si="127"/>
        <v/>
      </c>
      <c r="R218" s="4" t="str">
        <f t="shared" si="116"/>
        <v/>
      </c>
      <c r="V218" s="4">
        <f>IFERROR(IF(VLOOKUP(B218,E!$B$1:$AK$300,4,FALSE)=0,1000000,VLOOKUP(B218,E!$B$1:$AK$300,4,FALSE)),1000000)</f>
        <v>1000000000</v>
      </c>
      <c r="Z218" s="4" t="str">
        <f t="shared" si="144"/>
        <v/>
      </c>
      <c r="AC218" s="4" t="str">
        <f t="shared" si="145"/>
        <v/>
      </c>
      <c r="AF218" s="4" t="str">
        <f t="shared" si="146"/>
        <v/>
      </c>
      <c r="AI218" s="77">
        <v>0</v>
      </c>
      <c r="AJ218" s="77">
        <v>0</v>
      </c>
      <c r="AK218" s="77">
        <v>1</v>
      </c>
      <c r="AO218" s="4">
        <f t="shared" si="117"/>
        <v>5</v>
      </c>
      <c r="AQ218" s="4">
        <f t="shared" si="118"/>
        <v>5</v>
      </c>
      <c r="AS218" s="4">
        <f t="shared" si="119"/>
        <v>5</v>
      </c>
      <c r="AV218" s="4" t="str">
        <f t="shared" si="147"/>
        <v/>
      </c>
      <c r="AX218" s="4" t="str">
        <f t="shared" si="148"/>
        <v/>
      </c>
      <c r="AZ218" s="4" t="str">
        <f t="shared" si="149"/>
        <v/>
      </c>
    </row>
    <row r="219" spans="1:52" x14ac:dyDescent="0.2">
      <c r="A219" s="76" t="s">
        <v>833</v>
      </c>
      <c r="B219" s="4">
        <v>2244</v>
      </c>
      <c r="C219" s="4" t="str">
        <f t="shared" si="140"/>
        <v>urn:immetingen:parameter:id:2244</v>
      </c>
      <c r="D219" s="4" t="str">
        <f>IFERROR(IF(VLOOKUP($C219,'C'!$A$1:$N$1998,4,FALSE)=0,IF(VLOOKUP($C219,'C'!$A$1:$N$1998,7,FALSE)=0,VLOOKUP($C219,'C'!$A$1:$N$1998,10,FALSE),VLOOKUP($C219,'C'!$A$1:$N$1998,7,FALSE)),VLOOKUP($C219,'C'!$A$1:$N$1998,4,FALSE)),"")</f>
        <v/>
      </c>
      <c r="E219" s="4" t="str">
        <f>IFERROR(VLOOKUP($C219,'C'!$A$1:$N$1998,2,FALSE),"")</f>
        <v/>
      </c>
      <c r="F219" s="4" t="str">
        <f>IFERROR(IF(VLOOKUP($C219,'C'!$A$1:$N$1998,3,FALSE)=1,"&lt;",""),"")</f>
        <v/>
      </c>
      <c r="M219" s="4" t="str">
        <f t="shared" si="110"/>
        <v/>
      </c>
      <c r="N219" s="4" t="str">
        <f t="shared" si="114"/>
        <v/>
      </c>
      <c r="O219" s="4" t="str">
        <f t="shared" si="126"/>
        <v/>
      </c>
      <c r="P219" s="4" t="str">
        <f t="shared" si="115"/>
        <v/>
      </c>
      <c r="Q219" s="4" t="str">
        <f t="shared" si="127"/>
        <v/>
      </c>
      <c r="R219" s="4" t="str">
        <f t="shared" si="116"/>
        <v/>
      </c>
      <c r="V219" s="4">
        <f>IFERROR(IF(VLOOKUP(B219,E!$B$1:$AK$300,4,FALSE)=0,1000000,VLOOKUP(B219,E!$B$1:$AK$300,4,FALSE)),1000000)</f>
        <v>1000000000</v>
      </c>
      <c r="Z219" s="4" t="str">
        <f t="shared" si="144"/>
        <v/>
      </c>
      <c r="AC219" s="4" t="str">
        <f t="shared" si="145"/>
        <v/>
      </c>
      <c r="AF219" s="4" t="str">
        <f t="shared" si="146"/>
        <v/>
      </c>
      <c r="AI219" s="77">
        <v>0</v>
      </c>
      <c r="AJ219" s="77">
        <v>0</v>
      </c>
      <c r="AK219" s="77">
        <v>1</v>
      </c>
      <c r="AO219" s="4">
        <f t="shared" si="117"/>
        <v>5</v>
      </c>
      <c r="AQ219" s="4">
        <f t="shared" si="118"/>
        <v>5</v>
      </c>
      <c r="AS219" s="4">
        <f t="shared" si="119"/>
        <v>5</v>
      </c>
      <c r="AV219" s="4" t="str">
        <f t="shared" si="147"/>
        <v/>
      </c>
      <c r="AX219" s="4" t="str">
        <f t="shared" si="148"/>
        <v/>
      </c>
      <c r="AZ219" s="4" t="str">
        <f t="shared" si="149"/>
        <v/>
      </c>
    </row>
    <row r="220" spans="1:52" x14ac:dyDescent="0.2">
      <c r="A220" s="81" t="s">
        <v>834</v>
      </c>
      <c r="B220" s="4">
        <v>2583</v>
      </c>
      <c r="C220" s="4" t="str">
        <f t="shared" si="140"/>
        <v>urn:immetingen:parameter:id:2583</v>
      </c>
      <c r="D220" s="4" t="str">
        <f>IFERROR(IF(VLOOKUP($C220,'C'!$A$1:$N$1998,4,FALSE)=0,IF(VLOOKUP($C220,'C'!$A$1:$N$1998,7,FALSE)=0,VLOOKUP($C220,'C'!$A$1:$N$1998,10,FALSE),VLOOKUP($C220,'C'!$A$1:$N$1998,7,FALSE)),VLOOKUP($C220,'C'!$A$1:$N$1998,4,FALSE)),"")</f>
        <v/>
      </c>
      <c r="E220" s="4" t="str">
        <f>IFERROR(VLOOKUP($C220,'C'!$A$1:$N$1998,2,FALSE),"")</f>
        <v/>
      </c>
      <c r="F220" s="4" t="str">
        <f>IFERROR(IF(VLOOKUP($C220,'C'!$A$1:$N$1998,3,FALSE)=1,"&lt;",""),"")</f>
        <v/>
      </c>
      <c r="M220" s="4" t="str">
        <f t="shared" si="110"/>
        <v/>
      </c>
      <c r="N220" s="4" t="str">
        <f t="shared" si="114"/>
        <v/>
      </c>
      <c r="O220" s="4" t="str">
        <f t="shared" si="126"/>
        <v/>
      </c>
      <c r="P220" s="4" t="str">
        <f t="shared" si="115"/>
        <v/>
      </c>
      <c r="Q220" s="4" t="str">
        <f t="shared" si="127"/>
        <v/>
      </c>
      <c r="R220" s="4" t="str">
        <f t="shared" si="116"/>
        <v/>
      </c>
      <c r="V220" s="4">
        <f>IFERROR(IF(VLOOKUP(B220,E!$B$1:$AK$300,4,FALSE)=0,1000000,VLOOKUP(B220,E!$B$1:$AK$300,4,FALSE)),1000000)</f>
        <v>1000000000</v>
      </c>
      <c r="Z220" s="4" t="str">
        <f t="shared" si="144"/>
        <v/>
      </c>
      <c r="AC220" s="4" t="str">
        <f t="shared" si="145"/>
        <v/>
      </c>
      <c r="AF220" s="4" t="str">
        <f t="shared" si="146"/>
        <v/>
      </c>
      <c r="AI220" s="77">
        <v>0</v>
      </c>
      <c r="AJ220" s="77">
        <v>0</v>
      </c>
      <c r="AK220" s="77">
        <v>1</v>
      </c>
      <c r="AO220" s="4">
        <f t="shared" si="117"/>
        <v>5</v>
      </c>
      <c r="AQ220" s="4">
        <f t="shared" si="118"/>
        <v>5</v>
      </c>
      <c r="AS220" s="4">
        <f t="shared" si="119"/>
        <v>5</v>
      </c>
      <c r="AV220" s="4" t="str">
        <f t="shared" si="147"/>
        <v/>
      </c>
      <c r="AX220" s="4" t="str">
        <f t="shared" si="148"/>
        <v/>
      </c>
      <c r="AZ220" s="4" t="str">
        <f t="shared" si="149"/>
        <v/>
      </c>
    </row>
    <row r="221" spans="1:52" x14ac:dyDescent="0.2">
      <c r="A221" s="81" t="s">
        <v>835</v>
      </c>
      <c r="B221" s="4">
        <v>1712</v>
      </c>
      <c r="C221" s="4" t="str">
        <f t="shared" si="140"/>
        <v>urn:immetingen:parameter:id:1712</v>
      </c>
      <c r="D221" s="4" t="str">
        <f>IFERROR(IF(VLOOKUP($C221,'C'!$A$1:$N$1998,4,FALSE)=0,IF(VLOOKUP($C221,'C'!$A$1:$N$1998,7,FALSE)=0,VLOOKUP($C221,'C'!$A$1:$N$1998,10,FALSE),VLOOKUP($C221,'C'!$A$1:$N$1998,7,FALSE)),VLOOKUP($C221,'C'!$A$1:$N$1998,4,FALSE)),"")</f>
        <v/>
      </c>
      <c r="E221" s="4" t="str">
        <f>IFERROR(VLOOKUP($C221,'C'!$A$1:$N$1998,2,FALSE),"")</f>
        <v/>
      </c>
      <c r="F221" s="4" t="str">
        <f>IFERROR(IF(VLOOKUP($C221,'C'!$A$1:$N$1998,3,FALSE)=1,"&lt;",""),"")</f>
        <v/>
      </c>
      <c r="M221" s="4" t="str">
        <f t="shared" si="110"/>
        <v/>
      </c>
      <c r="N221" s="4" t="str">
        <f t="shared" si="114"/>
        <v/>
      </c>
      <c r="O221" s="4" t="str">
        <f t="shared" si="126"/>
        <v/>
      </c>
      <c r="P221" s="4" t="str">
        <f t="shared" si="115"/>
        <v/>
      </c>
      <c r="Q221" s="4" t="str">
        <f t="shared" si="127"/>
        <v/>
      </c>
      <c r="R221" s="4" t="str">
        <f t="shared" si="116"/>
        <v/>
      </c>
      <c r="V221" s="4">
        <f>IFERROR(IF(VLOOKUP(B221,E!$B$1:$AK$300,4,FALSE)=0,1000000,VLOOKUP(B221,E!$B$1:$AK$300,4,FALSE)),1000000)</f>
        <v>1000000000</v>
      </c>
      <c r="Z221" s="4" t="str">
        <f t="shared" si="144"/>
        <v/>
      </c>
      <c r="AC221" s="4" t="str">
        <f t="shared" si="145"/>
        <v/>
      </c>
      <c r="AF221" s="4" t="str">
        <f t="shared" si="146"/>
        <v/>
      </c>
      <c r="AI221" s="77">
        <v>0</v>
      </c>
      <c r="AJ221" s="77">
        <v>0</v>
      </c>
      <c r="AK221" s="77">
        <v>1</v>
      </c>
      <c r="AO221" s="4">
        <f t="shared" si="117"/>
        <v>5</v>
      </c>
      <c r="AQ221" s="4">
        <f t="shared" si="118"/>
        <v>5</v>
      </c>
      <c r="AS221" s="4">
        <f t="shared" si="119"/>
        <v>5</v>
      </c>
      <c r="AV221" s="4" t="str">
        <f t="shared" si="147"/>
        <v/>
      </c>
      <c r="AX221" s="4" t="str">
        <f t="shared" si="148"/>
        <v/>
      </c>
      <c r="AZ221" s="4" t="str">
        <f t="shared" si="149"/>
        <v/>
      </c>
    </row>
    <row r="222" spans="1:52" x14ac:dyDescent="0.2">
      <c r="A222" s="81" t="s">
        <v>836</v>
      </c>
      <c r="B222" s="4">
        <v>4129</v>
      </c>
      <c r="C222" s="4" t="str">
        <f t="shared" si="140"/>
        <v>urn:immetingen:parameter:id:4129</v>
      </c>
      <c r="D222" s="4" t="str">
        <f>IFERROR(IF(VLOOKUP($C222,'C'!$A$1:$N$1998,4,FALSE)=0,IF(VLOOKUP($C222,'C'!$A$1:$N$1998,7,FALSE)=0,VLOOKUP($C222,'C'!$A$1:$N$1998,10,FALSE),VLOOKUP($C222,'C'!$A$1:$N$1998,7,FALSE)),VLOOKUP($C222,'C'!$A$1:$N$1998,4,FALSE)),"")</f>
        <v/>
      </c>
      <c r="E222" s="4" t="str">
        <f>IFERROR(VLOOKUP($C222,'C'!$A$1:$N$1998,2,FALSE),"")</f>
        <v/>
      </c>
      <c r="F222" s="4" t="str">
        <f>IFERROR(IF(VLOOKUP($C222,'C'!$A$1:$N$1998,3,FALSE)=1,"&lt;",""),"")</f>
        <v/>
      </c>
      <c r="M222" s="4" t="str">
        <f t="shared" ref="M222:M285" si="150">IF(E222="","",IF($D222=131,E222/1000,E222))</f>
        <v/>
      </c>
      <c r="N222" s="4" t="str">
        <f t="shared" si="114"/>
        <v/>
      </c>
      <c r="O222" s="4" t="str">
        <f t="shared" si="126"/>
        <v/>
      </c>
      <c r="P222" s="4" t="str">
        <f t="shared" si="115"/>
        <v/>
      </c>
      <c r="Q222" s="4" t="str">
        <f t="shared" si="127"/>
        <v/>
      </c>
      <c r="R222" s="4" t="str">
        <f t="shared" si="116"/>
        <v/>
      </c>
      <c r="V222" s="4">
        <f>IFERROR(IF(VLOOKUP(B222,E!$B$1:$AK$300,4,FALSE)=0,1000000,VLOOKUP(B222,E!$B$1:$AK$300,4,FALSE)),1000000)</f>
        <v>1000000000</v>
      </c>
      <c r="Z222" s="4" t="str">
        <f t="shared" si="144"/>
        <v/>
      </c>
      <c r="AC222" s="4" t="str">
        <f t="shared" si="145"/>
        <v/>
      </c>
      <c r="AF222" s="4" t="str">
        <f t="shared" si="146"/>
        <v/>
      </c>
      <c r="AI222" s="77">
        <v>0</v>
      </c>
      <c r="AJ222" s="77">
        <v>0</v>
      </c>
      <c r="AK222" s="77">
        <v>1</v>
      </c>
      <c r="AO222" s="4">
        <f t="shared" si="117"/>
        <v>5</v>
      </c>
      <c r="AQ222" s="4">
        <f t="shared" si="118"/>
        <v>5</v>
      </c>
      <c r="AS222" s="4">
        <f t="shared" si="119"/>
        <v>5</v>
      </c>
      <c r="AV222" s="4" t="str">
        <f t="shared" si="147"/>
        <v/>
      </c>
      <c r="AX222" s="4" t="str">
        <f t="shared" si="148"/>
        <v/>
      </c>
      <c r="AZ222" s="4" t="str">
        <f t="shared" si="149"/>
        <v/>
      </c>
    </row>
    <row r="223" spans="1:52" x14ac:dyDescent="0.2">
      <c r="A223" s="4" t="s">
        <v>676</v>
      </c>
      <c r="B223" s="4">
        <v>1421</v>
      </c>
      <c r="C223" s="4" t="str">
        <f t="shared" si="140"/>
        <v>urn:immetingen:parameter:id:1421</v>
      </c>
      <c r="D223" s="4" t="str">
        <f>IFERROR(IF(VLOOKUP($C223,'C'!$A$1:$N$1998,4,FALSE)=0,IF(VLOOKUP($C223,'C'!$A$1:$N$1998,7,FALSE)=0,VLOOKUP($C223,'C'!$A$1:$N$1998,10,FALSE),VLOOKUP($C223,'C'!$A$1:$N$1998,7,FALSE)),VLOOKUP($C223,'C'!$A$1:$N$1998,4,FALSE)),"")</f>
        <v/>
      </c>
      <c r="E223" s="4" t="str">
        <f>IFERROR(VLOOKUP($C223,'C'!$A$1:$N$1998,2,FALSE),"")</f>
        <v/>
      </c>
      <c r="F223" s="4" t="str">
        <f>IFERROR(IF(VLOOKUP($C223,'C'!$A$1:$N$1998,3,FALSE)=1,"&lt;",""),"")</f>
        <v/>
      </c>
      <c r="G223" s="4" t="str">
        <f>IFERROR(VLOOKUP($C223,'C'!$A$1:$N$1998,5,FALSE),"")</f>
        <v/>
      </c>
      <c r="H223" s="4" t="str">
        <f>IFERROR(IF(VLOOKUP($C223,'C'!$A$1:$N$1998,6,FALSE)=1,"&lt;",""),"")</f>
        <v/>
      </c>
      <c r="I223" s="4" t="str">
        <f>IFERROR(VLOOKUP($C223,'C'!$A$1:$N$1998,8,FALSE),"")</f>
        <v/>
      </c>
      <c r="J223" s="4" t="str">
        <f>IFERROR(IF(VLOOKUP($C223,'C'!$A$1:$N$1998,9,FALSE)=1,"&lt;",""),"")</f>
        <v/>
      </c>
      <c r="M223" s="4" t="str">
        <f t="shared" si="150"/>
        <v/>
      </c>
      <c r="N223" s="4" t="str">
        <f t="shared" ref="N223:N286" si="151">IF(F223="","",F223)</f>
        <v/>
      </c>
      <c r="O223" s="4" t="str">
        <f t="shared" si="126"/>
        <v/>
      </c>
      <c r="P223" s="4" t="str">
        <f t="shared" ref="P223:P286" si="152">IF(H223="","",H223)</f>
        <v/>
      </c>
      <c r="Q223" s="4" t="str">
        <f t="shared" si="127"/>
        <v/>
      </c>
      <c r="R223" s="4" t="str">
        <f t="shared" ref="R223:R286" si="153">IF(J223="","",J223)</f>
        <v/>
      </c>
      <c r="V223" s="4">
        <f>IFERROR(IF(VLOOKUP(B223,E!$B$1:$AK$300,4,FALSE)=0,1000000,VLOOKUP(B223,E!$B$1:$AK$300,4,FALSE)),1000000)</f>
        <v>1000000</v>
      </c>
      <c r="Z223" s="4" t="str">
        <f t="shared" si="144"/>
        <v/>
      </c>
      <c r="AC223" s="4" t="str">
        <f t="shared" si="145"/>
        <v/>
      </c>
      <c r="AF223" s="4" t="str">
        <f t="shared" si="146"/>
        <v/>
      </c>
      <c r="AI223" s="77">
        <v>0</v>
      </c>
      <c r="AJ223" s="77">
        <v>0</v>
      </c>
      <c r="AK223" s="77">
        <v>1</v>
      </c>
      <c r="AO223" s="4">
        <f t="shared" ref="AO223:AO286" si="154">($AI223+($AJ223*25)+($AK223*10))/($AI223+($AJ223*AO$7)+($AK223*AO$6))</f>
        <v>5</v>
      </c>
      <c r="AQ223" s="4">
        <f t="shared" ref="AQ223:AQ286" si="155">($AI223+($AJ223*25)+($AK223*10))/($AI223+($AJ223*AQ$7)+($AK223*AQ$6))</f>
        <v>5</v>
      </c>
      <c r="AS223" s="4">
        <f t="shared" ref="AS223:AS286" si="156">($AI223+($AJ223*25)+($AK223*10))/($AI223+($AJ223*AS$7)+($AK223*AS$6))</f>
        <v>5</v>
      </c>
      <c r="AV223" s="4" t="str">
        <f t="shared" si="147"/>
        <v/>
      </c>
      <c r="AX223" s="4" t="str">
        <f t="shared" si="148"/>
        <v/>
      </c>
      <c r="AZ223" s="4" t="str">
        <f t="shared" si="149"/>
        <v/>
      </c>
    </row>
    <row r="224" spans="1:52" x14ac:dyDescent="0.2">
      <c r="A224" s="4" t="s">
        <v>677</v>
      </c>
      <c r="B224" s="4">
        <v>2173</v>
      </c>
      <c r="C224" s="4" t="str">
        <f t="shared" si="140"/>
        <v>urn:immetingen:parameter:id:2173</v>
      </c>
      <c r="D224" s="4" t="str">
        <f>IFERROR(IF(VLOOKUP($C224,'C'!$A$1:$N$1998,4,FALSE)=0,IF(VLOOKUP($C224,'C'!$A$1:$N$1998,7,FALSE)=0,VLOOKUP($C224,'C'!$A$1:$N$1998,10,FALSE),VLOOKUP($C224,'C'!$A$1:$N$1998,7,FALSE)),VLOOKUP($C224,'C'!$A$1:$N$1998,4,FALSE)),"")</f>
        <v/>
      </c>
      <c r="E224" s="4" t="str">
        <f>IFERROR(VLOOKUP($C224,'C'!$A$1:$N$1998,2,FALSE),"")</f>
        <v/>
      </c>
      <c r="F224" s="4" t="str">
        <f>IFERROR(IF(VLOOKUP($C224,'C'!$A$1:$N$1998,3,FALSE)=1,"&lt;",""),"")</f>
        <v/>
      </c>
      <c r="G224" s="4" t="str">
        <f>IFERROR(VLOOKUP($C224,'C'!$A$1:$N$1998,5,FALSE),"")</f>
        <v/>
      </c>
      <c r="H224" s="4" t="str">
        <f>IFERROR(IF(VLOOKUP($C224,'C'!$A$1:$N$1998,6,FALSE)=1,"&lt;",""),"")</f>
        <v/>
      </c>
      <c r="I224" s="4" t="str">
        <f>IFERROR(VLOOKUP($C224,'C'!$A$1:$N$1998,8,FALSE),"")</f>
        <v/>
      </c>
      <c r="J224" s="4" t="str">
        <f>IFERROR(IF(VLOOKUP($C224,'C'!$A$1:$N$1998,9,FALSE)=1,"&lt;",""),"")</f>
        <v/>
      </c>
      <c r="M224" s="4" t="str">
        <f t="shared" si="150"/>
        <v/>
      </c>
      <c r="N224" s="4" t="str">
        <f t="shared" si="151"/>
        <v/>
      </c>
      <c r="O224" s="4" t="str">
        <f t="shared" si="126"/>
        <v/>
      </c>
      <c r="P224" s="4" t="str">
        <f t="shared" si="152"/>
        <v/>
      </c>
      <c r="Q224" s="4" t="str">
        <f t="shared" si="127"/>
        <v/>
      </c>
      <c r="R224" s="4" t="str">
        <f t="shared" si="153"/>
        <v/>
      </c>
      <c r="V224" s="4">
        <f>IFERROR(IF(VLOOKUP(B224,E!$B$1:$AK$300,4,FALSE)=0,1000000,VLOOKUP(B224,E!$B$1:$AK$300,4,FALSE)),1000000)</f>
        <v>1000000</v>
      </c>
      <c r="Z224" s="4" t="str">
        <f t="shared" si="144"/>
        <v/>
      </c>
      <c r="AC224" s="4" t="str">
        <f t="shared" si="145"/>
        <v/>
      </c>
      <c r="AF224" s="4" t="str">
        <f t="shared" si="146"/>
        <v/>
      </c>
      <c r="AI224" s="77">
        <v>0</v>
      </c>
      <c r="AJ224" s="77">
        <v>0</v>
      </c>
      <c r="AK224" s="77">
        <v>1</v>
      </c>
      <c r="AO224" s="4">
        <f t="shared" si="154"/>
        <v>5</v>
      </c>
      <c r="AQ224" s="4">
        <f t="shared" si="155"/>
        <v>5</v>
      </c>
      <c r="AS224" s="4">
        <f t="shared" si="156"/>
        <v>5</v>
      </c>
      <c r="AV224" s="4" t="str">
        <f t="shared" si="147"/>
        <v/>
      </c>
      <c r="AX224" s="4" t="str">
        <f t="shared" si="148"/>
        <v/>
      </c>
      <c r="AZ224" s="4" t="str">
        <f t="shared" si="149"/>
        <v/>
      </c>
    </row>
    <row r="225" spans="1:52" x14ac:dyDescent="0.2">
      <c r="A225" s="4" t="s">
        <v>678</v>
      </c>
      <c r="B225" s="4">
        <v>1427</v>
      </c>
      <c r="C225" s="4" t="str">
        <f t="shared" si="140"/>
        <v>urn:immetingen:parameter:id:1427</v>
      </c>
      <c r="D225" s="4" t="str">
        <f>IFERROR(IF(VLOOKUP($C225,'C'!$A$1:$N$1998,4,FALSE)=0,IF(VLOOKUP($C225,'C'!$A$1:$N$1998,7,FALSE)=0,VLOOKUP($C225,'C'!$A$1:$N$1998,10,FALSE),VLOOKUP($C225,'C'!$A$1:$N$1998,7,FALSE)),VLOOKUP($C225,'C'!$A$1:$N$1998,4,FALSE)),"")</f>
        <v/>
      </c>
      <c r="E225" s="4" t="str">
        <f>IFERROR(VLOOKUP($C225,'C'!$A$1:$N$1998,2,FALSE),"")</f>
        <v/>
      </c>
      <c r="F225" s="4" t="str">
        <f>IFERROR(IF(VLOOKUP($C225,'C'!$A$1:$N$1998,3,FALSE)=1,"&lt;",""),"")</f>
        <v/>
      </c>
      <c r="G225" s="4" t="str">
        <f>IFERROR(VLOOKUP($C225,'C'!$A$1:$N$1998,5,FALSE),"")</f>
        <v/>
      </c>
      <c r="H225" s="4" t="str">
        <f>IFERROR(IF(VLOOKUP($C225,'C'!$A$1:$N$1998,6,FALSE)=1,"&lt;",""),"")</f>
        <v/>
      </c>
      <c r="I225" s="4" t="str">
        <f>IFERROR(VLOOKUP($C225,'C'!$A$1:$N$1998,8,FALSE),"")</f>
        <v/>
      </c>
      <c r="J225" s="4" t="str">
        <f>IFERROR(IF(VLOOKUP($C225,'C'!$A$1:$N$1998,9,FALSE)=1,"&lt;",""),"")</f>
        <v/>
      </c>
      <c r="M225" s="4" t="str">
        <f t="shared" si="150"/>
        <v/>
      </c>
      <c r="N225" s="4" t="str">
        <f t="shared" si="151"/>
        <v/>
      </c>
      <c r="O225" s="4" t="str">
        <f t="shared" si="126"/>
        <v/>
      </c>
      <c r="P225" s="4" t="str">
        <f t="shared" si="152"/>
        <v/>
      </c>
      <c r="Q225" s="4" t="str">
        <f t="shared" si="127"/>
        <v/>
      </c>
      <c r="R225" s="4" t="str">
        <f t="shared" si="153"/>
        <v/>
      </c>
      <c r="V225" s="4">
        <f>IFERROR(IF(VLOOKUP(B225,E!$B$1:$AK$300,4,FALSE)=0,1000000,VLOOKUP(B225,E!$B$1:$AK$300,4,FALSE)),1000000)</f>
        <v>1000000</v>
      </c>
      <c r="Z225" s="4" t="str">
        <f t="shared" si="144"/>
        <v/>
      </c>
      <c r="AC225" s="4" t="str">
        <f t="shared" si="145"/>
        <v/>
      </c>
      <c r="AF225" s="4" t="str">
        <f t="shared" si="146"/>
        <v/>
      </c>
      <c r="AI225" s="77">
        <v>0</v>
      </c>
      <c r="AJ225" s="77">
        <v>0</v>
      </c>
      <c r="AK225" s="77">
        <v>1</v>
      </c>
      <c r="AO225" s="4">
        <f t="shared" si="154"/>
        <v>5</v>
      </c>
      <c r="AQ225" s="4">
        <f t="shared" si="155"/>
        <v>5</v>
      </c>
      <c r="AS225" s="4">
        <f t="shared" si="156"/>
        <v>5</v>
      </c>
      <c r="AV225" s="4" t="str">
        <f t="shared" si="147"/>
        <v/>
      </c>
      <c r="AX225" s="4" t="str">
        <f t="shared" si="148"/>
        <v/>
      </c>
      <c r="AZ225" s="4" t="str">
        <f t="shared" si="149"/>
        <v/>
      </c>
    </row>
    <row r="226" spans="1:52" x14ac:dyDescent="0.2">
      <c r="A226" s="4" t="s">
        <v>679</v>
      </c>
      <c r="B226" s="4">
        <v>1480</v>
      </c>
      <c r="C226" s="4" t="str">
        <f t="shared" si="140"/>
        <v>urn:immetingen:parameter:id:1480</v>
      </c>
      <c r="D226" s="4" t="str">
        <f>IFERROR(IF(VLOOKUP($C226,'C'!$A$1:$N$1998,4,FALSE)=0,IF(VLOOKUP($C226,'C'!$A$1:$N$1998,7,FALSE)=0,VLOOKUP($C226,'C'!$A$1:$N$1998,10,FALSE),VLOOKUP($C226,'C'!$A$1:$N$1998,7,FALSE)),VLOOKUP($C226,'C'!$A$1:$N$1998,4,FALSE)),"")</f>
        <v/>
      </c>
      <c r="E226" s="4" t="str">
        <f>IFERROR(VLOOKUP($C226,'C'!$A$1:$N$1998,2,FALSE),"")</f>
        <v/>
      </c>
      <c r="F226" s="4" t="str">
        <f>IFERROR(IF(VLOOKUP($C226,'C'!$A$1:$N$1998,3,FALSE)=1,"&lt;",""),"")</f>
        <v/>
      </c>
      <c r="G226" s="4" t="str">
        <f>IFERROR(VLOOKUP($C226,'C'!$A$1:$N$1998,5,FALSE),"")</f>
        <v/>
      </c>
      <c r="H226" s="4" t="str">
        <f>IFERROR(IF(VLOOKUP($C226,'C'!$A$1:$N$1998,6,FALSE)=1,"&lt;",""),"")</f>
        <v/>
      </c>
      <c r="I226" s="4" t="str">
        <f>IFERROR(VLOOKUP($C226,'C'!$A$1:$N$1998,8,FALSE),"")</f>
        <v/>
      </c>
      <c r="J226" s="4" t="str">
        <f>IFERROR(IF(VLOOKUP($C226,'C'!$A$1:$N$1998,9,FALSE)=1,"&lt;",""),"")</f>
        <v/>
      </c>
      <c r="M226" s="4" t="str">
        <f t="shared" si="150"/>
        <v/>
      </c>
      <c r="N226" s="4" t="str">
        <f t="shared" si="151"/>
        <v/>
      </c>
      <c r="O226" s="4" t="str">
        <f t="shared" si="126"/>
        <v/>
      </c>
      <c r="P226" s="4" t="str">
        <f t="shared" si="152"/>
        <v/>
      </c>
      <c r="Q226" s="4" t="str">
        <f t="shared" si="127"/>
        <v/>
      </c>
      <c r="R226" s="4" t="str">
        <f t="shared" si="153"/>
        <v/>
      </c>
      <c r="V226" s="4">
        <f>IFERROR(IF(VLOOKUP(B226,E!$B$1:$AK$300,4,FALSE)=0,1000000,VLOOKUP(B226,E!$B$1:$AK$300,4,FALSE)),1000000)</f>
        <v>1000000</v>
      </c>
      <c r="Z226" s="4" t="str">
        <f t="shared" si="144"/>
        <v/>
      </c>
      <c r="AC226" s="4" t="str">
        <f t="shared" si="145"/>
        <v/>
      </c>
      <c r="AF226" s="4" t="str">
        <f t="shared" si="146"/>
        <v/>
      </c>
      <c r="AI226" s="77">
        <v>0</v>
      </c>
      <c r="AJ226" s="77">
        <v>0</v>
      </c>
      <c r="AK226" s="77">
        <v>1</v>
      </c>
      <c r="AO226" s="4">
        <f t="shared" si="154"/>
        <v>5</v>
      </c>
      <c r="AQ226" s="4">
        <f t="shared" si="155"/>
        <v>5</v>
      </c>
      <c r="AS226" s="4">
        <f t="shared" si="156"/>
        <v>5</v>
      </c>
      <c r="AV226" s="4" t="str">
        <f t="shared" si="147"/>
        <v/>
      </c>
      <c r="AX226" s="4" t="str">
        <f t="shared" si="148"/>
        <v/>
      </c>
      <c r="AZ226" s="4" t="str">
        <f t="shared" si="149"/>
        <v/>
      </c>
    </row>
    <row r="227" spans="1:52" x14ac:dyDescent="0.2">
      <c r="A227" s="4" t="s">
        <v>680</v>
      </c>
      <c r="B227" s="4">
        <v>1481</v>
      </c>
      <c r="C227" s="4" t="str">
        <f t="shared" si="140"/>
        <v>urn:immetingen:parameter:id:1481</v>
      </c>
      <c r="D227" s="4" t="str">
        <f>IFERROR(IF(VLOOKUP($C227,'C'!$A$1:$N$1998,4,FALSE)=0,IF(VLOOKUP($C227,'C'!$A$1:$N$1998,7,FALSE)=0,VLOOKUP($C227,'C'!$A$1:$N$1998,10,FALSE),VLOOKUP($C227,'C'!$A$1:$N$1998,7,FALSE)),VLOOKUP($C227,'C'!$A$1:$N$1998,4,FALSE)),"")</f>
        <v/>
      </c>
      <c r="E227" s="4" t="str">
        <f>IFERROR(VLOOKUP($C227,'C'!$A$1:$N$1998,2,FALSE),"")</f>
        <v/>
      </c>
      <c r="F227" s="4" t="str">
        <f>IFERROR(IF(VLOOKUP($C227,'C'!$A$1:$N$1998,3,FALSE)=1,"&lt;",""),"")</f>
        <v/>
      </c>
      <c r="G227" s="4" t="str">
        <f>IFERROR(VLOOKUP($C227,'C'!$A$1:$N$1998,5,FALSE),"")</f>
        <v/>
      </c>
      <c r="H227" s="4" t="str">
        <f>IFERROR(IF(VLOOKUP($C227,'C'!$A$1:$N$1998,6,FALSE)=1,"&lt;",""),"")</f>
        <v/>
      </c>
      <c r="I227" s="4" t="str">
        <f>IFERROR(VLOOKUP($C227,'C'!$A$1:$N$1998,8,FALSE),"")</f>
        <v/>
      </c>
      <c r="J227" s="4" t="str">
        <f>IFERROR(IF(VLOOKUP($C227,'C'!$A$1:$N$1998,9,FALSE)=1,"&lt;",""),"")</f>
        <v/>
      </c>
      <c r="M227" s="4" t="str">
        <f t="shared" si="150"/>
        <v/>
      </c>
      <c r="N227" s="4" t="str">
        <f t="shared" si="151"/>
        <v/>
      </c>
      <c r="O227" s="4" t="str">
        <f t="shared" ref="O227:O290" si="157">IF(G227="","",IF($D227=131,G227/1000,G227))</f>
        <v/>
      </c>
      <c r="P227" s="4" t="str">
        <f t="shared" si="152"/>
        <v/>
      </c>
      <c r="Q227" s="4" t="str">
        <f t="shared" ref="Q227:Q290" si="158">IF(I227="","",IF($D227=131,I227/1000,I227))</f>
        <v/>
      </c>
      <c r="R227" s="4" t="str">
        <f t="shared" si="153"/>
        <v/>
      </c>
      <c r="V227" s="4">
        <f>IFERROR(IF(VLOOKUP(B227,E!$B$1:$AK$300,4,FALSE)=0,1000000,VLOOKUP(B227,E!$B$1:$AK$300,4,FALSE)),1000000)</f>
        <v>1000000</v>
      </c>
      <c r="Z227" s="4" t="str">
        <f t="shared" si="144"/>
        <v/>
      </c>
      <c r="AC227" s="4" t="str">
        <f t="shared" si="145"/>
        <v/>
      </c>
      <c r="AF227" s="4" t="str">
        <f t="shared" si="146"/>
        <v/>
      </c>
      <c r="AI227" s="77">
        <v>0</v>
      </c>
      <c r="AJ227" s="77">
        <v>0</v>
      </c>
      <c r="AK227" s="77">
        <v>1</v>
      </c>
      <c r="AO227" s="4">
        <f t="shared" si="154"/>
        <v>5</v>
      </c>
      <c r="AQ227" s="4">
        <f t="shared" si="155"/>
        <v>5</v>
      </c>
      <c r="AS227" s="4">
        <f t="shared" si="156"/>
        <v>5</v>
      </c>
      <c r="AV227" s="4" t="str">
        <f t="shared" si="147"/>
        <v/>
      </c>
      <c r="AX227" s="4" t="str">
        <f t="shared" si="148"/>
        <v/>
      </c>
      <c r="AZ227" s="4" t="str">
        <f t="shared" si="149"/>
        <v/>
      </c>
    </row>
    <row r="228" spans="1:52" x14ac:dyDescent="0.2">
      <c r="A228" s="4" t="s">
        <v>681</v>
      </c>
      <c r="B228" s="4">
        <v>1524</v>
      </c>
      <c r="C228" s="4" t="str">
        <f t="shared" si="140"/>
        <v>urn:immetingen:parameter:id:1524</v>
      </c>
      <c r="D228" s="4" t="str">
        <f>IFERROR(IF(VLOOKUP($C228,'C'!$A$1:$N$1998,4,FALSE)=0,IF(VLOOKUP($C228,'C'!$A$1:$N$1998,7,FALSE)=0,VLOOKUP($C228,'C'!$A$1:$N$1998,10,FALSE),VLOOKUP($C228,'C'!$A$1:$N$1998,7,FALSE)),VLOOKUP($C228,'C'!$A$1:$N$1998,4,FALSE)),"")</f>
        <v/>
      </c>
      <c r="E228" s="4" t="str">
        <f>IFERROR(VLOOKUP($C228,'C'!$A$1:$N$1998,2,FALSE),"")</f>
        <v/>
      </c>
      <c r="F228" s="4" t="str">
        <f>IFERROR(IF(VLOOKUP($C228,'C'!$A$1:$N$1998,3,FALSE)=1,"&lt;",""),"")</f>
        <v/>
      </c>
      <c r="G228" s="4" t="str">
        <f>IFERROR(VLOOKUP($C228,'C'!$A$1:$N$1998,5,FALSE),"")</f>
        <v/>
      </c>
      <c r="H228" s="4" t="str">
        <f>IFERROR(IF(VLOOKUP($C228,'C'!$A$1:$N$1998,6,FALSE)=1,"&lt;",""),"")</f>
        <v/>
      </c>
      <c r="I228" s="4" t="str">
        <f>IFERROR(VLOOKUP($C228,'C'!$A$1:$N$1998,8,FALSE),"")</f>
        <v/>
      </c>
      <c r="J228" s="4" t="str">
        <f>IFERROR(IF(VLOOKUP($C228,'C'!$A$1:$N$1998,9,FALSE)=1,"&lt;",""),"")</f>
        <v/>
      </c>
      <c r="M228" s="4" t="str">
        <f t="shared" si="150"/>
        <v/>
      </c>
      <c r="N228" s="4" t="str">
        <f t="shared" si="151"/>
        <v/>
      </c>
      <c r="O228" s="4" t="str">
        <f t="shared" si="157"/>
        <v/>
      </c>
      <c r="P228" s="4" t="str">
        <f t="shared" si="152"/>
        <v/>
      </c>
      <c r="Q228" s="4" t="str">
        <f t="shared" si="158"/>
        <v/>
      </c>
      <c r="R228" s="4" t="str">
        <f t="shared" si="153"/>
        <v/>
      </c>
      <c r="V228" s="4">
        <f>IFERROR(IF(VLOOKUP(B228,E!$B$1:$AK$300,4,FALSE)=0,1000000,VLOOKUP(B228,E!$B$1:$AK$300,4,FALSE)),1000000)</f>
        <v>1000000</v>
      </c>
      <c r="Z228" s="4" t="str">
        <f t="shared" si="144"/>
        <v/>
      </c>
      <c r="AC228" s="4" t="str">
        <f t="shared" si="145"/>
        <v/>
      </c>
      <c r="AF228" s="4" t="str">
        <f t="shared" si="146"/>
        <v/>
      </c>
      <c r="AI228" s="77">
        <v>0</v>
      </c>
      <c r="AJ228" s="77">
        <v>0</v>
      </c>
      <c r="AK228" s="77">
        <v>1</v>
      </c>
      <c r="AO228" s="4">
        <f t="shared" si="154"/>
        <v>5</v>
      </c>
      <c r="AQ228" s="4">
        <f t="shared" si="155"/>
        <v>5</v>
      </c>
      <c r="AS228" s="4">
        <f t="shared" si="156"/>
        <v>5</v>
      </c>
      <c r="AV228" s="4" t="str">
        <f t="shared" si="147"/>
        <v/>
      </c>
      <c r="AX228" s="4" t="str">
        <f t="shared" si="148"/>
        <v/>
      </c>
      <c r="AZ228" s="4" t="str">
        <f t="shared" si="149"/>
        <v/>
      </c>
    </row>
    <row r="229" spans="1:52" x14ac:dyDescent="0.2">
      <c r="A229" s="4" t="s">
        <v>682</v>
      </c>
      <c r="B229" s="4">
        <v>1525</v>
      </c>
      <c r="C229" s="4" t="str">
        <f t="shared" si="140"/>
        <v>urn:immetingen:parameter:id:1525</v>
      </c>
      <c r="D229" s="4" t="str">
        <f>IFERROR(IF(VLOOKUP($C229,'C'!$A$1:$N$1998,4,FALSE)=0,IF(VLOOKUP($C229,'C'!$A$1:$N$1998,7,FALSE)=0,VLOOKUP($C229,'C'!$A$1:$N$1998,10,FALSE),VLOOKUP($C229,'C'!$A$1:$N$1998,7,FALSE)),VLOOKUP($C229,'C'!$A$1:$N$1998,4,FALSE)),"")</f>
        <v/>
      </c>
      <c r="E229" s="4" t="str">
        <f>IFERROR(VLOOKUP($C229,'C'!$A$1:$N$1998,2,FALSE),"")</f>
        <v/>
      </c>
      <c r="F229" s="4" t="str">
        <f>IFERROR(IF(VLOOKUP($C229,'C'!$A$1:$N$1998,3,FALSE)=1,"&lt;",""),"")</f>
        <v/>
      </c>
      <c r="G229" s="4" t="str">
        <f>IFERROR(VLOOKUP($C229,'C'!$A$1:$N$1998,5,FALSE),"")</f>
        <v/>
      </c>
      <c r="H229" s="4" t="str">
        <f>IFERROR(IF(VLOOKUP($C229,'C'!$A$1:$N$1998,6,FALSE)=1,"&lt;",""),"")</f>
        <v/>
      </c>
      <c r="I229" s="4" t="str">
        <f>IFERROR(VLOOKUP($C229,'C'!$A$1:$N$1998,8,FALSE),"")</f>
        <v/>
      </c>
      <c r="J229" s="4" t="str">
        <f>IFERROR(IF(VLOOKUP($C229,'C'!$A$1:$N$1998,9,FALSE)=1,"&lt;",""),"")</f>
        <v/>
      </c>
      <c r="M229" s="4" t="str">
        <f t="shared" si="150"/>
        <v/>
      </c>
      <c r="N229" s="4" t="str">
        <f t="shared" si="151"/>
        <v/>
      </c>
      <c r="O229" s="4" t="str">
        <f t="shared" si="157"/>
        <v/>
      </c>
      <c r="P229" s="4" t="str">
        <f t="shared" si="152"/>
        <v/>
      </c>
      <c r="Q229" s="4" t="str">
        <f t="shared" si="158"/>
        <v/>
      </c>
      <c r="R229" s="4" t="str">
        <f t="shared" si="153"/>
        <v/>
      </c>
      <c r="V229" s="4">
        <f>IFERROR(IF(VLOOKUP(B229,E!$B$1:$AK$300,4,FALSE)=0,1000000,VLOOKUP(B229,E!$B$1:$AK$300,4,FALSE)),1000000)</f>
        <v>1000000</v>
      </c>
      <c r="Z229" s="4" t="str">
        <f t="shared" si="144"/>
        <v/>
      </c>
      <c r="AC229" s="4" t="str">
        <f t="shared" si="145"/>
        <v/>
      </c>
      <c r="AF229" s="4" t="str">
        <f t="shared" si="146"/>
        <v/>
      </c>
      <c r="AI229" s="77">
        <v>0</v>
      </c>
      <c r="AJ229" s="77">
        <v>0</v>
      </c>
      <c r="AK229" s="77">
        <v>1</v>
      </c>
      <c r="AO229" s="4">
        <f t="shared" si="154"/>
        <v>5</v>
      </c>
      <c r="AQ229" s="4">
        <f t="shared" si="155"/>
        <v>5</v>
      </c>
      <c r="AS229" s="4">
        <f t="shared" si="156"/>
        <v>5</v>
      </c>
      <c r="AV229" s="4" t="str">
        <f t="shared" si="147"/>
        <v/>
      </c>
      <c r="AX229" s="4" t="str">
        <f t="shared" si="148"/>
        <v/>
      </c>
      <c r="AZ229" s="4" t="str">
        <f t="shared" si="149"/>
        <v/>
      </c>
    </row>
    <row r="230" spans="1:52" x14ac:dyDescent="0.2">
      <c r="A230" s="4" t="s">
        <v>683</v>
      </c>
      <c r="B230" s="4">
        <v>1586</v>
      </c>
      <c r="C230" s="4" t="str">
        <f t="shared" si="140"/>
        <v>urn:immetingen:parameter:id:1586</v>
      </c>
      <c r="D230" s="4" t="str">
        <f>IFERROR(IF(VLOOKUP($C230,'C'!$A$1:$N$1998,4,FALSE)=0,IF(VLOOKUP($C230,'C'!$A$1:$N$1998,7,FALSE)=0,VLOOKUP($C230,'C'!$A$1:$N$1998,10,FALSE),VLOOKUP($C230,'C'!$A$1:$N$1998,7,FALSE)),VLOOKUP($C230,'C'!$A$1:$N$1998,4,FALSE)),"")</f>
        <v/>
      </c>
      <c r="E230" s="4" t="str">
        <f>IFERROR(VLOOKUP($C230,'C'!$A$1:$N$1998,2,FALSE),"")</f>
        <v/>
      </c>
      <c r="F230" s="4" t="str">
        <f>IFERROR(IF(VLOOKUP($C230,'C'!$A$1:$N$1998,3,FALSE)=1,"&lt;",""),"")</f>
        <v/>
      </c>
      <c r="G230" s="4" t="str">
        <f>IFERROR(VLOOKUP($C230,'C'!$A$1:$N$1998,5,FALSE),"")</f>
        <v/>
      </c>
      <c r="H230" s="4" t="str">
        <f>IFERROR(IF(VLOOKUP($C230,'C'!$A$1:$N$1998,6,FALSE)=1,"&lt;",""),"")</f>
        <v/>
      </c>
      <c r="I230" s="4" t="str">
        <f>IFERROR(VLOOKUP($C230,'C'!$A$1:$N$1998,8,FALSE),"")</f>
        <v/>
      </c>
      <c r="J230" s="4" t="str">
        <f>IFERROR(IF(VLOOKUP($C230,'C'!$A$1:$N$1998,9,FALSE)=1,"&lt;",""),"")</f>
        <v/>
      </c>
      <c r="M230" s="4" t="str">
        <f t="shared" si="150"/>
        <v/>
      </c>
      <c r="N230" s="4" t="str">
        <f t="shared" si="151"/>
        <v/>
      </c>
      <c r="O230" s="4" t="str">
        <f t="shared" si="157"/>
        <v/>
      </c>
      <c r="P230" s="4" t="str">
        <f t="shared" si="152"/>
        <v/>
      </c>
      <c r="Q230" s="4" t="str">
        <f t="shared" si="158"/>
        <v/>
      </c>
      <c r="R230" s="4" t="str">
        <f t="shared" si="153"/>
        <v/>
      </c>
      <c r="V230" s="4">
        <f>IFERROR(IF(VLOOKUP(B230,E!$B$1:$AK$300,4,FALSE)=0,1000000,VLOOKUP(B230,E!$B$1:$AK$300,4,FALSE)),1000000)</f>
        <v>1000000</v>
      </c>
      <c r="Z230" s="4" t="str">
        <f t="shared" si="144"/>
        <v/>
      </c>
      <c r="AC230" s="4" t="str">
        <f t="shared" si="145"/>
        <v/>
      </c>
      <c r="AF230" s="4" t="str">
        <f t="shared" si="146"/>
        <v/>
      </c>
      <c r="AI230" s="77">
        <v>0</v>
      </c>
      <c r="AJ230" s="77">
        <v>0</v>
      </c>
      <c r="AK230" s="77">
        <v>1</v>
      </c>
      <c r="AO230" s="4">
        <f t="shared" si="154"/>
        <v>5</v>
      </c>
      <c r="AQ230" s="4">
        <f t="shared" si="155"/>
        <v>5</v>
      </c>
      <c r="AS230" s="4">
        <f t="shared" si="156"/>
        <v>5</v>
      </c>
      <c r="AV230" s="4" t="str">
        <f t="shared" si="147"/>
        <v/>
      </c>
      <c r="AX230" s="4" t="str">
        <f t="shared" si="148"/>
        <v/>
      </c>
      <c r="AZ230" s="4" t="str">
        <f t="shared" si="149"/>
        <v/>
      </c>
    </row>
    <row r="231" spans="1:52" x14ac:dyDescent="0.2">
      <c r="A231" s="4" t="s">
        <v>684</v>
      </c>
      <c r="B231" s="4">
        <v>1612</v>
      </c>
      <c r="C231" s="4" t="str">
        <f t="shared" si="140"/>
        <v>urn:immetingen:parameter:id:1612</v>
      </c>
      <c r="D231" s="4" t="str">
        <f>IFERROR(IF(VLOOKUP($C231,'C'!$A$1:$N$1998,4,FALSE)=0,IF(VLOOKUP($C231,'C'!$A$1:$N$1998,7,FALSE)=0,VLOOKUP($C231,'C'!$A$1:$N$1998,10,FALSE),VLOOKUP($C231,'C'!$A$1:$N$1998,7,FALSE)),VLOOKUP($C231,'C'!$A$1:$N$1998,4,FALSE)),"")</f>
        <v/>
      </c>
      <c r="E231" s="4" t="str">
        <f>IFERROR(VLOOKUP($C231,'C'!$A$1:$N$1998,2,FALSE),"")</f>
        <v/>
      </c>
      <c r="F231" s="4" t="str">
        <f>IFERROR(IF(VLOOKUP($C231,'C'!$A$1:$N$1998,3,FALSE)=1,"&lt;",""),"")</f>
        <v/>
      </c>
      <c r="G231" s="4" t="str">
        <f>IFERROR(VLOOKUP($C231,'C'!$A$1:$N$1998,5,FALSE),"")</f>
        <v/>
      </c>
      <c r="H231" s="4" t="str">
        <f>IFERROR(IF(VLOOKUP($C231,'C'!$A$1:$N$1998,6,FALSE)=1,"&lt;",""),"")</f>
        <v/>
      </c>
      <c r="I231" s="4" t="str">
        <f>IFERROR(VLOOKUP($C231,'C'!$A$1:$N$1998,8,FALSE),"")</f>
        <v/>
      </c>
      <c r="J231" s="4" t="str">
        <f>IFERROR(IF(VLOOKUP($C231,'C'!$A$1:$N$1998,9,FALSE)=1,"&lt;",""),"")</f>
        <v/>
      </c>
      <c r="M231" s="4" t="str">
        <f t="shared" si="150"/>
        <v/>
      </c>
      <c r="N231" s="4" t="str">
        <f t="shared" si="151"/>
        <v/>
      </c>
      <c r="O231" s="4" t="str">
        <f t="shared" si="157"/>
        <v/>
      </c>
      <c r="P231" s="4" t="str">
        <f t="shared" si="152"/>
        <v/>
      </c>
      <c r="Q231" s="4" t="str">
        <f t="shared" si="158"/>
        <v/>
      </c>
      <c r="R231" s="4" t="str">
        <f t="shared" si="153"/>
        <v/>
      </c>
      <c r="V231" s="4">
        <f>IFERROR(IF(VLOOKUP(B231,E!$B$1:$AK$300,4,FALSE)=0,1000000,VLOOKUP(B231,E!$B$1:$AK$300,4,FALSE)),1000000)</f>
        <v>1000000</v>
      </c>
      <c r="Z231" s="4" t="str">
        <f t="shared" si="144"/>
        <v/>
      </c>
      <c r="AC231" s="4" t="str">
        <f t="shared" si="145"/>
        <v/>
      </c>
      <c r="AF231" s="4" t="str">
        <f t="shared" si="146"/>
        <v/>
      </c>
      <c r="AI231" s="77">
        <v>0</v>
      </c>
      <c r="AJ231" s="77">
        <v>0</v>
      </c>
      <c r="AK231" s="77">
        <v>1</v>
      </c>
      <c r="AO231" s="4">
        <f t="shared" si="154"/>
        <v>5</v>
      </c>
      <c r="AQ231" s="4">
        <f t="shared" si="155"/>
        <v>5</v>
      </c>
      <c r="AS231" s="4">
        <f t="shared" si="156"/>
        <v>5</v>
      </c>
      <c r="AV231" s="4" t="str">
        <f t="shared" si="147"/>
        <v/>
      </c>
      <c r="AX231" s="4" t="str">
        <f t="shared" si="148"/>
        <v/>
      </c>
      <c r="AZ231" s="4" t="str">
        <f t="shared" si="149"/>
        <v/>
      </c>
    </row>
    <row r="232" spans="1:52" x14ac:dyDescent="0.2">
      <c r="A232" s="4" t="s">
        <v>685</v>
      </c>
      <c r="B232" s="4">
        <v>361</v>
      </c>
      <c r="C232" s="4" t="str">
        <f t="shared" si="140"/>
        <v>urn:immetingen:parameter:id:361</v>
      </c>
      <c r="D232" s="4" t="str">
        <f>IFERROR(IF(VLOOKUP($C232,'C'!$A$1:$N$1998,4,FALSE)=0,IF(VLOOKUP($C232,'C'!$A$1:$N$1998,7,FALSE)=0,VLOOKUP($C232,'C'!$A$1:$N$1998,10,FALSE),VLOOKUP($C232,'C'!$A$1:$N$1998,7,FALSE)),VLOOKUP($C232,'C'!$A$1:$N$1998,4,FALSE)),"")</f>
        <v/>
      </c>
      <c r="E232" s="4" t="str">
        <f>IFERROR(VLOOKUP($C232,'C'!$A$1:$N$1998,2,FALSE),"")</f>
        <v/>
      </c>
      <c r="F232" s="4" t="str">
        <f>IFERROR(IF(VLOOKUP($C232,'C'!$A$1:$N$1998,3,FALSE)=1,"&lt;",""),"")</f>
        <v/>
      </c>
      <c r="G232" s="4" t="str">
        <f>IFERROR(VLOOKUP($C232,'C'!$A$1:$N$1998,5,FALSE),"")</f>
        <v/>
      </c>
      <c r="H232" s="4" t="str">
        <f>IFERROR(IF(VLOOKUP($C232,'C'!$A$1:$N$1998,6,FALSE)=1,"&lt;",""),"")</f>
        <v/>
      </c>
      <c r="I232" s="4" t="str">
        <f>IFERROR(VLOOKUP($C232,'C'!$A$1:$N$1998,8,FALSE),"")</f>
        <v/>
      </c>
      <c r="J232" s="4" t="str">
        <f>IFERROR(IF(VLOOKUP($C232,'C'!$A$1:$N$1998,9,FALSE)=1,"&lt;",""),"")</f>
        <v/>
      </c>
      <c r="M232" s="4" t="str">
        <f t="shared" si="150"/>
        <v/>
      </c>
      <c r="N232" s="4" t="str">
        <f t="shared" si="151"/>
        <v/>
      </c>
      <c r="O232" s="4" t="str">
        <f t="shared" si="157"/>
        <v/>
      </c>
      <c r="P232" s="4" t="str">
        <f t="shared" si="152"/>
        <v/>
      </c>
      <c r="Q232" s="4" t="str">
        <f t="shared" si="158"/>
        <v/>
      </c>
      <c r="R232" s="4" t="str">
        <f t="shared" si="153"/>
        <v/>
      </c>
      <c r="V232" s="4">
        <f>IFERROR(IF(VLOOKUP(B232,E!$B$1:$AK$300,4,FALSE)=0,1000000,VLOOKUP(B232,E!$B$1:$AK$300,4,FALSE)),1000000)</f>
        <v>1000000000</v>
      </c>
      <c r="Z232" s="4" t="str">
        <f t="shared" si="144"/>
        <v/>
      </c>
      <c r="AC232" s="4" t="str">
        <f t="shared" si="145"/>
        <v/>
      </c>
      <c r="AF232" s="4" t="str">
        <f t="shared" si="146"/>
        <v/>
      </c>
      <c r="AI232" s="77">
        <v>0</v>
      </c>
      <c r="AJ232" s="77">
        <v>0</v>
      </c>
      <c r="AK232" s="77">
        <v>1</v>
      </c>
      <c r="AO232" s="4">
        <f t="shared" si="154"/>
        <v>5</v>
      </c>
      <c r="AQ232" s="4">
        <f t="shared" si="155"/>
        <v>5</v>
      </c>
      <c r="AS232" s="4">
        <f t="shared" si="156"/>
        <v>5</v>
      </c>
      <c r="AV232" s="4" t="str">
        <f t="shared" si="147"/>
        <v/>
      </c>
      <c r="AX232" s="4" t="str">
        <f t="shared" si="148"/>
        <v/>
      </c>
      <c r="AZ232" s="4" t="str">
        <f t="shared" si="149"/>
        <v/>
      </c>
    </row>
    <row r="233" spans="1:52" x14ac:dyDescent="0.2">
      <c r="A233" s="4" t="s">
        <v>686</v>
      </c>
      <c r="B233" s="4">
        <v>382</v>
      </c>
      <c r="C233" s="4" t="str">
        <f t="shared" si="140"/>
        <v>urn:immetingen:parameter:id:382</v>
      </c>
      <c r="D233" s="4" t="str">
        <f>IFERROR(IF(VLOOKUP($C233,'C'!$A$1:$N$1998,4,FALSE)=0,IF(VLOOKUP($C233,'C'!$A$1:$N$1998,7,FALSE)=0,VLOOKUP($C233,'C'!$A$1:$N$1998,10,FALSE),VLOOKUP($C233,'C'!$A$1:$N$1998,7,FALSE)),VLOOKUP($C233,'C'!$A$1:$N$1998,4,FALSE)),"")</f>
        <v/>
      </c>
      <c r="E233" s="4" t="str">
        <f>IFERROR(VLOOKUP($C233,'C'!$A$1:$N$1998,2,FALSE),"")</f>
        <v/>
      </c>
      <c r="F233" s="4" t="str">
        <f>IFERROR(IF(VLOOKUP($C233,'C'!$A$1:$N$1998,3,FALSE)=1,"&lt;",""),"")</f>
        <v/>
      </c>
      <c r="G233" s="4" t="str">
        <f>IFERROR(VLOOKUP($C233,'C'!$A$1:$N$1998,5,FALSE),"")</f>
        <v/>
      </c>
      <c r="H233" s="4" t="str">
        <f>IFERROR(IF(VLOOKUP($C233,'C'!$A$1:$N$1998,6,FALSE)=1,"&lt;",""),"")</f>
        <v/>
      </c>
      <c r="I233" s="4" t="str">
        <f>IFERROR(VLOOKUP($C233,'C'!$A$1:$N$1998,8,FALSE),"")</f>
        <v/>
      </c>
      <c r="J233" s="4" t="str">
        <f>IFERROR(IF(VLOOKUP($C233,'C'!$A$1:$N$1998,9,FALSE)=1,"&lt;",""),"")</f>
        <v/>
      </c>
      <c r="M233" s="4" t="str">
        <f t="shared" si="150"/>
        <v/>
      </c>
      <c r="N233" s="4" t="str">
        <f t="shared" si="151"/>
        <v/>
      </c>
      <c r="O233" s="4" t="str">
        <f t="shared" si="157"/>
        <v/>
      </c>
      <c r="P233" s="4" t="str">
        <f t="shared" si="152"/>
        <v/>
      </c>
      <c r="Q233" s="4" t="str">
        <f t="shared" si="158"/>
        <v/>
      </c>
      <c r="R233" s="4" t="str">
        <f t="shared" si="153"/>
        <v/>
      </c>
      <c r="V233" s="4">
        <f>IFERROR(IF(VLOOKUP(B233,E!$B$1:$AK$300,4,FALSE)=0,1000000,VLOOKUP(B233,E!$B$1:$AK$300,4,FALSE)),1000000)</f>
        <v>1000000000</v>
      </c>
      <c r="Z233" s="4" t="str">
        <f t="shared" si="144"/>
        <v/>
      </c>
      <c r="AC233" s="4" t="str">
        <f t="shared" si="145"/>
        <v/>
      </c>
      <c r="AF233" s="4" t="str">
        <f t="shared" si="146"/>
        <v/>
      </c>
      <c r="AI233" s="77">
        <v>0</v>
      </c>
      <c r="AJ233" s="77">
        <v>0</v>
      </c>
      <c r="AK233" s="77">
        <v>1</v>
      </c>
      <c r="AO233" s="4">
        <f t="shared" si="154"/>
        <v>5</v>
      </c>
      <c r="AQ233" s="4">
        <f t="shared" si="155"/>
        <v>5</v>
      </c>
      <c r="AS233" s="4">
        <f t="shared" si="156"/>
        <v>5</v>
      </c>
      <c r="AV233" s="4" t="str">
        <f t="shared" si="147"/>
        <v/>
      </c>
      <c r="AX233" s="4" t="str">
        <f t="shared" si="148"/>
        <v/>
      </c>
      <c r="AZ233" s="4" t="str">
        <f t="shared" si="149"/>
        <v/>
      </c>
    </row>
    <row r="234" spans="1:52" x14ac:dyDescent="0.2">
      <c r="A234" s="4" t="s">
        <v>687</v>
      </c>
      <c r="B234" s="4">
        <v>642</v>
      </c>
      <c r="C234" s="4" t="str">
        <f t="shared" si="140"/>
        <v>urn:immetingen:parameter:id:642</v>
      </c>
      <c r="D234" s="4" t="str">
        <f>IFERROR(IF(VLOOKUP($C234,'C'!$A$1:$N$1998,4,FALSE)=0,IF(VLOOKUP($C234,'C'!$A$1:$N$1998,7,FALSE)=0,VLOOKUP($C234,'C'!$A$1:$N$1998,10,FALSE),VLOOKUP($C234,'C'!$A$1:$N$1998,7,FALSE)),VLOOKUP($C234,'C'!$A$1:$N$1998,4,FALSE)),"")</f>
        <v/>
      </c>
      <c r="E234" s="4" t="str">
        <f>IFERROR(VLOOKUP($C234,'C'!$A$1:$N$1998,2,FALSE),"")</f>
        <v/>
      </c>
      <c r="F234" s="4" t="str">
        <f>IFERROR(IF(VLOOKUP($C234,'C'!$A$1:$N$1998,3,FALSE)=1,"&lt;",""),"")</f>
        <v/>
      </c>
      <c r="G234" s="4" t="str">
        <f>IFERROR(VLOOKUP($C234,'C'!$A$1:$N$1998,5,FALSE),"")</f>
        <v/>
      </c>
      <c r="H234" s="4" t="str">
        <f>IFERROR(IF(VLOOKUP($C234,'C'!$A$1:$N$1998,6,FALSE)=1,"&lt;",""),"")</f>
        <v/>
      </c>
      <c r="I234" s="4" t="str">
        <f>IFERROR(VLOOKUP($C234,'C'!$A$1:$N$1998,8,FALSE),"")</f>
        <v/>
      </c>
      <c r="J234" s="4" t="str">
        <f>IFERROR(IF(VLOOKUP($C234,'C'!$A$1:$N$1998,9,FALSE)=1,"&lt;",""),"")</f>
        <v/>
      </c>
      <c r="M234" s="4" t="str">
        <f t="shared" si="150"/>
        <v/>
      </c>
      <c r="N234" s="4" t="str">
        <f t="shared" si="151"/>
        <v/>
      </c>
      <c r="O234" s="4" t="str">
        <f t="shared" si="157"/>
        <v/>
      </c>
      <c r="P234" s="4" t="str">
        <f t="shared" si="152"/>
        <v/>
      </c>
      <c r="Q234" s="4" t="str">
        <f t="shared" si="158"/>
        <v/>
      </c>
      <c r="R234" s="4" t="str">
        <f t="shared" si="153"/>
        <v/>
      </c>
      <c r="V234" s="4">
        <f>IFERROR(IF(VLOOKUP(B234,E!$B$1:$AK$300,4,FALSE)=0,1000000,VLOOKUP(B234,E!$B$1:$AK$300,4,FALSE)),1000000)</f>
        <v>1000000000</v>
      </c>
      <c r="Z234" s="4" t="str">
        <f t="shared" si="144"/>
        <v/>
      </c>
      <c r="AC234" s="4" t="str">
        <f t="shared" si="145"/>
        <v/>
      </c>
      <c r="AF234" s="4" t="str">
        <f t="shared" si="146"/>
        <v/>
      </c>
      <c r="AI234" s="77">
        <v>0</v>
      </c>
      <c r="AJ234" s="77">
        <v>0</v>
      </c>
      <c r="AK234" s="77">
        <v>1</v>
      </c>
      <c r="AO234" s="4">
        <f t="shared" si="154"/>
        <v>5</v>
      </c>
      <c r="AQ234" s="4">
        <f t="shared" si="155"/>
        <v>5</v>
      </c>
      <c r="AS234" s="4">
        <f t="shared" si="156"/>
        <v>5</v>
      </c>
      <c r="AV234" s="4" t="str">
        <f t="shared" si="147"/>
        <v/>
      </c>
      <c r="AX234" s="4" t="str">
        <f t="shared" si="148"/>
        <v/>
      </c>
      <c r="AZ234" s="4" t="str">
        <f t="shared" si="149"/>
        <v/>
      </c>
    </row>
    <row r="235" spans="1:52" x14ac:dyDescent="0.2">
      <c r="A235" s="4" t="s">
        <v>688</v>
      </c>
      <c r="B235" s="4">
        <v>661</v>
      </c>
      <c r="C235" s="4" t="str">
        <f t="shared" si="140"/>
        <v>urn:immetingen:parameter:id:661</v>
      </c>
      <c r="D235" s="4" t="str">
        <f>IFERROR(IF(VLOOKUP($C235,'C'!$A$1:$N$1998,4,FALSE)=0,IF(VLOOKUP($C235,'C'!$A$1:$N$1998,7,FALSE)=0,VLOOKUP($C235,'C'!$A$1:$N$1998,10,FALSE),VLOOKUP($C235,'C'!$A$1:$N$1998,7,FALSE)),VLOOKUP($C235,'C'!$A$1:$N$1998,4,FALSE)),"")</f>
        <v/>
      </c>
      <c r="E235" s="4" t="str">
        <f>IFERROR(VLOOKUP($C235,'C'!$A$1:$N$1998,2,FALSE),"")</f>
        <v/>
      </c>
      <c r="F235" s="4" t="str">
        <f>IFERROR(IF(VLOOKUP($C235,'C'!$A$1:$N$1998,3,FALSE)=1,"&lt;",""),"")</f>
        <v/>
      </c>
      <c r="G235" s="4" t="str">
        <f>IFERROR(VLOOKUP($C235,'C'!$A$1:$N$1998,5,FALSE),"")</f>
        <v/>
      </c>
      <c r="H235" s="4" t="str">
        <f>IFERROR(IF(VLOOKUP($C235,'C'!$A$1:$N$1998,6,FALSE)=1,"&lt;",""),"")</f>
        <v/>
      </c>
      <c r="I235" s="4" t="str">
        <f>IFERROR(VLOOKUP($C235,'C'!$A$1:$N$1998,8,FALSE),"")</f>
        <v/>
      </c>
      <c r="J235" s="4" t="str">
        <f>IFERROR(IF(VLOOKUP($C235,'C'!$A$1:$N$1998,9,FALSE)=1,"&lt;",""),"")</f>
        <v/>
      </c>
      <c r="M235" s="4" t="str">
        <f t="shared" si="150"/>
        <v/>
      </c>
      <c r="N235" s="4" t="str">
        <f t="shared" si="151"/>
        <v/>
      </c>
      <c r="O235" s="4" t="str">
        <f t="shared" si="157"/>
        <v/>
      </c>
      <c r="P235" s="4" t="str">
        <f t="shared" si="152"/>
        <v/>
      </c>
      <c r="Q235" s="4" t="str">
        <f t="shared" si="158"/>
        <v/>
      </c>
      <c r="R235" s="4" t="str">
        <f t="shared" si="153"/>
        <v/>
      </c>
      <c r="V235" s="4">
        <f>IFERROR(IF(VLOOKUP(B235,E!$B$1:$AK$300,4,FALSE)=0,1000000,VLOOKUP(B235,E!$B$1:$AK$300,4,FALSE)),1000000)</f>
        <v>1000000000</v>
      </c>
      <c r="Z235" s="4" t="str">
        <f t="shared" si="144"/>
        <v/>
      </c>
      <c r="AC235" s="4" t="str">
        <f t="shared" si="145"/>
        <v/>
      </c>
      <c r="AF235" s="4" t="str">
        <f t="shared" si="146"/>
        <v/>
      </c>
      <c r="AI235" s="77">
        <v>0</v>
      </c>
      <c r="AJ235" s="77">
        <v>0</v>
      </c>
      <c r="AK235" s="77">
        <v>1</v>
      </c>
      <c r="AO235" s="4">
        <f t="shared" si="154"/>
        <v>5</v>
      </c>
      <c r="AQ235" s="4">
        <f t="shared" si="155"/>
        <v>5</v>
      </c>
      <c r="AS235" s="4">
        <f t="shared" si="156"/>
        <v>5</v>
      </c>
      <c r="AV235" s="4" t="str">
        <f t="shared" si="147"/>
        <v/>
      </c>
      <c r="AX235" s="4" t="str">
        <f t="shared" si="148"/>
        <v/>
      </c>
      <c r="AZ235" s="4" t="str">
        <f t="shared" si="149"/>
        <v/>
      </c>
    </row>
    <row r="236" spans="1:52" x14ac:dyDescent="0.2">
      <c r="A236" s="4" t="s">
        <v>837</v>
      </c>
      <c r="B236" s="4">
        <v>577</v>
      </c>
      <c r="C236" s="4" t="str">
        <f t="shared" si="140"/>
        <v>urn:immetingen:parameter:id:577</v>
      </c>
      <c r="D236" s="4" t="str">
        <f>IFERROR(IF(VLOOKUP($C236,'C'!$A$1:$N$1998,4,FALSE)=0,IF(VLOOKUP($C236,'C'!$A$1:$N$1998,7,FALSE)=0,VLOOKUP($C236,'C'!$A$1:$N$1998,10,FALSE),VLOOKUP($C236,'C'!$A$1:$N$1998,7,FALSE)),VLOOKUP($C236,'C'!$A$1:$N$1998,4,FALSE)),"")</f>
        <v/>
      </c>
      <c r="E236" s="4" t="str">
        <f>IFERROR(VLOOKUP($C236,'C'!$A$1:$N$1998,2,FALSE),"")</f>
        <v/>
      </c>
      <c r="F236" s="4" t="str">
        <f>IFERROR(IF(VLOOKUP($C236,'C'!$A$1:$N$1998,3,FALSE)=1,"&lt;",""),"")</f>
        <v/>
      </c>
      <c r="M236" s="4" t="str">
        <f t="shared" si="150"/>
        <v/>
      </c>
      <c r="N236" s="4" t="str">
        <f t="shared" si="151"/>
        <v/>
      </c>
      <c r="O236" s="4" t="str">
        <f t="shared" si="157"/>
        <v/>
      </c>
      <c r="P236" s="4" t="str">
        <f t="shared" si="152"/>
        <v/>
      </c>
      <c r="Q236" s="4" t="str">
        <f t="shared" si="158"/>
        <v/>
      </c>
      <c r="R236" s="4" t="str">
        <f t="shared" si="153"/>
        <v/>
      </c>
      <c r="V236" s="4">
        <f>IFERROR(IF(VLOOKUP(B236,E!$B$1:$AK$300,4,FALSE)=0,1000000,VLOOKUP(B236,E!$B$1:$AK$300,4,FALSE)),1000000)</f>
        <v>1000000000</v>
      </c>
      <c r="Z236" s="4" t="str">
        <f t="shared" si="144"/>
        <v/>
      </c>
      <c r="AC236" s="4" t="str">
        <f t="shared" si="145"/>
        <v/>
      </c>
      <c r="AF236" s="4" t="str">
        <f t="shared" si="146"/>
        <v/>
      </c>
      <c r="AI236" s="77">
        <v>0</v>
      </c>
      <c r="AJ236" s="77">
        <v>0</v>
      </c>
      <c r="AK236" s="77">
        <v>1</v>
      </c>
      <c r="AO236" s="4">
        <f t="shared" si="154"/>
        <v>5</v>
      </c>
      <c r="AQ236" s="4">
        <f t="shared" si="155"/>
        <v>5</v>
      </c>
      <c r="AS236" s="4">
        <f t="shared" si="156"/>
        <v>5</v>
      </c>
      <c r="AV236" s="4" t="str">
        <f t="shared" si="147"/>
        <v/>
      </c>
      <c r="AX236" s="4" t="str">
        <f t="shared" si="148"/>
        <v/>
      </c>
      <c r="AZ236" s="4" t="str">
        <f t="shared" si="149"/>
        <v/>
      </c>
    </row>
    <row r="237" spans="1:52" x14ac:dyDescent="0.2">
      <c r="A237" s="4" t="s">
        <v>689</v>
      </c>
      <c r="B237" s="4">
        <v>600</v>
      </c>
      <c r="C237" s="4" t="str">
        <f t="shared" si="140"/>
        <v>urn:immetingen:parameter:id:600</v>
      </c>
      <c r="D237" s="4" t="str">
        <f>IFERROR(IF(VLOOKUP($C237,'C'!$A$1:$N$1998,4,FALSE)=0,IF(VLOOKUP($C237,'C'!$A$1:$N$1998,7,FALSE)=0,VLOOKUP($C237,'C'!$A$1:$N$1998,10,FALSE),VLOOKUP($C237,'C'!$A$1:$N$1998,7,FALSE)),VLOOKUP($C237,'C'!$A$1:$N$1998,4,FALSE)),"")</f>
        <v/>
      </c>
      <c r="E237" s="4" t="str">
        <f>IFERROR(VLOOKUP($C237,'C'!$A$1:$N$1998,2,FALSE),"")</f>
        <v/>
      </c>
      <c r="F237" s="4" t="str">
        <f>IFERROR(IF(VLOOKUP($C237,'C'!$A$1:$N$1998,3,FALSE)=1,"&lt;",""),"")</f>
        <v/>
      </c>
      <c r="G237" s="4" t="str">
        <f>IFERROR(VLOOKUP($C237,'C'!$A$1:$N$1998,5,FALSE),"")</f>
        <v/>
      </c>
      <c r="H237" s="4" t="str">
        <f>IFERROR(IF(VLOOKUP($C237,'C'!$A$1:$N$1998,6,FALSE)=1,"&lt;",""),"")</f>
        <v/>
      </c>
      <c r="I237" s="4" t="str">
        <f>IFERROR(VLOOKUP($C237,'C'!$A$1:$N$1998,8,FALSE),"")</f>
        <v/>
      </c>
      <c r="J237" s="4" t="str">
        <f>IFERROR(IF(VLOOKUP($C237,'C'!$A$1:$N$1998,9,FALSE)=1,"&lt;",""),"")</f>
        <v/>
      </c>
      <c r="M237" s="4" t="str">
        <f t="shared" si="150"/>
        <v/>
      </c>
      <c r="N237" s="4" t="str">
        <f t="shared" si="151"/>
        <v/>
      </c>
      <c r="O237" s="4" t="str">
        <f t="shared" si="157"/>
        <v/>
      </c>
      <c r="P237" s="4" t="str">
        <f t="shared" si="152"/>
        <v/>
      </c>
      <c r="Q237" s="4" t="str">
        <f t="shared" si="158"/>
        <v/>
      </c>
      <c r="R237" s="4" t="str">
        <f t="shared" si="153"/>
        <v/>
      </c>
      <c r="V237" s="4">
        <f>IFERROR(IF(VLOOKUP(B237,E!$B$1:$AK$300,4,FALSE)=0,1000000,VLOOKUP(B237,E!$B$1:$AK$300,4,FALSE)),1000000)</f>
        <v>1000000000</v>
      </c>
      <c r="Z237" s="4" t="str">
        <f t="shared" si="144"/>
        <v/>
      </c>
      <c r="AC237" s="4" t="str">
        <f t="shared" si="145"/>
        <v/>
      </c>
      <c r="AF237" s="4" t="str">
        <f t="shared" si="146"/>
        <v/>
      </c>
      <c r="AI237" s="77">
        <v>0</v>
      </c>
      <c r="AJ237" s="77">
        <v>0</v>
      </c>
      <c r="AK237" s="77">
        <v>1</v>
      </c>
      <c r="AO237" s="4">
        <f t="shared" si="154"/>
        <v>5</v>
      </c>
      <c r="AQ237" s="4">
        <f t="shared" si="155"/>
        <v>5</v>
      </c>
      <c r="AS237" s="4">
        <f t="shared" si="156"/>
        <v>5</v>
      </c>
      <c r="AV237" s="4" t="str">
        <f t="shared" si="147"/>
        <v/>
      </c>
      <c r="AX237" s="4" t="str">
        <f t="shared" si="148"/>
        <v/>
      </c>
      <c r="AZ237" s="4" t="str">
        <f t="shared" si="149"/>
        <v/>
      </c>
    </row>
    <row r="238" spans="1:52" x14ac:dyDescent="0.2">
      <c r="A238" s="4" t="s">
        <v>690</v>
      </c>
      <c r="B238" s="4">
        <v>674</v>
      </c>
      <c r="C238" s="4" t="str">
        <f t="shared" si="140"/>
        <v>urn:immetingen:parameter:id:674</v>
      </c>
      <c r="D238" s="4" t="str">
        <f>IFERROR(IF(VLOOKUP($C238,'C'!$A$1:$N$1998,4,FALSE)=0,IF(VLOOKUP($C238,'C'!$A$1:$N$1998,7,FALSE)=0,VLOOKUP($C238,'C'!$A$1:$N$1998,10,FALSE),VLOOKUP($C238,'C'!$A$1:$N$1998,7,FALSE)),VLOOKUP($C238,'C'!$A$1:$N$1998,4,FALSE)),"")</f>
        <v/>
      </c>
      <c r="E238" s="4" t="str">
        <f>IFERROR(VLOOKUP($C238,'C'!$A$1:$N$1998,2,FALSE),"")</f>
        <v/>
      </c>
      <c r="F238" s="4" t="str">
        <f>IFERROR(IF(VLOOKUP($C238,'C'!$A$1:$N$1998,3,FALSE)=1,"&lt;",""),"")</f>
        <v/>
      </c>
      <c r="G238" s="4" t="str">
        <f>IFERROR(VLOOKUP($C238,'C'!$A$1:$N$1998,5,FALSE),"")</f>
        <v/>
      </c>
      <c r="H238" s="4" t="str">
        <f>IFERROR(IF(VLOOKUP($C238,'C'!$A$1:$N$1998,6,FALSE)=1,"&lt;",""),"")</f>
        <v/>
      </c>
      <c r="I238" s="4" t="str">
        <f>IFERROR(VLOOKUP($C238,'C'!$A$1:$N$1998,8,FALSE),"")</f>
        <v/>
      </c>
      <c r="J238" s="4" t="str">
        <f>IFERROR(IF(VLOOKUP($C238,'C'!$A$1:$N$1998,9,FALSE)=1,"&lt;",""),"")</f>
        <v/>
      </c>
      <c r="M238" s="4" t="str">
        <f t="shared" si="150"/>
        <v/>
      </c>
      <c r="N238" s="4" t="str">
        <f t="shared" si="151"/>
        <v/>
      </c>
      <c r="O238" s="4" t="str">
        <f t="shared" si="157"/>
        <v/>
      </c>
      <c r="P238" s="4" t="str">
        <f t="shared" si="152"/>
        <v/>
      </c>
      <c r="Q238" s="4" t="str">
        <f t="shared" si="158"/>
        <v/>
      </c>
      <c r="R238" s="4" t="str">
        <f t="shared" si="153"/>
        <v/>
      </c>
      <c r="V238" s="4">
        <f>IFERROR(IF(VLOOKUP(B238,E!$B$1:$AK$300,4,FALSE)=0,1000000,VLOOKUP(B238,E!$B$1:$AK$300,4,FALSE)),1000000)</f>
        <v>1000000</v>
      </c>
      <c r="Z238" s="4" t="str">
        <f t="shared" si="144"/>
        <v/>
      </c>
      <c r="AC238" s="4" t="str">
        <f t="shared" si="145"/>
        <v/>
      </c>
      <c r="AF238" s="4" t="str">
        <f t="shared" si="146"/>
        <v/>
      </c>
      <c r="AI238" s="77">
        <v>0</v>
      </c>
      <c r="AJ238" s="77">
        <v>0</v>
      </c>
      <c r="AK238" s="77">
        <v>1</v>
      </c>
      <c r="AO238" s="4">
        <f t="shared" si="154"/>
        <v>5</v>
      </c>
      <c r="AQ238" s="4">
        <f t="shared" si="155"/>
        <v>5</v>
      </c>
      <c r="AS238" s="4">
        <f t="shared" si="156"/>
        <v>5</v>
      </c>
      <c r="AV238" s="4" t="str">
        <f t="shared" si="147"/>
        <v/>
      </c>
      <c r="AX238" s="4" t="str">
        <f t="shared" si="148"/>
        <v/>
      </c>
      <c r="AZ238" s="4" t="str">
        <f t="shared" si="149"/>
        <v/>
      </c>
    </row>
    <row r="239" spans="1:52" x14ac:dyDescent="0.2">
      <c r="A239" s="81" t="s">
        <v>838</v>
      </c>
      <c r="B239" s="4">
        <v>808</v>
      </c>
      <c r="C239" s="4" t="str">
        <f t="shared" si="140"/>
        <v>urn:immetingen:parameter:id:808</v>
      </c>
      <c r="D239" s="4" t="str">
        <f>IFERROR(IF(VLOOKUP($C239,'C'!$A$1:$N$1998,4,FALSE)=0,IF(VLOOKUP($C239,'C'!$A$1:$N$1998,7,FALSE)=0,VLOOKUP($C239,'C'!$A$1:$N$1998,10,FALSE),VLOOKUP($C239,'C'!$A$1:$N$1998,7,FALSE)),VLOOKUP($C239,'C'!$A$1:$N$1998,4,FALSE)),"")</f>
        <v/>
      </c>
      <c r="E239" s="4" t="str">
        <f>IFERROR(VLOOKUP($C239,'C'!$A$1:$N$1998,2,FALSE),"")</f>
        <v/>
      </c>
      <c r="F239" s="4" t="str">
        <f>IFERROR(IF(VLOOKUP($C239,'C'!$A$1:$N$1998,3,FALSE)=1,"&lt;",""),"")</f>
        <v/>
      </c>
      <c r="M239" s="4" t="str">
        <f t="shared" si="150"/>
        <v/>
      </c>
      <c r="N239" s="4" t="str">
        <f t="shared" si="151"/>
        <v/>
      </c>
      <c r="O239" s="4" t="str">
        <f t="shared" si="157"/>
        <v/>
      </c>
      <c r="P239" s="4" t="str">
        <f t="shared" si="152"/>
        <v/>
      </c>
      <c r="Q239" s="4" t="str">
        <f t="shared" si="158"/>
        <v/>
      </c>
      <c r="R239" s="4" t="str">
        <f t="shared" si="153"/>
        <v/>
      </c>
      <c r="V239" s="4">
        <f>IFERROR(IF(VLOOKUP(B239,E!$B$1:$AK$300,4,FALSE)=0,1000000,VLOOKUP(B239,E!$B$1:$AK$300,4,FALSE)),1000000)</f>
        <v>1000000000</v>
      </c>
      <c r="Z239" s="4" t="str">
        <f t="shared" si="144"/>
        <v/>
      </c>
      <c r="AC239" s="4" t="str">
        <f t="shared" si="145"/>
        <v/>
      </c>
      <c r="AF239" s="4" t="str">
        <f t="shared" si="146"/>
        <v/>
      </c>
      <c r="AI239" s="77">
        <v>0</v>
      </c>
      <c r="AJ239" s="77">
        <v>0</v>
      </c>
      <c r="AK239" s="77">
        <v>1</v>
      </c>
      <c r="AO239" s="4">
        <f t="shared" si="154"/>
        <v>5</v>
      </c>
      <c r="AQ239" s="4">
        <f t="shared" si="155"/>
        <v>5</v>
      </c>
      <c r="AS239" s="4">
        <f t="shared" si="156"/>
        <v>5</v>
      </c>
      <c r="AV239" s="4" t="str">
        <f t="shared" si="147"/>
        <v/>
      </c>
      <c r="AX239" s="4" t="str">
        <f t="shared" si="148"/>
        <v/>
      </c>
      <c r="AZ239" s="4" t="str">
        <f t="shared" si="149"/>
        <v/>
      </c>
    </row>
    <row r="240" spans="1:52" x14ac:dyDescent="0.2">
      <c r="A240" s="4" t="s">
        <v>573</v>
      </c>
      <c r="B240" s="15">
        <v>83</v>
      </c>
      <c r="C240" s="15" t="str">
        <f>CONCATENATE("urn:immetingen:hoedanigheid:id:",B240)</f>
        <v>urn:immetingen:hoedanigheid:id:83</v>
      </c>
      <c r="D240" s="4" t="str">
        <f>IFERROR(IF(VLOOKUP($C240,'C'!$A$1:$N$1998,4,FALSE)=0,IF(VLOOKUP($C240,'C'!$A$1:$N$1998,7,FALSE)=0,VLOOKUP($C240,'C'!$A$1:$N$1998,10,FALSE),VLOOKUP($C240,'C'!$A$1:$N$1998,7,FALSE)),VLOOKUP($C240,'C'!$A$1:$N$1998,4,FALSE)),"")</f>
        <v/>
      </c>
      <c r="E240" s="15" t="str">
        <f>IFERROR(VLOOKUP($C240,'C'!$S$1:$AC$1998,2,FALSE),"")</f>
        <v/>
      </c>
      <c r="F240" s="15" t="str">
        <f>IFERROR(IF(VLOOKUP($C240,'C'!$S$1:$AC$1998,3,FALSE)=1,"&lt;",""),"")</f>
        <v/>
      </c>
      <c r="G240" s="15" t="str">
        <f>IFERROR(VLOOKUP($C240,'C'!$S$1:$AC$1998,5,FALSE),"")</f>
        <v/>
      </c>
      <c r="H240" s="15" t="str">
        <f>IFERROR(IF(VLOOKUP($C240,'C'!$S$1:$AC$1998,6,FALSE)=1,"&lt;",""),"")</f>
        <v/>
      </c>
      <c r="I240" s="15" t="str">
        <f>IFERROR(VLOOKUP($C240,'C'!$S$1:$AC$1998,8,FALSE),"")</f>
        <v/>
      </c>
      <c r="J240" s="15" t="str">
        <f>IFERROR(IF(VLOOKUP($C240,'C'!$S$1:$AC$1998,9,FALSE)=1,"&lt;",""),"")</f>
        <v/>
      </c>
      <c r="K240" s="15"/>
      <c r="L240" s="15"/>
      <c r="M240" s="4" t="str">
        <f t="shared" si="150"/>
        <v/>
      </c>
      <c r="N240" s="4" t="str">
        <f t="shared" si="151"/>
        <v/>
      </c>
      <c r="O240" s="4" t="str">
        <f t="shared" si="157"/>
        <v/>
      </c>
      <c r="P240" s="4" t="str">
        <f t="shared" si="152"/>
        <v/>
      </c>
      <c r="Q240" s="4" t="str">
        <f t="shared" si="158"/>
        <v/>
      </c>
      <c r="R240" s="4" t="str">
        <f t="shared" si="153"/>
        <v/>
      </c>
      <c r="S240" s="15"/>
      <c r="T240" s="15"/>
      <c r="U240" s="15"/>
      <c r="V240" s="4">
        <f>IFERROR(IF(VLOOKUP(B240,E!$B$1:$AK$300,4,FALSE)=0,1000000,VLOOKUP(B240,E!$B$1:$AK$300,4,FALSE)),1000000)</f>
        <v>1000000</v>
      </c>
      <c r="W240" s="15"/>
      <c r="X240" s="15"/>
      <c r="Z240" s="4" t="str">
        <f t="shared" si="144"/>
        <v/>
      </c>
      <c r="AC240" s="4" t="str">
        <f t="shared" si="145"/>
        <v/>
      </c>
      <c r="AF240" s="4" t="str">
        <f t="shared" si="146"/>
        <v/>
      </c>
      <c r="AI240" s="77">
        <v>0</v>
      </c>
      <c r="AJ240" s="77">
        <v>0</v>
      </c>
      <c r="AK240" s="77">
        <v>1</v>
      </c>
      <c r="AO240" s="4">
        <f t="shared" si="154"/>
        <v>5</v>
      </c>
      <c r="AQ240" s="4">
        <f t="shared" si="155"/>
        <v>5</v>
      </c>
      <c r="AS240" s="4">
        <f t="shared" si="156"/>
        <v>5</v>
      </c>
      <c r="AV240" s="4" t="str">
        <f t="shared" si="147"/>
        <v/>
      </c>
      <c r="AX240" s="4" t="str">
        <f t="shared" si="148"/>
        <v/>
      </c>
      <c r="AZ240" s="4" t="str">
        <f t="shared" si="149"/>
        <v/>
      </c>
    </row>
    <row r="241" spans="1:52" x14ac:dyDescent="0.2">
      <c r="A241" s="4" t="s">
        <v>27</v>
      </c>
      <c r="B241" s="15">
        <v>86</v>
      </c>
      <c r="C241" s="15" t="str">
        <f>CONCATENATE("urn:immetingen:hoedanigheid:id:",B241)</f>
        <v>urn:immetingen:hoedanigheid:id:86</v>
      </c>
      <c r="D241" s="15">
        <f>IFERROR(IF(VLOOKUP($C241,'C'!$S$1:$AC$1998,4,FALSE)=0,IF(VLOOKUP($C241,'C'!$S$1:$AC$1998,7,FALSE)=0,VLOOKUP($C241,'C'!$S$1:$AC$1998,10,FALSE),VLOOKUP($C241,'C'!$S$1:$AC$1998,7,FALSE)),VLOOKUP($C241,'C'!$S$1:$AC$1998,4,FALSE)),"")</f>
        <v>58</v>
      </c>
      <c r="E241" s="15">
        <f>IFERROR(VLOOKUP($C241,'C'!$S$1:$AC$1998,2,FALSE),"")</f>
        <v>5</v>
      </c>
      <c r="F241" s="15" t="str">
        <f>IFERROR(IF(VLOOKUP($C241,'C'!$S$1:$AC$1998,3,FALSE)=1,"&lt;",""),"")</f>
        <v>&lt;</v>
      </c>
      <c r="G241" s="15">
        <f>IFERROR(VLOOKUP($C241,'C'!$S$1:$AC$1998,5,FALSE),"")</f>
        <v>5</v>
      </c>
      <c r="H241" s="15" t="str">
        <f>IFERROR(IF(VLOOKUP($C241,'C'!$S$1:$AC$1998,6,FALSE)=1,"&lt;",""),"")</f>
        <v>&lt;</v>
      </c>
      <c r="I241" s="15">
        <f>IFERROR(VLOOKUP($C241,'C'!$S$1:$AC$1998,8,FALSE),"")</f>
        <v>5</v>
      </c>
      <c r="J241" s="15" t="str">
        <f>IFERROR(IF(VLOOKUP($C241,'C'!$S$1:$AC$1998,9,FALSE)=1,"&lt;",""),"")</f>
        <v>&lt;</v>
      </c>
      <c r="K241" s="15"/>
      <c r="L241" s="15"/>
      <c r="M241" s="4">
        <f t="shared" si="150"/>
        <v>5</v>
      </c>
      <c r="N241" s="4" t="str">
        <f t="shared" si="151"/>
        <v>&lt;</v>
      </c>
      <c r="O241" s="4">
        <f t="shared" si="157"/>
        <v>5</v>
      </c>
      <c r="P241" s="4" t="str">
        <f t="shared" si="152"/>
        <v>&lt;</v>
      </c>
      <c r="Q241" s="4">
        <f t="shared" si="158"/>
        <v>5</v>
      </c>
      <c r="R241" s="4" t="str">
        <f t="shared" si="153"/>
        <v>&lt;</v>
      </c>
      <c r="S241" s="15"/>
      <c r="T241" s="15"/>
      <c r="U241" s="15"/>
      <c r="V241" s="4">
        <f>IFERROR(IF(VLOOKUP(B241,E!$B$1:$AK$300,4,FALSE)=0,1000000,VLOOKUP(B241,E!$B$1:$AK$300,4,FALSE)),1000000)</f>
        <v>1000000</v>
      </c>
      <c r="W241" s="15"/>
      <c r="X241" s="15"/>
      <c r="Z241" s="4">
        <f t="shared" si="144"/>
        <v>-1</v>
      </c>
      <c r="AC241" s="4">
        <f t="shared" si="145"/>
        <v>-1</v>
      </c>
      <c r="AF241" s="4">
        <f t="shared" si="146"/>
        <v>-1</v>
      </c>
      <c r="AI241" s="77">
        <v>0</v>
      </c>
      <c r="AJ241" s="77">
        <v>0</v>
      </c>
      <c r="AK241" s="77">
        <v>1</v>
      </c>
      <c r="AO241" s="4">
        <f t="shared" si="154"/>
        <v>5</v>
      </c>
      <c r="AQ241" s="4">
        <f t="shared" si="155"/>
        <v>5</v>
      </c>
      <c r="AS241" s="4">
        <f t="shared" si="156"/>
        <v>5</v>
      </c>
      <c r="AV241" s="4">
        <f t="shared" si="147"/>
        <v>17.5</v>
      </c>
      <c r="AX241" s="4">
        <f t="shared" si="148"/>
        <v>17.5</v>
      </c>
      <c r="AZ241" s="4">
        <f t="shared" si="149"/>
        <v>17.5</v>
      </c>
    </row>
    <row r="242" spans="1:52" x14ac:dyDescent="0.2">
      <c r="A242" s="4" t="s">
        <v>716</v>
      </c>
      <c r="B242" s="15">
        <v>96</v>
      </c>
      <c r="C242" s="15" t="str">
        <f>CONCATENATE("urn:immetingen:hoedanigheid:id:",B242)</f>
        <v>urn:immetingen:hoedanigheid:id:96</v>
      </c>
      <c r="D242" s="15" t="str">
        <f>IFERROR(IF(VLOOKUP($C242,'C'!$S$1:$AC$1998,4,FALSE)=0,IF(VLOOKUP($C242,'C'!$S$1:$AC$1998,7,FALSE)=0,VLOOKUP($C242,'C'!$S$1:$AC$1998,10,FALSE),VLOOKUP($C242,'C'!$S$1:$AC$1998,7,FALSE)),VLOOKUP($C242,'C'!$S$1:$AC$1998,4,FALSE)),"")</f>
        <v/>
      </c>
      <c r="E242" s="15" t="str">
        <f>IFERROR(VLOOKUP($C242,'C'!$S$1:$AC$1998,2,FALSE),"")</f>
        <v/>
      </c>
      <c r="F242" s="15" t="str">
        <f>IFERROR(IF(VLOOKUP($C242,'C'!$S$1:$AC$1998,3,FALSE)=1,"&lt;",""),"")</f>
        <v/>
      </c>
      <c r="G242" s="15" t="str">
        <f>IFERROR(VLOOKUP($C242,'C'!$S$1:$AC$1998,5,FALSE),"")</f>
        <v/>
      </c>
      <c r="H242" s="15" t="str">
        <f>IFERROR(IF(VLOOKUP($C242,'C'!$S$1:$AC$1998,6,FALSE)=1,"&lt;",""),"")</f>
        <v/>
      </c>
      <c r="I242" s="15" t="str">
        <f>IFERROR(VLOOKUP($C242,'C'!$S$1:$AC$1998,8,FALSE),"")</f>
        <v/>
      </c>
      <c r="J242" s="15" t="str">
        <f>IFERROR(IF(VLOOKUP($C242,'C'!$S$1:$AC$1998,9,FALSE)=1,"&lt;",""),"")</f>
        <v/>
      </c>
      <c r="K242" s="15"/>
      <c r="L242" s="15"/>
      <c r="M242" s="4" t="str">
        <f t="shared" si="150"/>
        <v/>
      </c>
      <c r="N242" s="4" t="str">
        <f t="shared" si="151"/>
        <v/>
      </c>
      <c r="O242" s="4" t="str">
        <f t="shared" si="157"/>
        <v/>
      </c>
      <c r="P242" s="4" t="str">
        <f t="shared" si="152"/>
        <v/>
      </c>
      <c r="Q242" s="4" t="str">
        <f t="shared" si="158"/>
        <v/>
      </c>
      <c r="R242" s="4" t="str">
        <f t="shared" si="153"/>
        <v/>
      </c>
      <c r="S242" s="15"/>
      <c r="T242" s="15"/>
      <c r="U242" s="15"/>
      <c r="V242" s="4">
        <f>IFERROR(IF(VLOOKUP(B242,E!$B$1:$AK$300,4,FALSE)=0,1000000,VLOOKUP(B242,E!$B$1:$AK$300,4,FALSE)),1000000)</f>
        <v>1000000</v>
      </c>
      <c r="W242" s="15"/>
      <c r="X242" s="15"/>
      <c r="Z242" s="4" t="str">
        <f t="shared" si="144"/>
        <v/>
      </c>
      <c r="AC242" s="4" t="str">
        <f t="shared" si="145"/>
        <v/>
      </c>
      <c r="AF242" s="4" t="str">
        <f t="shared" si="146"/>
        <v/>
      </c>
      <c r="AI242" s="77">
        <v>0</v>
      </c>
      <c r="AJ242" s="77">
        <v>0</v>
      </c>
      <c r="AK242" s="77">
        <v>1</v>
      </c>
      <c r="AO242" s="4">
        <f t="shared" si="154"/>
        <v>5</v>
      </c>
      <c r="AQ242" s="4">
        <f t="shared" si="155"/>
        <v>5</v>
      </c>
      <c r="AS242" s="4">
        <f t="shared" si="156"/>
        <v>5</v>
      </c>
      <c r="AV242" s="4" t="str">
        <f t="shared" si="147"/>
        <v/>
      </c>
      <c r="AX242" s="4" t="str">
        <f t="shared" si="148"/>
        <v/>
      </c>
      <c r="AZ242" s="4" t="str">
        <f t="shared" si="149"/>
        <v/>
      </c>
    </row>
    <row r="243" spans="1:52" x14ac:dyDescent="0.2">
      <c r="A243" s="4" t="s">
        <v>28</v>
      </c>
      <c r="B243" s="15">
        <v>99</v>
      </c>
      <c r="C243" s="15" t="str">
        <f t="shared" ref="C243:C248" si="159">CONCATENATE("urn:immetingen:hoedanigheid:id:",B243)</f>
        <v>urn:immetingen:hoedanigheid:id:99</v>
      </c>
      <c r="D243" s="15">
        <f>IFERROR(IF(VLOOKUP($C243,'C'!$S$1:$AC$1998,4,FALSE)=0,IF(VLOOKUP($C243,'C'!$S$1:$AC$1998,7,FALSE)=0,VLOOKUP($C243,'C'!$S$1:$AC$1998,10,FALSE),VLOOKUP($C243,'C'!$S$1:$AC$1998,7,FALSE)),VLOOKUP($C243,'C'!$S$1:$AC$1998,4,FALSE)),"")</f>
        <v>58</v>
      </c>
      <c r="E243" s="15">
        <f>IFERROR(VLOOKUP($C243,'C'!$S$1:$AC$1998,2,FALSE),"")</f>
        <v>5</v>
      </c>
      <c r="F243" s="15" t="str">
        <f>IFERROR(IF(VLOOKUP($C243,'C'!$S$1:$AC$1998,3,FALSE)=1,"&lt;",""),"")</f>
        <v>&lt;</v>
      </c>
      <c r="G243" s="15">
        <f>IFERROR(VLOOKUP($C243,'C'!$S$1:$AC$1998,5,FALSE),"")</f>
        <v>5</v>
      </c>
      <c r="H243" s="15" t="str">
        <f>IFERROR(IF(VLOOKUP($C243,'C'!$S$1:$AC$1998,6,FALSE)=1,"&lt;",""),"")</f>
        <v>&lt;</v>
      </c>
      <c r="I243" s="15">
        <f>IFERROR(VLOOKUP($C243,'C'!$S$1:$AC$1998,8,FALSE),"")</f>
        <v>5</v>
      </c>
      <c r="J243" s="15" t="str">
        <f>IFERROR(IF(VLOOKUP($C243,'C'!$S$1:$AC$1998,9,FALSE)=1,"&lt;",""),"")</f>
        <v>&lt;</v>
      </c>
      <c r="K243" s="15"/>
      <c r="L243" s="15"/>
      <c r="M243" s="4">
        <f t="shared" si="150"/>
        <v>5</v>
      </c>
      <c r="N243" s="4" t="str">
        <f t="shared" si="151"/>
        <v>&lt;</v>
      </c>
      <c r="O243" s="4">
        <f t="shared" si="157"/>
        <v>5</v>
      </c>
      <c r="P243" s="4" t="str">
        <f t="shared" si="152"/>
        <v>&lt;</v>
      </c>
      <c r="Q243" s="4">
        <f t="shared" si="158"/>
        <v>5</v>
      </c>
      <c r="R243" s="4" t="str">
        <f t="shared" si="153"/>
        <v>&lt;</v>
      </c>
      <c r="S243" s="15"/>
      <c r="T243" s="15"/>
      <c r="U243" s="15"/>
      <c r="V243" s="4">
        <f>IFERROR(IF(VLOOKUP(B243,E!$B$1:$AK$300,4,FALSE)=0,1000000,VLOOKUP(B243,E!$B$1:$AK$300,4,FALSE)),1000000)</f>
        <v>1000000</v>
      </c>
      <c r="W243" s="15"/>
      <c r="X243" s="15"/>
      <c r="Z243" s="4">
        <f t="shared" ref="Z243:Z306" si="160">IF(M243="","",IF(AND(N243="&lt;",M243&lt;=$V243),-1,(IF(N243="&lt;",0.7*M243,M243))))</f>
        <v>-1</v>
      </c>
      <c r="AC243" s="4">
        <f t="shared" ref="AC243:AC306" si="161">IF(O243="","",IF(AND(P243="&lt;",O243&lt;=$V243),-1,(IF(P243="&lt;",0.7*O243,O243))))</f>
        <v>-1</v>
      </c>
      <c r="AF243" s="4">
        <f t="shared" ref="AF243:AF306" si="162">IF(Q243="","",IF(AND(R243="&lt;",Q243&lt;=$V243),-1,(IF(R243="&lt;",0.7*Q243,Q243))))</f>
        <v>-1</v>
      </c>
      <c r="AI243" s="77">
        <v>0</v>
      </c>
      <c r="AJ243" s="77">
        <v>0</v>
      </c>
      <c r="AK243" s="77">
        <v>1</v>
      </c>
      <c r="AO243" s="4">
        <f t="shared" si="154"/>
        <v>5</v>
      </c>
      <c r="AQ243" s="4">
        <f t="shared" si="155"/>
        <v>5</v>
      </c>
      <c r="AS243" s="4">
        <f t="shared" si="156"/>
        <v>5</v>
      </c>
      <c r="AV243" s="4">
        <f t="shared" si="147"/>
        <v>17.5</v>
      </c>
      <c r="AX243" s="4">
        <f t="shared" si="148"/>
        <v>17.5</v>
      </c>
      <c r="AZ243" s="4">
        <f t="shared" si="149"/>
        <v>17.5</v>
      </c>
    </row>
    <row r="244" spans="1:52" x14ac:dyDescent="0.2">
      <c r="A244" s="4" t="s">
        <v>717</v>
      </c>
      <c r="B244" s="15">
        <v>103</v>
      </c>
      <c r="C244" s="15" t="str">
        <f t="shared" si="159"/>
        <v>urn:immetingen:hoedanigheid:id:103</v>
      </c>
      <c r="D244" s="15" t="str">
        <f>IFERROR(IF(VLOOKUP($C244,'C'!$S$1:$AC$1998,4,FALSE)=0,IF(VLOOKUP($C244,'C'!$S$1:$AC$1998,7,FALSE)=0,VLOOKUP($C244,'C'!$S$1:$AC$1998,10,FALSE),VLOOKUP($C244,'C'!$S$1:$AC$1998,7,FALSE)),VLOOKUP($C244,'C'!$S$1:$AC$1998,4,FALSE)),"")</f>
        <v/>
      </c>
      <c r="E244" s="15" t="str">
        <f>IFERROR(VLOOKUP($C244,'C'!$S$1:$AC$1998,2,FALSE),"")</f>
        <v/>
      </c>
      <c r="F244" s="15" t="str">
        <f>IFERROR(IF(VLOOKUP($C244,'C'!$S$1:$AC$1998,3,FALSE)=1,"&lt;",""),"")</f>
        <v/>
      </c>
      <c r="G244" s="15" t="str">
        <f>IFERROR(VLOOKUP($C244,'C'!$S$1:$AC$1998,5,FALSE),"")</f>
        <v/>
      </c>
      <c r="H244" s="15" t="str">
        <f>IFERROR(IF(VLOOKUP($C244,'C'!$S$1:$AC$1998,6,FALSE)=1,"&lt;",""),"")</f>
        <v/>
      </c>
      <c r="I244" s="15" t="str">
        <f>IFERROR(VLOOKUP($C244,'C'!$S$1:$AC$1998,8,FALSE),"")</f>
        <v/>
      </c>
      <c r="J244" s="15" t="str">
        <f>IFERROR(IF(VLOOKUP($C244,'C'!$S$1:$AC$1998,9,FALSE)=1,"&lt;",""),"")</f>
        <v/>
      </c>
      <c r="K244" s="15"/>
      <c r="L244" s="15"/>
      <c r="M244" s="4" t="str">
        <f t="shared" si="150"/>
        <v/>
      </c>
      <c r="N244" s="4" t="str">
        <f t="shared" si="151"/>
        <v/>
      </c>
      <c r="O244" s="4" t="str">
        <f t="shared" si="157"/>
        <v/>
      </c>
      <c r="P244" s="4" t="str">
        <f t="shared" si="152"/>
        <v/>
      </c>
      <c r="Q244" s="4" t="str">
        <f t="shared" si="158"/>
        <v/>
      </c>
      <c r="R244" s="4" t="str">
        <f t="shared" si="153"/>
        <v/>
      </c>
      <c r="S244" s="15"/>
      <c r="T244" s="15"/>
      <c r="U244" s="15"/>
      <c r="V244" s="4">
        <f>IFERROR(IF(VLOOKUP(B244,E!$B$1:$AK$300,4,FALSE)=0,1000000,VLOOKUP(B244,E!$B$1:$AK$300,4,FALSE)),1000000)</f>
        <v>1000000</v>
      </c>
      <c r="W244" s="15"/>
      <c r="X244" s="15"/>
      <c r="Z244" s="4" t="str">
        <f t="shared" si="160"/>
        <v/>
      </c>
      <c r="AC244" s="4" t="str">
        <f t="shared" si="161"/>
        <v/>
      </c>
      <c r="AF244" s="4" t="str">
        <f t="shared" si="162"/>
        <v/>
      </c>
      <c r="AI244" s="77">
        <v>0</v>
      </c>
      <c r="AJ244" s="77">
        <v>0</v>
      </c>
      <c r="AK244" s="77">
        <v>1</v>
      </c>
      <c r="AO244" s="4">
        <f t="shared" si="154"/>
        <v>5</v>
      </c>
      <c r="AQ244" s="4">
        <f t="shared" si="155"/>
        <v>5</v>
      </c>
      <c r="AS244" s="4">
        <f t="shared" si="156"/>
        <v>5</v>
      </c>
      <c r="AV244" s="4" t="str">
        <f t="shared" si="147"/>
        <v/>
      </c>
      <c r="AX244" s="4" t="str">
        <f t="shared" si="148"/>
        <v/>
      </c>
      <c r="AZ244" s="4" t="str">
        <f t="shared" si="149"/>
        <v/>
      </c>
    </row>
    <row r="245" spans="1:52" x14ac:dyDescent="0.2">
      <c r="A245" s="4" t="s">
        <v>718</v>
      </c>
      <c r="B245" s="4">
        <v>2100</v>
      </c>
      <c r="C245" s="71" t="str">
        <f t="shared" ref="C245" si="163">CONCATENATE("urn:immetingen:parameter:id:",B245)</f>
        <v>urn:immetingen:parameter:id:2100</v>
      </c>
      <c r="D245" s="71">
        <v>58</v>
      </c>
      <c r="E245" s="71">
        <f>Invoer!D54</f>
        <v>0</v>
      </c>
      <c r="F245" s="71" t="str">
        <f>IF(Invoer!C54="&lt;","&lt;","")</f>
        <v/>
      </c>
      <c r="G245" s="71">
        <f>Invoer!F54</f>
        <v>0</v>
      </c>
      <c r="H245" s="71" t="str">
        <f>IF(Invoer!E54="&lt;","&lt;","")</f>
        <v/>
      </c>
      <c r="I245" s="71">
        <f>Invoer!H54</f>
        <v>0</v>
      </c>
      <c r="J245" s="71" t="str">
        <f>IF(Invoer!G54="&lt;","&lt;","")</f>
        <v/>
      </c>
      <c r="K245" s="71"/>
      <c r="L245" s="71"/>
      <c r="M245" s="4">
        <f t="shared" si="150"/>
        <v>0</v>
      </c>
      <c r="N245" s="4" t="str">
        <f t="shared" si="151"/>
        <v/>
      </c>
      <c r="O245" s="4">
        <f t="shared" si="157"/>
        <v>0</v>
      </c>
      <c r="P245" s="4" t="str">
        <f t="shared" si="152"/>
        <v/>
      </c>
      <c r="Q245" s="4">
        <f t="shared" si="158"/>
        <v>0</v>
      </c>
      <c r="R245" s="4" t="str">
        <f t="shared" si="153"/>
        <v/>
      </c>
      <c r="S245" s="71"/>
      <c r="T245" s="71"/>
      <c r="U245" s="71"/>
      <c r="V245" s="4">
        <f>IFERROR(IF(VLOOKUP(B245,E!$B$1:$AK$300,4,FALSE)=0,1000000,VLOOKUP(B245,E!$B$1:$AK$300,4,FALSE)),1000000)</f>
        <v>1000000</v>
      </c>
      <c r="W245" s="71"/>
      <c r="X245" s="71"/>
      <c r="Z245" s="4">
        <f t="shared" si="160"/>
        <v>0</v>
      </c>
      <c r="AC245" s="4">
        <f t="shared" si="161"/>
        <v>0</v>
      </c>
      <c r="AF245" s="4">
        <f t="shared" si="162"/>
        <v>0</v>
      </c>
      <c r="AI245" s="77">
        <v>0</v>
      </c>
      <c r="AJ245" s="77">
        <v>0</v>
      </c>
      <c r="AK245" s="77">
        <v>1</v>
      </c>
      <c r="AO245" s="4">
        <f t="shared" si="154"/>
        <v>5</v>
      </c>
      <c r="AQ245" s="4">
        <f t="shared" si="155"/>
        <v>5</v>
      </c>
      <c r="AS245" s="4">
        <f t="shared" si="156"/>
        <v>5</v>
      </c>
      <c r="AV245" s="4">
        <f t="shared" si="147"/>
        <v>0</v>
      </c>
      <c r="AX245" s="4">
        <f t="shared" si="148"/>
        <v>0</v>
      </c>
      <c r="AZ245" s="4">
        <f t="shared" si="149"/>
        <v>0</v>
      </c>
    </row>
    <row r="246" spans="1:52" x14ac:dyDescent="0.2">
      <c r="A246" s="4" t="s">
        <v>29</v>
      </c>
      <c r="B246" s="15">
        <v>114</v>
      </c>
      <c r="C246" s="15" t="str">
        <f t="shared" si="159"/>
        <v>urn:immetingen:hoedanigheid:id:114</v>
      </c>
      <c r="D246" s="15">
        <f>IFERROR(IF(VLOOKUP($C246,'C'!$S$1:$AC$1998,4,FALSE)=0,IF(VLOOKUP($C246,'C'!$S$1:$AC$1998,7,FALSE)=0,VLOOKUP($C246,'C'!$S$1:$AC$1998,10,FALSE),VLOOKUP($C246,'C'!$S$1:$AC$1998,7,FALSE)),VLOOKUP($C246,'C'!$S$1:$AC$1998,4,FALSE)),"")</f>
        <v>58</v>
      </c>
      <c r="E246" s="15">
        <f>IFERROR(VLOOKUP($C246,'C'!$S$1:$AC$1998,2,FALSE),"")</f>
        <v>5</v>
      </c>
      <c r="F246" s="15" t="str">
        <f>IFERROR(IF(VLOOKUP($C246,'C'!$S$1:$AC$1998,3,FALSE)=1,"&lt;",""),"")</f>
        <v>&lt;</v>
      </c>
      <c r="G246" s="15">
        <f>IFERROR(VLOOKUP($C246,'C'!$S$1:$AC$1998,5,FALSE),"")</f>
        <v>5</v>
      </c>
      <c r="H246" s="15" t="str">
        <f>IFERROR(IF(VLOOKUP($C246,'C'!$S$1:$AC$1998,6,FALSE)=1,"&lt;",""),"")</f>
        <v>&lt;</v>
      </c>
      <c r="I246" s="15">
        <f>IFERROR(VLOOKUP($C246,'C'!$S$1:$AC$1998,8,FALSE),"")</f>
        <v>5</v>
      </c>
      <c r="J246" s="15" t="str">
        <f>IFERROR(IF(VLOOKUP($C246,'C'!$S$1:$AC$1998,9,FALSE)=1,"&lt;",""),"")</f>
        <v>&lt;</v>
      </c>
      <c r="K246" s="15"/>
      <c r="L246" s="15"/>
      <c r="M246" s="4">
        <f t="shared" si="150"/>
        <v>5</v>
      </c>
      <c r="N246" s="4" t="str">
        <f t="shared" si="151"/>
        <v>&lt;</v>
      </c>
      <c r="O246" s="4">
        <f t="shared" si="157"/>
        <v>5</v>
      </c>
      <c r="P246" s="4" t="str">
        <f t="shared" si="152"/>
        <v>&lt;</v>
      </c>
      <c r="Q246" s="4">
        <f t="shared" si="158"/>
        <v>5</v>
      </c>
      <c r="R246" s="4" t="str">
        <f t="shared" si="153"/>
        <v>&lt;</v>
      </c>
      <c r="S246" s="15"/>
      <c r="T246" s="15"/>
      <c r="U246" s="15"/>
      <c r="V246" s="4">
        <f>IFERROR(IF(VLOOKUP(B246,E!$B$1:$AK$300,4,FALSE)=0,1000000,VLOOKUP(B246,E!$B$1:$AK$300,4,FALSE)),1000000)</f>
        <v>1000000</v>
      </c>
      <c r="W246" s="15"/>
      <c r="X246" s="15"/>
      <c r="Z246" s="4">
        <f t="shared" si="160"/>
        <v>-1</v>
      </c>
      <c r="AC246" s="4">
        <f t="shared" si="161"/>
        <v>-1</v>
      </c>
      <c r="AF246" s="4">
        <f t="shared" si="162"/>
        <v>-1</v>
      </c>
      <c r="AI246" s="77">
        <v>0</v>
      </c>
      <c r="AJ246" s="77">
        <v>0</v>
      </c>
      <c r="AK246" s="77">
        <v>1</v>
      </c>
      <c r="AO246" s="4">
        <f t="shared" si="154"/>
        <v>5</v>
      </c>
      <c r="AQ246" s="4">
        <f t="shared" si="155"/>
        <v>5</v>
      </c>
      <c r="AS246" s="4">
        <f t="shared" si="156"/>
        <v>5</v>
      </c>
      <c r="AV246" s="4">
        <f t="shared" si="147"/>
        <v>17.5</v>
      </c>
      <c r="AX246" s="4">
        <f t="shared" si="148"/>
        <v>17.5</v>
      </c>
      <c r="AZ246" s="4">
        <f t="shared" si="149"/>
        <v>17.5</v>
      </c>
    </row>
    <row r="247" spans="1:52" x14ac:dyDescent="0.2">
      <c r="A247" s="4" t="s">
        <v>30</v>
      </c>
      <c r="B247" s="15">
        <v>122</v>
      </c>
      <c r="C247" s="15" t="str">
        <f t="shared" si="159"/>
        <v>urn:immetingen:hoedanigheid:id:122</v>
      </c>
      <c r="D247" s="15">
        <f>IFERROR(IF(VLOOKUP($C247,'C'!$S$1:$AC$1998,4,FALSE)=0,IF(VLOOKUP($C247,'C'!$S$1:$AC$1998,7,FALSE)=0,VLOOKUP($C247,'C'!$S$1:$AC$1998,10,FALSE),VLOOKUP($C247,'C'!$S$1:$AC$1998,7,FALSE)),VLOOKUP($C247,'C'!$S$1:$AC$1998,4,FALSE)),"")</f>
        <v>58</v>
      </c>
      <c r="E247" s="15">
        <f>IFERROR(VLOOKUP($C247,'C'!$S$1:$AC$1998,2,FALSE),"")</f>
        <v>5</v>
      </c>
      <c r="F247" s="15" t="str">
        <f>IFERROR(IF(VLOOKUP($C247,'C'!$S$1:$AC$1998,3,FALSE)=1,"&lt;",""),"")</f>
        <v>&lt;</v>
      </c>
      <c r="G247" s="15">
        <f>IFERROR(VLOOKUP($C247,'C'!$S$1:$AC$1998,5,FALSE),"")</f>
        <v>5</v>
      </c>
      <c r="H247" s="15" t="str">
        <f>IFERROR(IF(VLOOKUP($C247,'C'!$S$1:$AC$1998,6,FALSE)=1,"&lt;",""),"")</f>
        <v>&lt;</v>
      </c>
      <c r="I247" s="15">
        <f>IFERROR(VLOOKUP($C247,'C'!$S$1:$AC$1998,8,FALSE),"")</f>
        <v>5</v>
      </c>
      <c r="J247" s="15" t="str">
        <f>IFERROR(IF(VLOOKUP($C247,'C'!$S$1:$AC$1998,9,FALSE)=1,"&lt;",""),"")</f>
        <v>&lt;</v>
      </c>
      <c r="K247" s="15"/>
      <c r="L247" s="15"/>
      <c r="M247" s="4">
        <f t="shared" si="150"/>
        <v>5</v>
      </c>
      <c r="N247" s="4" t="str">
        <f t="shared" si="151"/>
        <v>&lt;</v>
      </c>
      <c r="O247" s="4">
        <f t="shared" si="157"/>
        <v>5</v>
      </c>
      <c r="P247" s="4" t="str">
        <f t="shared" si="152"/>
        <v>&lt;</v>
      </c>
      <c r="Q247" s="4">
        <f t="shared" si="158"/>
        <v>5</v>
      </c>
      <c r="R247" s="4" t="str">
        <f t="shared" si="153"/>
        <v>&lt;</v>
      </c>
      <c r="S247" s="15"/>
      <c r="T247" s="15"/>
      <c r="U247" s="15"/>
      <c r="V247" s="4">
        <f>IFERROR(IF(VLOOKUP(B247,E!$B$1:$AK$300,4,FALSE)=0,1000000,VLOOKUP(B247,E!$B$1:$AK$300,4,FALSE)),1000000)</f>
        <v>1000000</v>
      </c>
      <c r="W247" s="15"/>
      <c r="X247" s="15"/>
      <c r="Z247" s="4">
        <f t="shared" si="160"/>
        <v>-1</v>
      </c>
      <c r="AC247" s="4">
        <f t="shared" si="161"/>
        <v>-1</v>
      </c>
      <c r="AF247" s="4">
        <f t="shared" si="162"/>
        <v>-1</v>
      </c>
      <c r="AI247" s="77">
        <v>0</v>
      </c>
      <c r="AJ247" s="77">
        <v>0</v>
      </c>
      <c r="AK247" s="77">
        <v>1</v>
      </c>
      <c r="AO247" s="4">
        <f t="shared" si="154"/>
        <v>5</v>
      </c>
      <c r="AQ247" s="4">
        <f t="shared" si="155"/>
        <v>5</v>
      </c>
      <c r="AS247" s="4">
        <f t="shared" si="156"/>
        <v>5</v>
      </c>
      <c r="AV247" s="4">
        <f t="shared" si="147"/>
        <v>17.5</v>
      </c>
      <c r="AX247" s="4">
        <f t="shared" si="148"/>
        <v>17.5</v>
      </c>
      <c r="AZ247" s="4">
        <f t="shared" si="149"/>
        <v>17.5</v>
      </c>
    </row>
    <row r="248" spans="1:52" x14ac:dyDescent="0.2">
      <c r="A248" s="4" t="s">
        <v>31</v>
      </c>
      <c r="B248" s="15">
        <v>93</v>
      </c>
      <c r="C248" s="15" t="str">
        <f t="shared" si="159"/>
        <v>urn:immetingen:hoedanigheid:id:93</v>
      </c>
      <c r="D248" s="15">
        <f>IFERROR(IF(VLOOKUP($C248,'C'!$S$1:$AC$1998,4,FALSE)=0,IF(VLOOKUP($C248,'C'!$S$1:$AC$1998,7,FALSE)=0,VLOOKUP($C248,'C'!$S$1:$AC$1998,10,FALSE),VLOOKUP($C248,'C'!$S$1:$AC$1998,7,FALSE)),VLOOKUP($C248,'C'!$S$1:$AC$1998,4,FALSE)),"")</f>
        <v>58</v>
      </c>
      <c r="E248" s="15">
        <f>IFERROR(VLOOKUP($C248,'C'!$S$1:$AC$1998,2,FALSE),"")</f>
        <v>20</v>
      </c>
      <c r="F248" s="15" t="str">
        <f>IFERROR(IF(VLOOKUP($C248,'C'!$S$1:$AC$1998,3,FALSE)=1,"&lt;",""),"")</f>
        <v>&lt;</v>
      </c>
      <c r="G248" s="15">
        <f>IFERROR(VLOOKUP($C248,'C'!$S$1:$AC$1998,5,FALSE),"")</f>
        <v>20</v>
      </c>
      <c r="H248" s="15" t="str">
        <f>IFERROR(IF(VLOOKUP($C248,'C'!$S$1:$AC$1998,6,FALSE)=1,"&lt;",""),"")</f>
        <v>&lt;</v>
      </c>
      <c r="I248" s="15">
        <f>IFERROR(VLOOKUP($C248,'C'!$S$1:$AC$1998,8,FALSE),"")</f>
        <v>20</v>
      </c>
      <c r="J248" s="15" t="str">
        <f>IFERROR(IF(VLOOKUP($C248,'C'!$S$1:$AC$1998,9,FALSE)=1,"&lt;",""),"")</f>
        <v>&lt;</v>
      </c>
      <c r="K248" s="15"/>
      <c r="L248" s="15"/>
      <c r="M248" s="4">
        <f t="shared" si="150"/>
        <v>20</v>
      </c>
      <c r="N248" s="4" t="str">
        <f t="shared" si="151"/>
        <v>&lt;</v>
      </c>
      <c r="O248" s="4">
        <f t="shared" si="157"/>
        <v>20</v>
      </c>
      <c r="P248" s="4" t="str">
        <f t="shared" si="152"/>
        <v>&lt;</v>
      </c>
      <c r="Q248" s="4">
        <f t="shared" si="158"/>
        <v>20</v>
      </c>
      <c r="R248" s="4" t="str">
        <f t="shared" si="153"/>
        <v>&lt;</v>
      </c>
      <c r="S248" s="15"/>
      <c r="T248" s="15"/>
      <c r="U248" s="15"/>
      <c r="V248" s="84">
        <f>IFERROR(IF(VLOOKUP(1200,E!$B$1:$AK$300,4,FALSE)=0,1000000,VLOOKUP(1200,E!$B$1:$AK$300,4,FALSE)),1000000)</f>
        <v>35</v>
      </c>
      <c r="W248" s="15"/>
      <c r="X248" s="15"/>
      <c r="Z248" s="4">
        <f t="shared" si="160"/>
        <v>-1</v>
      </c>
      <c r="AC248" s="4">
        <f t="shared" si="161"/>
        <v>-1</v>
      </c>
      <c r="AF248" s="4">
        <f t="shared" si="162"/>
        <v>-1</v>
      </c>
      <c r="AI248" s="77">
        <v>0</v>
      </c>
      <c r="AJ248" s="77">
        <v>0</v>
      </c>
      <c r="AK248" s="77">
        <v>1</v>
      </c>
      <c r="AO248" s="4">
        <f t="shared" si="154"/>
        <v>5</v>
      </c>
      <c r="AQ248" s="4">
        <f t="shared" si="155"/>
        <v>5</v>
      </c>
      <c r="AS248" s="4">
        <f t="shared" si="156"/>
        <v>5</v>
      </c>
      <c r="AV248" s="4">
        <f t="shared" si="147"/>
        <v>70</v>
      </c>
      <c r="AX248" s="4">
        <f t="shared" si="148"/>
        <v>70</v>
      </c>
      <c r="AZ248" s="4">
        <f t="shared" si="149"/>
        <v>70</v>
      </c>
    </row>
    <row r="249" spans="1:52" x14ac:dyDescent="0.2">
      <c r="A249" s="4" t="s">
        <v>691</v>
      </c>
      <c r="B249" s="4">
        <v>1234</v>
      </c>
      <c r="C249" s="71" t="str">
        <f t="shared" ref="C249" si="164">CONCATENATE("urn:immetingen:parameter:id:",B249)</f>
        <v>urn:immetingen:parameter:id:1234</v>
      </c>
      <c r="D249" s="71">
        <v>58</v>
      </c>
      <c r="E249" s="71">
        <f>Invoer!D55</f>
        <v>0</v>
      </c>
      <c r="F249" s="71" t="str">
        <f>IF(Invoer!C55="&lt;","&lt;","")</f>
        <v/>
      </c>
      <c r="G249" s="71">
        <f>Invoer!F55</f>
        <v>0</v>
      </c>
      <c r="H249" s="71" t="str">
        <f>IF(Invoer!E55="&lt;","&lt;","")</f>
        <v/>
      </c>
      <c r="I249" s="71">
        <f>Invoer!H55</f>
        <v>0</v>
      </c>
      <c r="J249" s="71" t="str">
        <f>IF(Invoer!G55="&lt;","&lt;","")</f>
        <v/>
      </c>
      <c r="K249" s="71"/>
      <c r="L249" s="71"/>
      <c r="M249" s="4">
        <f t="shared" si="150"/>
        <v>0</v>
      </c>
      <c r="N249" s="4" t="str">
        <f t="shared" si="151"/>
        <v/>
      </c>
      <c r="O249" s="4">
        <f t="shared" si="157"/>
        <v>0</v>
      </c>
      <c r="P249" s="4" t="str">
        <f t="shared" si="152"/>
        <v/>
      </c>
      <c r="Q249" s="4">
        <f t="shared" si="158"/>
        <v>0</v>
      </c>
      <c r="R249" s="4" t="str">
        <f t="shared" si="153"/>
        <v/>
      </c>
      <c r="S249" s="71"/>
      <c r="T249" s="71"/>
      <c r="U249" s="71"/>
      <c r="V249" s="4">
        <f>IFERROR(IF(VLOOKUP(B249,E!$B$1:$AK$300,4,FALSE)=0,1000000,VLOOKUP(B249,E!$B$1:$AK$300,4,FALSE)),1000000)</f>
        <v>1000000</v>
      </c>
      <c r="W249" s="71"/>
      <c r="X249" s="71"/>
      <c r="Z249" s="4">
        <f t="shared" si="160"/>
        <v>0</v>
      </c>
      <c r="AC249" s="4">
        <f t="shared" si="161"/>
        <v>0</v>
      </c>
      <c r="AF249" s="4">
        <f t="shared" si="162"/>
        <v>0</v>
      </c>
      <c r="AI249" s="77">
        <v>0</v>
      </c>
      <c r="AJ249" s="77">
        <v>0</v>
      </c>
      <c r="AK249" s="77">
        <v>1</v>
      </c>
      <c r="AO249" s="4">
        <f t="shared" si="154"/>
        <v>5</v>
      </c>
      <c r="AQ249" s="4">
        <f t="shared" si="155"/>
        <v>5</v>
      </c>
      <c r="AS249" s="4">
        <f t="shared" si="156"/>
        <v>5</v>
      </c>
      <c r="AV249" s="4">
        <f t="shared" si="147"/>
        <v>0</v>
      </c>
      <c r="AX249" s="4">
        <f t="shared" si="148"/>
        <v>0</v>
      </c>
      <c r="AZ249" s="4">
        <f t="shared" si="149"/>
        <v>0</v>
      </c>
    </row>
    <row r="250" spans="1:52" x14ac:dyDescent="0.2">
      <c r="A250" s="4" t="s">
        <v>528</v>
      </c>
      <c r="B250" s="4">
        <v>1435</v>
      </c>
      <c r="C250" s="4" t="str">
        <f t="shared" si="140"/>
        <v>urn:immetingen:parameter:id:1435</v>
      </c>
      <c r="D250" s="4" t="str">
        <f>IFERROR(IF(VLOOKUP($C250,'C'!$A$1:$N$1998,4,FALSE)=0,IF(VLOOKUP($C250,'C'!$A$1:$N$1998,7,FALSE)=0,VLOOKUP($C250,'C'!$A$1:$N$1998,10,FALSE),VLOOKUP($C250,'C'!$A$1:$N$1998,7,FALSE)),VLOOKUP($C250,'C'!$A$1:$N$1998,4,FALSE)),"")</f>
        <v/>
      </c>
      <c r="E250" s="4" t="str">
        <f>IFERROR(VLOOKUP($C250,'C'!$A$1:$N$1998,2,FALSE),"")</f>
        <v/>
      </c>
      <c r="F250" s="4" t="str">
        <f>IFERROR(IF(VLOOKUP($C250,'C'!$A$1:$N$1998,3,FALSE)=1,"&lt;",""),"")</f>
        <v/>
      </c>
      <c r="G250" s="4" t="str">
        <f>IFERROR(VLOOKUP($C250,'C'!$A$1:$N$1998,5,FALSE),"")</f>
        <v/>
      </c>
      <c r="H250" s="4" t="str">
        <f>IFERROR(IF(VLOOKUP($C250,'C'!$A$1:$N$1998,6,FALSE)=1,"&lt;",""),"")</f>
        <v/>
      </c>
      <c r="I250" s="4" t="str">
        <f>IFERROR(VLOOKUP($C250,'C'!$A$1:$N$1998,8,FALSE),"")</f>
        <v/>
      </c>
      <c r="J250" s="4" t="str">
        <f>IFERROR(IF(VLOOKUP($C250,'C'!$A$1:$N$1998,9,FALSE)=1,"&lt;",""),"")</f>
        <v/>
      </c>
      <c r="M250" s="4" t="str">
        <f t="shared" si="150"/>
        <v/>
      </c>
      <c r="N250" s="4" t="str">
        <f t="shared" si="151"/>
        <v/>
      </c>
      <c r="O250" s="4" t="str">
        <f t="shared" si="157"/>
        <v/>
      </c>
      <c r="P250" s="4" t="str">
        <f t="shared" si="152"/>
        <v/>
      </c>
      <c r="Q250" s="4" t="str">
        <f t="shared" si="158"/>
        <v/>
      </c>
      <c r="R250" s="4" t="str">
        <f t="shared" si="153"/>
        <v/>
      </c>
      <c r="V250" s="4">
        <f>IFERROR(IF(VLOOKUP(B250,E!$B$1:$AK$300,4,FALSE)=0,1000000,VLOOKUP(B250,E!$B$1:$AK$300,4,FALSE)),1000000)</f>
        <v>1000000</v>
      </c>
      <c r="Z250" s="4" t="str">
        <f t="shared" si="160"/>
        <v/>
      </c>
      <c r="AC250" s="4" t="str">
        <f t="shared" si="161"/>
        <v/>
      </c>
      <c r="AF250" s="4" t="str">
        <f t="shared" si="162"/>
        <v/>
      </c>
      <c r="AI250" s="77">
        <v>0</v>
      </c>
      <c r="AJ250" s="77">
        <v>0</v>
      </c>
      <c r="AK250" s="77">
        <v>1</v>
      </c>
      <c r="AO250" s="4">
        <f t="shared" si="154"/>
        <v>5</v>
      </c>
      <c r="AQ250" s="4">
        <f t="shared" si="155"/>
        <v>5</v>
      </c>
      <c r="AS250" s="4">
        <f t="shared" si="156"/>
        <v>5</v>
      </c>
      <c r="AV250" s="4" t="str">
        <f t="shared" si="147"/>
        <v/>
      </c>
      <c r="AX250" s="4" t="str">
        <f t="shared" si="148"/>
        <v/>
      </c>
      <c r="AZ250" s="4" t="str">
        <f t="shared" si="149"/>
        <v/>
      </c>
    </row>
    <row r="251" spans="1:52" x14ac:dyDescent="0.2">
      <c r="A251" s="4" t="s">
        <v>529</v>
      </c>
      <c r="B251" s="4">
        <v>158</v>
      </c>
      <c r="C251" s="4" t="str">
        <f t="shared" si="140"/>
        <v>urn:immetingen:parameter:id:158</v>
      </c>
      <c r="D251" s="4" t="str">
        <f>IFERROR(IF(VLOOKUP($C251,'C'!$A$1:$N$1998,4,FALSE)=0,IF(VLOOKUP($C251,'C'!$A$1:$N$1998,7,FALSE)=0,VLOOKUP($C251,'C'!$A$1:$N$1998,10,FALSE),VLOOKUP($C251,'C'!$A$1:$N$1998,7,FALSE)),VLOOKUP($C251,'C'!$A$1:$N$1998,4,FALSE)),"")</f>
        <v/>
      </c>
      <c r="E251" s="4" t="str">
        <f>IFERROR(VLOOKUP($C251,'C'!$A$1:$N$1998,2,FALSE),"")</f>
        <v/>
      </c>
      <c r="F251" s="4" t="str">
        <f>IFERROR(IF(VLOOKUP($C251,'C'!$A$1:$N$1998,3,FALSE)=1,"&lt;",""),"")</f>
        <v/>
      </c>
      <c r="G251" s="4" t="str">
        <f>IFERROR(VLOOKUP($C251,'C'!$A$1:$N$1998,5,FALSE),"")</f>
        <v/>
      </c>
      <c r="H251" s="4" t="str">
        <f>IFERROR(IF(VLOOKUP($C251,'C'!$A$1:$N$1998,6,FALSE)=1,"&lt;",""),"")</f>
        <v/>
      </c>
      <c r="I251" s="4" t="str">
        <f>IFERROR(VLOOKUP($C251,'C'!$A$1:$N$1998,8,FALSE),"")</f>
        <v/>
      </c>
      <c r="J251" s="4" t="str">
        <f>IFERROR(IF(VLOOKUP($C251,'C'!$A$1:$N$1998,9,FALSE)=1,"&lt;",""),"")</f>
        <v/>
      </c>
      <c r="M251" s="4" t="str">
        <f t="shared" si="150"/>
        <v/>
      </c>
      <c r="N251" s="4" t="str">
        <f t="shared" si="151"/>
        <v/>
      </c>
      <c r="O251" s="4" t="str">
        <f t="shared" si="157"/>
        <v/>
      </c>
      <c r="P251" s="4" t="str">
        <f t="shared" si="152"/>
        <v/>
      </c>
      <c r="Q251" s="4" t="str">
        <f t="shared" si="158"/>
        <v/>
      </c>
      <c r="R251" s="4" t="str">
        <f t="shared" si="153"/>
        <v/>
      </c>
      <c r="V251" s="4">
        <f>IFERROR(IF(VLOOKUP(B251,E!$B$1:$AK$300,4,FALSE)=0,1000000,VLOOKUP(B251,E!$B$1:$AK$300,4,FALSE)),1000000)</f>
        <v>1000000</v>
      </c>
      <c r="Z251" s="4" t="str">
        <f t="shared" si="160"/>
        <v/>
      </c>
      <c r="AC251" s="4" t="str">
        <f t="shared" si="161"/>
        <v/>
      </c>
      <c r="AF251" s="4" t="str">
        <f t="shared" si="162"/>
        <v/>
      </c>
      <c r="AI251" s="77">
        <v>0</v>
      </c>
      <c r="AJ251" s="77">
        <v>0</v>
      </c>
      <c r="AK251" s="77">
        <v>1</v>
      </c>
      <c r="AO251" s="4">
        <f t="shared" si="154"/>
        <v>5</v>
      </c>
      <c r="AQ251" s="4">
        <f t="shared" si="155"/>
        <v>5</v>
      </c>
      <c r="AS251" s="4">
        <f t="shared" si="156"/>
        <v>5</v>
      </c>
      <c r="AV251" s="4" t="str">
        <f t="shared" si="147"/>
        <v/>
      </c>
      <c r="AX251" s="4" t="str">
        <f t="shared" si="148"/>
        <v/>
      </c>
      <c r="AZ251" s="4" t="str">
        <f t="shared" si="149"/>
        <v/>
      </c>
    </row>
    <row r="252" spans="1:52" x14ac:dyDescent="0.2">
      <c r="A252" s="4" t="s">
        <v>530</v>
      </c>
      <c r="B252" s="4">
        <v>6434</v>
      </c>
      <c r="C252" s="4" t="str">
        <f t="shared" si="140"/>
        <v>urn:immetingen:parameter:id:6434</v>
      </c>
      <c r="D252" s="4" t="str">
        <f>IFERROR(IF(VLOOKUP($C252,'C'!$A$1:$N$1998,4,FALSE)=0,IF(VLOOKUP($C252,'C'!$A$1:$N$1998,7,FALSE)=0,VLOOKUP($C252,'C'!$A$1:$N$1998,10,FALSE),VLOOKUP($C252,'C'!$A$1:$N$1998,7,FALSE)),VLOOKUP($C252,'C'!$A$1:$N$1998,4,FALSE)),"")</f>
        <v/>
      </c>
      <c r="E252" s="4" t="str">
        <f>IFERROR(VLOOKUP($C252,'C'!$A$1:$N$1998,2,FALSE),"")</f>
        <v/>
      </c>
      <c r="F252" s="4" t="str">
        <f>IFERROR(IF(VLOOKUP($C252,'C'!$A$1:$N$1998,3,FALSE)=1,"&lt;",""),"")</f>
        <v/>
      </c>
      <c r="G252" s="4" t="str">
        <f>IFERROR(VLOOKUP($C252,'C'!$A$1:$N$1998,5,FALSE),"")</f>
        <v/>
      </c>
      <c r="H252" s="4" t="str">
        <f>IFERROR(IF(VLOOKUP($C252,'C'!$A$1:$N$1998,6,FALSE)=1,"&lt;",""),"")</f>
        <v/>
      </c>
      <c r="I252" s="4" t="str">
        <f>IFERROR(VLOOKUP($C252,'C'!$A$1:$N$1998,8,FALSE),"")</f>
        <v/>
      </c>
      <c r="J252" s="4" t="str">
        <f>IFERROR(IF(VLOOKUP($C252,'C'!$A$1:$N$1998,9,FALSE)=1,"&lt;",""),"")</f>
        <v/>
      </c>
      <c r="M252" s="4" t="str">
        <f t="shared" si="150"/>
        <v/>
      </c>
      <c r="N252" s="4" t="str">
        <f t="shared" si="151"/>
        <v/>
      </c>
      <c r="O252" s="4" t="str">
        <f t="shared" si="157"/>
        <v/>
      </c>
      <c r="P252" s="4" t="str">
        <f t="shared" si="152"/>
        <v/>
      </c>
      <c r="Q252" s="4" t="str">
        <f t="shared" si="158"/>
        <v/>
      </c>
      <c r="R252" s="4" t="str">
        <f t="shared" si="153"/>
        <v/>
      </c>
      <c r="V252" s="4">
        <f>IFERROR(IF(VLOOKUP(B252,E!$B$1:$AK$300,4,FALSE)=0,1000000,VLOOKUP(B252,E!$B$1:$AK$300,4,FALSE)),1000000)</f>
        <v>1000000</v>
      </c>
      <c r="Z252" s="4" t="str">
        <f t="shared" si="160"/>
        <v/>
      </c>
      <c r="AC252" s="4" t="str">
        <f t="shared" si="161"/>
        <v/>
      </c>
      <c r="AF252" s="4" t="str">
        <f t="shared" si="162"/>
        <v/>
      </c>
      <c r="AI252" s="77">
        <v>0</v>
      </c>
      <c r="AJ252" s="77">
        <v>0</v>
      </c>
      <c r="AK252" s="77">
        <v>1</v>
      </c>
      <c r="AO252" s="4">
        <f t="shared" si="154"/>
        <v>5</v>
      </c>
      <c r="AQ252" s="4">
        <f t="shared" si="155"/>
        <v>5</v>
      </c>
      <c r="AS252" s="4">
        <f t="shared" si="156"/>
        <v>5</v>
      </c>
      <c r="AV252" s="4" t="str">
        <f t="shared" si="147"/>
        <v/>
      </c>
      <c r="AX252" s="4" t="str">
        <f t="shared" si="148"/>
        <v/>
      </c>
      <c r="AZ252" s="4" t="str">
        <f t="shared" si="149"/>
        <v/>
      </c>
    </row>
    <row r="253" spans="1:52" x14ac:dyDescent="0.2">
      <c r="A253" s="4" t="s">
        <v>531</v>
      </c>
      <c r="B253" s="4">
        <v>149</v>
      </c>
      <c r="C253" s="4" t="str">
        <f t="shared" si="140"/>
        <v>urn:immetingen:parameter:id:149</v>
      </c>
      <c r="D253" s="4" t="str">
        <f>IFERROR(IF(VLOOKUP($C253,'C'!$A$1:$N$1998,4,FALSE)=0,IF(VLOOKUP($C253,'C'!$A$1:$N$1998,7,FALSE)=0,VLOOKUP($C253,'C'!$A$1:$N$1998,10,FALSE),VLOOKUP($C253,'C'!$A$1:$N$1998,7,FALSE)),VLOOKUP($C253,'C'!$A$1:$N$1998,4,FALSE)),"")</f>
        <v/>
      </c>
      <c r="E253" s="4" t="str">
        <f>IFERROR(VLOOKUP($C253,'C'!$A$1:$N$1998,2,FALSE),"")</f>
        <v/>
      </c>
      <c r="F253" s="4" t="str">
        <f>IFERROR(IF(VLOOKUP($C253,'C'!$A$1:$N$1998,3,FALSE)=1,"&lt;",""),"")</f>
        <v/>
      </c>
      <c r="G253" s="4" t="str">
        <f>IFERROR(VLOOKUP($C253,'C'!$A$1:$N$1998,5,FALSE),"")</f>
        <v/>
      </c>
      <c r="H253" s="4" t="str">
        <f>IFERROR(IF(VLOOKUP($C253,'C'!$A$1:$N$1998,6,FALSE)=1,"&lt;",""),"")</f>
        <v/>
      </c>
      <c r="I253" s="4" t="str">
        <f>IFERROR(VLOOKUP($C253,'C'!$A$1:$N$1998,8,FALSE),"")</f>
        <v/>
      </c>
      <c r="J253" s="4" t="str">
        <f>IFERROR(IF(VLOOKUP($C253,'C'!$A$1:$N$1998,9,FALSE)=1,"&lt;",""),"")</f>
        <v/>
      </c>
      <c r="M253" s="4" t="str">
        <f t="shared" si="150"/>
        <v/>
      </c>
      <c r="N253" s="4" t="str">
        <f t="shared" si="151"/>
        <v/>
      </c>
      <c r="O253" s="4" t="str">
        <f t="shared" si="157"/>
        <v/>
      </c>
      <c r="P253" s="4" t="str">
        <f t="shared" si="152"/>
        <v/>
      </c>
      <c r="Q253" s="4" t="str">
        <f t="shared" si="158"/>
        <v/>
      </c>
      <c r="R253" s="4" t="str">
        <f t="shared" si="153"/>
        <v/>
      </c>
      <c r="V253" s="4">
        <f>IFERROR(IF(VLOOKUP(B253,E!$B$1:$AK$300,4,FALSE)=0,1000000,VLOOKUP(B253,E!$B$1:$AK$300,4,FALSE)),1000000)</f>
        <v>1000000</v>
      </c>
      <c r="Z253" s="4" t="str">
        <f t="shared" si="160"/>
        <v/>
      </c>
      <c r="AC253" s="4" t="str">
        <f t="shared" si="161"/>
        <v/>
      </c>
      <c r="AF253" s="4" t="str">
        <f t="shared" si="162"/>
        <v/>
      </c>
      <c r="AI253" s="77">
        <v>0</v>
      </c>
      <c r="AJ253" s="77">
        <v>0</v>
      </c>
      <c r="AK253" s="77">
        <v>1</v>
      </c>
      <c r="AO253" s="4">
        <f t="shared" si="154"/>
        <v>5</v>
      </c>
      <c r="AQ253" s="4">
        <f t="shared" si="155"/>
        <v>5</v>
      </c>
      <c r="AS253" s="4">
        <f t="shared" si="156"/>
        <v>5</v>
      </c>
      <c r="AV253" s="4" t="str">
        <f t="shared" si="147"/>
        <v/>
      </c>
      <c r="AX253" s="4" t="str">
        <f t="shared" si="148"/>
        <v/>
      </c>
      <c r="AZ253" s="4" t="str">
        <f t="shared" si="149"/>
        <v/>
      </c>
    </row>
    <row r="254" spans="1:52" x14ac:dyDescent="0.2">
      <c r="A254" s="4" t="s">
        <v>532</v>
      </c>
      <c r="B254" s="4">
        <v>1710</v>
      </c>
      <c r="C254" s="4" t="str">
        <f t="shared" si="140"/>
        <v>urn:immetingen:parameter:id:1710</v>
      </c>
      <c r="D254" s="4" t="str">
        <f>IFERROR(IF(VLOOKUP($C254,'C'!$A$1:$N$1998,4,FALSE)=0,IF(VLOOKUP($C254,'C'!$A$1:$N$1998,7,FALSE)=0,VLOOKUP($C254,'C'!$A$1:$N$1998,10,FALSE),VLOOKUP($C254,'C'!$A$1:$N$1998,7,FALSE)),VLOOKUP($C254,'C'!$A$1:$N$1998,4,FALSE)),"")</f>
        <v/>
      </c>
      <c r="E254" s="4" t="str">
        <f>IFERROR(VLOOKUP($C254,'C'!$A$1:$N$1998,2,FALSE),"")</f>
        <v/>
      </c>
      <c r="F254" s="4" t="str">
        <f>IFERROR(IF(VLOOKUP($C254,'C'!$A$1:$N$1998,3,FALSE)=1,"&lt;",""),"")</f>
        <v/>
      </c>
      <c r="G254" s="4" t="str">
        <f>IFERROR(VLOOKUP($C254,'C'!$A$1:$N$1998,5,FALSE),"")</f>
        <v/>
      </c>
      <c r="H254" s="4" t="str">
        <f>IFERROR(IF(VLOOKUP($C254,'C'!$A$1:$N$1998,6,FALSE)=1,"&lt;",""),"")</f>
        <v/>
      </c>
      <c r="I254" s="4" t="str">
        <f>IFERROR(VLOOKUP($C254,'C'!$A$1:$N$1998,8,FALSE),"")</f>
        <v/>
      </c>
      <c r="J254" s="4" t="str">
        <f>IFERROR(IF(VLOOKUP($C254,'C'!$A$1:$N$1998,9,FALSE)=1,"&lt;",""),"")</f>
        <v/>
      </c>
      <c r="M254" s="4" t="str">
        <f t="shared" si="150"/>
        <v/>
      </c>
      <c r="N254" s="4" t="str">
        <f t="shared" si="151"/>
        <v/>
      </c>
      <c r="O254" s="4" t="str">
        <f t="shared" si="157"/>
        <v/>
      </c>
      <c r="P254" s="4" t="str">
        <f t="shared" si="152"/>
        <v/>
      </c>
      <c r="Q254" s="4" t="str">
        <f t="shared" si="158"/>
        <v/>
      </c>
      <c r="R254" s="4" t="str">
        <f t="shared" si="153"/>
        <v/>
      </c>
      <c r="V254" s="4">
        <f>IFERROR(IF(VLOOKUP(B254,E!$B$1:$AK$300,4,FALSE)=0,1000000,VLOOKUP(B254,E!$B$1:$AK$300,4,FALSE)),1000000)</f>
        <v>1000000</v>
      </c>
      <c r="Z254" s="4" t="str">
        <f t="shared" si="160"/>
        <v/>
      </c>
      <c r="AC254" s="4" t="str">
        <f t="shared" si="161"/>
        <v/>
      </c>
      <c r="AF254" s="4" t="str">
        <f t="shared" si="162"/>
        <v/>
      </c>
      <c r="AI254" s="77">
        <v>0</v>
      </c>
      <c r="AJ254" s="77">
        <v>0</v>
      </c>
      <c r="AK254" s="77">
        <v>1</v>
      </c>
      <c r="AO254" s="4">
        <f t="shared" si="154"/>
        <v>5</v>
      </c>
      <c r="AQ254" s="4">
        <f t="shared" si="155"/>
        <v>5</v>
      </c>
      <c r="AS254" s="4">
        <f t="shared" si="156"/>
        <v>5</v>
      </c>
      <c r="AV254" s="4" t="str">
        <f t="shared" si="147"/>
        <v/>
      </c>
      <c r="AX254" s="4" t="str">
        <f t="shared" si="148"/>
        <v/>
      </c>
      <c r="AZ254" s="4" t="str">
        <f t="shared" si="149"/>
        <v/>
      </c>
    </row>
    <row r="255" spans="1:52" x14ac:dyDescent="0.2">
      <c r="A255" s="4" t="s">
        <v>533</v>
      </c>
      <c r="B255" s="4">
        <v>905</v>
      </c>
      <c r="C255" s="4" t="str">
        <f t="shared" si="140"/>
        <v>urn:immetingen:parameter:id:905</v>
      </c>
      <c r="D255" s="4" t="str">
        <f>IFERROR(IF(VLOOKUP($C255,'C'!$A$1:$N$1998,4,FALSE)=0,IF(VLOOKUP($C255,'C'!$A$1:$N$1998,7,FALSE)=0,VLOOKUP($C255,'C'!$A$1:$N$1998,10,FALSE),VLOOKUP($C255,'C'!$A$1:$N$1998,7,FALSE)),VLOOKUP($C255,'C'!$A$1:$N$1998,4,FALSE)),"")</f>
        <v/>
      </c>
      <c r="E255" s="4" t="str">
        <f>IFERROR(VLOOKUP($C255,'C'!$A$1:$N$1998,2,FALSE),"")</f>
        <v/>
      </c>
      <c r="F255" s="4" t="str">
        <f>IFERROR(IF(VLOOKUP($C255,'C'!$A$1:$N$1998,3,FALSE)=1,"&lt;",""),"")</f>
        <v/>
      </c>
      <c r="G255" s="4" t="str">
        <f>IFERROR(VLOOKUP($C255,'C'!$A$1:$N$1998,5,FALSE),"")</f>
        <v/>
      </c>
      <c r="H255" s="4" t="str">
        <f>IFERROR(IF(VLOOKUP($C255,'C'!$A$1:$N$1998,6,FALSE)=1,"&lt;",""),"")</f>
        <v/>
      </c>
      <c r="I255" s="4" t="str">
        <f>IFERROR(VLOOKUP($C255,'C'!$A$1:$N$1998,8,FALSE),"")</f>
        <v/>
      </c>
      <c r="J255" s="4" t="str">
        <f>IFERROR(IF(VLOOKUP($C255,'C'!$A$1:$N$1998,9,FALSE)=1,"&lt;",""),"")</f>
        <v/>
      </c>
      <c r="M255" s="4" t="str">
        <f t="shared" si="150"/>
        <v/>
      </c>
      <c r="N255" s="4" t="str">
        <f t="shared" si="151"/>
        <v/>
      </c>
      <c r="O255" s="4" t="str">
        <f t="shared" si="157"/>
        <v/>
      </c>
      <c r="P255" s="4" t="str">
        <f t="shared" si="152"/>
        <v/>
      </c>
      <c r="Q255" s="4" t="str">
        <f t="shared" si="158"/>
        <v/>
      </c>
      <c r="R255" s="4" t="str">
        <f t="shared" si="153"/>
        <v/>
      </c>
      <c r="V255" s="4">
        <f>IFERROR(IF(VLOOKUP(B255,E!$B$1:$AK$300,4,FALSE)=0,1000000,VLOOKUP(B255,E!$B$1:$AK$300,4,FALSE)),1000000)</f>
        <v>1000000</v>
      </c>
      <c r="Z255" s="4" t="str">
        <f t="shared" si="160"/>
        <v/>
      </c>
      <c r="AC255" s="4" t="str">
        <f t="shared" si="161"/>
        <v/>
      </c>
      <c r="AF255" s="4" t="str">
        <f t="shared" si="162"/>
        <v/>
      </c>
      <c r="AI255" s="77">
        <v>0</v>
      </c>
      <c r="AJ255" s="77">
        <v>0</v>
      </c>
      <c r="AK255" s="77">
        <v>1</v>
      </c>
      <c r="AO255" s="4">
        <f t="shared" si="154"/>
        <v>5</v>
      </c>
      <c r="AQ255" s="4">
        <f t="shared" si="155"/>
        <v>5</v>
      </c>
      <c r="AS255" s="4">
        <f t="shared" si="156"/>
        <v>5</v>
      </c>
      <c r="AV255" s="4" t="str">
        <f t="shared" si="147"/>
        <v/>
      </c>
      <c r="AX255" s="4" t="str">
        <f t="shared" si="148"/>
        <v/>
      </c>
      <c r="AZ255" s="4" t="str">
        <f t="shared" si="149"/>
        <v/>
      </c>
    </row>
    <row r="256" spans="1:52" x14ac:dyDescent="0.2">
      <c r="A256" s="4" t="s">
        <v>534</v>
      </c>
      <c r="B256" s="4">
        <v>418</v>
      </c>
      <c r="C256" s="4" t="str">
        <f t="shared" si="140"/>
        <v>urn:immetingen:parameter:id:418</v>
      </c>
      <c r="D256" s="4" t="str">
        <f>IFERROR(IF(VLOOKUP($C256,'C'!$A$1:$N$1998,4,FALSE)=0,IF(VLOOKUP($C256,'C'!$A$1:$N$1998,7,FALSE)=0,VLOOKUP($C256,'C'!$A$1:$N$1998,10,FALSE),VLOOKUP($C256,'C'!$A$1:$N$1998,7,FALSE)),VLOOKUP($C256,'C'!$A$1:$N$1998,4,FALSE)),"")</f>
        <v/>
      </c>
      <c r="E256" s="4" t="str">
        <f>IFERROR(VLOOKUP($C256,'C'!$A$1:$N$1998,2,FALSE),"")</f>
        <v/>
      </c>
      <c r="F256" s="4" t="str">
        <f>IFERROR(IF(VLOOKUP($C256,'C'!$A$1:$N$1998,3,FALSE)=1,"&lt;",""),"")</f>
        <v/>
      </c>
      <c r="G256" s="4" t="str">
        <f>IFERROR(VLOOKUP($C256,'C'!$A$1:$N$1998,5,FALSE),"")</f>
        <v/>
      </c>
      <c r="H256" s="4" t="str">
        <f>IFERROR(IF(VLOOKUP($C256,'C'!$A$1:$N$1998,6,FALSE)=1,"&lt;",""),"")</f>
        <v/>
      </c>
      <c r="I256" s="4" t="str">
        <f>IFERROR(VLOOKUP($C256,'C'!$A$1:$N$1998,8,FALSE),"")</f>
        <v/>
      </c>
      <c r="J256" s="4" t="str">
        <f>IFERROR(IF(VLOOKUP($C256,'C'!$A$1:$N$1998,9,FALSE)=1,"&lt;",""),"")</f>
        <v/>
      </c>
      <c r="M256" s="4" t="str">
        <f t="shared" si="150"/>
        <v/>
      </c>
      <c r="N256" s="4" t="str">
        <f t="shared" si="151"/>
        <v/>
      </c>
      <c r="O256" s="4" t="str">
        <f t="shared" si="157"/>
        <v/>
      </c>
      <c r="P256" s="4" t="str">
        <f t="shared" si="152"/>
        <v/>
      </c>
      <c r="Q256" s="4" t="str">
        <f t="shared" si="158"/>
        <v/>
      </c>
      <c r="R256" s="4" t="str">
        <f t="shared" si="153"/>
        <v/>
      </c>
      <c r="V256" s="4">
        <f>IFERROR(IF(VLOOKUP(B256,E!$B$1:$AK$300,4,FALSE)=0,1000000,VLOOKUP(B256,E!$B$1:$AK$300,4,FALSE)),1000000)</f>
        <v>1000000</v>
      </c>
      <c r="Z256" s="4" t="str">
        <f t="shared" si="160"/>
        <v/>
      </c>
      <c r="AC256" s="4" t="str">
        <f t="shared" si="161"/>
        <v/>
      </c>
      <c r="AF256" s="4" t="str">
        <f t="shared" si="162"/>
        <v/>
      </c>
      <c r="AI256" s="77">
        <v>0</v>
      </c>
      <c r="AJ256" s="77">
        <v>0</v>
      </c>
      <c r="AK256" s="77">
        <v>1</v>
      </c>
      <c r="AO256" s="4">
        <f t="shared" si="154"/>
        <v>5</v>
      </c>
      <c r="AQ256" s="4">
        <f t="shared" si="155"/>
        <v>5</v>
      </c>
      <c r="AS256" s="4">
        <f t="shared" si="156"/>
        <v>5</v>
      </c>
      <c r="AV256" s="4" t="str">
        <f t="shared" si="147"/>
        <v/>
      </c>
      <c r="AX256" s="4" t="str">
        <f t="shared" si="148"/>
        <v/>
      </c>
      <c r="AZ256" s="4" t="str">
        <f t="shared" si="149"/>
        <v/>
      </c>
    </row>
    <row r="257" spans="1:52" x14ac:dyDescent="0.2">
      <c r="A257" s="4" t="s">
        <v>535</v>
      </c>
      <c r="B257" s="4">
        <v>732</v>
      </c>
      <c r="C257" s="4" t="str">
        <f t="shared" si="140"/>
        <v>urn:immetingen:parameter:id:732</v>
      </c>
      <c r="D257" s="4" t="str">
        <f>IFERROR(IF(VLOOKUP($C257,'C'!$A$1:$N$1998,4,FALSE)=0,IF(VLOOKUP($C257,'C'!$A$1:$N$1998,7,FALSE)=0,VLOOKUP($C257,'C'!$A$1:$N$1998,10,FALSE),VLOOKUP($C257,'C'!$A$1:$N$1998,7,FALSE)),VLOOKUP($C257,'C'!$A$1:$N$1998,4,FALSE)),"")</f>
        <v/>
      </c>
      <c r="E257" s="4" t="str">
        <f>IFERROR(VLOOKUP($C257,'C'!$A$1:$N$1998,2,FALSE),"")</f>
        <v/>
      </c>
      <c r="F257" s="4" t="str">
        <f>IFERROR(IF(VLOOKUP($C257,'C'!$A$1:$N$1998,3,FALSE)=1,"&lt;",""),"")</f>
        <v/>
      </c>
      <c r="G257" s="4" t="str">
        <f>IFERROR(VLOOKUP($C257,'C'!$A$1:$N$1998,5,FALSE),"")</f>
        <v/>
      </c>
      <c r="H257" s="4" t="str">
        <f>IFERROR(IF(VLOOKUP($C257,'C'!$A$1:$N$1998,6,FALSE)=1,"&lt;",""),"")</f>
        <v/>
      </c>
      <c r="I257" s="4" t="str">
        <f>IFERROR(VLOOKUP($C257,'C'!$A$1:$N$1998,8,FALSE),"")</f>
        <v/>
      </c>
      <c r="J257" s="4" t="str">
        <f>IFERROR(IF(VLOOKUP($C257,'C'!$A$1:$N$1998,9,FALSE)=1,"&lt;",""),"")</f>
        <v/>
      </c>
      <c r="M257" s="4" t="str">
        <f t="shared" si="150"/>
        <v/>
      </c>
      <c r="N257" s="4" t="str">
        <f t="shared" si="151"/>
        <v/>
      </c>
      <c r="O257" s="4" t="str">
        <f t="shared" si="157"/>
        <v/>
      </c>
      <c r="P257" s="4" t="str">
        <f t="shared" si="152"/>
        <v/>
      </c>
      <c r="Q257" s="4" t="str">
        <f t="shared" si="158"/>
        <v/>
      </c>
      <c r="R257" s="4" t="str">
        <f t="shared" si="153"/>
        <v/>
      </c>
      <c r="V257" s="4">
        <f>IFERROR(IF(VLOOKUP(B257,E!$B$1:$AK$300,4,FALSE)=0,1000000,VLOOKUP(B257,E!$B$1:$AK$300,4,FALSE)),1000000)</f>
        <v>1000000000</v>
      </c>
      <c r="Z257" s="4" t="str">
        <f t="shared" si="160"/>
        <v/>
      </c>
      <c r="AC257" s="4" t="str">
        <f t="shared" si="161"/>
        <v/>
      </c>
      <c r="AF257" s="4" t="str">
        <f t="shared" si="162"/>
        <v/>
      </c>
      <c r="AI257" s="77">
        <v>0</v>
      </c>
      <c r="AJ257" s="77">
        <v>0</v>
      </c>
      <c r="AK257" s="77">
        <v>1</v>
      </c>
      <c r="AO257" s="4">
        <f t="shared" si="154"/>
        <v>5</v>
      </c>
      <c r="AQ257" s="4">
        <f t="shared" si="155"/>
        <v>5</v>
      </c>
      <c r="AS257" s="4">
        <f t="shared" si="156"/>
        <v>5</v>
      </c>
      <c r="AV257" s="4" t="str">
        <f t="shared" si="147"/>
        <v/>
      </c>
      <c r="AX257" s="4" t="str">
        <f t="shared" si="148"/>
        <v/>
      </c>
      <c r="AZ257" s="4" t="str">
        <f t="shared" si="149"/>
        <v/>
      </c>
    </row>
    <row r="258" spans="1:52" x14ac:dyDescent="0.2">
      <c r="A258" s="81" t="s">
        <v>839</v>
      </c>
      <c r="B258" s="4">
        <v>639</v>
      </c>
      <c r="C258" s="4" t="str">
        <f t="shared" si="140"/>
        <v>urn:immetingen:parameter:id:639</v>
      </c>
      <c r="D258" s="4" t="str">
        <f>IFERROR(IF(VLOOKUP($C258,'C'!$A$1:$N$1998,4,FALSE)=0,IF(VLOOKUP($C258,'C'!$A$1:$N$1998,7,FALSE)=0,VLOOKUP($C258,'C'!$A$1:$N$1998,10,FALSE),VLOOKUP($C258,'C'!$A$1:$N$1998,7,FALSE)),VLOOKUP($C258,'C'!$A$1:$N$1998,4,FALSE)),"")</f>
        <v/>
      </c>
      <c r="E258" s="4" t="str">
        <f>IFERROR(VLOOKUP($C258,'C'!$A$1:$N$1998,2,FALSE),"")</f>
        <v/>
      </c>
      <c r="F258" s="4" t="str">
        <f>IFERROR(IF(VLOOKUP($C258,'C'!$A$1:$N$1998,3,FALSE)=1,"&lt;",""),"")</f>
        <v/>
      </c>
      <c r="M258" s="4" t="str">
        <f t="shared" si="150"/>
        <v/>
      </c>
      <c r="N258" s="4" t="str">
        <f t="shared" si="151"/>
        <v/>
      </c>
      <c r="O258" s="4" t="str">
        <f t="shared" si="157"/>
        <v/>
      </c>
      <c r="P258" s="4" t="str">
        <f t="shared" si="152"/>
        <v/>
      </c>
      <c r="Q258" s="4" t="str">
        <f t="shared" si="158"/>
        <v/>
      </c>
      <c r="R258" s="4" t="str">
        <f t="shared" si="153"/>
        <v/>
      </c>
      <c r="V258" s="4">
        <f>IFERROR(IF(VLOOKUP(B258,E!$B$1:$AK$300,4,FALSE)=0,1000000,VLOOKUP(B258,E!$B$1:$AK$300,4,FALSE)),1000000)</f>
        <v>1000000000</v>
      </c>
      <c r="Z258" s="4" t="str">
        <f t="shared" si="160"/>
        <v/>
      </c>
      <c r="AC258" s="4" t="str">
        <f t="shared" si="161"/>
        <v/>
      </c>
      <c r="AF258" s="4" t="str">
        <f t="shared" si="162"/>
        <v/>
      </c>
      <c r="AI258" s="77">
        <v>0</v>
      </c>
      <c r="AJ258" s="77">
        <v>0</v>
      </c>
      <c r="AK258" s="77">
        <v>1</v>
      </c>
      <c r="AO258" s="4">
        <f t="shared" si="154"/>
        <v>5</v>
      </c>
      <c r="AQ258" s="4">
        <f t="shared" si="155"/>
        <v>5</v>
      </c>
      <c r="AS258" s="4">
        <f t="shared" si="156"/>
        <v>5</v>
      </c>
      <c r="AV258" s="4" t="str">
        <f t="shared" si="147"/>
        <v/>
      </c>
      <c r="AX258" s="4" t="str">
        <f t="shared" si="148"/>
        <v/>
      </c>
      <c r="AZ258" s="4" t="str">
        <f t="shared" si="149"/>
        <v/>
      </c>
    </row>
    <row r="259" spans="1:52" x14ac:dyDescent="0.2">
      <c r="A259" s="4" t="s">
        <v>565</v>
      </c>
      <c r="B259" s="4">
        <v>1434</v>
      </c>
      <c r="C259" s="4" t="str">
        <f t="shared" si="140"/>
        <v>urn:immetingen:parameter:id:1434</v>
      </c>
      <c r="D259" s="4" t="str">
        <f>IFERROR(IF(VLOOKUP($C259,'C'!$A$1:$N$1998,4,FALSE)=0,IF(VLOOKUP($C259,'C'!$A$1:$N$1998,7,FALSE)=0,VLOOKUP($C259,'C'!$A$1:$N$1998,10,FALSE),VLOOKUP($C259,'C'!$A$1:$N$1998,7,FALSE)),VLOOKUP($C259,'C'!$A$1:$N$1998,4,FALSE)),"")</f>
        <v/>
      </c>
      <c r="E259" s="4" t="str">
        <f>IFERROR(VLOOKUP($C259,'C'!$A$1:$N$1998,2,FALSE),"")</f>
        <v/>
      </c>
      <c r="F259" s="4" t="str">
        <f>IFERROR(IF(VLOOKUP($C259,'C'!$A$1:$N$1998,3,FALSE)=1,"&lt;",""),"")</f>
        <v/>
      </c>
      <c r="G259" s="4" t="str">
        <f>IFERROR(VLOOKUP($C259,'C'!$A$1:$N$1998,5,FALSE),"")</f>
        <v/>
      </c>
      <c r="H259" s="4" t="str">
        <f>IFERROR(IF(VLOOKUP($C259,'C'!$A$1:$N$1998,6,FALSE)=1,"&lt;",""),"")</f>
        <v/>
      </c>
      <c r="I259" s="4" t="str">
        <f>IFERROR(VLOOKUP($C259,'C'!$A$1:$N$1998,8,FALSE),"")</f>
        <v/>
      </c>
      <c r="J259" s="4" t="str">
        <f>IFERROR(IF(VLOOKUP($C259,'C'!$A$1:$N$1998,9,FALSE)=1,"&lt;",""),"")</f>
        <v/>
      </c>
      <c r="M259" s="4" t="str">
        <f t="shared" si="150"/>
        <v/>
      </c>
      <c r="N259" s="4" t="str">
        <f t="shared" si="151"/>
        <v/>
      </c>
      <c r="O259" s="4" t="str">
        <f t="shared" si="157"/>
        <v/>
      </c>
      <c r="P259" s="4" t="str">
        <f t="shared" si="152"/>
        <v/>
      </c>
      <c r="Q259" s="4" t="str">
        <f t="shared" si="158"/>
        <v/>
      </c>
      <c r="R259" s="4" t="str">
        <f t="shared" si="153"/>
        <v/>
      </c>
      <c r="V259" s="4">
        <f>IFERROR(IF(VLOOKUP(B259,E!$B$1:$AK$300,4,FALSE)=0,1000000,VLOOKUP(B259,E!$B$1:$AK$300,4,FALSE)),1000000)</f>
        <v>0.1</v>
      </c>
      <c r="Z259" s="4" t="str">
        <f t="shared" si="160"/>
        <v/>
      </c>
      <c r="AC259" s="4" t="str">
        <f t="shared" si="161"/>
        <v/>
      </c>
      <c r="AF259" s="4" t="str">
        <f t="shared" si="162"/>
        <v/>
      </c>
      <c r="AI259" s="77">
        <v>0</v>
      </c>
      <c r="AJ259" s="77">
        <v>0</v>
      </c>
      <c r="AK259" s="77">
        <v>1</v>
      </c>
      <c r="AO259" s="4">
        <f t="shared" si="154"/>
        <v>5</v>
      </c>
      <c r="AQ259" s="4">
        <f t="shared" si="155"/>
        <v>5</v>
      </c>
      <c r="AS259" s="4">
        <f t="shared" si="156"/>
        <v>5</v>
      </c>
      <c r="AV259" s="4" t="str">
        <f t="shared" si="147"/>
        <v/>
      </c>
      <c r="AX259" s="4" t="str">
        <f t="shared" si="148"/>
        <v/>
      </c>
      <c r="AZ259" s="4" t="str">
        <f t="shared" si="149"/>
        <v/>
      </c>
    </row>
    <row r="260" spans="1:52" x14ac:dyDescent="0.2">
      <c r="A260" s="4" t="s">
        <v>566</v>
      </c>
      <c r="B260" s="4">
        <v>903</v>
      </c>
      <c r="C260" s="4" t="str">
        <f t="shared" si="140"/>
        <v>urn:immetingen:parameter:id:903</v>
      </c>
      <c r="D260" s="4" t="str">
        <f>IFERROR(IF(VLOOKUP($C260,'C'!$A$1:$N$1998,4,FALSE)=0,IF(VLOOKUP($C260,'C'!$A$1:$N$1998,7,FALSE)=0,VLOOKUP($C260,'C'!$A$1:$N$1998,10,FALSE),VLOOKUP($C260,'C'!$A$1:$N$1998,7,FALSE)),VLOOKUP($C260,'C'!$A$1:$N$1998,4,FALSE)),"")</f>
        <v/>
      </c>
      <c r="E260" s="4" t="str">
        <f>IFERROR(VLOOKUP($C260,'C'!$A$1:$N$1998,2,FALSE),"")</f>
        <v/>
      </c>
      <c r="F260" s="4" t="str">
        <f>IFERROR(IF(VLOOKUP($C260,'C'!$A$1:$N$1998,3,FALSE)=1,"&lt;",""),"")</f>
        <v/>
      </c>
      <c r="G260" s="4" t="str">
        <f>IFERROR(VLOOKUP($C260,'C'!$A$1:$N$1998,5,FALSE),"")</f>
        <v/>
      </c>
      <c r="H260" s="4" t="str">
        <f>IFERROR(IF(VLOOKUP($C260,'C'!$A$1:$N$1998,6,FALSE)=1,"&lt;",""),"")</f>
        <v/>
      </c>
      <c r="I260" s="4" t="str">
        <f>IFERROR(VLOOKUP($C260,'C'!$A$1:$N$1998,8,FALSE),"")</f>
        <v/>
      </c>
      <c r="J260" s="4" t="str">
        <f>IFERROR(IF(VLOOKUP($C260,'C'!$A$1:$N$1998,9,FALSE)=1,"&lt;",""),"")</f>
        <v/>
      </c>
      <c r="M260" s="4" t="str">
        <f t="shared" si="150"/>
        <v/>
      </c>
      <c r="N260" s="4" t="str">
        <f t="shared" si="151"/>
        <v/>
      </c>
      <c r="O260" s="4" t="str">
        <f t="shared" si="157"/>
        <v/>
      </c>
      <c r="P260" s="4" t="str">
        <f t="shared" si="152"/>
        <v/>
      </c>
      <c r="Q260" s="4" t="str">
        <f t="shared" si="158"/>
        <v/>
      </c>
      <c r="R260" s="4" t="str">
        <f t="shared" si="153"/>
        <v/>
      </c>
      <c r="V260" s="4">
        <f>IFERROR(IF(VLOOKUP(B260,E!$B$1:$AK$300,4,FALSE)=0,1000000,VLOOKUP(B260,E!$B$1:$AK$300,4,FALSE)),1000000)</f>
        <v>0.1</v>
      </c>
      <c r="Z260" s="4" t="str">
        <f t="shared" si="160"/>
        <v/>
      </c>
      <c r="AC260" s="4" t="str">
        <f t="shared" si="161"/>
        <v/>
      </c>
      <c r="AF260" s="4" t="str">
        <f t="shared" si="162"/>
        <v/>
      </c>
      <c r="AI260" s="77">
        <v>0</v>
      </c>
      <c r="AJ260" s="77">
        <v>0</v>
      </c>
      <c r="AK260" s="77">
        <v>1</v>
      </c>
      <c r="AO260" s="4">
        <f t="shared" si="154"/>
        <v>5</v>
      </c>
      <c r="AQ260" s="4">
        <f t="shared" si="155"/>
        <v>5</v>
      </c>
      <c r="AS260" s="4">
        <f t="shared" si="156"/>
        <v>5</v>
      </c>
      <c r="AV260" s="4" t="str">
        <f t="shared" si="147"/>
        <v/>
      </c>
      <c r="AX260" s="4" t="str">
        <f t="shared" si="148"/>
        <v/>
      </c>
      <c r="AZ260" s="4" t="str">
        <f t="shared" si="149"/>
        <v/>
      </c>
    </row>
    <row r="261" spans="1:52" x14ac:dyDescent="0.2">
      <c r="A261" s="4" t="s">
        <v>567</v>
      </c>
      <c r="B261" s="4">
        <v>45</v>
      </c>
      <c r="C261" s="4" t="str">
        <f t="shared" si="140"/>
        <v>urn:immetingen:parameter:id:45</v>
      </c>
      <c r="D261" s="4" t="str">
        <f>IFERROR(IF(VLOOKUP($C261,'C'!$A$1:$N$1998,4,FALSE)=0,IF(VLOOKUP($C261,'C'!$A$1:$N$1998,7,FALSE)=0,VLOOKUP($C261,'C'!$A$1:$N$1998,10,FALSE),VLOOKUP($C261,'C'!$A$1:$N$1998,7,FALSE)),VLOOKUP($C261,'C'!$A$1:$N$1998,4,FALSE)),"")</f>
        <v/>
      </c>
      <c r="E261" s="4" t="str">
        <f>IFERROR(VLOOKUP($C261,'C'!$A$1:$N$1998,2,FALSE),"")</f>
        <v/>
      </c>
      <c r="F261" s="4" t="str">
        <f>IFERROR(IF(VLOOKUP($C261,'C'!$A$1:$N$1998,3,FALSE)=1,"&lt;",""),"")</f>
        <v/>
      </c>
      <c r="G261" s="4" t="str">
        <f>IFERROR(VLOOKUP($C261,'C'!$A$1:$N$1998,5,FALSE),"")</f>
        <v/>
      </c>
      <c r="H261" s="4" t="str">
        <f>IFERROR(IF(VLOOKUP($C261,'C'!$A$1:$N$1998,6,FALSE)=1,"&lt;",""),"")</f>
        <v/>
      </c>
      <c r="I261" s="4" t="str">
        <f>IFERROR(VLOOKUP($C261,'C'!$A$1:$N$1998,8,FALSE),"")</f>
        <v/>
      </c>
      <c r="J261" s="4" t="str">
        <f>IFERROR(IF(VLOOKUP($C261,'C'!$A$1:$N$1998,9,FALSE)=1,"&lt;",""),"")</f>
        <v/>
      </c>
      <c r="M261" s="4" t="str">
        <f t="shared" si="150"/>
        <v/>
      </c>
      <c r="N261" s="4" t="str">
        <f t="shared" si="151"/>
        <v/>
      </c>
      <c r="O261" s="4" t="str">
        <f t="shared" si="157"/>
        <v/>
      </c>
      <c r="P261" s="4" t="str">
        <f t="shared" si="152"/>
        <v/>
      </c>
      <c r="Q261" s="4" t="str">
        <f t="shared" si="158"/>
        <v/>
      </c>
      <c r="R261" s="4" t="str">
        <f t="shared" si="153"/>
        <v/>
      </c>
      <c r="V261" s="4">
        <f>IFERROR(IF(VLOOKUP(B261,E!$B$1:$AK$300,4,FALSE)=0,1000000,VLOOKUP(B261,E!$B$1:$AK$300,4,FALSE)),1000000)</f>
        <v>0.1</v>
      </c>
      <c r="Z261" s="4" t="str">
        <f t="shared" si="160"/>
        <v/>
      </c>
      <c r="AC261" s="4" t="str">
        <f t="shared" si="161"/>
        <v/>
      </c>
      <c r="AF261" s="4" t="str">
        <f t="shared" si="162"/>
        <v/>
      </c>
      <c r="AI261" s="77">
        <v>0</v>
      </c>
      <c r="AJ261" s="77">
        <v>0</v>
      </c>
      <c r="AK261" s="77">
        <v>1</v>
      </c>
      <c r="AO261" s="4">
        <f t="shared" si="154"/>
        <v>5</v>
      </c>
      <c r="AQ261" s="4">
        <f t="shared" si="155"/>
        <v>5</v>
      </c>
      <c r="AS261" s="4">
        <f t="shared" si="156"/>
        <v>5</v>
      </c>
      <c r="AV261" s="4" t="str">
        <f t="shared" si="147"/>
        <v/>
      </c>
      <c r="AX261" s="4" t="str">
        <f t="shared" si="148"/>
        <v/>
      </c>
      <c r="AZ261" s="4" t="str">
        <f t="shared" si="149"/>
        <v/>
      </c>
    </row>
    <row r="262" spans="1:52" x14ac:dyDescent="0.2">
      <c r="A262" s="4" t="s">
        <v>568</v>
      </c>
      <c r="B262" s="4">
        <v>33</v>
      </c>
      <c r="C262" s="4" t="str">
        <f t="shared" si="140"/>
        <v>urn:immetingen:parameter:id:33</v>
      </c>
      <c r="D262" s="4" t="str">
        <f>IFERROR(IF(VLOOKUP($C262,'C'!$A$1:$N$1998,4,FALSE)=0,IF(VLOOKUP($C262,'C'!$A$1:$N$1998,7,FALSE)=0,VLOOKUP($C262,'C'!$A$1:$N$1998,10,FALSE),VLOOKUP($C262,'C'!$A$1:$N$1998,7,FALSE)),VLOOKUP($C262,'C'!$A$1:$N$1998,4,FALSE)),"")</f>
        <v/>
      </c>
      <c r="E262" s="4" t="str">
        <f>IFERROR(VLOOKUP($C262,'C'!$A$1:$N$1998,2,FALSE),"")</f>
        <v/>
      </c>
      <c r="F262" s="4" t="str">
        <f>IFERROR(IF(VLOOKUP($C262,'C'!$A$1:$N$1998,3,FALSE)=1,"&lt;",""),"")</f>
        <v/>
      </c>
      <c r="G262" s="4" t="str">
        <f>IFERROR(VLOOKUP($C262,'C'!$A$1:$N$1998,5,FALSE),"")</f>
        <v/>
      </c>
      <c r="H262" s="4" t="str">
        <f>IFERROR(IF(VLOOKUP($C262,'C'!$A$1:$N$1998,6,FALSE)=1,"&lt;",""),"")</f>
        <v/>
      </c>
      <c r="I262" s="4" t="str">
        <f>IFERROR(VLOOKUP($C262,'C'!$A$1:$N$1998,8,FALSE),"")</f>
        <v/>
      </c>
      <c r="J262" s="4" t="str">
        <f>IFERROR(IF(VLOOKUP($C262,'C'!$A$1:$N$1998,9,FALSE)=1,"&lt;",""),"")</f>
        <v/>
      </c>
      <c r="M262" s="4" t="str">
        <f t="shared" si="150"/>
        <v/>
      </c>
      <c r="N262" s="4" t="str">
        <f t="shared" si="151"/>
        <v/>
      </c>
      <c r="O262" s="4" t="str">
        <f t="shared" si="157"/>
        <v/>
      </c>
      <c r="P262" s="4" t="str">
        <f t="shared" si="152"/>
        <v/>
      </c>
      <c r="Q262" s="4" t="str">
        <f t="shared" si="158"/>
        <v/>
      </c>
      <c r="R262" s="4" t="str">
        <f t="shared" si="153"/>
        <v/>
      </c>
      <c r="V262" s="4">
        <f>IFERROR(IF(VLOOKUP(B262,E!$B$1:$AK$300,4,FALSE)=0,1000000,VLOOKUP(B262,E!$B$1:$AK$300,4,FALSE)),1000000)</f>
        <v>0.1</v>
      </c>
      <c r="Z262" s="4" t="str">
        <f t="shared" si="160"/>
        <v/>
      </c>
      <c r="AC262" s="4" t="str">
        <f t="shared" si="161"/>
        <v/>
      </c>
      <c r="AF262" s="4" t="str">
        <f t="shared" si="162"/>
        <v/>
      </c>
      <c r="AI262" s="77">
        <v>0</v>
      </c>
      <c r="AJ262" s="77">
        <v>0</v>
      </c>
      <c r="AK262" s="77">
        <v>1</v>
      </c>
      <c r="AO262" s="4">
        <f t="shared" si="154"/>
        <v>5</v>
      </c>
      <c r="AQ262" s="4">
        <f t="shared" si="155"/>
        <v>5</v>
      </c>
      <c r="AS262" s="4">
        <f t="shared" si="156"/>
        <v>5</v>
      </c>
      <c r="AV262" s="4" t="str">
        <f t="shared" si="147"/>
        <v/>
      </c>
      <c r="AX262" s="4" t="str">
        <f t="shared" si="148"/>
        <v/>
      </c>
      <c r="AZ262" s="4" t="str">
        <f t="shared" si="149"/>
        <v/>
      </c>
    </row>
    <row r="263" spans="1:52" x14ac:dyDescent="0.2">
      <c r="A263" s="4" t="s">
        <v>569</v>
      </c>
      <c r="B263" s="4">
        <v>1528</v>
      </c>
      <c r="C263" s="4" t="str">
        <f t="shared" si="140"/>
        <v>urn:immetingen:parameter:id:1528</v>
      </c>
      <c r="D263" s="4" t="str">
        <f>IFERROR(IF(VLOOKUP($C263,'C'!$A$1:$N$1998,4,FALSE)=0,IF(VLOOKUP($C263,'C'!$A$1:$N$1998,7,FALSE)=0,VLOOKUP($C263,'C'!$A$1:$N$1998,10,FALSE),VLOOKUP($C263,'C'!$A$1:$N$1998,7,FALSE)),VLOOKUP($C263,'C'!$A$1:$N$1998,4,FALSE)),"")</f>
        <v/>
      </c>
      <c r="E263" s="4" t="str">
        <f>IFERROR(VLOOKUP($C263,'C'!$A$1:$N$1998,2,FALSE),"")</f>
        <v/>
      </c>
      <c r="F263" s="4" t="str">
        <f>IFERROR(IF(VLOOKUP($C263,'C'!$A$1:$N$1998,3,FALSE)=1,"&lt;",""),"")</f>
        <v/>
      </c>
      <c r="G263" s="4" t="str">
        <f>IFERROR(VLOOKUP($C263,'C'!$A$1:$N$1998,5,FALSE),"")</f>
        <v/>
      </c>
      <c r="H263" s="4" t="str">
        <f>IFERROR(IF(VLOOKUP($C263,'C'!$A$1:$N$1998,6,FALSE)=1,"&lt;",""),"")</f>
        <v/>
      </c>
      <c r="I263" s="4" t="str">
        <f>IFERROR(VLOOKUP($C263,'C'!$A$1:$N$1998,8,FALSE),"")</f>
        <v/>
      </c>
      <c r="J263" s="4" t="str">
        <f>IFERROR(IF(VLOOKUP($C263,'C'!$A$1:$N$1998,9,FALSE)=1,"&lt;",""),"")</f>
        <v/>
      </c>
      <c r="M263" s="4" t="str">
        <f t="shared" si="150"/>
        <v/>
      </c>
      <c r="N263" s="4" t="str">
        <f t="shared" si="151"/>
        <v/>
      </c>
      <c r="O263" s="4" t="str">
        <f t="shared" si="157"/>
        <v/>
      </c>
      <c r="P263" s="4" t="str">
        <f t="shared" si="152"/>
        <v/>
      </c>
      <c r="Q263" s="4" t="str">
        <f t="shared" si="158"/>
        <v/>
      </c>
      <c r="R263" s="4" t="str">
        <f t="shared" si="153"/>
        <v/>
      </c>
      <c r="V263" s="4">
        <f>IFERROR(IF(VLOOKUP(B263,E!$B$1:$AK$300,4,FALSE)=0,1000000,VLOOKUP(B263,E!$B$1:$AK$300,4,FALSE)),1000000)</f>
        <v>1000000</v>
      </c>
      <c r="Z263" s="4" t="str">
        <f t="shared" si="160"/>
        <v/>
      </c>
      <c r="AC263" s="4" t="str">
        <f t="shared" si="161"/>
        <v/>
      </c>
      <c r="AF263" s="4" t="str">
        <f t="shared" si="162"/>
        <v/>
      </c>
      <c r="AI263" s="77">
        <v>0</v>
      </c>
      <c r="AJ263" s="77">
        <v>0</v>
      </c>
      <c r="AK263" s="77">
        <v>1</v>
      </c>
      <c r="AO263" s="4">
        <f t="shared" si="154"/>
        <v>5</v>
      </c>
      <c r="AQ263" s="4">
        <f t="shared" si="155"/>
        <v>5</v>
      </c>
      <c r="AS263" s="4">
        <f t="shared" si="156"/>
        <v>5</v>
      </c>
      <c r="AV263" s="4" t="str">
        <f t="shared" si="147"/>
        <v/>
      </c>
      <c r="AX263" s="4" t="str">
        <f t="shared" si="148"/>
        <v/>
      </c>
      <c r="AZ263" s="4" t="str">
        <f t="shared" si="149"/>
        <v/>
      </c>
    </row>
    <row r="264" spans="1:52" x14ac:dyDescent="0.2">
      <c r="A264" s="4" t="s">
        <v>570</v>
      </c>
      <c r="B264" s="4">
        <v>1474</v>
      </c>
      <c r="C264" s="4" t="str">
        <f t="shared" si="140"/>
        <v>urn:immetingen:parameter:id:1474</v>
      </c>
      <c r="D264" s="4" t="str">
        <f>IFERROR(IF(VLOOKUP($C264,'C'!$A$1:$N$1998,4,FALSE)=0,IF(VLOOKUP($C264,'C'!$A$1:$N$1998,7,FALSE)=0,VLOOKUP($C264,'C'!$A$1:$N$1998,10,FALSE),VLOOKUP($C264,'C'!$A$1:$N$1998,7,FALSE)),VLOOKUP($C264,'C'!$A$1:$N$1998,4,FALSE)),"")</f>
        <v/>
      </c>
      <c r="E264" s="4" t="str">
        <f>IFERROR(VLOOKUP($C264,'C'!$A$1:$N$1998,2,FALSE),"")</f>
        <v/>
      </c>
      <c r="F264" s="4" t="str">
        <f>IFERROR(IF(VLOOKUP($C264,'C'!$A$1:$N$1998,3,FALSE)=1,"&lt;",""),"")</f>
        <v/>
      </c>
      <c r="G264" s="4" t="str">
        <f>IFERROR(VLOOKUP($C264,'C'!$A$1:$N$1998,5,FALSE),"")</f>
        <v/>
      </c>
      <c r="H264" s="4" t="str">
        <f>IFERROR(IF(VLOOKUP($C264,'C'!$A$1:$N$1998,6,FALSE)=1,"&lt;",""),"")</f>
        <v/>
      </c>
      <c r="I264" s="4" t="str">
        <f>IFERROR(VLOOKUP($C264,'C'!$A$1:$N$1998,8,FALSE),"")</f>
        <v/>
      </c>
      <c r="J264" s="4" t="str">
        <f>IFERROR(IF(VLOOKUP($C264,'C'!$A$1:$N$1998,9,FALSE)=1,"&lt;",""),"")</f>
        <v/>
      </c>
      <c r="M264" s="4" t="str">
        <f t="shared" si="150"/>
        <v/>
      </c>
      <c r="N264" s="4" t="str">
        <f t="shared" si="151"/>
        <v/>
      </c>
      <c r="O264" s="4" t="str">
        <f t="shared" si="157"/>
        <v/>
      </c>
      <c r="P264" s="4" t="str">
        <f t="shared" si="152"/>
        <v/>
      </c>
      <c r="Q264" s="4" t="str">
        <f t="shared" si="158"/>
        <v/>
      </c>
      <c r="R264" s="4" t="str">
        <f t="shared" si="153"/>
        <v/>
      </c>
      <c r="V264" s="4">
        <f>IFERROR(IF(VLOOKUP(B264,E!$B$1:$AK$300,4,FALSE)=0,1000000,VLOOKUP(B264,E!$B$1:$AK$300,4,FALSE)),1000000)</f>
        <v>1000000</v>
      </c>
      <c r="Z264" s="4" t="str">
        <f t="shared" si="160"/>
        <v/>
      </c>
      <c r="AC264" s="4" t="str">
        <f t="shared" si="161"/>
        <v/>
      </c>
      <c r="AF264" s="4" t="str">
        <f t="shared" si="162"/>
        <v/>
      </c>
      <c r="AI264" s="77">
        <v>0</v>
      </c>
      <c r="AJ264" s="77">
        <v>0</v>
      </c>
      <c r="AK264" s="77">
        <v>1</v>
      </c>
      <c r="AO264" s="4">
        <f t="shared" si="154"/>
        <v>5</v>
      </c>
      <c r="AQ264" s="4">
        <f t="shared" si="155"/>
        <v>5</v>
      </c>
      <c r="AS264" s="4">
        <f t="shared" si="156"/>
        <v>5</v>
      </c>
      <c r="AV264" s="4" t="str">
        <f t="shared" si="147"/>
        <v/>
      </c>
      <c r="AX264" s="4" t="str">
        <f t="shared" si="148"/>
        <v/>
      </c>
      <c r="AZ264" s="4" t="str">
        <f t="shared" si="149"/>
        <v/>
      </c>
    </row>
    <row r="265" spans="1:52" x14ac:dyDescent="0.2">
      <c r="A265" s="4" t="s">
        <v>571</v>
      </c>
      <c r="B265" s="4">
        <v>1255</v>
      </c>
      <c r="C265" s="4" t="str">
        <f t="shared" si="140"/>
        <v>urn:immetingen:parameter:id:1255</v>
      </c>
      <c r="D265" s="4" t="str">
        <f>IFERROR(IF(VLOOKUP($C265,'C'!$A$1:$N$1998,4,FALSE)=0,IF(VLOOKUP($C265,'C'!$A$1:$N$1998,7,FALSE)=0,VLOOKUP($C265,'C'!$A$1:$N$1998,10,FALSE),VLOOKUP($C265,'C'!$A$1:$N$1998,7,FALSE)),VLOOKUP($C265,'C'!$A$1:$N$1998,4,FALSE)),"")</f>
        <v/>
      </c>
      <c r="E265" s="4" t="str">
        <f>IFERROR(VLOOKUP($C265,'C'!$A$1:$N$1998,2,FALSE),"")</f>
        <v/>
      </c>
      <c r="F265" s="4" t="str">
        <f>IFERROR(IF(VLOOKUP($C265,'C'!$A$1:$N$1998,3,FALSE)=1,"&lt;",""),"")</f>
        <v/>
      </c>
      <c r="G265" s="4" t="str">
        <f>IFERROR(VLOOKUP($C265,'C'!$A$1:$N$1998,5,FALSE),"")</f>
        <v/>
      </c>
      <c r="H265" s="4" t="str">
        <f>IFERROR(IF(VLOOKUP($C265,'C'!$A$1:$N$1998,6,FALSE)=1,"&lt;",""),"")</f>
        <v/>
      </c>
      <c r="I265" s="4" t="str">
        <f>IFERROR(VLOOKUP($C265,'C'!$A$1:$N$1998,8,FALSE),"")</f>
        <v/>
      </c>
      <c r="J265" s="4" t="str">
        <f>IFERROR(IF(VLOOKUP($C265,'C'!$A$1:$N$1998,9,FALSE)=1,"&lt;",""),"")</f>
        <v/>
      </c>
      <c r="M265" s="4" t="str">
        <f t="shared" si="150"/>
        <v/>
      </c>
      <c r="N265" s="4" t="str">
        <f t="shared" si="151"/>
        <v/>
      </c>
      <c r="O265" s="4" t="str">
        <f t="shared" si="157"/>
        <v/>
      </c>
      <c r="P265" s="4" t="str">
        <f t="shared" si="152"/>
        <v/>
      </c>
      <c r="Q265" s="4" t="str">
        <f t="shared" si="158"/>
        <v/>
      </c>
      <c r="R265" s="4" t="str">
        <f t="shared" si="153"/>
        <v/>
      </c>
      <c r="V265" s="4">
        <f>IFERROR(IF(VLOOKUP(B265,E!$B$1:$AK$300,4,FALSE)=0,1000000,VLOOKUP(B265,E!$B$1:$AK$300,4,FALSE)),1000000)</f>
        <v>1000000</v>
      </c>
      <c r="Z265" s="4" t="str">
        <f t="shared" si="160"/>
        <v/>
      </c>
      <c r="AC265" s="4" t="str">
        <f t="shared" si="161"/>
        <v/>
      </c>
      <c r="AF265" s="4" t="str">
        <f t="shared" si="162"/>
        <v/>
      </c>
      <c r="AI265" s="77">
        <v>0</v>
      </c>
      <c r="AJ265" s="77">
        <v>0</v>
      </c>
      <c r="AK265" s="77">
        <v>1</v>
      </c>
      <c r="AO265" s="4">
        <f t="shared" si="154"/>
        <v>5</v>
      </c>
      <c r="AQ265" s="4">
        <f t="shared" si="155"/>
        <v>5</v>
      </c>
      <c r="AS265" s="4">
        <f t="shared" si="156"/>
        <v>5</v>
      </c>
      <c r="AV265" s="4" t="str">
        <f t="shared" si="147"/>
        <v/>
      </c>
      <c r="AX265" s="4" t="str">
        <f t="shared" si="148"/>
        <v/>
      </c>
      <c r="AZ265" s="4" t="str">
        <f t="shared" si="149"/>
        <v/>
      </c>
    </row>
    <row r="266" spans="1:52" x14ac:dyDescent="0.2">
      <c r="A266" s="4" t="s">
        <v>572</v>
      </c>
      <c r="B266" s="4">
        <v>1360</v>
      </c>
      <c r="C266" s="4" t="str">
        <f t="shared" si="140"/>
        <v>urn:immetingen:parameter:id:1360</v>
      </c>
      <c r="D266" s="4" t="str">
        <f>IFERROR(IF(VLOOKUP($C266,'C'!$A$1:$N$1998,4,FALSE)=0,IF(VLOOKUP($C266,'C'!$A$1:$N$1998,7,FALSE)=0,VLOOKUP($C266,'C'!$A$1:$N$1998,10,FALSE),VLOOKUP($C266,'C'!$A$1:$N$1998,7,FALSE)),VLOOKUP($C266,'C'!$A$1:$N$1998,4,FALSE)),"")</f>
        <v/>
      </c>
      <c r="E266" s="4" t="str">
        <f>IFERROR(VLOOKUP($C266,'C'!$A$1:$N$1998,2,FALSE),"")</f>
        <v/>
      </c>
      <c r="F266" s="4" t="str">
        <f>IFERROR(IF(VLOOKUP($C266,'C'!$A$1:$N$1998,3,FALSE)=1,"&lt;",""),"")</f>
        <v/>
      </c>
      <c r="G266" s="4" t="str">
        <f>IFERROR(VLOOKUP($C266,'C'!$A$1:$N$1998,5,FALSE),"")</f>
        <v/>
      </c>
      <c r="H266" s="4" t="str">
        <f>IFERROR(IF(VLOOKUP($C266,'C'!$A$1:$N$1998,6,FALSE)=1,"&lt;",""),"")</f>
        <v/>
      </c>
      <c r="I266" s="4" t="str">
        <f>IFERROR(VLOOKUP($C266,'C'!$A$1:$N$1998,8,FALSE),"")</f>
        <v/>
      </c>
      <c r="J266" s="4" t="str">
        <f>IFERROR(IF(VLOOKUP($C266,'C'!$A$1:$N$1998,9,FALSE)=1,"&lt;",""),"")</f>
        <v/>
      </c>
      <c r="M266" s="4" t="str">
        <f t="shared" si="150"/>
        <v/>
      </c>
      <c r="N266" s="4" t="str">
        <f t="shared" si="151"/>
        <v/>
      </c>
      <c r="O266" s="4" t="str">
        <f t="shared" si="157"/>
        <v/>
      </c>
      <c r="P266" s="4" t="str">
        <f t="shared" si="152"/>
        <v/>
      </c>
      <c r="Q266" s="4" t="str">
        <f t="shared" si="158"/>
        <v/>
      </c>
      <c r="R266" s="4" t="str">
        <f t="shared" si="153"/>
        <v/>
      </c>
      <c r="V266" s="4">
        <f>IFERROR(IF(VLOOKUP(B266,E!$B$1:$AK$300,4,FALSE)=0,1000000,VLOOKUP(B266,E!$B$1:$AK$300,4,FALSE)),1000000)</f>
        <v>1000000</v>
      </c>
      <c r="Z266" s="4" t="str">
        <f t="shared" si="160"/>
        <v/>
      </c>
      <c r="AC266" s="4" t="str">
        <f t="shared" si="161"/>
        <v/>
      </c>
      <c r="AF266" s="4" t="str">
        <f t="shared" si="162"/>
        <v/>
      </c>
      <c r="AI266" s="77">
        <v>0</v>
      </c>
      <c r="AJ266" s="77">
        <v>0</v>
      </c>
      <c r="AK266" s="77">
        <v>1</v>
      </c>
      <c r="AO266" s="4">
        <f t="shared" si="154"/>
        <v>5</v>
      </c>
      <c r="AQ266" s="4">
        <f t="shared" si="155"/>
        <v>5</v>
      </c>
      <c r="AS266" s="4">
        <f t="shared" si="156"/>
        <v>5</v>
      </c>
      <c r="AV266" s="4" t="str">
        <f t="shared" si="147"/>
        <v/>
      </c>
      <c r="AX266" s="4" t="str">
        <f t="shared" si="148"/>
        <v/>
      </c>
      <c r="AZ266" s="4" t="str">
        <f t="shared" si="149"/>
        <v/>
      </c>
    </row>
    <row r="267" spans="1:52" x14ac:dyDescent="0.2">
      <c r="A267" s="81" t="s">
        <v>840</v>
      </c>
      <c r="B267" s="4">
        <v>154</v>
      </c>
      <c r="C267" s="4" t="str">
        <f t="shared" si="140"/>
        <v>urn:immetingen:parameter:id:154</v>
      </c>
      <c r="D267" s="4" t="str">
        <f>IFERROR(IF(VLOOKUP($C267,'C'!$A$1:$N$1998,4,FALSE)=0,IF(VLOOKUP($C267,'C'!$A$1:$N$1998,7,FALSE)=0,VLOOKUP($C267,'C'!$A$1:$N$1998,10,FALSE),VLOOKUP($C267,'C'!$A$1:$N$1998,7,FALSE)),VLOOKUP($C267,'C'!$A$1:$N$1998,4,FALSE)),"")</f>
        <v/>
      </c>
      <c r="E267" s="4" t="str">
        <f>IFERROR(VLOOKUP($C267,'C'!$A$1:$N$1998,2,FALSE),"")</f>
        <v/>
      </c>
      <c r="F267" s="4" t="str">
        <f>IFERROR(IF(VLOOKUP($C267,'C'!$A$1:$N$1998,3,FALSE)=1,"&lt;",""),"")</f>
        <v/>
      </c>
      <c r="M267" s="4" t="str">
        <f t="shared" si="150"/>
        <v/>
      </c>
      <c r="N267" s="4" t="str">
        <f t="shared" si="151"/>
        <v/>
      </c>
      <c r="O267" s="4" t="str">
        <f t="shared" si="157"/>
        <v/>
      </c>
      <c r="P267" s="4" t="str">
        <f t="shared" si="152"/>
        <v/>
      </c>
      <c r="Q267" s="4" t="str">
        <f t="shared" si="158"/>
        <v/>
      </c>
      <c r="R267" s="4" t="str">
        <f t="shared" si="153"/>
        <v/>
      </c>
      <c r="V267" s="4">
        <f>IFERROR(IF(VLOOKUP(B267,E!$B$1:$AK$300,4,FALSE)=0,1000000,VLOOKUP(B267,E!$B$1:$AK$300,4,FALSE)),1000000)</f>
        <v>0.1</v>
      </c>
      <c r="Z267" s="4" t="str">
        <f t="shared" si="160"/>
        <v/>
      </c>
      <c r="AC267" s="4" t="str">
        <f t="shared" si="161"/>
        <v/>
      </c>
      <c r="AF267" s="4" t="str">
        <f t="shared" si="162"/>
        <v/>
      </c>
      <c r="AI267" s="77">
        <v>0</v>
      </c>
      <c r="AJ267" s="77">
        <v>0</v>
      </c>
      <c r="AK267" s="77">
        <v>1</v>
      </c>
      <c r="AO267" s="4">
        <f t="shared" si="154"/>
        <v>5</v>
      </c>
      <c r="AQ267" s="4">
        <f t="shared" si="155"/>
        <v>5</v>
      </c>
      <c r="AS267" s="4">
        <f t="shared" si="156"/>
        <v>5</v>
      </c>
      <c r="AV267" s="4" t="str">
        <f t="shared" si="147"/>
        <v/>
      </c>
      <c r="AX267" s="4" t="str">
        <f t="shared" si="148"/>
        <v/>
      </c>
      <c r="AZ267" s="4" t="str">
        <f t="shared" si="149"/>
        <v/>
      </c>
    </row>
    <row r="268" spans="1:52" x14ac:dyDescent="0.2">
      <c r="A268" s="81" t="s">
        <v>841</v>
      </c>
      <c r="B268" s="4">
        <v>202</v>
      </c>
      <c r="C268" s="4" t="str">
        <f t="shared" si="140"/>
        <v>urn:immetingen:parameter:id:202</v>
      </c>
      <c r="D268" s="4" t="str">
        <f>IFERROR(IF(VLOOKUP($C268,'C'!$A$1:$N$1998,4,FALSE)=0,IF(VLOOKUP($C268,'C'!$A$1:$N$1998,7,FALSE)=0,VLOOKUP($C268,'C'!$A$1:$N$1998,10,FALSE),VLOOKUP($C268,'C'!$A$1:$N$1998,7,FALSE)),VLOOKUP($C268,'C'!$A$1:$N$1998,4,FALSE)),"")</f>
        <v/>
      </c>
      <c r="E268" s="4" t="str">
        <f>IFERROR(VLOOKUP($C268,'C'!$A$1:$N$1998,2,FALSE),"")</f>
        <v/>
      </c>
      <c r="F268" s="4" t="str">
        <f>IFERROR(IF(VLOOKUP($C268,'C'!$A$1:$N$1998,3,FALSE)=1,"&lt;",""),"")</f>
        <v/>
      </c>
      <c r="M268" s="4" t="str">
        <f t="shared" si="150"/>
        <v/>
      </c>
      <c r="N268" s="4" t="str">
        <f t="shared" si="151"/>
        <v/>
      </c>
      <c r="O268" s="4" t="str">
        <f t="shared" si="157"/>
        <v/>
      </c>
      <c r="P268" s="4" t="str">
        <f t="shared" si="152"/>
        <v/>
      </c>
      <c r="Q268" s="4" t="str">
        <f t="shared" si="158"/>
        <v/>
      </c>
      <c r="R268" s="4" t="str">
        <f t="shared" si="153"/>
        <v/>
      </c>
      <c r="V268" s="4">
        <f>IFERROR(IF(VLOOKUP(B268,E!$B$1:$AK$300,4,FALSE)=0,1000000,VLOOKUP(B268,E!$B$1:$AK$300,4,FALSE)),1000000)</f>
        <v>0.1</v>
      </c>
      <c r="Z268" s="4" t="str">
        <f t="shared" si="160"/>
        <v/>
      </c>
      <c r="AC268" s="4" t="str">
        <f t="shared" si="161"/>
        <v/>
      </c>
      <c r="AF268" s="4" t="str">
        <f t="shared" si="162"/>
        <v/>
      </c>
      <c r="AI268" s="77">
        <v>0</v>
      </c>
      <c r="AJ268" s="77">
        <v>0</v>
      </c>
      <c r="AK268" s="77">
        <v>1</v>
      </c>
      <c r="AO268" s="4">
        <f t="shared" si="154"/>
        <v>5</v>
      </c>
      <c r="AQ268" s="4">
        <f t="shared" si="155"/>
        <v>5</v>
      </c>
      <c r="AS268" s="4">
        <f t="shared" si="156"/>
        <v>5</v>
      </c>
      <c r="AV268" s="4" t="str">
        <f t="shared" si="147"/>
        <v/>
      </c>
      <c r="AX268" s="4" t="str">
        <f t="shared" si="148"/>
        <v/>
      </c>
      <c r="AZ268" s="4" t="str">
        <f t="shared" si="149"/>
        <v/>
      </c>
    </row>
    <row r="269" spans="1:52" x14ac:dyDescent="0.2">
      <c r="A269" s="81" t="s">
        <v>842</v>
      </c>
      <c r="B269" s="4">
        <v>232</v>
      </c>
      <c r="C269" s="4" t="str">
        <f t="shared" si="140"/>
        <v>urn:immetingen:parameter:id:232</v>
      </c>
      <c r="D269" s="4" t="str">
        <f>IFERROR(IF(VLOOKUP($C269,'C'!$A$1:$N$1998,4,FALSE)=0,IF(VLOOKUP($C269,'C'!$A$1:$N$1998,7,FALSE)=0,VLOOKUP($C269,'C'!$A$1:$N$1998,10,FALSE),VLOOKUP($C269,'C'!$A$1:$N$1998,7,FALSE)),VLOOKUP($C269,'C'!$A$1:$N$1998,4,FALSE)),"")</f>
        <v/>
      </c>
      <c r="E269" s="4" t="str">
        <f>IFERROR(VLOOKUP($C269,'C'!$A$1:$N$1998,2,FALSE),"")</f>
        <v/>
      </c>
      <c r="F269" s="4" t="str">
        <f>IFERROR(IF(VLOOKUP($C269,'C'!$A$1:$N$1998,3,FALSE)=1,"&lt;",""),"")</f>
        <v/>
      </c>
      <c r="M269" s="4" t="str">
        <f t="shared" si="150"/>
        <v/>
      </c>
      <c r="N269" s="4" t="str">
        <f t="shared" si="151"/>
        <v/>
      </c>
      <c r="O269" s="4" t="str">
        <f t="shared" si="157"/>
        <v/>
      </c>
      <c r="P269" s="4" t="str">
        <f t="shared" si="152"/>
        <v/>
      </c>
      <c r="Q269" s="4" t="str">
        <f t="shared" si="158"/>
        <v/>
      </c>
      <c r="R269" s="4" t="str">
        <f t="shared" si="153"/>
        <v/>
      </c>
      <c r="V269" s="4">
        <f>IFERROR(IF(VLOOKUP(B269,E!$B$1:$AK$300,4,FALSE)=0,1000000,VLOOKUP(B269,E!$B$1:$AK$300,4,FALSE)),1000000)</f>
        <v>0.1</v>
      </c>
      <c r="Z269" s="4" t="str">
        <f t="shared" si="160"/>
        <v/>
      </c>
      <c r="AC269" s="4" t="str">
        <f t="shared" si="161"/>
        <v/>
      </c>
      <c r="AF269" s="4" t="str">
        <f t="shared" si="162"/>
        <v/>
      </c>
      <c r="AI269" s="77">
        <v>0</v>
      </c>
      <c r="AJ269" s="77">
        <v>0</v>
      </c>
      <c r="AK269" s="77">
        <v>1</v>
      </c>
      <c r="AO269" s="4">
        <f t="shared" si="154"/>
        <v>5</v>
      </c>
      <c r="AQ269" s="4">
        <f t="shared" si="155"/>
        <v>5</v>
      </c>
      <c r="AS269" s="4">
        <f t="shared" si="156"/>
        <v>5</v>
      </c>
      <c r="AV269" s="4" t="str">
        <f t="shared" ref="AV269:AV333" si="165">IFERROR(IF(F269="&lt;",0.7*M269*AO269,M269*AO269),"")</f>
        <v/>
      </c>
      <c r="AX269" s="4" t="str">
        <f t="shared" ref="AX269:AX332" si="166">IFERROR(IF(H269="&lt;",0.7*O269*AQ269,O269*AQ269),"")</f>
        <v/>
      </c>
      <c r="AZ269" s="4" t="str">
        <f t="shared" ref="AZ269:AZ332" si="167">IFERROR(IF(J269="&lt;",0.7*Q269*AS269,Q269*AS269),"")</f>
        <v/>
      </c>
    </row>
    <row r="270" spans="1:52" x14ac:dyDescent="0.2">
      <c r="A270" s="4" t="s">
        <v>596</v>
      </c>
      <c r="B270" s="4">
        <v>110</v>
      </c>
      <c r="C270" s="71" t="str">
        <f t="shared" si="140"/>
        <v>urn:immetingen:parameter:id:110</v>
      </c>
      <c r="D270" s="4" t="str">
        <f>IFERROR(IF(VLOOKUP($C270,'C'!$A$1:$N$1998,4,FALSE)=0,IF(VLOOKUP($C270,'C'!$A$1:$N$1998,7,FALSE)=0,VLOOKUP($C270,'C'!$A$1:$N$1998,10,FALSE),VLOOKUP($C270,'C'!$A$1:$N$1998,7,FALSE)),VLOOKUP($C270,'C'!$A$1:$N$1998,4,FALSE)),"")</f>
        <v/>
      </c>
      <c r="E270" s="71">
        <f>Invoer!D43</f>
        <v>0</v>
      </c>
      <c r="F270" s="71" t="str">
        <f>IF(Invoer!C43="&lt;","&lt;","")</f>
        <v/>
      </c>
      <c r="G270" s="71">
        <f>Invoer!F43</f>
        <v>0</v>
      </c>
      <c r="H270" s="71" t="str">
        <f>IF(Invoer!E43="&lt;","&lt;","")</f>
        <v/>
      </c>
      <c r="I270" s="71">
        <f>Invoer!H43</f>
        <v>0</v>
      </c>
      <c r="J270" s="71" t="str">
        <f>IF(Invoer!G43="&lt;","&lt;","")</f>
        <v/>
      </c>
      <c r="K270" s="71"/>
      <c r="L270" s="71"/>
      <c r="M270" s="4">
        <f t="shared" si="150"/>
        <v>0</v>
      </c>
      <c r="N270" s="4" t="str">
        <f t="shared" si="151"/>
        <v/>
      </c>
      <c r="O270" s="4">
        <f t="shared" si="157"/>
        <v>0</v>
      </c>
      <c r="P270" s="4" t="str">
        <f t="shared" si="152"/>
        <v/>
      </c>
      <c r="Q270" s="4">
        <f t="shared" si="158"/>
        <v>0</v>
      </c>
      <c r="R270" s="4" t="str">
        <f t="shared" si="153"/>
        <v/>
      </c>
      <c r="S270" s="71"/>
      <c r="T270" s="71"/>
      <c r="U270" s="71"/>
      <c r="V270" s="4">
        <f>IFERROR(IF(VLOOKUP(B270,E!$B$1:$AK$300,4,FALSE)=0,1000000,VLOOKUP(B270,E!$B$1:$AK$300,4,FALSE)),1000000)</f>
        <v>1000000</v>
      </c>
      <c r="W270" s="71"/>
      <c r="X270" s="71"/>
      <c r="Z270" s="4">
        <f t="shared" si="160"/>
        <v>0</v>
      </c>
      <c r="AC270" s="4">
        <f t="shared" si="161"/>
        <v>0</v>
      </c>
      <c r="AF270" s="4">
        <f t="shared" si="162"/>
        <v>0</v>
      </c>
      <c r="AI270" s="77">
        <v>0</v>
      </c>
      <c r="AJ270" s="77">
        <v>0</v>
      </c>
      <c r="AK270" s="77">
        <v>1</v>
      </c>
      <c r="AO270" s="4">
        <f t="shared" si="154"/>
        <v>5</v>
      </c>
      <c r="AQ270" s="4">
        <f t="shared" si="155"/>
        <v>5</v>
      </c>
      <c r="AS270" s="4">
        <f t="shared" si="156"/>
        <v>5</v>
      </c>
      <c r="AV270" s="4">
        <f t="shared" si="165"/>
        <v>0</v>
      </c>
      <c r="AX270" s="4">
        <f t="shared" si="166"/>
        <v>0</v>
      </c>
      <c r="AZ270" s="4">
        <f t="shared" si="167"/>
        <v>0</v>
      </c>
    </row>
    <row r="271" spans="1:52" x14ac:dyDescent="0.2">
      <c r="A271" s="4" t="s">
        <v>597</v>
      </c>
      <c r="B271" s="4">
        <v>1331</v>
      </c>
      <c r="C271" s="4" t="str">
        <f t="shared" si="140"/>
        <v>urn:immetingen:parameter:id:1331</v>
      </c>
      <c r="D271" s="4" t="str">
        <f>IFERROR(IF(VLOOKUP($C271,'C'!$A$1:$N$1998,4,FALSE)=0,IF(VLOOKUP($C271,'C'!$A$1:$N$1998,7,FALSE)=0,VLOOKUP($C271,'C'!$A$1:$N$1998,10,FALSE),VLOOKUP($C271,'C'!$A$1:$N$1998,7,FALSE)),VLOOKUP($C271,'C'!$A$1:$N$1998,4,FALSE)),"")</f>
        <v/>
      </c>
      <c r="E271" s="4" t="str">
        <f>IFERROR(VLOOKUP($C271,'C'!$A$1:$N$1998,2,FALSE),"")</f>
        <v/>
      </c>
      <c r="F271" s="4" t="str">
        <f>IFERROR(IF(VLOOKUP($C271,'C'!$A$1:$N$1998,3,FALSE)=1,"&lt;",""),"")</f>
        <v/>
      </c>
      <c r="G271" s="4" t="str">
        <f>IFERROR(VLOOKUP($C271,'C'!$A$1:$N$1998,5,FALSE),"")</f>
        <v/>
      </c>
      <c r="H271" s="4" t="str">
        <f>IFERROR(IF(VLOOKUP($C271,'C'!$A$1:$N$1998,6,FALSE)=1,"&lt;",""),"")</f>
        <v/>
      </c>
      <c r="I271" s="4" t="str">
        <f>IFERROR(VLOOKUP($C271,'C'!$A$1:$N$1998,8,FALSE),"")</f>
        <v/>
      </c>
      <c r="J271" s="4" t="str">
        <f>IFERROR(IF(VLOOKUP($C271,'C'!$A$1:$N$1998,9,FALSE)=1,"&lt;",""),"")</f>
        <v/>
      </c>
      <c r="M271" s="4" t="str">
        <f t="shared" si="150"/>
        <v/>
      </c>
      <c r="N271" s="4" t="str">
        <f t="shared" si="151"/>
        <v/>
      </c>
      <c r="O271" s="4" t="str">
        <f t="shared" si="157"/>
        <v/>
      </c>
      <c r="P271" s="4" t="str">
        <f t="shared" si="152"/>
        <v/>
      </c>
      <c r="Q271" s="4" t="str">
        <f t="shared" si="158"/>
        <v/>
      </c>
      <c r="R271" s="4" t="str">
        <f t="shared" si="153"/>
        <v/>
      </c>
      <c r="V271" s="4">
        <f>IFERROR(IF(VLOOKUP(B271,E!$B$1:$AK$300,4,FALSE)=0,1000000,VLOOKUP(B271,E!$B$1:$AK$300,4,FALSE)),1000000)</f>
        <v>1000000</v>
      </c>
      <c r="Z271" s="4" t="str">
        <f t="shared" si="160"/>
        <v/>
      </c>
      <c r="AC271" s="4" t="str">
        <f t="shared" si="161"/>
        <v/>
      </c>
      <c r="AF271" s="4" t="str">
        <f t="shared" si="162"/>
        <v/>
      </c>
      <c r="AI271" s="77">
        <v>0</v>
      </c>
      <c r="AJ271" s="77">
        <v>0</v>
      </c>
      <c r="AK271" s="77">
        <v>1</v>
      </c>
      <c r="AO271" s="4">
        <f t="shared" si="154"/>
        <v>5</v>
      </c>
      <c r="AQ271" s="4">
        <f t="shared" si="155"/>
        <v>5</v>
      </c>
      <c r="AS271" s="4">
        <f t="shared" si="156"/>
        <v>5</v>
      </c>
      <c r="AV271" s="4" t="str">
        <f t="shared" si="165"/>
        <v/>
      </c>
      <c r="AX271" s="4" t="str">
        <f t="shared" si="166"/>
        <v/>
      </c>
      <c r="AZ271" s="4" t="str">
        <f t="shared" si="167"/>
        <v/>
      </c>
    </row>
    <row r="272" spans="1:52" x14ac:dyDescent="0.2">
      <c r="A272" s="4" t="s">
        <v>598</v>
      </c>
      <c r="B272" s="4">
        <v>193</v>
      </c>
      <c r="C272" s="71" t="str">
        <f t="shared" si="140"/>
        <v>urn:immetingen:parameter:id:193</v>
      </c>
      <c r="D272" s="4" t="str">
        <f>IFERROR(IF(VLOOKUP($C272,'C'!$A$1:$N$1998,4,FALSE)=0,IF(VLOOKUP($C272,'C'!$A$1:$N$1998,7,FALSE)=0,VLOOKUP($C272,'C'!$A$1:$N$1998,10,FALSE),VLOOKUP($C272,'C'!$A$1:$N$1998,7,FALSE)),VLOOKUP($C272,'C'!$A$1:$N$1998,4,FALSE)),"")</f>
        <v/>
      </c>
      <c r="E272" s="71">
        <f>Invoer!D44</f>
        <v>0</v>
      </c>
      <c r="F272" s="71" t="str">
        <f>IF(Invoer!C44="&lt;","&lt;","")</f>
        <v/>
      </c>
      <c r="G272" s="71">
        <f>Invoer!F44</f>
        <v>0</v>
      </c>
      <c r="H272" s="71" t="str">
        <f>IF(Invoer!E44="&lt;","&lt;","")</f>
        <v/>
      </c>
      <c r="I272" s="71">
        <f>Invoer!H44</f>
        <v>0</v>
      </c>
      <c r="J272" s="71" t="str">
        <f>IF(Invoer!G44="&lt;","&lt;","")</f>
        <v/>
      </c>
      <c r="K272" s="71"/>
      <c r="L272" s="71"/>
      <c r="M272" s="4">
        <f t="shared" si="150"/>
        <v>0</v>
      </c>
      <c r="N272" s="4" t="str">
        <f t="shared" si="151"/>
        <v/>
      </c>
      <c r="O272" s="4">
        <f t="shared" si="157"/>
        <v>0</v>
      </c>
      <c r="P272" s="4" t="str">
        <f t="shared" si="152"/>
        <v/>
      </c>
      <c r="Q272" s="4">
        <f t="shared" si="158"/>
        <v>0</v>
      </c>
      <c r="R272" s="4" t="str">
        <f t="shared" si="153"/>
        <v/>
      </c>
      <c r="S272" s="71"/>
      <c r="T272" s="71"/>
      <c r="U272" s="71"/>
      <c r="V272" s="4">
        <f>IFERROR(IF(VLOOKUP(B272,E!$B$1:$AK$300,4,FALSE)=0,1000000,VLOOKUP(B272,E!$B$1:$AK$300,4,FALSE)),1000000)</f>
        <v>1000000</v>
      </c>
      <c r="W272" s="71"/>
      <c r="X272" s="71"/>
      <c r="Z272" s="4">
        <f t="shared" si="160"/>
        <v>0</v>
      </c>
      <c r="AC272" s="4">
        <f t="shared" si="161"/>
        <v>0</v>
      </c>
      <c r="AF272" s="4">
        <f t="shared" si="162"/>
        <v>0</v>
      </c>
      <c r="AI272" s="77">
        <v>0</v>
      </c>
      <c r="AJ272" s="77">
        <v>0</v>
      </c>
      <c r="AK272" s="77">
        <v>1</v>
      </c>
      <c r="AO272" s="4">
        <f t="shared" si="154"/>
        <v>5</v>
      </c>
      <c r="AQ272" s="4">
        <f t="shared" si="155"/>
        <v>5</v>
      </c>
      <c r="AS272" s="4">
        <f t="shared" si="156"/>
        <v>5</v>
      </c>
      <c r="AV272" s="4">
        <f t="shared" si="165"/>
        <v>0</v>
      </c>
      <c r="AX272" s="4">
        <f t="shared" si="166"/>
        <v>0</v>
      </c>
      <c r="AZ272" s="4">
        <f t="shared" si="167"/>
        <v>0</v>
      </c>
    </row>
    <row r="273" spans="1:52" x14ac:dyDescent="0.2">
      <c r="A273" s="4" t="s">
        <v>599</v>
      </c>
      <c r="B273" s="4">
        <v>2247</v>
      </c>
      <c r="C273" s="71" t="str">
        <f t="shared" si="140"/>
        <v>urn:immetingen:parameter:id:2247</v>
      </c>
      <c r="D273" s="4" t="str">
        <f>IFERROR(IF(VLOOKUP($C273,'C'!$A$1:$N$1998,4,FALSE)=0,IF(VLOOKUP($C273,'C'!$A$1:$N$1998,7,FALSE)=0,VLOOKUP($C273,'C'!$A$1:$N$1998,10,FALSE),VLOOKUP($C273,'C'!$A$1:$N$1998,7,FALSE)),VLOOKUP($C273,'C'!$A$1:$N$1998,4,FALSE)),"")</f>
        <v/>
      </c>
      <c r="E273" s="71">
        <f>Invoer!D45</f>
        <v>0</v>
      </c>
      <c r="F273" s="71" t="str">
        <f>IF(Invoer!C45="&lt;","&lt;","")</f>
        <v/>
      </c>
      <c r="G273" s="71">
        <f>Invoer!F45</f>
        <v>0</v>
      </c>
      <c r="H273" s="71" t="str">
        <f>IF(Invoer!E45="&lt;","&lt;","")</f>
        <v/>
      </c>
      <c r="I273" s="71">
        <f>Invoer!H45</f>
        <v>0</v>
      </c>
      <c r="J273" s="71" t="str">
        <f>IF(Invoer!G45="&lt;","&lt;","")</f>
        <v/>
      </c>
      <c r="K273" s="71"/>
      <c r="L273" s="71"/>
      <c r="M273" s="4">
        <f t="shared" si="150"/>
        <v>0</v>
      </c>
      <c r="N273" s="4" t="str">
        <f t="shared" si="151"/>
        <v/>
      </c>
      <c r="O273" s="4">
        <f t="shared" si="157"/>
        <v>0</v>
      </c>
      <c r="P273" s="4" t="str">
        <f t="shared" si="152"/>
        <v/>
      </c>
      <c r="Q273" s="4">
        <f t="shared" si="158"/>
        <v>0</v>
      </c>
      <c r="R273" s="4" t="str">
        <f t="shared" si="153"/>
        <v/>
      </c>
      <c r="S273" s="71"/>
      <c r="T273" s="71"/>
      <c r="U273" s="71"/>
      <c r="V273" s="4">
        <f>IFERROR(IF(VLOOKUP(B273,E!$B$1:$AK$300,4,FALSE)=0,1000000,VLOOKUP(B273,E!$B$1:$AK$300,4,FALSE)),1000000)</f>
        <v>1000000</v>
      </c>
      <c r="W273" s="71"/>
      <c r="X273" s="71"/>
      <c r="Z273" s="4">
        <f t="shared" si="160"/>
        <v>0</v>
      </c>
      <c r="AC273" s="4">
        <f t="shared" si="161"/>
        <v>0</v>
      </c>
      <c r="AF273" s="4">
        <f t="shared" si="162"/>
        <v>0</v>
      </c>
      <c r="AI273" s="77">
        <v>0</v>
      </c>
      <c r="AJ273" s="77">
        <v>0</v>
      </c>
      <c r="AK273" s="77">
        <v>1</v>
      </c>
      <c r="AO273" s="4">
        <f t="shared" si="154"/>
        <v>5</v>
      </c>
      <c r="AQ273" s="4">
        <f t="shared" si="155"/>
        <v>5</v>
      </c>
      <c r="AS273" s="4">
        <f t="shared" si="156"/>
        <v>5</v>
      </c>
      <c r="AV273" s="4">
        <f t="shared" si="165"/>
        <v>0</v>
      </c>
      <c r="AX273" s="4">
        <f t="shared" si="166"/>
        <v>0</v>
      </c>
      <c r="AZ273" s="4">
        <f t="shared" si="167"/>
        <v>0</v>
      </c>
    </row>
    <row r="274" spans="1:52" x14ac:dyDescent="0.2">
      <c r="A274" s="4" t="s">
        <v>600</v>
      </c>
      <c r="B274" s="4">
        <v>751</v>
      </c>
      <c r="C274" s="4" t="str">
        <f t="shared" si="140"/>
        <v>urn:immetingen:parameter:id:751</v>
      </c>
      <c r="D274" s="4" t="str">
        <f>IFERROR(IF(VLOOKUP($C274,'C'!$A$1:$N$1998,4,FALSE)=0,IF(VLOOKUP($C274,'C'!$A$1:$N$1998,7,FALSE)=0,VLOOKUP($C274,'C'!$A$1:$N$1998,10,FALSE),VLOOKUP($C274,'C'!$A$1:$N$1998,7,FALSE)),VLOOKUP($C274,'C'!$A$1:$N$1998,4,FALSE)),"")</f>
        <v/>
      </c>
      <c r="E274" s="4" t="str">
        <f>IFERROR(VLOOKUP($C274,'C'!$A$1:$N$1998,2,FALSE),"")</f>
        <v/>
      </c>
      <c r="F274" s="4" t="str">
        <f>IFERROR(IF(VLOOKUP($C274,'C'!$A$1:$N$1998,3,FALSE)=1,"&lt;",""),"")</f>
        <v/>
      </c>
      <c r="G274" s="4" t="str">
        <f>IFERROR(VLOOKUP($C274,'C'!$A$1:$N$1998,5,FALSE),"")</f>
        <v/>
      </c>
      <c r="H274" s="4" t="str">
        <f>IFERROR(IF(VLOOKUP($C274,'C'!$A$1:$N$1998,6,FALSE)=1,"&lt;",""),"")</f>
        <v/>
      </c>
      <c r="I274" s="4" t="str">
        <f>IFERROR(VLOOKUP($C274,'C'!$A$1:$N$1998,8,FALSE),"")</f>
        <v/>
      </c>
      <c r="J274" s="4" t="str">
        <f>IFERROR(IF(VLOOKUP($C274,'C'!$A$1:$N$1998,9,FALSE)=1,"&lt;",""),"")</f>
        <v/>
      </c>
      <c r="M274" s="4" t="str">
        <f t="shared" si="150"/>
        <v/>
      </c>
      <c r="N274" s="4" t="str">
        <f t="shared" si="151"/>
        <v/>
      </c>
      <c r="O274" s="4" t="str">
        <f t="shared" si="157"/>
        <v/>
      </c>
      <c r="P274" s="4" t="str">
        <f t="shared" si="152"/>
        <v/>
      </c>
      <c r="Q274" s="4" t="str">
        <f t="shared" si="158"/>
        <v/>
      </c>
      <c r="R274" s="4" t="str">
        <f t="shared" si="153"/>
        <v/>
      </c>
      <c r="V274" s="4">
        <f>IFERROR(IF(VLOOKUP(B274,E!$B$1:$AK$300,4,FALSE)=0,1000000,VLOOKUP(B274,E!$B$1:$AK$300,4,FALSE)),1000000)</f>
        <v>1000000000</v>
      </c>
      <c r="Z274" s="4" t="str">
        <f t="shared" si="160"/>
        <v/>
      </c>
      <c r="AC274" s="4" t="str">
        <f t="shared" si="161"/>
        <v/>
      </c>
      <c r="AF274" s="4" t="str">
        <f t="shared" si="162"/>
        <v/>
      </c>
      <c r="AI274" s="77">
        <v>0</v>
      </c>
      <c r="AJ274" s="77">
        <v>0</v>
      </c>
      <c r="AK274" s="77">
        <v>1</v>
      </c>
      <c r="AO274" s="4">
        <f t="shared" si="154"/>
        <v>5</v>
      </c>
      <c r="AQ274" s="4">
        <f t="shared" si="155"/>
        <v>5</v>
      </c>
      <c r="AS274" s="4">
        <f t="shared" si="156"/>
        <v>5</v>
      </c>
      <c r="AV274" s="4" t="str">
        <f t="shared" si="165"/>
        <v/>
      </c>
      <c r="AX274" s="4" t="str">
        <f t="shared" si="166"/>
        <v/>
      </c>
      <c r="AZ274" s="4" t="str">
        <f t="shared" si="167"/>
        <v/>
      </c>
    </row>
    <row r="275" spans="1:52" x14ac:dyDescent="0.2">
      <c r="A275" s="4" t="s">
        <v>601</v>
      </c>
      <c r="B275" s="4">
        <v>170</v>
      </c>
      <c r="C275" s="4" t="str">
        <f t="shared" si="140"/>
        <v>urn:immetingen:parameter:id:170</v>
      </c>
      <c r="D275" s="4" t="str">
        <f>IFERROR(IF(VLOOKUP($C275,'C'!$A$1:$N$1998,4,FALSE)=0,IF(VLOOKUP($C275,'C'!$A$1:$N$1998,7,FALSE)=0,VLOOKUP($C275,'C'!$A$1:$N$1998,10,FALSE),VLOOKUP($C275,'C'!$A$1:$N$1998,7,FALSE)),VLOOKUP($C275,'C'!$A$1:$N$1998,4,FALSE)),"")</f>
        <v/>
      </c>
      <c r="E275" s="4" t="str">
        <f>IFERROR(VLOOKUP($C275,'C'!$A$1:$N$1998,2,FALSE),"")</f>
        <v/>
      </c>
      <c r="F275" s="4" t="str">
        <f>IFERROR(IF(VLOOKUP($C275,'C'!$A$1:$N$1998,3,FALSE)=1,"&lt;",""),"")</f>
        <v/>
      </c>
      <c r="G275" s="4" t="str">
        <f>IFERROR(VLOOKUP($C275,'C'!$A$1:$N$1998,5,FALSE),"")</f>
        <v/>
      </c>
      <c r="H275" s="4" t="str">
        <f>IFERROR(IF(VLOOKUP($C275,'C'!$A$1:$N$1998,6,FALSE)=1,"&lt;",""),"")</f>
        <v/>
      </c>
      <c r="I275" s="4" t="str">
        <f>IFERROR(VLOOKUP($C275,'C'!$A$1:$N$1998,8,FALSE),"")</f>
        <v/>
      </c>
      <c r="J275" s="4" t="str">
        <f>IFERROR(IF(VLOOKUP($C275,'C'!$A$1:$N$1998,9,FALSE)=1,"&lt;",""),"")</f>
        <v/>
      </c>
      <c r="M275" s="4" t="str">
        <f t="shared" si="150"/>
        <v/>
      </c>
      <c r="N275" s="4" t="str">
        <f t="shared" si="151"/>
        <v/>
      </c>
      <c r="O275" s="4" t="str">
        <f t="shared" si="157"/>
        <v/>
      </c>
      <c r="P275" s="4" t="str">
        <f t="shared" si="152"/>
        <v/>
      </c>
      <c r="Q275" s="4" t="str">
        <f t="shared" si="158"/>
        <v/>
      </c>
      <c r="R275" s="4" t="str">
        <f t="shared" si="153"/>
        <v/>
      </c>
      <c r="V275" s="4">
        <f>IFERROR(IF(VLOOKUP(B275,E!$B$1:$AK$300,4,FALSE)=0,1000000,VLOOKUP(B275,E!$B$1:$AK$300,4,FALSE)),1000000)</f>
        <v>1000000</v>
      </c>
      <c r="Z275" s="4" t="str">
        <f t="shared" si="160"/>
        <v/>
      </c>
      <c r="AC275" s="4" t="str">
        <f t="shared" si="161"/>
        <v/>
      </c>
      <c r="AF275" s="4" t="str">
        <f t="shared" si="162"/>
        <v/>
      </c>
      <c r="AI275" s="77">
        <v>0</v>
      </c>
      <c r="AJ275" s="77">
        <v>0</v>
      </c>
      <c r="AK275" s="77">
        <v>1</v>
      </c>
      <c r="AO275" s="4">
        <f t="shared" si="154"/>
        <v>5</v>
      </c>
      <c r="AQ275" s="4">
        <f t="shared" si="155"/>
        <v>5</v>
      </c>
      <c r="AS275" s="4">
        <f t="shared" si="156"/>
        <v>5</v>
      </c>
      <c r="AV275" s="4" t="str">
        <f t="shared" si="165"/>
        <v/>
      </c>
      <c r="AX275" s="4" t="str">
        <f t="shared" si="166"/>
        <v/>
      </c>
      <c r="AZ275" s="4" t="str">
        <f t="shared" si="167"/>
        <v/>
      </c>
    </row>
    <row r="276" spans="1:52" x14ac:dyDescent="0.2">
      <c r="A276" s="4" t="s">
        <v>602</v>
      </c>
      <c r="B276" s="4">
        <v>235</v>
      </c>
      <c r="C276" s="4" t="str">
        <f t="shared" si="140"/>
        <v>urn:immetingen:parameter:id:235</v>
      </c>
      <c r="D276" s="4" t="str">
        <f>IFERROR(IF(VLOOKUP($C276,'C'!$A$1:$N$1998,4,FALSE)=0,IF(VLOOKUP($C276,'C'!$A$1:$N$1998,7,FALSE)=0,VLOOKUP($C276,'C'!$A$1:$N$1998,10,FALSE),VLOOKUP($C276,'C'!$A$1:$N$1998,7,FALSE)),VLOOKUP($C276,'C'!$A$1:$N$1998,4,FALSE)),"")</f>
        <v/>
      </c>
      <c r="E276" s="4" t="str">
        <f>IFERROR(VLOOKUP($C276,'C'!$A$1:$N$1998,2,FALSE),"")</f>
        <v/>
      </c>
      <c r="F276" s="4" t="str">
        <f>IFERROR(IF(VLOOKUP($C276,'C'!$A$1:$N$1998,3,FALSE)=1,"&lt;",""),"")</f>
        <v/>
      </c>
      <c r="G276" s="4" t="str">
        <f>IFERROR(VLOOKUP($C276,'C'!$A$1:$N$1998,5,FALSE),"")</f>
        <v/>
      </c>
      <c r="H276" s="4" t="str">
        <f>IFERROR(IF(VLOOKUP($C276,'C'!$A$1:$N$1998,6,FALSE)=1,"&lt;",""),"")</f>
        <v/>
      </c>
      <c r="I276" s="4" t="str">
        <f>IFERROR(VLOOKUP($C276,'C'!$A$1:$N$1998,8,FALSE),"")</f>
        <v/>
      </c>
      <c r="J276" s="4" t="str">
        <f>IFERROR(IF(VLOOKUP($C276,'C'!$A$1:$N$1998,9,FALSE)=1,"&lt;",""),"")</f>
        <v/>
      </c>
      <c r="M276" s="4" t="str">
        <f t="shared" si="150"/>
        <v/>
      </c>
      <c r="N276" s="4" t="str">
        <f t="shared" si="151"/>
        <v/>
      </c>
      <c r="O276" s="4" t="str">
        <f t="shared" si="157"/>
        <v/>
      </c>
      <c r="P276" s="4" t="str">
        <f t="shared" si="152"/>
        <v/>
      </c>
      <c r="Q276" s="4" t="str">
        <f t="shared" si="158"/>
        <v/>
      </c>
      <c r="R276" s="4" t="str">
        <f t="shared" si="153"/>
        <v/>
      </c>
      <c r="V276" s="4">
        <f>IFERROR(IF(VLOOKUP(B276,E!$B$1:$AK$300,4,FALSE)=0,1000000,VLOOKUP(B276,E!$B$1:$AK$300,4,FALSE)),1000000)</f>
        <v>1000000</v>
      </c>
      <c r="Z276" s="4" t="str">
        <f t="shared" si="160"/>
        <v/>
      </c>
      <c r="AC276" s="4" t="str">
        <f t="shared" si="161"/>
        <v/>
      </c>
      <c r="AF276" s="4" t="str">
        <f t="shared" si="162"/>
        <v/>
      </c>
      <c r="AI276" s="77">
        <v>0</v>
      </c>
      <c r="AJ276" s="77">
        <v>0</v>
      </c>
      <c r="AK276" s="77">
        <v>1</v>
      </c>
      <c r="AO276" s="4">
        <f t="shared" si="154"/>
        <v>5</v>
      </c>
      <c r="AQ276" s="4">
        <f t="shared" si="155"/>
        <v>5</v>
      </c>
      <c r="AS276" s="4">
        <f t="shared" si="156"/>
        <v>5</v>
      </c>
      <c r="AV276" s="4" t="str">
        <f t="shared" si="165"/>
        <v/>
      </c>
      <c r="AX276" s="4" t="str">
        <f t="shared" si="166"/>
        <v/>
      </c>
      <c r="AZ276" s="4" t="str">
        <f t="shared" si="167"/>
        <v/>
      </c>
    </row>
    <row r="277" spans="1:52" x14ac:dyDescent="0.2">
      <c r="A277" s="4" t="s">
        <v>692</v>
      </c>
      <c r="B277" s="4">
        <v>1395</v>
      </c>
      <c r="C277" s="4" t="str">
        <f t="shared" si="140"/>
        <v>urn:immetingen:parameter:id:1395</v>
      </c>
      <c r="D277" s="4" t="str">
        <f>IFERROR(IF(VLOOKUP($C277,'C'!$A$1:$N$1998,4,FALSE)=0,IF(VLOOKUP($C277,'C'!$A$1:$N$1998,7,FALSE)=0,VLOOKUP($C277,'C'!$A$1:$N$1998,10,FALSE),VLOOKUP($C277,'C'!$A$1:$N$1998,7,FALSE)),VLOOKUP($C277,'C'!$A$1:$N$1998,4,FALSE)),"")</f>
        <v/>
      </c>
      <c r="E277" s="4" t="str">
        <f>IFERROR(VLOOKUP($C277,'C'!$A$1:$N$1998,2,FALSE),"")</f>
        <v/>
      </c>
      <c r="F277" s="4" t="str">
        <f>IFERROR(IF(VLOOKUP($C277,'C'!$A$1:$N$1998,3,FALSE)=1,"&lt;",""),"")</f>
        <v/>
      </c>
      <c r="G277" s="4" t="str">
        <f>IFERROR(VLOOKUP($C277,'C'!$A$1:$N$1998,5,FALSE),"")</f>
        <v/>
      </c>
      <c r="H277" s="4" t="str">
        <f>IFERROR(IF(VLOOKUP($C277,'C'!$A$1:$N$1998,6,FALSE)=1,"&lt;",""),"")</f>
        <v/>
      </c>
      <c r="I277" s="4" t="str">
        <f>IFERROR(VLOOKUP($C277,'C'!$A$1:$N$1998,8,FALSE),"")</f>
        <v/>
      </c>
      <c r="J277" s="4" t="str">
        <f>IFERROR(IF(VLOOKUP($C277,'C'!$A$1:$N$1998,9,FALSE)=1,"&lt;",""),"")</f>
        <v/>
      </c>
      <c r="M277" s="4" t="str">
        <f t="shared" si="150"/>
        <v/>
      </c>
      <c r="N277" s="4" t="str">
        <f t="shared" si="151"/>
        <v/>
      </c>
      <c r="O277" s="4" t="str">
        <f t="shared" si="157"/>
        <v/>
      </c>
      <c r="P277" s="4" t="str">
        <f t="shared" si="152"/>
        <v/>
      </c>
      <c r="Q277" s="4" t="str">
        <f t="shared" si="158"/>
        <v/>
      </c>
      <c r="R277" s="4" t="str">
        <f t="shared" si="153"/>
        <v/>
      </c>
      <c r="V277" s="4">
        <f>IFERROR(IF(VLOOKUP(B277,E!$B$1:$AK$300,4,FALSE)=0,1000000,VLOOKUP(B277,E!$B$1:$AK$300,4,FALSE)),1000000)</f>
        <v>1000000</v>
      </c>
      <c r="Z277" s="4" t="str">
        <f t="shared" si="160"/>
        <v/>
      </c>
      <c r="AC277" s="4" t="str">
        <f t="shared" si="161"/>
        <v/>
      </c>
      <c r="AF277" s="4" t="str">
        <f t="shared" si="162"/>
        <v/>
      </c>
      <c r="AI277" s="77">
        <v>0</v>
      </c>
      <c r="AJ277" s="77">
        <v>0</v>
      </c>
      <c r="AK277" s="77">
        <v>1</v>
      </c>
      <c r="AO277" s="4">
        <f t="shared" si="154"/>
        <v>5</v>
      </c>
      <c r="AQ277" s="4">
        <f t="shared" si="155"/>
        <v>5</v>
      </c>
      <c r="AS277" s="4">
        <f t="shared" si="156"/>
        <v>5</v>
      </c>
      <c r="AV277" s="4" t="str">
        <f t="shared" si="165"/>
        <v/>
      </c>
      <c r="AX277" s="4" t="str">
        <f t="shared" si="166"/>
        <v/>
      </c>
      <c r="AZ277" s="4" t="str">
        <f t="shared" si="167"/>
        <v/>
      </c>
    </row>
    <row r="278" spans="1:52" x14ac:dyDescent="0.2">
      <c r="A278" s="4" t="s">
        <v>693</v>
      </c>
      <c r="B278" s="4">
        <v>1396</v>
      </c>
      <c r="C278" s="4" t="str">
        <f t="shared" si="140"/>
        <v>urn:immetingen:parameter:id:1396</v>
      </c>
      <c r="D278" s="4" t="str">
        <f>IFERROR(IF(VLOOKUP($C278,'C'!$A$1:$N$1998,4,FALSE)=0,IF(VLOOKUP($C278,'C'!$A$1:$N$1998,7,FALSE)=0,VLOOKUP($C278,'C'!$A$1:$N$1998,10,FALSE),VLOOKUP($C278,'C'!$A$1:$N$1998,7,FALSE)),VLOOKUP($C278,'C'!$A$1:$N$1998,4,FALSE)),"")</f>
        <v/>
      </c>
      <c r="E278" s="4" t="str">
        <f>IFERROR(VLOOKUP($C278,'C'!$A$1:$N$1998,2,FALSE),"")</f>
        <v/>
      </c>
      <c r="F278" s="4" t="str">
        <f>IFERROR(IF(VLOOKUP($C278,'C'!$A$1:$N$1998,3,FALSE)=1,"&lt;",""),"")</f>
        <v/>
      </c>
      <c r="G278" s="4" t="str">
        <f>IFERROR(VLOOKUP($C278,'C'!$A$1:$N$1998,5,FALSE),"")</f>
        <v/>
      </c>
      <c r="H278" s="4" t="str">
        <f>IFERROR(IF(VLOOKUP($C278,'C'!$A$1:$N$1998,6,FALSE)=1,"&lt;",""),"")</f>
        <v/>
      </c>
      <c r="I278" s="4" t="str">
        <f>IFERROR(VLOOKUP($C278,'C'!$A$1:$N$1998,8,FALSE),"")</f>
        <v/>
      </c>
      <c r="J278" s="4" t="str">
        <f>IFERROR(IF(VLOOKUP($C278,'C'!$A$1:$N$1998,9,FALSE)=1,"&lt;",""),"")</f>
        <v/>
      </c>
      <c r="M278" s="4" t="str">
        <f t="shared" si="150"/>
        <v/>
      </c>
      <c r="N278" s="4" t="str">
        <f t="shared" si="151"/>
        <v/>
      </c>
      <c r="O278" s="4" t="str">
        <f t="shared" si="157"/>
        <v/>
      </c>
      <c r="P278" s="4" t="str">
        <f t="shared" si="152"/>
        <v/>
      </c>
      <c r="Q278" s="4" t="str">
        <f t="shared" si="158"/>
        <v/>
      </c>
      <c r="R278" s="4" t="str">
        <f t="shared" si="153"/>
        <v/>
      </c>
      <c r="V278" s="4">
        <f>IFERROR(IF(VLOOKUP(B278,E!$B$1:$AK$300,4,FALSE)=0,1000000,VLOOKUP(B278,E!$B$1:$AK$300,4,FALSE)),1000000)</f>
        <v>1000000</v>
      </c>
      <c r="Z278" s="4" t="str">
        <f t="shared" si="160"/>
        <v/>
      </c>
      <c r="AC278" s="4" t="str">
        <f t="shared" si="161"/>
        <v/>
      </c>
      <c r="AF278" s="4" t="str">
        <f t="shared" si="162"/>
        <v/>
      </c>
      <c r="AI278" s="77">
        <v>0</v>
      </c>
      <c r="AJ278" s="77">
        <v>0</v>
      </c>
      <c r="AK278" s="77">
        <v>1</v>
      </c>
      <c r="AO278" s="4">
        <f t="shared" si="154"/>
        <v>5</v>
      </c>
      <c r="AQ278" s="4">
        <f t="shared" si="155"/>
        <v>5</v>
      </c>
      <c r="AS278" s="4">
        <f t="shared" si="156"/>
        <v>5</v>
      </c>
      <c r="AV278" s="4" t="str">
        <f t="shared" si="165"/>
        <v/>
      </c>
      <c r="AX278" s="4" t="str">
        <f t="shared" si="166"/>
        <v/>
      </c>
      <c r="AZ278" s="4" t="str">
        <f t="shared" si="167"/>
        <v/>
      </c>
    </row>
    <row r="279" spans="1:52" x14ac:dyDescent="0.2">
      <c r="A279" s="4" t="s">
        <v>694</v>
      </c>
      <c r="B279" s="4">
        <v>1735</v>
      </c>
      <c r="C279" s="4" t="str">
        <f t="shared" si="140"/>
        <v>urn:immetingen:parameter:id:1735</v>
      </c>
      <c r="D279" s="4" t="str">
        <f>IFERROR(IF(VLOOKUP($C279,'C'!$A$1:$N$1998,4,FALSE)=0,IF(VLOOKUP($C279,'C'!$A$1:$N$1998,7,FALSE)=0,VLOOKUP($C279,'C'!$A$1:$N$1998,10,FALSE),VLOOKUP($C279,'C'!$A$1:$N$1998,7,FALSE)),VLOOKUP($C279,'C'!$A$1:$N$1998,4,FALSE)),"")</f>
        <v/>
      </c>
      <c r="E279" s="4" t="str">
        <f>IFERROR(VLOOKUP($C279,'C'!$A$1:$N$1998,2,FALSE),"")</f>
        <v/>
      </c>
      <c r="F279" s="4" t="str">
        <f>IFERROR(IF(VLOOKUP($C279,'C'!$A$1:$N$1998,3,FALSE)=1,"&lt;",""),"")</f>
        <v/>
      </c>
      <c r="G279" s="4" t="str">
        <f>IFERROR(VLOOKUP($C279,'C'!$A$1:$N$1998,5,FALSE),"")</f>
        <v/>
      </c>
      <c r="H279" s="4" t="str">
        <f>IFERROR(IF(VLOOKUP($C279,'C'!$A$1:$N$1998,6,FALSE)=1,"&lt;",""),"")</f>
        <v/>
      </c>
      <c r="I279" s="4" t="str">
        <f>IFERROR(VLOOKUP($C279,'C'!$A$1:$N$1998,8,FALSE),"")</f>
        <v/>
      </c>
      <c r="J279" s="4" t="str">
        <f>IFERROR(IF(VLOOKUP($C279,'C'!$A$1:$N$1998,9,FALSE)=1,"&lt;",""),"")</f>
        <v/>
      </c>
      <c r="M279" s="4" t="str">
        <f t="shared" si="150"/>
        <v/>
      </c>
      <c r="N279" s="4" t="str">
        <f t="shared" si="151"/>
        <v/>
      </c>
      <c r="O279" s="4" t="str">
        <f t="shared" si="157"/>
        <v/>
      </c>
      <c r="P279" s="4" t="str">
        <f t="shared" si="152"/>
        <v/>
      </c>
      <c r="Q279" s="4" t="str">
        <f t="shared" si="158"/>
        <v/>
      </c>
      <c r="R279" s="4" t="str">
        <f t="shared" si="153"/>
        <v/>
      </c>
      <c r="V279" s="4">
        <f>IFERROR(IF(VLOOKUP(B279,E!$B$1:$AK$300,4,FALSE)=0,1000000,VLOOKUP(B279,E!$B$1:$AK$300,4,FALSE)),1000000)</f>
        <v>1000000</v>
      </c>
      <c r="Z279" s="4" t="str">
        <f t="shared" si="160"/>
        <v/>
      </c>
      <c r="AC279" s="4" t="str">
        <f t="shared" si="161"/>
        <v/>
      </c>
      <c r="AF279" s="4" t="str">
        <f t="shared" si="162"/>
        <v/>
      </c>
      <c r="AI279" s="77">
        <v>0</v>
      </c>
      <c r="AJ279" s="77">
        <v>0</v>
      </c>
      <c r="AK279" s="77">
        <v>1</v>
      </c>
      <c r="AO279" s="4">
        <f t="shared" si="154"/>
        <v>5</v>
      </c>
      <c r="AQ279" s="4">
        <f t="shared" si="155"/>
        <v>5</v>
      </c>
      <c r="AS279" s="4">
        <f t="shared" si="156"/>
        <v>5</v>
      </c>
      <c r="AV279" s="4" t="str">
        <f t="shared" si="165"/>
        <v/>
      </c>
      <c r="AX279" s="4" t="str">
        <f t="shared" si="166"/>
        <v/>
      </c>
      <c r="AZ279" s="4" t="str">
        <f t="shared" si="167"/>
        <v/>
      </c>
    </row>
    <row r="280" spans="1:52" x14ac:dyDescent="0.2">
      <c r="A280" s="4" t="s">
        <v>695</v>
      </c>
      <c r="B280" s="4">
        <v>1736</v>
      </c>
      <c r="C280" s="4" t="str">
        <f t="shared" si="140"/>
        <v>urn:immetingen:parameter:id:1736</v>
      </c>
      <c r="D280" s="4" t="str">
        <f>IFERROR(IF(VLOOKUP($C280,'C'!$A$1:$N$1998,4,FALSE)=0,IF(VLOOKUP($C280,'C'!$A$1:$N$1998,7,FALSE)=0,VLOOKUP($C280,'C'!$A$1:$N$1998,10,FALSE),VLOOKUP($C280,'C'!$A$1:$N$1998,7,FALSE)),VLOOKUP($C280,'C'!$A$1:$N$1998,4,FALSE)),"")</f>
        <v/>
      </c>
      <c r="E280" s="4" t="str">
        <f>IFERROR(VLOOKUP($C280,'C'!$A$1:$N$1998,2,FALSE),"")</f>
        <v/>
      </c>
      <c r="F280" s="4" t="str">
        <f>IFERROR(IF(VLOOKUP($C280,'C'!$A$1:$N$1998,3,FALSE)=1,"&lt;",""),"")</f>
        <v/>
      </c>
      <c r="G280" s="4" t="str">
        <f>IFERROR(VLOOKUP($C280,'C'!$A$1:$N$1998,5,FALSE),"")</f>
        <v/>
      </c>
      <c r="H280" s="4" t="str">
        <f>IFERROR(IF(VLOOKUP($C280,'C'!$A$1:$N$1998,6,FALSE)=1,"&lt;",""),"")</f>
        <v/>
      </c>
      <c r="I280" s="4" t="str">
        <f>IFERROR(VLOOKUP($C280,'C'!$A$1:$N$1998,8,FALSE),"")</f>
        <v/>
      </c>
      <c r="J280" s="4" t="str">
        <f>IFERROR(IF(VLOOKUP($C280,'C'!$A$1:$N$1998,9,FALSE)=1,"&lt;",""),"")</f>
        <v/>
      </c>
      <c r="M280" s="4" t="str">
        <f t="shared" si="150"/>
        <v/>
      </c>
      <c r="N280" s="4" t="str">
        <f t="shared" si="151"/>
        <v/>
      </c>
      <c r="O280" s="4" t="str">
        <f t="shared" si="157"/>
        <v/>
      </c>
      <c r="P280" s="4" t="str">
        <f t="shared" si="152"/>
        <v/>
      </c>
      <c r="Q280" s="4" t="str">
        <f t="shared" si="158"/>
        <v/>
      </c>
      <c r="R280" s="4" t="str">
        <f t="shared" si="153"/>
        <v/>
      </c>
      <c r="V280" s="4">
        <f>IFERROR(IF(VLOOKUP(B280,E!$B$1:$AK$300,4,FALSE)=0,1000000,VLOOKUP(B280,E!$B$1:$AK$300,4,FALSE)),1000000)</f>
        <v>1000000</v>
      </c>
      <c r="Z280" s="4" t="str">
        <f t="shared" si="160"/>
        <v/>
      </c>
      <c r="AC280" s="4" t="str">
        <f t="shared" si="161"/>
        <v/>
      </c>
      <c r="AF280" s="4" t="str">
        <f t="shared" si="162"/>
        <v/>
      </c>
      <c r="AI280" s="77">
        <v>0</v>
      </c>
      <c r="AJ280" s="77">
        <v>0</v>
      </c>
      <c r="AK280" s="77">
        <v>1</v>
      </c>
      <c r="AO280" s="4">
        <f t="shared" si="154"/>
        <v>5</v>
      </c>
      <c r="AQ280" s="4">
        <f t="shared" si="155"/>
        <v>5</v>
      </c>
      <c r="AS280" s="4">
        <f t="shared" si="156"/>
        <v>5</v>
      </c>
      <c r="AV280" s="4" t="str">
        <f t="shared" si="165"/>
        <v/>
      </c>
      <c r="AX280" s="4" t="str">
        <f t="shared" si="166"/>
        <v/>
      </c>
      <c r="AZ280" s="4" t="str">
        <f t="shared" si="167"/>
        <v/>
      </c>
    </row>
    <row r="281" spans="1:52" x14ac:dyDescent="0.2">
      <c r="A281" s="4" t="s">
        <v>696</v>
      </c>
      <c r="B281" s="4">
        <v>147</v>
      </c>
      <c r="C281" s="4" t="str">
        <f t="shared" si="140"/>
        <v>urn:immetingen:parameter:id:147</v>
      </c>
      <c r="D281" s="4" t="str">
        <f>IFERROR(IF(VLOOKUP($C281,'C'!$A$1:$N$1998,4,FALSE)=0,IF(VLOOKUP($C281,'C'!$A$1:$N$1998,7,FALSE)=0,VLOOKUP($C281,'C'!$A$1:$N$1998,10,FALSE),VLOOKUP($C281,'C'!$A$1:$N$1998,7,FALSE)),VLOOKUP($C281,'C'!$A$1:$N$1998,4,FALSE)),"")</f>
        <v/>
      </c>
      <c r="E281" s="4" t="str">
        <f>IFERROR(VLOOKUP($C281,'C'!$A$1:$N$1998,2,FALSE),"")</f>
        <v/>
      </c>
      <c r="F281" s="4" t="str">
        <f>IFERROR(IF(VLOOKUP($C281,'C'!$A$1:$N$1998,3,FALSE)=1,"&lt;",""),"")</f>
        <v/>
      </c>
      <c r="G281" s="4" t="str">
        <f>IFERROR(VLOOKUP($C281,'C'!$A$1:$N$1998,5,FALSE),"")</f>
        <v/>
      </c>
      <c r="H281" s="4" t="str">
        <f>IFERROR(IF(VLOOKUP($C281,'C'!$A$1:$N$1998,6,FALSE)=1,"&lt;",""),"")</f>
        <v/>
      </c>
      <c r="I281" s="4" t="str">
        <f>IFERROR(VLOOKUP($C281,'C'!$A$1:$N$1998,8,FALSE),"")</f>
        <v/>
      </c>
      <c r="J281" s="4" t="str">
        <f>IFERROR(IF(VLOOKUP($C281,'C'!$A$1:$N$1998,9,FALSE)=1,"&lt;",""),"")</f>
        <v/>
      </c>
      <c r="M281" s="4" t="str">
        <f t="shared" si="150"/>
        <v/>
      </c>
      <c r="N281" s="4" t="str">
        <f t="shared" si="151"/>
        <v/>
      </c>
      <c r="O281" s="4" t="str">
        <f t="shared" si="157"/>
        <v/>
      </c>
      <c r="P281" s="4" t="str">
        <f t="shared" si="152"/>
        <v/>
      </c>
      <c r="Q281" s="4" t="str">
        <f t="shared" si="158"/>
        <v/>
      </c>
      <c r="R281" s="4" t="str">
        <f t="shared" si="153"/>
        <v/>
      </c>
      <c r="V281" s="4">
        <f>IFERROR(IF(VLOOKUP(B281,E!$B$1:$AK$300,4,FALSE)=0,1000000,VLOOKUP(B281,E!$B$1:$AK$300,4,FALSE)),1000000)</f>
        <v>1000000</v>
      </c>
      <c r="Z281" s="4" t="str">
        <f t="shared" si="160"/>
        <v/>
      </c>
      <c r="AC281" s="4" t="str">
        <f t="shared" si="161"/>
        <v/>
      </c>
      <c r="AF281" s="4" t="str">
        <f t="shared" si="162"/>
        <v/>
      </c>
      <c r="AI281" s="77">
        <v>0</v>
      </c>
      <c r="AJ281" s="77">
        <v>0</v>
      </c>
      <c r="AK281" s="77">
        <v>1</v>
      </c>
      <c r="AO281" s="4">
        <f t="shared" si="154"/>
        <v>5</v>
      </c>
      <c r="AQ281" s="4">
        <f t="shared" si="155"/>
        <v>5</v>
      </c>
      <c r="AS281" s="4">
        <f t="shared" si="156"/>
        <v>5</v>
      </c>
      <c r="AV281" s="4" t="str">
        <f t="shared" si="165"/>
        <v/>
      </c>
      <c r="AX281" s="4" t="str">
        <f t="shared" si="166"/>
        <v/>
      </c>
      <c r="AZ281" s="4" t="str">
        <f t="shared" si="167"/>
        <v/>
      </c>
    </row>
    <row r="282" spans="1:52" x14ac:dyDescent="0.2">
      <c r="A282" s="4" t="s">
        <v>697</v>
      </c>
      <c r="B282" s="4">
        <v>165</v>
      </c>
      <c r="C282" s="4" t="str">
        <f t="shared" si="140"/>
        <v>urn:immetingen:parameter:id:165</v>
      </c>
      <c r="D282" s="4" t="str">
        <f>IFERROR(IF(VLOOKUP($C282,'C'!$A$1:$N$1998,4,FALSE)=0,IF(VLOOKUP($C282,'C'!$A$1:$N$1998,7,FALSE)=0,VLOOKUP($C282,'C'!$A$1:$N$1998,10,FALSE),VLOOKUP($C282,'C'!$A$1:$N$1998,7,FALSE)),VLOOKUP($C282,'C'!$A$1:$N$1998,4,FALSE)),"")</f>
        <v/>
      </c>
      <c r="E282" s="4" t="str">
        <f>IFERROR(VLOOKUP($C282,'C'!$A$1:$N$1998,2,FALSE),"")</f>
        <v/>
      </c>
      <c r="F282" s="4" t="str">
        <f>IFERROR(IF(VLOOKUP($C282,'C'!$A$1:$N$1998,3,FALSE)=1,"&lt;",""),"")</f>
        <v/>
      </c>
      <c r="G282" s="4" t="str">
        <f>IFERROR(VLOOKUP($C282,'C'!$A$1:$N$1998,5,FALSE),"")</f>
        <v/>
      </c>
      <c r="H282" s="4" t="str">
        <f>IFERROR(IF(VLOOKUP($C282,'C'!$A$1:$N$1998,6,FALSE)=1,"&lt;",""),"")</f>
        <v/>
      </c>
      <c r="I282" s="4" t="str">
        <f>IFERROR(VLOOKUP($C282,'C'!$A$1:$N$1998,8,FALSE),"")</f>
        <v/>
      </c>
      <c r="J282" s="4" t="str">
        <f>IFERROR(IF(VLOOKUP($C282,'C'!$A$1:$N$1998,9,FALSE)=1,"&lt;",""),"")</f>
        <v/>
      </c>
      <c r="M282" s="4" t="str">
        <f t="shared" si="150"/>
        <v/>
      </c>
      <c r="N282" s="4" t="str">
        <f t="shared" si="151"/>
        <v/>
      </c>
      <c r="O282" s="4" t="str">
        <f t="shared" si="157"/>
        <v/>
      </c>
      <c r="P282" s="4" t="str">
        <f t="shared" si="152"/>
        <v/>
      </c>
      <c r="Q282" s="4" t="str">
        <f t="shared" si="158"/>
        <v/>
      </c>
      <c r="R282" s="4" t="str">
        <f t="shared" si="153"/>
        <v/>
      </c>
      <c r="V282" s="4">
        <f>IFERROR(IF(VLOOKUP(B282,E!$B$1:$AK$300,4,FALSE)=0,1000000,VLOOKUP(B282,E!$B$1:$AK$300,4,FALSE)),1000000)</f>
        <v>1000000</v>
      </c>
      <c r="Z282" s="4" t="str">
        <f t="shared" si="160"/>
        <v/>
      </c>
      <c r="AC282" s="4" t="str">
        <f t="shared" si="161"/>
        <v/>
      </c>
      <c r="AF282" s="4" t="str">
        <f t="shared" si="162"/>
        <v/>
      </c>
      <c r="AI282" s="77">
        <v>0</v>
      </c>
      <c r="AJ282" s="77">
        <v>0</v>
      </c>
      <c r="AK282" s="77">
        <v>1</v>
      </c>
      <c r="AO282" s="4">
        <f t="shared" si="154"/>
        <v>5</v>
      </c>
      <c r="AQ282" s="4">
        <f t="shared" si="155"/>
        <v>5</v>
      </c>
      <c r="AS282" s="4">
        <f t="shared" si="156"/>
        <v>5</v>
      </c>
      <c r="AV282" s="4" t="str">
        <f t="shared" si="165"/>
        <v/>
      </c>
      <c r="AX282" s="4" t="str">
        <f t="shared" si="166"/>
        <v/>
      </c>
      <c r="AZ282" s="4" t="str">
        <f t="shared" si="167"/>
        <v/>
      </c>
    </row>
    <row r="283" spans="1:52" x14ac:dyDescent="0.2">
      <c r="A283" s="4" t="s">
        <v>698</v>
      </c>
      <c r="B283" s="4">
        <v>2334</v>
      </c>
      <c r="C283" s="71" t="str">
        <f t="shared" si="140"/>
        <v>urn:immetingen:parameter:id:2334</v>
      </c>
      <c r="D283" s="4" t="str">
        <f>IFERROR(IF(VLOOKUP($C283,'C'!$A$1:$N$1998,4,FALSE)=0,IF(VLOOKUP($C283,'C'!$A$1:$N$1998,7,FALSE)=0,VLOOKUP($C283,'C'!$A$1:$N$1998,10,FALSE),VLOOKUP($C283,'C'!$A$1:$N$1998,7,FALSE)),VLOOKUP($C283,'C'!$A$1:$N$1998,4,FALSE)),"")</f>
        <v/>
      </c>
      <c r="E283" s="71">
        <f>Invoer!D56</f>
        <v>0</v>
      </c>
      <c r="F283" s="71" t="str">
        <f>IF(Invoer!C56="&lt;","&lt;","")</f>
        <v/>
      </c>
      <c r="G283" s="71">
        <f>Invoer!F56</f>
        <v>0</v>
      </c>
      <c r="H283" s="71" t="str">
        <f>IF(Invoer!E56="&lt;","&lt;","")</f>
        <v/>
      </c>
      <c r="I283" s="71">
        <f>Invoer!H56</f>
        <v>0</v>
      </c>
      <c r="J283" s="71" t="str">
        <f>IF(Invoer!G56="&lt;","&lt;","")</f>
        <v/>
      </c>
      <c r="K283" s="71"/>
      <c r="L283" s="71"/>
      <c r="M283" s="4">
        <f t="shared" si="150"/>
        <v>0</v>
      </c>
      <c r="N283" s="4" t="str">
        <f t="shared" si="151"/>
        <v/>
      </c>
      <c r="O283" s="4">
        <f t="shared" si="157"/>
        <v>0</v>
      </c>
      <c r="P283" s="4" t="str">
        <f t="shared" si="152"/>
        <v/>
      </c>
      <c r="Q283" s="4">
        <f t="shared" si="158"/>
        <v>0</v>
      </c>
      <c r="R283" s="4" t="str">
        <f t="shared" si="153"/>
        <v/>
      </c>
      <c r="S283" s="71"/>
      <c r="T283" s="71"/>
      <c r="U283" s="71"/>
      <c r="V283" s="4">
        <f>IFERROR(IF(VLOOKUP(B283,E!$B$1:$AK$300,4,FALSE)=0,1000000,VLOOKUP(B283,E!$B$1:$AK$300,4,FALSE)),1000000)</f>
        <v>1000000</v>
      </c>
      <c r="W283" s="71"/>
      <c r="X283" s="71"/>
      <c r="Z283" s="4">
        <f t="shared" si="160"/>
        <v>0</v>
      </c>
      <c r="AC283" s="4">
        <f t="shared" si="161"/>
        <v>0</v>
      </c>
      <c r="AF283" s="4">
        <f t="shared" si="162"/>
        <v>0</v>
      </c>
      <c r="AI283" s="77">
        <v>0</v>
      </c>
      <c r="AJ283" s="77">
        <v>0</v>
      </c>
      <c r="AK283" s="77">
        <v>1</v>
      </c>
      <c r="AO283" s="4">
        <f t="shared" si="154"/>
        <v>5</v>
      </c>
      <c r="AQ283" s="4">
        <f t="shared" si="155"/>
        <v>5</v>
      </c>
      <c r="AS283" s="4">
        <f t="shared" si="156"/>
        <v>5</v>
      </c>
      <c r="AV283" s="4">
        <f t="shared" si="165"/>
        <v>0</v>
      </c>
      <c r="AX283" s="4">
        <f t="shared" si="166"/>
        <v>0</v>
      </c>
      <c r="AZ283" s="4">
        <f t="shared" si="167"/>
        <v>0</v>
      </c>
    </row>
    <row r="284" spans="1:52" x14ac:dyDescent="0.2">
      <c r="A284" s="4" t="s">
        <v>699</v>
      </c>
      <c r="B284" s="4">
        <v>2413</v>
      </c>
      <c r="C284" s="71" t="str">
        <f t="shared" si="140"/>
        <v>urn:immetingen:parameter:id:2413</v>
      </c>
      <c r="D284" s="4" t="str">
        <f>IFERROR(IF(VLOOKUP($C284,'C'!$A$1:$N$1998,4,FALSE)=0,IF(VLOOKUP($C284,'C'!$A$1:$N$1998,7,FALSE)=0,VLOOKUP($C284,'C'!$A$1:$N$1998,10,FALSE),VLOOKUP($C284,'C'!$A$1:$N$1998,7,FALSE)),VLOOKUP($C284,'C'!$A$1:$N$1998,4,FALSE)),"")</f>
        <v/>
      </c>
      <c r="E284" s="71">
        <f>Invoer!D57</f>
        <v>0</v>
      </c>
      <c r="F284" s="71" t="str">
        <f>IF(Invoer!C57="&lt;","&lt;","")</f>
        <v/>
      </c>
      <c r="G284" s="71">
        <f>Invoer!F57</f>
        <v>0</v>
      </c>
      <c r="H284" s="71" t="str">
        <f>IF(Invoer!E57="&lt;","&lt;","")</f>
        <v/>
      </c>
      <c r="I284" s="71">
        <f>Invoer!H57</f>
        <v>0</v>
      </c>
      <c r="J284" s="71" t="str">
        <f>IF(Invoer!G57="&lt;","&lt;","")</f>
        <v/>
      </c>
      <c r="K284" s="71"/>
      <c r="L284" s="71"/>
      <c r="M284" s="4">
        <f t="shared" si="150"/>
        <v>0</v>
      </c>
      <c r="N284" s="4" t="str">
        <f t="shared" si="151"/>
        <v/>
      </c>
      <c r="O284" s="4">
        <f t="shared" si="157"/>
        <v>0</v>
      </c>
      <c r="P284" s="4" t="str">
        <f t="shared" si="152"/>
        <v/>
      </c>
      <c r="Q284" s="4">
        <f t="shared" si="158"/>
        <v>0</v>
      </c>
      <c r="R284" s="4" t="str">
        <f t="shared" si="153"/>
        <v/>
      </c>
      <c r="S284" s="71"/>
      <c r="T284" s="71"/>
      <c r="U284" s="71"/>
      <c r="V284" s="4">
        <f>IFERROR(IF(VLOOKUP(B284,E!$B$1:$AK$300,4,FALSE)=0,1000000,VLOOKUP(B284,E!$B$1:$AK$300,4,FALSE)),1000000)</f>
        <v>1000000</v>
      </c>
      <c r="W284" s="71"/>
      <c r="X284" s="71"/>
      <c r="Z284" s="4">
        <f t="shared" si="160"/>
        <v>0</v>
      </c>
      <c r="AC284" s="4">
        <f t="shared" si="161"/>
        <v>0</v>
      </c>
      <c r="AF284" s="4">
        <f t="shared" si="162"/>
        <v>0</v>
      </c>
      <c r="AI284" s="77">
        <v>0</v>
      </c>
      <c r="AJ284" s="77">
        <v>0</v>
      </c>
      <c r="AK284" s="77">
        <v>1</v>
      </c>
      <c r="AO284" s="4">
        <f t="shared" si="154"/>
        <v>5</v>
      </c>
      <c r="AQ284" s="4">
        <f t="shared" si="155"/>
        <v>5</v>
      </c>
      <c r="AS284" s="4">
        <f t="shared" si="156"/>
        <v>5</v>
      </c>
      <c r="AV284" s="4">
        <f t="shared" si="165"/>
        <v>0</v>
      </c>
      <c r="AX284" s="4">
        <f t="shared" si="166"/>
        <v>0</v>
      </c>
      <c r="AZ284" s="4">
        <f t="shared" si="167"/>
        <v>0</v>
      </c>
    </row>
    <row r="285" spans="1:52" x14ac:dyDescent="0.2">
      <c r="A285" s="4" t="s">
        <v>700</v>
      </c>
      <c r="B285" s="4">
        <v>2336</v>
      </c>
      <c r="C285" s="4" t="str">
        <f t="shared" si="140"/>
        <v>urn:immetingen:parameter:id:2336</v>
      </c>
      <c r="D285" s="4" t="str">
        <f>IFERROR(IF(VLOOKUP($C285,'C'!$A$1:$N$1998,4,FALSE)=0,IF(VLOOKUP($C285,'C'!$A$1:$N$1998,7,FALSE)=0,VLOOKUP($C285,'C'!$A$1:$N$1998,10,FALSE),VLOOKUP($C285,'C'!$A$1:$N$1998,7,FALSE)),VLOOKUP($C285,'C'!$A$1:$N$1998,4,FALSE)),"")</f>
        <v/>
      </c>
      <c r="E285" s="4" t="str">
        <f>IFERROR(VLOOKUP($C285,'C'!$A$1:$N$1998,2,FALSE),"")</f>
        <v/>
      </c>
      <c r="F285" s="4" t="str">
        <f>IFERROR(IF(VLOOKUP($C285,'C'!$A$1:$N$1998,3,FALSE)=1,"&lt;",""),"")</f>
        <v/>
      </c>
      <c r="G285" s="4" t="str">
        <f>IFERROR(VLOOKUP($C285,'C'!$A$1:$N$1998,5,FALSE),"")</f>
        <v/>
      </c>
      <c r="H285" s="4" t="str">
        <f>IFERROR(IF(VLOOKUP($C285,'C'!$A$1:$N$1998,6,FALSE)=1,"&lt;",""),"")</f>
        <v/>
      </c>
      <c r="I285" s="4" t="str">
        <f>IFERROR(VLOOKUP($C285,'C'!$A$1:$N$1998,8,FALSE),"")</f>
        <v/>
      </c>
      <c r="J285" s="4" t="str">
        <f>IFERROR(IF(VLOOKUP($C285,'C'!$A$1:$N$1998,9,FALSE)=1,"&lt;",""),"")</f>
        <v/>
      </c>
      <c r="M285" s="4" t="str">
        <f t="shared" si="150"/>
        <v/>
      </c>
      <c r="N285" s="4" t="str">
        <f t="shared" si="151"/>
        <v/>
      </c>
      <c r="O285" s="4" t="str">
        <f t="shared" si="157"/>
        <v/>
      </c>
      <c r="P285" s="4" t="str">
        <f t="shared" si="152"/>
        <v/>
      </c>
      <c r="Q285" s="4" t="str">
        <f t="shared" si="158"/>
        <v/>
      </c>
      <c r="R285" s="4" t="str">
        <f t="shared" si="153"/>
        <v/>
      </c>
      <c r="V285" s="4">
        <f>IFERROR(IF(VLOOKUP(B285,E!$B$1:$AK$300,4,FALSE)=0,1000000,VLOOKUP(B285,E!$B$1:$AK$300,4,FALSE)),1000000)</f>
        <v>1000000</v>
      </c>
      <c r="Z285" s="4" t="str">
        <f t="shared" si="160"/>
        <v/>
      </c>
      <c r="AC285" s="4" t="str">
        <f t="shared" si="161"/>
        <v/>
      </c>
      <c r="AF285" s="4" t="str">
        <f t="shared" si="162"/>
        <v/>
      </c>
      <c r="AI285" s="77">
        <v>0</v>
      </c>
      <c r="AJ285" s="77">
        <v>0</v>
      </c>
      <c r="AK285" s="77">
        <v>1</v>
      </c>
      <c r="AO285" s="4">
        <f t="shared" si="154"/>
        <v>5</v>
      </c>
      <c r="AQ285" s="4">
        <f t="shared" si="155"/>
        <v>5</v>
      </c>
      <c r="AS285" s="4">
        <f t="shared" si="156"/>
        <v>5</v>
      </c>
      <c r="AV285" s="4" t="str">
        <f t="shared" si="165"/>
        <v/>
      </c>
      <c r="AX285" s="4" t="str">
        <f t="shared" si="166"/>
        <v/>
      </c>
      <c r="AZ285" s="4" t="str">
        <f t="shared" si="167"/>
        <v/>
      </c>
    </row>
    <row r="286" spans="1:52" x14ac:dyDescent="0.2">
      <c r="A286" s="4" t="s">
        <v>701</v>
      </c>
      <c r="B286" s="4">
        <v>2337</v>
      </c>
      <c r="C286" s="4" t="str">
        <f t="shared" si="140"/>
        <v>urn:immetingen:parameter:id:2337</v>
      </c>
      <c r="D286" s="4" t="str">
        <f>IFERROR(IF(VLOOKUP($C286,'C'!$A$1:$N$1998,4,FALSE)=0,IF(VLOOKUP($C286,'C'!$A$1:$N$1998,7,FALSE)=0,VLOOKUP($C286,'C'!$A$1:$N$1998,10,FALSE),VLOOKUP($C286,'C'!$A$1:$N$1998,7,FALSE)),VLOOKUP($C286,'C'!$A$1:$N$1998,4,FALSE)),"")</f>
        <v/>
      </c>
      <c r="E286" s="4" t="str">
        <f>IFERROR(VLOOKUP($C286,'C'!$A$1:$N$1998,2,FALSE),"")</f>
        <v/>
      </c>
      <c r="F286" s="4" t="str">
        <f>IFERROR(IF(VLOOKUP($C286,'C'!$A$1:$N$1998,3,FALSE)=1,"&lt;",""),"")</f>
        <v/>
      </c>
      <c r="G286" s="4" t="str">
        <f>IFERROR(VLOOKUP($C286,'C'!$A$1:$N$1998,5,FALSE),"")</f>
        <v/>
      </c>
      <c r="H286" s="4" t="str">
        <f>IFERROR(IF(VLOOKUP($C286,'C'!$A$1:$N$1998,6,FALSE)=1,"&lt;",""),"")</f>
        <v/>
      </c>
      <c r="I286" s="4" t="str">
        <f>IFERROR(VLOOKUP($C286,'C'!$A$1:$N$1998,8,FALSE),"")</f>
        <v/>
      </c>
      <c r="J286" s="4" t="str">
        <f>IFERROR(IF(VLOOKUP($C286,'C'!$A$1:$N$1998,9,FALSE)=1,"&lt;",""),"")</f>
        <v/>
      </c>
      <c r="M286" s="4" t="str">
        <f t="shared" ref="M286:M349" si="168">IF(E286="","",IF($D286=131,E286/1000,E286))</f>
        <v/>
      </c>
      <c r="N286" s="4" t="str">
        <f t="shared" si="151"/>
        <v/>
      </c>
      <c r="O286" s="4" t="str">
        <f t="shared" si="157"/>
        <v/>
      </c>
      <c r="P286" s="4" t="str">
        <f t="shared" si="152"/>
        <v/>
      </c>
      <c r="Q286" s="4" t="str">
        <f t="shared" si="158"/>
        <v/>
      </c>
      <c r="R286" s="4" t="str">
        <f t="shared" si="153"/>
        <v/>
      </c>
      <c r="V286" s="4">
        <f>IFERROR(IF(VLOOKUP(B286,E!$B$1:$AK$300,4,FALSE)=0,1000000,VLOOKUP(B286,E!$B$1:$AK$300,4,FALSE)),1000000)</f>
        <v>1000000</v>
      </c>
      <c r="Z286" s="4" t="str">
        <f t="shared" si="160"/>
        <v/>
      </c>
      <c r="AC286" s="4" t="str">
        <f t="shared" si="161"/>
        <v/>
      </c>
      <c r="AF286" s="4" t="str">
        <f t="shared" si="162"/>
        <v/>
      </c>
      <c r="AI286" s="77">
        <v>0</v>
      </c>
      <c r="AJ286" s="77">
        <v>0</v>
      </c>
      <c r="AK286" s="77">
        <v>1</v>
      </c>
      <c r="AO286" s="4">
        <f t="shared" si="154"/>
        <v>5</v>
      </c>
      <c r="AQ286" s="4">
        <f t="shared" si="155"/>
        <v>5</v>
      </c>
      <c r="AS286" s="4">
        <f t="shared" si="156"/>
        <v>5</v>
      </c>
      <c r="AV286" s="4" t="str">
        <f t="shared" si="165"/>
        <v/>
      </c>
      <c r="AX286" s="4" t="str">
        <f t="shared" si="166"/>
        <v/>
      </c>
      <c r="AZ286" s="4" t="str">
        <f t="shared" si="167"/>
        <v/>
      </c>
    </row>
    <row r="287" spans="1:52" x14ac:dyDescent="0.2">
      <c r="A287" s="4" t="s">
        <v>702</v>
      </c>
      <c r="B287" s="4">
        <v>2338</v>
      </c>
      <c r="C287" s="4" t="str">
        <f t="shared" si="140"/>
        <v>urn:immetingen:parameter:id:2338</v>
      </c>
      <c r="D287" s="4" t="str">
        <f>IFERROR(IF(VLOOKUP($C287,'C'!$A$1:$N$1998,4,FALSE)=0,IF(VLOOKUP($C287,'C'!$A$1:$N$1998,7,FALSE)=0,VLOOKUP($C287,'C'!$A$1:$N$1998,10,FALSE),VLOOKUP($C287,'C'!$A$1:$N$1998,7,FALSE)),VLOOKUP($C287,'C'!$A$1:$N$1998,4,FALSE)),"")</f>
        <v/>
      </c>
      <c r="E287" s="4" t="str">
        <f>IFERROR(VLOOKUP($C287,'C'!$A$1:$N$1998,2,FALSE),"")</f>
        <v/>
      </c>
      <c r="F287" s="4" t="str">
        <f>IFERROR(IF(VLOOKUP($C287,'C'!$A$1:$N$1998,3,FALSE)=1,"&lt;",""),"")</f>
        <v/>
      </c>
      <c r="G287" s="4" t="str">
        <f>IFERROR(VLOOKUP($C287,'C'!$A$1:$N$1998,5,FALSE),"")</f>
        <v/>
      </c>
      <c r="H287" s="4" t="str">
        <f>IFERROR(IF(VLOOKUP($C287,'C'!$A$1:$N$1998,6,FALSE)=1,"&lt;",""),"")</f>
        <v/>
      </c>
      <c r="I287" s="4" t="str">
        <f>IFERROR(VLOOKUP($C287,'C'!$A$1:$N$1998,8,FALSE),"")</f>
        <v/>
      </c>
      <c r="J287" s="4" t="str">
        <f>IFERROR(IF(VLOOKUP($C287,'C'!$A$1:$N$1998,9,FALSE)=1,"&lt;",""),"")</f>
        <v/>
      </c>
      <c r="M287" s="4" t="str">
        <f t="shared" si="168"/>
        <v/>
      </c>
      <c r="N287" s="4" t="str">
        <f t="shared" ref="N287:N350" si="169">IF(F287="","",F287)</f>
        <v/>
      </c>
      <c r="O287" s="4" t="str">
        <f t="shared" si="157"/>
        <v/>
      </c>
      <c r="P287" s="4" t="str">
        <f t="shared" ref="P287:P350" si="170">IF(H287="","",H287)</f>
        <v/>
      </c>
      <c r="Q287" s="4" t="str">
        <f t="shared" si="158"/>
        <v/>
      </c>
      <c r="R287" s="4" t="str">
        <f t="shared" ref="R287:R350" si="171">IF(J287="","",J287)</f>
        <v/>
      </c>
      <c r="V287" s="4">
        <f>IFERROR(IF(VLOOKUP(B287,E!$B$1:$AK$300,4,FALSE)=0,1000000,VLOOKUP(B287,E!$B$1:$AK$300,4,FALSE)),1000000)</f>
        <v>1000000</v>
      </c>
      <c r="Z287" s="4" t="str">
        <f t="shared" si="160"/>
        <v/>
      </c>
      <c r="AC287" s="4" t="str">
        <f t="shared" si="161"/>
        <v/>
      </c>
      <c r="AF287" s="4" t="str">
        <f t="shared" si="162"/>
        <v/>
      </c>
      <c r="AI287" s="77">
        <v>0</v>
      </c>
      <c r="AJ287" s="77">
        <v>0</v>
      </c>
      <c r="AK287" s="77">
        <v>1</v>
      </c>
      <c r="AO287" s="4">
        <f t="shared" ref="AO287:AO326" si="172">($AI287+($AJ287*25)+($AK287*10))/($AI287+($AJ287*AO$7)+($AK287*AO$6))</f>
        <v>5</v>
      </c>
      <c r="AQ287" s="4">
        <f t="shared" ref="AQ287:AQ326" si="173">($AI287+($AJ287*25)+($AK287*10))/($AI287+($AJ287*AQ$7)+($AK287*AQ$6))</f>
        <v>5</v>
      </c>
      <c r="AS287" s="4">
        <f t="shared" ref="AS287:AS326" si="174">($AI287+($AJ287*25)+($AK287*10))/($AI287+($AJ287*AS$7)+($AK287*AS$6))</f>
        <v>5</v>
      </c>
      <c r="AV287" s="4" t="str">
        <f t="shared" si="165"/>
        <v/>
      </c>
      <c r="AX287" s="4" t="str">
        <f t="shared" si="166"/>
        <v/>
      </c>
      <c r="AZ287" s="4" t="str">
        <f t="shared" si="167"/>
        <v/>
      </c>
    </row>
    <row r="288" spans="1:52" x14ac:dyDescent="0.2">
      <c r="A288" s="4" t="s">
        <v>703</v>
      </c>
      <c r="B288" s="4">
        <v>459</v>
      </c>
      <c r="C288" s="4" t="str">
        <f t="shared" si="140"/>
        <v>urn:immetingen:parameter:id:459</v>
      </c>
      <c r="D288" s="4" t="str">
        <f>IFERROR(IF(VLOOKUP($C288,'C'!$A$1:$N$1998,4,FALSE)=0,IF(VLOOKUP($C288,'C'!$A$1:$N$1998,7,FALSE)=0,VLOOKUP($C288,'C'!$A$1:$N$1998,10,FALSE),VLOOKUP($C288,'C'!$A$1:$N$1998,7,FALSE)),VLOOKUP($C288,'C'!$A$1:$N$1998,4,FALSE)),"")</f>
        <v/>
      </c>
      <c r="E288" s="4" t="str">
        <f>IFERROR(VLOOKUP($C288,'C'!$A$1:$N$1998,2,FALSE),"")</f>
        <v/>
      </c>
      <c r="F288" s="4" t="str">
        <f>IFERROR(IF(VLOOKUP($C288,'C'!$A$1:$N$1998,3,FALSE)=1,"&lt;",""),"")</f>
        <v/>
      </c>
      <c r="G288" s="4" t="str">
        <f>IFERROR(VLOOKUP($C288,'C'!$A$1:$N$1998,5,FALSE),"")</f>
        <v/>
      </c>
      <c r="H288" s="4" t="str">
        <f>IFERROR(IF(VLOOKUP($C288,'C'!$A$1:$N$1998,6,FALSE)=1,"&lt;",""),"")</f>
        <v/>
      </c>
      <c r="I288" s="4" t="str">
        <f>IFERROR(VLOOKUP($C288,'C'!$A$1:$N$1998,8,FALSE),"")</f>
        <v/>
      </c>
      <c r="J288" s="4" t="str">
        <f>IFERROR(IF(VLOOKUP($C288,'C'!$A$1:$N$1998,9,FALSE)=1,"&lt;",""),"")</f>
        <v/>
      </c>
      <c r="M288" s="4" t="str">
        <f t="shared" si="168"/>
        <v/>
      </c>
      <c r="N288" s="4" t="str">
        <f t="shared" si="169"/>
        <v/>
      </c>
      <c r="O288" s="4" t="str">
        <f t="shared" si="157"/>
        <v/>
      </c>
      <c r="P288" s="4" t="str">
        <f t="shared" si="170"/>
        <v/>
      </c>
      <c r="Q288" s="4" t="str">
        <f t="shared" si="158"/>
        <v/>
      </c>
      <c r="R288" s="4" t="str">
        <f t="shared" si="171"/>
        <v/>
      </c>
      <c r="V288" s="4">
        <f>IFERROR(IF(VLOOKUP(B288,E!$B$1:$AK$300,4,FALSE)=0,1000000,VLOOKUP(B288,E!$B$1:$AK$300,4,FALSE)),1000000)</f>
        <v>1000000</v>
      </c>
      <c r="Z288" s="4" t="str">
        <f t="shared" si="160"/>
        <v/>
      </c>
      <c r="AC288" s="4" t="str">
        <f t="shared" si="161"/>
        <v/>
      </c>
      <c r="AF288" s="4" t="str">
        <f t="shared" si="162"/>
        <v/>
      </c>
      <c r="AI288" s="77">
        <v>0</v>
      </c>
      <c r="AJ288" s="77">
        <v>0</v>
      </c>
      <c r="AK288" s="77">
        <v>1</v>
      </c>
      <c r="AO288" s="4">
        <f t="shared" si="172"/>
        <v>5</v>
      </c>
      <c r="AQ288" s="4">
        <f t="shared" si="173"/>
        <v>5</v>
      </c>
      <c r="AS288" s="4">
        <f t="shared" si="174"/>
        <v>5</v>
      </c>
      <c r="AV288" s="4" t="str">
        <f t="shared" si="165"/>
        <v/>
      </c>
      <c r="AX288" s="4" t="str">
        <f t="shared" si="166"/>
        <v/>
      </c>
      <c r="AZ288" s="4" t="str">
        <f t="shared" si="167"/>
        <v/>
      </c>
    </row>
    <row r="289" spans="1:52" x14ac:dyDescent="0.2">
      <c r="A289" s="4" t="s">
        <v>704</v>
      </c>
      <c r="B289" s="4">
        <v>594</v>
      </c>
      <c r="C289" s="4" t="str">
        <f t="shared" si="140"/>
        <v>urn:immetingen:parameter:id:594</v>
      </c>
      <c r="D289" s="4" t="str">
        <f>IFERROR(IF(VLOOKUP($C289,'C'!$A$1:$N$1998,4,FALSE)=0,IF(VLOOKUP($C289,'C'!$A$1:$N$1998,7,FALSE)=0,VLOOKUP($C289,'C'!$A$1:$N$1998,10,FALSE),VLOOKUP($C289,'C'!$A$1:$N$1998,7,FALSE)),VLOOKUP($C289,'C'!$A$1:$N$1998,4,FALSE)),"")</f>
        <v/>
      </c>
      <c r="E289" s="4" t="str">
        <f>IFERROR(VLOOKUP($C289,'C'!$A$1:$N$1998,2,FALSE),"")</f>
        <v/>
      </c>
      <c r="F289" s="4" t="str">
        <f>IFERROR(IF(VLOOKUP($C289,'C'!$A$1:$N$1998,3,FALSE)=1,"&lt;",""),"")</f>
        <v/>
      </c>
      <c r="G289" s="4" t="str">
        <f>IFERROR(VLOOKUP($C289,'C'!$A$1:$N$1998,5,FALSE),"")</f>
        <v/>
      </c>
      <c r="H289" s="4" t="str">
        <f>IFERROR(IF(VLOOKUP($C289,'C'!$A$1:$N$1998,6,FALSE)=1,"&lt;",""),"")</f>
        <v/>
      </c>
      <c r="I289" s="4" t="str">
        <f>IFERROR(VLOOKUP($C289,'C'!$A$1:$N$1998,8,FALSE),"")</f>
        <v/>
      </c>
      <c r="J289" s="4" t="str">
        <f>IFERROR(IF(VLOOKUP($C289,'C'!$A$1:$N$1998,9,FALSE)=1,"&lt;",""),"")</f>
        <v/>
      </c>
      <c r="M289" s="4" t="str">
        <f t="shared" si="168"/>
        <v/>
      </c>
      <c r="N289" s="4" t="str">
        <f t="shared" si="169"/>
        <v/>
      </c>
      <c r="O289" s="4" t="str">
        <f t="shared" si="157"/>
        <v/>
      </c>
      <c r="P289" s="4" t="str">
        <f t="shared" si="170"/>
        <v/>
      </c>
      <c r="Q289" s="4" t="str">
        <f t="shared" si="158"/>
        <v/>
      </c>
      <c r="R289" s="4" t="str">
        <f t="shared" si="171"/>
        <v/>
      </c>
      <c r="V289" s="4">
        <f>IFERROR(IF(VLOOKUP(B289,E!$B$1:$AK$300,4,FALSE)=0,1000000,VLOOKUP(B289,E!$B$1:$AK$300,4,FALSE)),1000000)</f>
        <v>1000000</v>
      </c>
      <c r="Z289" s="4" t="str">
        <f t="shared" si="160"/>
        <v/>
      </c>
      <c r="AC289" s="4" t="str">
        <f t="shared" si="161"/>
        <v/>
      </c>
      <c r="AF289" s="4" t="str">
        <f t="shared" si="162"/>
        <v/>
      </c>
      <c r="AI289" s="77">
        <v>0</v>
      </c>
      <c r="AJ289" s="77">
        <v>0</v>
      </c>
      <c r="AK289" s="77">
        <v>1</v>
      </c>
      <c r="AO289" s="4">
        <f t="shared" si="172"/>
        <v>5</v>
      </c>
      <c r="AQ289" s="4">
        <f t="shared" si="173"/>
        <v>5</v>
      </c>
      <c r="AS289" s="4">
        <f t="shared" si="174"/>
        <v>5</v>
      </c>
      <c r="AV289" s="4" t="str">
        <f t="shared" si="165"/>
        <v/>
      </c>
      <c r="AX289" s="4" t="str">
        <f t="shared" si="166"/>
        <v/>
      </c>
      <c r="AZ289" s="4" t="str">
        <f t="shared" si="167"/>
        <v/>
      </c>
    </row>
    <row r="290" spans="1:52" x14ac:dyDescent="0.2">
      <c r="A290" s="4" t="s">
        <v>705</v>
      </c>
      <c r="B290" s="4">
        <v>2339</v>
      </c>
      <c r="C290" s="4" t="str">
        <f t="shared" si="140"/>
        <v>urn:immetingen:parameter:id:2339</v>
      </c>
      <c r="D290" s="4" t="str">
        <f>IFERROR(IF(VLOOKUP($C290,'C'!$A$1:$N$1998,4,FALSE)=0,IF(VLOOKUP($C290,'C'!$A$1:$N$1998,7,FALSE)=0,VLOOKUP($C290,'C'!$A$1:$N$1998,10,FALSE),VLOOKUP($C290,'C'!$A$1:$N$1998,7,FALSE)),VLOOKUP($C290,'C'!$A$1:$N$1998,4,FALSE)),"")</f>
        <v/>
      </c>
      <c r="E290" s="4" t="str">
        <f>IFERROR(VLOOKUP($C290,'C'!$A$1:$N$1998,2,FALSE),"")</f>
        <v/>
      </c>
      <c r="F290" s="4" t="str">
        <f>IFERROR(IF(VLOOKUP($C290,'C'!$A$1:$N$1998,3,FALSE)=1,"&lt;",""),"")</f>
        <v/>
      </c>
      <c r="G290" s="4" t="str">
        <f>IFERROR(VLOOKUP($C290,'C'!$A$1:$N$1998,5,FALSE),"")</f>
        <v/>
      </c>
      <c r="H290" s="4" t="str">
        <f>IFERROR(IF(VLOOKUP($C290,'C'!$A$1:$N$1998,6,FALSE)=1,"&lt;",""),"")</f>
        <v/>
      </c>
      <c r="I290" s="4" t="str">
        <f>IFERROR(VLOOKUP($C290,'C'!$A$1:$N$1998,8,FALSE),"")</f>
        <v/>
      </c>
      <c r="J290" s="4" t="str">
        <f>IFERROR(IF(VLOOKUP($C290,'C'!$A$1:$N$1998,9,FALSE)=1,"&lt;",""),"")</f>
        <v/>
      </c>
      <c r="M290" s="4" t="str">
        <f t="shared" si="168"/>
        <v/>
      </c>
      <c r="N290" s="4" t="str">
        <f t="shared" si="169"/>
        <v/>
      </c>
      <c r="O290" s="4" t="str">
        <f t="shared" si="157"/>
        <v/>
      </c>
      <c r="P290" s="4" t="str">
        <f t="shared" si="170"/>
        <v/>
      </c>
      <c r="Q290" s="4" t="str">
        <f t="shared" si="158"/>
        <v/>
      </c>
      <c r="R290" s="4" t="str">
        <f t="shared" si="171"/>
        <v/>
      </c>
      <c r="V290" s="4">
        <f>IFERROR(IF(VLOOKUP(B290,E!$B$1:$AK$300,4,FALSE)=0,1000000,VLOOKUP(B290,E!$B$1:$AK$300,4,FALSE)),1000000)</f>
        <v>1000000</v>
      </c>
      <c r="Z290" s="4" t="str">
        <f t="shared" si="160"/>
        <v/>
      </c>
      <c r="AC290" s="4" t="str">
        <f t="shared" si="161"/>
        <v/>
      </c>
      <c r="AF290" s="4" t="str">
        <f t="shared" si="162"/>
        <v/>
      </c>
      <c r="AI290" s="77">
        <v>0</v>
      </c>
      <c r="AJ290" s="77">
        <v>0</v>
      </c>
      <c r="AK290" s="77">
        <v>1</v>
      </c>
      <c r="AO290" s="4">
        <f t="shared" si="172"/>
        <v>5</v>
      </c>
      <c r="AQ290" s="4">
        <f t="shared" si="173"/>
        <v>5</v>
      </c>
      <c r="AS290" s="4">
        <f t="shared" si="174"/>
        <v>5</v>
      </c>
      <c r="AV290" s="4" t="str">
        <f t="shared" si="165"/>
        <v/>
      </c>
      <c r="AX290" s="4" t="str">
        <f t="shared" si="166"/>
        <v/>
      </c>
      <c r="AZ290" s="4" t="str">
        <f t="shared" si="167"/>
        <v/>
      </c>
    </row>
    <row r="291" spans="1:52" x14ac:dyDescent="0.2">
      <c r="A291" s="4" t="s">
        <v>706</v>
      </c>
      <c r="B291" s="4">
        <v>909</v>
      </c>
      <c r="C291" s="4" t="str">
        <f t="shared" si="140"/>
        <v>urn:immetingen:parameter:id:909</v>
      </c>
      <c r="D291" s="4" t="str">
        <f>IFERROR(IF(VLOOKUP($C291,'C'!$A$1:$N$1998,4,FALSE)=0,IF(VLOOKUP($C291,'C'!$A$1:$N$1998,7,FALSE)=0,VLOOKUP($C291,'C'!$A$1:$N$1998,10,FALSE),VLOOKUP($C291,'C'!$A$1:$N$1998,7,FALSE)),VLOOKUP($C291,'C'!$A$1:$N$1998,4,FALSE)),"")</f>
        <v/>
      </c>
      <c r="E291" s="4" t="str">
        <f>IFERROR(VLOOKUP($C291,'C'!$A$1:$N$1998,2,FALSE),"")</f>
        <v/>
      </c>
      <c r="F291" s="4" t="str">
        <f>IFERROR(IF(VLOOKUP($C291,'C'!$A$1:$N$1998,3,FALSE)=1,"&lt;",""),"")</f>
        <v/>
      </c>
      <c r="G291" s="4" t="str">
        <f>IFERROR(VLOOKUP($C291,'C'!$A$1:$N$1998,5,FALSE),"")</f>
        <v/>
      </c>
      <c r="H291" s="4" t="str">
        <f>IFERROR(IF(VLOOKUP($C291,'C'!$A$1:$N$1998,6,FALSE)=1,"&lt;",""),"")</f>
        <v/>
      </c>
      <c r="I291" s="4" t="str">
        <f>IFERROR(VLOOKUP($C291,'C'!$A$1:$N$1998,8,FALSE),"")</f>
        <v/>
      </c>
      <c r="J291" s="4" t="str">
        <f>IFERROR(IF(VLOOKUP($C291,'C'!$A$1:$N$1998,9,FALSE)=1,"&lt;",""),"")</f>
        <v/>
      </c>
      <c r="M291" s="4" t="str">
        <f t="shared" si="168"/>
        <v/>
      </c>
      <c r="N291" s="4" t="str">
        <f t="shared" si="169"/>
        <v/>
      </c>
      <c r="O291" s="4" t="str">
        <f t="shared" ref="O291:O354" si="175">IF(G291="","",IF($D291=131,G291/1000,G291))</f>
        <v/>
      </c>
      <c r="P291" s="4" t="str">
        <f t="shared" si="170"/>
        <v/>
      </c>
      <c r="Q291" s="4" t="str">
        <f t="shared" ref="Q291:Q354" si="176">IF(I291="","",IF($D291=131,I291/1000,I291))</f>
        <v/>
      </c>
      <c r="R291" s="4" t="str">
        <f t="shared" si="171"/>
        <v/>
      </c>
      <c r="V291" s="4">
        <f>IFERROR(IF(VLOOKUP(B291,E!$B$1:$AK$300,4,FALSE)=0,1000000,VLOOKUP(B291,E!$B$1:$AK$300,4,FALSE)),1000000)</f>
        <v>1000000</v>
      </c>
      <c r="Z291" s="4" t="str">
        <f t="shared" si="160"/>
        <v/>
      </c>
      <c r="AC291" s="4" t="str">
        <f t="shared" si="161"/>
        <v/>
      </c>
      <c r="AF291" s="4" t="str">
        <f t="shared" si="162"/>
        <v/>
      </c>
      <c r="AI291" s="77">
        <v>0</v>
      </c>
      <c r="AJ291" s="77">
        <v>0</v>
      </c>
      <c r="AK291" s="77">
        <v>1</v>
      </c>
      <c r="AO291" s="4">
        <f t="shared" si="172"/>
        <v>5</v>
      </c>
      <c r="AQ291" s="4">
        <f t="shared" si="173"/>
        <v>5</v>
      </c>
      <c r="AS291" s="4">
        <f t="shared" si="174"/>
        <v>5</v>
      </c>
      <c r="AV291" s="4" t="str">
        <f t="shared" si="165"/>
        <v/>
      </c>
      <c r="AX291" s="4" t="str">
        <f t="shared" si="166"/>
        <v/>
      </c>
      <c r="AZ291" s="4" t="str">
        <f t="shared" si="167"/>
        <v/>
      </c>
    </row>
    <row r="292" spans="1:52" x14ac:dyDescent="0.2">
      <c r="A292" s="4" t="s">
        <v>707</v>
      </c>
      <c r="B292" s="4">
        <v>1275</v>
      </c>
      <c r="C292" s="4" t="str">
        <f t="shared" si="140"/>
        <v>urn:immetingen:parameter:id:1275</v>
      </c>
      <c r="D292" s="4" t="str">
        <f>IFERROR(IF(VLOOKUP($C292,'C'!$A$1:$N$1998,4,FALSE)=0,IF(VLOOKUP($C292,'C'!$A$1:$N$1998,7,FALSE)=0,VLOOKUP($C292,'C'!$A$1:$N$1998,10,FALSE),VLOOKUP($C292,'C'!$A$1:$N$1998,7,FALSE)),VLOOKUP($C292,'C'!$A$1:$N$1998,4,FALSE)),"")</f>
        <v/>
      </c>
      <c r="E292" s="4" t="str">
        <f>IFERROR(VLOOKUP($C292,'C'!$A$1:$N$1998,2,FALSE),"")</f>
        <v/>
      </c>
      <c r="F292" s="4" t="str">
        <f>IFERROR(IF(VLOOKUP($C292,'C'!$A$1:$N$1998,3,FALSE)=1,"&lt;",""),"")</f>
        <v/>
      </c>
      <c r="G292" s="4" t="str">
        <f>IFERROR(VLOOKUP($C292,'C'!$A$1:$N$1998,5,FALSE),"")</f>
        <v/>
      </c>
      <c r="H292" s="4" t="str">
        <f>IFERROR(IF(VLOOKUP($C292,'C'!$A$1:$N$1998,6,FALSE)=1,"&lt;",""),"")</f>
        <v/>
      </c>
      <c r="I292" s="4" t="str">
        <f>IFERROR(VLOOKUP($C292,'C'!$A$1:$N$1998,8,FALSE),"")</f>
        <v/>
      </c>
      <c r="J292" s="4" t="str">
        <f>IFERROR(IF(VLOOKUP($C292,'C'!$A$1:$N$1998,9,FALSE)=1,"&lt;",""),"")</f>
        <v/>
      </c>
      <c r="M292" s="4" t="str">
        <f t="shared" si="168"/>
        <v/>
      </c>
      <c r="N292" s="4" t="str">
        <f t="shared" si="169"/>
        <v/>
      </c>
      <c r="O292" s="4" t="str">
        <f t="shared" si="175"/>
        <v/>
      </c>
      <c r="P292" s="4" t="str">
        <f t="shared" si="170"/>
        <v/>
      </c>
      <c r="Q292" s="4" t="str">
        <f t="shared" si="176"/>
        <v/>
      </c>
      <c r="R292" s="4" t="str">
        <f t="shared" si="171"/>
        <v/>
      </c>
      <c r="V292" s="4">
        <f>IFERROR(IF(VLOOKUP(B292,E!$B$1:$AK$300,4,FALSE)=0,1000000,VLOOKUP(B292,E!$B$1:$AK$300,4,FALSE)),1000000)</f>
        <v>1000000</v>
      </c>
      <c r="Z292" s="4" t="str">
        <f t="shared" si="160"/>
        <v/>
      </c>
      <c r="AC292" s="4" t="str">
        <f t="shared" si="161"/>
        <v/>
      </c>
      <c r="AF292" s="4" t="str">
        <f t="shared" si="162"/>
        <v/>
      </c>
      <c r="AI292" s="77">
        <v>0</v>
      </c>
      <c r="AJ292" s="77">
        <v>0</v>
      </c>
      <c r="AK292" s="77">
        <v>1</v>
      </c>
      <c r="AO292" s="4">
        <f t="shared" si="172"/>
        <v>5</v>
      </c>
      <c r="AQ292" s="4">
        <f t="shared" si="173"/>
        <v>5</v>
      </c>
      <c r="AS292" s="4">
        <f t="shared" si="174"/>
        <v>5</v>
      </c>
      <c r="AV292" s="4" t="str">
        <f t="shared" si="165"/>
        <v/>
      </c>
      <c r="AX292" s="4" t="str">
        <f t="shared" si="166"/>
        <v/>
      </c>
      <c r="AZ292" s="4" t="str">
        <f t="shared" si="167"/>
        <v/>
      </c>
    </row>
    <row r="293" spans="1:52" x14ac:dyDescent="0.2">
      <c r="A293" s="81" t="s">
        <v>843</v>
      </c>
      <c r="B293" s="4">
        <v>2159</v>
      </c>
      <c r="C293" s="4" t="str">
        <f t="shared" si="140"/>
        <v>urn:immetingen:parameter:id:2159</v>
      </c>
      <c r="D293" s="4" t="str">
        <f>IFERROR(IF(VLOOKUP($C293,'C'!$A$1:$N$1998,4,FALSE)=0,IF(VLOOKUP($C293,'C'!$A$1:$N$1998,7,FALSE)=0,VLOOKUP($C293,'C'!$A$1:$N$1998,10,FALSE),VLOOKUP($C293,'C'!$A$1:$N$1998,7,FALSE)),VLOOKUP($C293,'C'!$A$1:$N$1998,4,FALSE)),"")</f>
        <v/>
      </c>
      <c r="E293" s="4" t="str">
        <f>IFERROR(VLOOKUP($C293,'C'!$A$1:$N$1998,2,FALSE),"")</f>
        <v/>
      </c>
      <c r="F293" s="4" t="str">
        <f>IFERROR(IF(VLOOKUP($C293,'C'!$A$1:$N$1998,3,FALSE)=1,"&lt;",""),"")</f>
        <v/>
      </c>
      <c r="M293" s="4" t="str">
        <f t="shared" si="168"/>
        <v/>
      </c>
      <c r="N293" s="4" t="str">
        <f t="shared" si="169"/>
        <v/>
      </c>
      <c r="O293" s="4" t="str">
        <f t="shared" si="175"/>
        <v/>
      </c>
      <c r="P293" s="4" t="str">
        <f t="shared" si="170"/>
        <v/>
      </c>
      <c r="Q293" s="4" t="str">
        <f t="shared" si="176"/>
        <v/>
      </c>
      <c r="R293" s="4" t="str">
        <f t="shared" si="171"/>
        <v/>
      </c>
      <c r="V293" s="4">
        <f>IFERROR(IF(VLOOKUP(B293,E!$B$1:$AK$300,4,FALSE)=0,1000000,VLOOKUP(B293,E!$B$1:$AK$300,4,FALSE)),1000000)</f>
        <v>1000000000</v>
      </c>
      <c r="Z293" s="4" t="str">
        <f t="shared" si="160"/>
        <v/>
      </c>
      <c r="AC293" s="4" t="str">
        <f t="shared" si="161"/>
        <v/>
      </c>
      <c r="AF293" s="4" t="str">
        <f t="shared" si="162"/>
        <v/>
      </c>
      <c r="AI293" s="77">
        <v>0</v>
      </c>
      <c r="AJ293" s="77">
        <v>0</v>
      </c>
      <c r="AK293" s="77">
        <v>1</v>
      </c>
      <c r="AO293" s="4">
        <f t="shared" si="172"/>
        <v>5</v>
      </c>
      <c r="AQ293" s="4">
        <f t="shared" si="173"/>
        <v>5</v>
      </c>
      <c r="AS293" s="4">
        <f t="shared" si="174"/>
        <v>5</v>
      </c>
      <c r="AV293" s="4" t="str">
        <f t="shared" si="165"/>
        <v/>
      </c>
      <c r="AX293" s="4" t="str">
        <f t="shared" si="166"/>
        <v/>
      </c>
      <c r="AZ293" s="4" t="str">
        <f t="shared" si="167"/>
        <v/>
      </c>
    </row>
    <row r="294" spans="1:52" x14ac:dyDescent="0.2">
      <c r="A294" s="81" t="s">
        <v>844</v>
      </c>
      <c r="B294" s="4">
        <v>2719</v>
      </c>
      <c r="C294" s="4" t="str">
        <f t="shared" si="140"/>
        <v>urn:immetingen:parameter:id:2719</v>
      </c>
      <c r="D294" s="4" t="str">
        <f>IFERROR(IF(VLOOKUP($C294,'C'!$A$1:$N$1998,4,FALSE)=0,IF(VLOOKUP($C294,'C'!$A$1:$N$1998,7,FALSE)=0,VLOOKUP($C294,'C'!$A$1:$N$1998,10,FALSE),VLOOKUP($C294,'C'!$A$1:$N$1998,7,FALSE)),VLOOKUP($C294,'C'!$A$1:$N$1998,4,FALSE)),"")</f>
        <v/>
      </c>
      <c r="E294" s="4" t="str">
        <f>IFERROR(VLOOKUP($C294,'C'!$A$1:$N$1998,2,FALSE),"")</f>
        <v/>
      </c>
      <c r="F294" s="4" t="str">
        <f>IFERROR(IF(VLOOKUP($C294,'C'!$A$1:$N$1998,3,FALSE)=1,"&lt;",""),"")</f>
        <v/>
      </c>
      <c r="M294" s="4" t="str">
        <f t="shared" si="168"/>
        <v/>
      </c>
      <c r="N294" s="4" t="str">
        <f t="shared" si="169"/>
        <v/>
      </c>
      <c r="O294" s="4" t="str">
        <f t="shared" si="175"/>
        <v/>
      </c>
      <c r="P294" s="4" t="str">
        <f t="shared" si="170"/>
        <v/>
      </c>
      <c r="Q294" s="4" t="str">
        <f t="shared" si="176"/>
        <v/>
      </c>
      <c r="R294" s="4" t="str">
        <f t="shared" si="171"/>
        <v/>
      </c>
      <c r="V294" s="4">
        <f>IFERROR(IF(VLOOKUP(B294,E!$B$1:$AK$300,4,FALSE)=0,1000000,VLOOKUP(B294,E!$B$1:$AK$300,4,FALSE)),1000000)</f>
        <v>1000000000</v>
      </c>
      <c r="Z294" s="4" t="str">
        <f t="shared" si="160"/>
        <v/>
      </c>
      <c r="AC294" s="4" t="str">
        <f t="shared" si="161"/>
        <v/>
      </c>
      <c r="AF294" s="4" t="str">
        <f t="shared" si="162"/>
        <v/>
      </c>
      <c r="AI294" s="77">
        <v>0</v>
      </c>
      <c r="AJ294" s="77">
        <v>0</v>
      </c>
      <c r="AK294" s="77">
        <v>1</v>
      </c>
      <c r="AO294" s="4">
        <f t="shared" si="172"/>
        <v>5</v>
      </c>
      <c r="AQ294" s="4">
        <f t="shared" si="173"/>
        <v>5</v>
      </c>
      <c r="AS294" s="4">
        <f t="shared" si="174"/>
        <v>5</v>
      </c>
      <c r="AV294" s="4" t="str">
        <f t="shared" si="165"/>
        <v/>
      </c>
      <c r="AX294" s="4" t="str">
        <f t="shared" si="166"/>
        <v/>
      </c>
      <c r="AZ294" s="4" t="str">
        <f t="shared" si="167"/>
        <v/>
      </c>
    </row>
    <row r="295" spans="1:52" x14ac:dyDescent="0.2">
      <c r="A295" s="81" t="s">
        <v>845</v>
      </c>
      <c r="B295" s="4">
        <v>491</v>
      </c>
      <c r="C295" s="4" t="str">
        <f t="shared" si="140"/>
        <v>urn:immetingen:parameter:id:491</v>
      </c>
      <c r="D295" s="4" t="str">
        <f>IFERROR(IF(VLOOKUP($C295,'C'!$A$1:$N$1998,4,FALSE)=0,IF(VLOOKUP($C295,'C'!$A$1:$N$1998,7,FALSE)=0,VLOOKUP($C295,'C'!$A$1:$N$1998,10,FALSE),VLOOKUP($C295,'C'!$A$1:$N$1998,7,FALSE)),VLOOKUP($C295,'C'!$A$1:$N$1998,4,FALSE)),"")</f>
        <v/>
      </c>
      <c r="E295" s="4" t="str">
        <f>IFERROR(VLOOKUP($C295,'C'!$A$1:$N$1998,2,FALSE),"")</f>
        <v/>
      </c>
      <c r="F295" s="4" t="str">
        <f>IFERROR(IF(VLOOKUP($C295,'C'!$A$1:$N$1998,3,FALSE)=1,"&lt;",""),"")</f>
        <v/>
      </c>
      <c r="M295" s="4" t="str">
        <f t="shared" si="168"/>
        <v/>
      </c>
      <c r="N295" s="4" t="str">
        <f t="shared" si="169"/>
        <v/>
      </c>
      <c r="O295" s="4" t="str">
        <f t="shared" si="175"/>
        <v/>
      </c>
      <c r="P295" s="4" t="str">
        <f t="shared" si="170"/>
        <v/>
      </c>
      <c r="Q295" s="4" t="str">
        <f t="shared" si="176"/>
        <v/>
      </c>
      <c r="R295" s="4" t="str">
        <f t="shared" si="171"/>
        <v/>
      </c>
      <c r="V295" s="4">
        <f>IFERROR(IF(VLOOKUP(B295,E!$B$1:$AK$300,4,FALSE)=0,1000000,VLOOKUP(B295,E!$B$1:$AK$300,4,FALSE)),1000000)</f>
        <v>1000000000</v>
      </c>
      <c r="Z295" s="4" t="str">
        <f t="shared" si="160"/>
        <v/>
      </c>
      <c r="AC295" s="4" t="str">
        <f t="shared" si="161"/>
        <v/>
      </c>
      <c r="AF295" s="4" t="str">
        <f t="shared" si="162"/>
        <v/>
      </c>
      <c r="AI295" s="77">
        <v>0</v>
      </c>
      <c r="AJ295" s="77">
        <v>0</v>
      </c>
      <c r="AK295" s="77">
        <v>1</v>
      </c>
      <c r="AO295" s="4">
        <f t="shared" si="172"/>
        <v>5</v>
      </c>
      <c r="AQ295" s="4">
        <f t="shared" si="173"/>
        <v>5</v>
      </c>
      <c r="AS295" s="4">
        <f t="shared" si="174"/>
        <v>5</v>
      </c>
      <c r="AV295" s="4" t="str">
        <f t="shared" si="165"/>
        <v/>
      </c>
      <c r="AX295" s="4" t="str">
        <f t="shared" si="166"/>
        <v/>
      </c>
      <c r="AZ295" s="4" t="str">
        <f t="shared" si="167"/>
        <v/>
      </c>
    </row>
    <row r="296" spans="1:52" x14ac:dyDescent="0.2">
      <c r="A296" s="4" t="s">
        <v>522</v>
      </c>
      <c r="B296" s="4">
        <v>1852</v>
      </c>
      <c r="C296" s="4" t="str">
        <f t="shared" si="140"/>
        <v>urn:immetingen:parameter:id:1852</v>
      </c>
      <c r="D296" s="4" t="str">
        <f>IFERROR(IF(VLOOKUP($C296,'C'!$A$1:$N$1998,4,FALSE)=0,IF(VLOOKUP($C296,'C'!$A$1:$N$1998,7,FALSE)=0,VLOOKUP($C296,'C'!$A$1:$N$1998,10,FALSE),VLOOKUP($C296,'C'!$A$1:$N$1998,7,FALSE)),VLOOKUP($C296,'C'!$A$1:$N$1998,4,FALSE)),"")</f>
        <v/>
      </c>
      <c r="E296" s="4" t="str">
        <f>IFERROR(VLOOKUP($C296,'C'!$A$1:$N$1998,2,FALSE),"")</f>
        <v/>
      </c>
      <c r="F296" s="4" t="str">
        <f>IFERROR(IF(VLOOKUP($C296,'C'!$A$1:$N$1998,3,FALSE)=1,"&lt;",""),"")</f>
        <v/>
      </c>
      <c r="G296" s="4" t="str">
        <f>IFERROR(VLOOKUP($C296,'C'!$A$1:$N$1998,5,FALSE),"")</f>
        <v/>
      </c>
      <c r="H296" s="4" t="str">
        <f>IFERROR(IF(VLOOKUP($C296,'C'!$A$1:$N$1998,6,FALSE)=1,"&lt;",""),"")</f>
        <v/>
      </c>
      <c r="I296" s="4" t="str">
        <f>IFERROR(VLOOKUP($C296,'C'!$A$1:$N$1998,8,FALSE),"")</f>
        <v/>
      </c>
      <c r="J296" s="4" t="str">
        <f>IFERROR(IF(VLOOKUP($C296,'C'!$A$1:$N$1998,9,FALSE)=1,"&lt;",""),"")</f>
        <v/>
      </c>
      <c r="M296" s="4" t="str">
        <f t="shared" si="168"/>
        <v/>
      </c>
      <c r="N296" s="4" t="str">
        <f t="shared" si="169"/>
        <v/>
      </c>
      <c r="O296" s="4" t="str">
        <f t="shared" si="175"/>
        <v/>
      </c>
      <c r="P296" s="4" t="str">
        <f t="shared" si="170"/>
        <v/>
      </c>
      <c r="Q296" s="4" t="str">
        <f t="shared" si="176"/>
        <v/>
      </c>
      <c r="R296" s="4" t="str">
        <f t="shared" si="171"/>
        <v/>
      </c>
      <c r="V296" s="4">
        <f>IFERROR(IF(VLOOKUP(B296,E!$B$1:$AK$300,4,FALSE)=0,1000000,VLOOKUP(B296,E!$B$1:$AK$300,4,FALSE)),1000000)</f>
        <v>1000000</v>
      </c>
      <c r="Z296" s="4" t="str">
        <f t="shared" si="160"/>
        <v/>
      </c>
      <c r="AC296" s="4" t="str">
        <f t="shared" si="161"/>
        <v/>
      </c>
      <c r="AF296" s="4" t="str">
        <f t="shared" si="162"/>
        <v/>
      </c>
      <c r="AI296" s="77">
        <v>0</v>
      </c>
      <c r="AJ296" s="77">
        <v>0</v>
      </c>
      <c r="AK296" s="77">
        <v>1</v>
      </c>
      <c r="AO296" s="4">
        <f t="shared" si="172"/>
        <v>5</v>
      </c>
      <c r="AQ296" s="4">
        <f t="shared" si="173"/>
        <v>5</v>
      </c>
      <c r="AS296" s="4">
        <f t="shared" si="174"/>
        <v>5</v>
      </c>
      <c r="AV296" s="4" t="str">
        <f t="shared" si="165"/>
        <v/>
      </c>
      <c r="AX296" s="4" t="str">
        <f t="shared" si="166"/>
        <v/>
      </c>
      <c r="AZ296" s="4" t="str">
        <f t="shared" si="167"/>
        <v/>
      </c>
    </row>
    <row r="297" spans="1:52" x14ac:dyDescent="0.2">
      <c r="A297" s="4" t="s">
        <v>521</v>
      </c>
      <c r="B297" s="4">
        <v>1163</v>
      </c>
      <c r="C297" s="4" t="str">
        <f t="shared" si="140"/>
        <v>urn:immetingen:parameter:id:1163</v>
      </c>
      <c r="D297" s="4" t="str">
        <f>IFERROR(IF(VLOOKUP($C297,'C'!$A$1:$N$1998,4,FALSE)=0,IF(VLOOKUP($C297,'C'!$A$1:$N$1998,7,FALSE)=0,VLOOKUP($C297,'C'!$A$1:$N$1998,10,FALSE),VLOOKUP($C297,'C'!$A$1:$N$1998,7,FALSE)),VLOOKUP($C297,'C'!$A$1:$N$1998,4,FALSE)),"")</f>
        <v/>
      </c>
      <c r="E297" s="4" t="str">
        <f>IFERROR(VLOOKUP($C297,'C'!$A$1:$N$1998,2,FALSE),"")</f>
        <v/>
      </c>
      <c r="F297" s="4" t="str">
        <f>IFERROR(IF(VLOOKUP($C297,'C'!$A$1:$N$1998,3,FALSE)=1,"&lt;",""),"")</f>
        <v/>
      </c>
      <c r="G297" s="4" t="str">
        <f>IFERROR(VLOOKUP($C297,'C'!$A$1:$N$1998,5,FALSE),"")</f>
        <v/>
      </c>
      <c r="H297" s="4" t="str">
        <f>IFERROR(IF(VLOOKUP($C297,'C'!$A$1:$N$1998,6,FALSE)=1,"&lt;",""),"")</f>
        <v/>
      </c>
      <c r="I297" s="4" t="str">
        <f>IFERROR(VLOOKUP($C297,'C'!$A$1:$N$1998,8,FALSE),"")</f>
        <v/>
      </c>
      <c r="J297" s="4" t="str">
        <f>IFERROR(IF(VLOOKUP($C297,'C'!$A$1:$N$1998,9,FALSE)=1,"&lt;",""),"")</f>
        <v/>
      </c>
      <c r="M297" s="4" t="str">
        <f t="shared" si="168"/>
        <v/>
      </c>
      <c r="N297" s="4" t="str">
        <f t="shared" si="169"/>
        <v/>
      </c>
      <c r="O297" s="4" t="str">
        <f t="shared" si="175"/>
        <v/>
      </c>
      <c r="P297" s="4" t="str">
        <f t="shared" si="170"/>
        <v/>
      </c>
      <c r="Q297" s="4" t="str">
        <f t="shared" si="176"/>
        <v/>
      </c>
      <c r="R297" s="4" t="str">
        <f t="shared" si="171"/>
        <v/>
      </c>
      <c r="V297" s="4">
        <f>IFERROR(IF(VLOOKUP(B297,E!$B$1:$AK$300,4,FALSE)=0,1000000,VLOOKUP(B297,E!$B$1:$AK$300,4,FALSE)),1000000)</f>
        <v>0.1</v>
      </c>
      <c r="Z297" s="4" t="str">
        <f t="shared" si="160"/>
        <v/>
      </c>
      <c r="AC297" s="4" t="str">
        <f t="shared" si="161"/>
        <v/>
      </c>
      <c r="AF297" s="4" t="str">
        <f t="shared" si="162"/>
        <v/>
      </c>
      <c r="AI297" s="77">
        <v>0</v>
      </c>
      <c r="AJ297" s="77">
        <v>0</v>
      </c>
      <c r="AK297" s="77">
        <v>1</v>
      </c>
      <c r="AO297" s="4">
        <f t="shared" si="172"/>
        <v>5</v>
      </c>
      <c r="AQ297" s="4">
        <f t="shared" si="173"/>
        <v>5</v>
      </c>
      <c r="AS297" s="4">
        <f t="shared" si="174"/>
        <v>5</v>
      </c>
      <c r="AV297" s="4" t="str">
        <f t="shared" si="165"/>
        <v/>
      </c>
      <c r="AX297" s="4" t="str">
        <f t="shared" si="166"/>
        <v/>
      </c>
      <c r="AZ297" s="4" t="str">
        <f t="shared" si="167"/>
        <v/>
      </c>
    </row>
    <row r="298" spans="1:52" x14ac:dyDescent="0.2">
      <c r="A298" s="81" t="s">
        <v>846</v>
      </c>
      <c r="B298" s="4">
        <v>2561</v>
      </c>
      <c r="C298" s="4" t="str">
        <f t="shared" si="140"/>
        <v>urn:immetingen:parameter:id:2561</v>
      </c>
      <c r="D298" s="4" t="str">
        <f>IFERROR(IF(VLOOKUP($C298,'C'!$A$1:$N$1998,4,FALSE)=0,IF(VLOOKUP($C298,'C'!$A$1:$N$1998,7,FALSE)=0,VLOOKUP($C298,'C'!$A$1:$N$1998,10,FALSE),VLOOKUP($C298,'C'!$A$1:$N$1998,7,FALSE)),VLOOKUP($C298,'C'!$A$1:$N$1998,4,FALSE)),"")</f>
        <v/>
      </c>
      <c r="E298" s="4" t="str">
        <f>IFERROR(VLOOKUP($C298,'C'!$A$1:$N$1998,2,FALSE),"")</f>
        <v/>
      </c>
      <c r="F298" s="4" t="str">
        <f>IFERROR(IF(VLOOKUP($C298,'C'!$A$1:$N$1998,3,FALSE)=1,"&lt;",""),"")</f>
        <v/>
      </c>
      <c r="M298" s="4" t="str">
        <f t="shared" si="168"/>
        <v/>
      </c>
      <c r="N298" s="4" t="str">
        <f t="shared" si="169"/>
        <v/>
      </c>
      <c r="O298" s="4" t="str">
        <f t="shared" si="175"/>
        <v/>
      </c>
      <c r="P298" s="4" t="str">
        <f t="shared" si="170"/>
        <v/>
      </c>
      <c r="Q298" s="4" t="str">
        <f t="shared" si="176"/>
        <v/>
      </c>
      <c r="R298" s="4" t="str">
        <f t="shared" si="171"/>
        <v/>
      </c>
      <c r="V298" s="4">
        <f>IFERROR(IF(VLOOKUP(B298,E!$B$1:$AK$300,4,FALSE)=0,1000000,VLOOKUP(B298,E!$B$1:$AK$300,4,FALSE)),1000000)</f>
        <v>1000000000</v>
      </c>
      <c r="Z298" s="4" t="str">
        <f t="shared" si="160"/>
        <v/>
      </c>
      <c r="AC298" s="4" t="str">
        <f t="shared" si="161"/>
        <v/>
      </c>
      <c r="AF298" s="4" t="str">
        <f t="shared" si="162"/>
        <v/>
      </c>
      <c r="AI298" s="77">
        <v>0</v>
      </c>
      <c r="AJ298" s="77">
        <v>0</v>
      </c>
      <c r="AK298" s="77">
        <v>1</v>
      </c>
      <c r="AO298" s="4">
        <f t="shared" si="172"/>
        <v>5</v>
      </c>
      <c r="AQ298" s="4">
        <f t="shared" si="173"/>
        <v>5</v>
      </c>
      <c r="AS298" s="4">
        <f t="shared" si="174"/>
        <v>5</v>
      </c>
      <c r="AV298" s="4" t="str">
        <f t="shared" si="165"/>
        <v/>
      </c>
      <c r="AX298" s="4" t="str">
        <f t="shared" si="166"/>
        <v/>
      </c>
      <c r="AZ298" s="4" t="str">
        <f t="shared" si="167"/>
        <v/>
      </c>
    </row>
    <row r="299" spans="1:52" x14ac:dyDescent="0.2">
      <c r="A299" s="81" t="s">
        <v>847</v>
      </c>
      <c r="B299" s="4">
        <v>1385</v>
      </c>
      <c r="C299" s="4" t="str">
        <f t="shared" si="140"/>
        <v>urn:immetingen:parameter:id:1385</v>
      </c>
      <c r="D299" s="4" t="str">
        <f>IFERROR(IF(VLOOKUP($C299,'C'!$A$1:$N$1998,4,FALSE)=0,IF(VLOOKUP($C299,'C'!$A$1:$N$1998,7,FALSE)=0,VLOOKUP($C299,'C'!$A$1:$N$1998,10,FALSE),VLOOKUP($C299,'C'!$A$1:$N$1998,7,FALSE)),VLOOKUP($C299,'C'!$A$1:$N$1998,4,FALSE)),"")</f>
        <v/>
      </c>
      <c r="E299" s="4" t="str">
        <f>IFERROR(VLOOKUP($C299,'C'!$A$1:$N$1998,2,FALSE),"")</f>
        <v/>
      </c>
      <c r="F299" s="4" t="str">
        <f>IFERROR(IF(VLOOKUP($C299,'C'!$A$1:$N$1998,3,FALSE)=1,"&lt;",""),"")</f>
        <v/>
      </c>
      <c r="M299" s="4" t="str">
        <f t="shared" si="168"/>
        <v/>
      </c>
      <c r="N299" s="4" t="str">
        <f t="shared" si="169"/>
        <v/>
      </c>
      <c r="O299" s="4" t="str">
        <f t="shared" si="175"/>
        <v/>
      </c>
      <c r="P299" s="4" t="str">
        <f t="shared" si="170"/>
        <v/>
      </c>
      <c r="Q299" s="4" t="str">
        <f t="shared" si="176"/>
        <v/>
      </c>
      <c r="R299" s="4" t="str">
        <f t="shared" si="171"/>
        <v/>
      </c>
      <c r="V299" s="4">
        <f>IFERROR(IF(VLOOKUP(B299,E!$B$1:$AK$300,4,FALSE)=0,1000000,VLOOKUP(B299,E!$B$1:$AK$300,4,FALSE)),1000000)</f>
        <v>1000000000</v>
      </c>
      <c r="Z299" s="4" t="str">
        <f t="shared" si="160"/>
        <v/>
      </c>
      <c r="AC299" s="4" t="str">
        <f t="shared" si="161"/>
        <v/>
      </c>
      <c r="AF299" s="4" t="str">
        <f t="shared" si="162"/>
        <v/>
      </c>
      <c r="AI299" s="77">
        <v>0</v>
      </c>
      <c r="AJ299" s="77">
        <v>0</v>
      </c>
      <c r="AK299" s="77">
        <v>1</v>
      </c>
      <c r="AO299" s="4">
        <f t="shared" si="172"/>
        <v>5</v>
      </c>
      <c r="AQ299" s="4">
        <f t="shared" si="173"/>
        <v>5</v>
      </c>
      <c r="AS299" s="4">
        <f t="shared" si="174"/>
        <v>5</v>
      </c>
      <c r="AV299" s="4" t="str">
        <f t="shared" si="165"/>
        <v/>
      </c>
      <c r="AX299" s="4" t="str">
        <f t="shared" si="166"/>
        <v/>
      </c>
      <c r="AZ299" s="4" t="str">
        <f t="shared" si="167"/>
        <v/>
      </c>
    </row>
    <row r="300" spans="1:52" x14ac:dyDescent="0.2">
      <c r="A300" s="81" t="s">
        <v>848</v>
      </c>
      <c r="B300" s="4">
        <v>4417</v>
      </c>
      <c r="C300" s="4" t="str">
        <f t="shared" si="140"/>
        <v>urn:immetingen:parameter:id:4417</v>
      </c>
      <c r="D300" s="4" t="str">
        <f>IFERROR(IF(VLOOKUP($C300,'C'!$A$1:$N$1998,4,FALSE)=0,IF(VLOOKUP($C300,'C'!$A$1:$N$1998,7,FALSE)=0,VLOOKUP($C300,'C'!$A$1:$N$1998,10,FALSE),VLOOKUP($C300,'C'!$A$1:$N$1998,7,FALSE)),VLOOKUP($C300,'C'!$A$1:$N$1998,4,FALSE)),"")</f>
        <v/>
      </c>
      <c r="E300" s="4" t="str">
        <f>IFERROR(VLOOKUP($C300,'C'!$A$1:$N$1998,2,FALSE),"")</f>
        <v/>
      </c>
      <c r="F300" s="4" t="str">
        <f>IFERROR(IF(VLOOKUP($C300,'C'!$A$1:$N$1998,3,FALSE)=1,"&lt;",""),"")</f>
        <v/>
      </c>
      <c r="M300" s="4" t="str">
        <f t="shared" si="168"/>
        <v/>
      </c>
      <c r="N300" s="4" t="str">
        <f t="shared" si="169"/>
        <v/>
      </c>
      <c r="O300" s="4" t="str">
        <f t="shared" si="175"/>
        <v/>
      </c>
      <c r="P300" s="4" t="str">
        <f t="shared" si="170"/>
        <v/>
      </c>
      <c r="Q300" s="4" t="str">
        <f t="shared" si="176"/>
        <v/>
      </c>
      <c r="R300" s="4" t="str">
        <f t="shared" si="171"/>
        <v/>
      </c>
      <c r="V300" s="4">
        <f>IFERROR(IF(VLOOKUP(B300,E!$B$1:$AK$300,4,FALSE)=0,1000000,VLOOKUP(B300,E!$B$1:$AK$300,4,FALSE)),1000000)</f>
        <v>1000000000</v>
      </c>
      <c r="Z300" s="4" t="str">
        <f t="shared" si="160"/>
        <v/>
      </c>
      <c r="AC300" s="4" t="str">
        <f t="shared" si="161"/>
        <v/>
      </c>
      <c r="AF300" s="4" t="str">
        <f t="shared" si="162"/>
        <v/>
      </c>
      <c r="AI300" s="77">
        <v>0</v>
      </c>
      <c r="AJ300" s="77">
        <v>0</v>
      </c>
      <c r="AK300" s="77">
        <v>1</v>
      </c>
      <c r="AO300" s="4">
        <f t="shared" si="172"/>
        <v>5</v>
      </c>
      <c r="AQ300" s="4">
        <f t="shared" si="173"/>
        <v>5</v>
      </c>
      <c r="AS300" s="4">
        <f t="shared" si="174"/>
        <v>5</v>
      </c>
      <c r="AV300" s="4" t="str">
        <f t="shared" si="165"/>
        <v/>
      </c>
      <c r="AX300" s="4" t="str">
        <f t="shared" si="166"/>
        <v/>
      </c>
      <c r="AZ300" s="4" t="str">
        <f t="shared" si="167"/>
        <v/>
      </c>
    </row>
    <row r="301" spans="1:52" x14ac:dyDescent="0.2">
      <c r="A301" s="4" t="s">
        <v>708</v>
      </c>
      <c r="B301" s="4">
        <v>967</v>
      </c>
      <c r="C301" s="71" t="str">
        <f t="shared" si="140"/>
        <v>urn:immetingen:parameter:id:967</v>
      </c>
      <c r="D301" s="4" t="str">
        <f>IFERROR(IF(VLOOKUP($C301,'C'!$A$1:$N$1998,4,FALSE)=0,IF(VLOOKUP($C301,'C'!$A$1:$N$1998,7,FALSE)=0,VLOOKUP($C301,'C'!$A$1:$N$1998,10,FALSE),VLOOKUP($C301,'C'!$A$1:$N$1998,7,FALSE)),VLOOKUP($C301,'C'!$A$1:$N$1998,4,FALSE)),"")</f>
        <v/>
      </c>
      <c r="E301" s="71">
        <f>Invoer!D58</f>
        <v>0</v>
      </c>
      <c r="F301" s="71" t="str">
        <f>IF(Invoer!C58="&lt;","&lt;","")</f>
        <v/>
      </c>
      <c r="G301" s="71">
        <f>Invoer!F58</f>
        <v>0</v>
      </c>
      <c r="H301" s="71" t="str">
        <f>IF(Invoer!E58="&lt;","&lt;","")</f>
        <v/>
      </c>
      <c r="I301" s="71">
        <f>Invoer!H58</f>
        <v>0</v>
      </c>
      <c r="J301" s="71" t="str">
        <f>IF(Invoer!G58="&lt;","&lt;","")</f>
        <v/>
      </c>
      <c r="K301" s="71"/>
      <c r="L301" s="71"/>
      <c r="M301" s="4">
        <f t="shared" si="168"/>
        <v>0</v>
      </c>
      <c r="N301" s="4" t="str">
        <f t="shared" si="169"/>
        <v/>
      </c>
      <c r="O301" s="4">
        <f t="shared" si="175"/>
        <v>0</v>
      </c>
      <c r="P301" s="4" t="str">
        <f t="shared" si="170"/>
        <v/>
      </c>
      <c r="Q301" s="4">
        <f t="shared" si="176"/>
        <v>0</v>
      </c>
      <c r="R301" s="4" t="str">
        <f t="shared" si="171"/>
        <v/>
      </c>
      <c r="S301" s="71"/>
      <c r="T301" s="71"/>
      <c r="U301" s="71"/>
      <c r="V301" s="4">
        <f>IFERROR(IF(VLOOKUP(B301,E!$B$1:$AK$300,4,FALSE)=0,1000000,VLOOKUP(B301,E!$B$1:$AK$300,4,FALSE)),1000000)</f>
        <v>1000000</v>
      </c>
      <c r="W301" s="71"/>
      <c r="X301" s="71"/>
      <c r="Z301" s="4">
        <f t="shared" si="160"/>
        <v>0</v>
      </c>
      <c r="AC301" s="4">
        <f t="shared" si="161"/>
        <v>0</v>
      </c>
      <c r="AF301" s="4">
        <f t="shared" si="162"/>
        <v>0</v>
      </c>
      <c r="AI301" s="77">
        <v>0</v>
      </c>
      <c r="AJ301" s="77">
        <v>0</v>
      </c>
      <c r="AK301" s="77">
        <v>1</v>
      </c>
      <c r="AO301" s="4">
        <f t="shared" si="172"/>
        <v>5</v>
      </c>
      <c r="AQ301" s="4">
        <f t="shared" si="173"/>
        <v>5</v>
      </c>
      <c r="AS301" s="4">
        <f t="shared" si="174"/>
        <v>5</v>
      </c>
      <c r="AV301" s="4">
        <f t="shared" si="165"/>
        <v>0</v>
      </c>
      <c r="AX301" s="4">
        <f t="shared" si="166"/>
        <v>0</v>
      </c>
      <c r="AZ301" s="4">
        <f t="shared" si="167"/>
        <v>0</v>
      </c>
    </row>
    <row r="302" spans="1:52" x14ac:dyDescent="0.2">
      <c r="A302" s="4" t="s">
        <v>776</v>
      </c>
      <c r="B302" s="4">
        <v>250</v>
      </c>
      <c r="C302" s="4" t="str">
        <f t="shared" si="140"/>
        <v>urn:immetingen:parameter:id:250</v>
      </c>
      <c r="D302" s="4" t="str">
        <f>IFERROR(IF(VLOOKUP($C302,'C'!$A$1:$N$1998,4,FALSE)=0,IF(VLOOKUP($C302,'C'!$A$1:$N$1998,7,FALSE)=0,VLOOKUP($C302,'C'!$A$1:$N$1998,10,FALSE),VLOOKUP($C302,'C'!$A$1:$N$1998,7,FALSE)),VLOOKUP($C302,'C'!$A$1:$N$1998,4,FALSE)),"")</f>
        <v/>
      </c>
      <c r="E302" s="4" t="str">
        <f>IFERROR(VLOOKUP($C302,'C'!$A$1:$N$1998,2,FALSE),"")</f>
        <v/>
      </c>
      <c r="F302" s="4" t="str">
        <f>IFERROR(IF(VLOOKUP($C302,'C'!$A$1:$N$1998,3,FALSE)=1,"&lt;",""),"")</f>
        <v/>
      </c>
      <c r="G302" s="4" t="str">
        <f>IFERROR(VLOOKUP($C302,'C'!$A$1:$N$1998,5,FALSE),"")</f>
        <v/>
      </c>
      <c r="H302" s="4" t="str">
        <f>IFERROR(IF(VLOOKUP($C302,'C'!$A$1:$N$1998,6,FALSE)=1,"&lt;",""),"")</f>
        <v/>
      </c>
      <c r="I302" s="4" t="str">
        <f>IFERROR(VLOOKUP($C302,'C'!$A$1:$N$1998,8,FALSE),"")</f>
        <v/>
      </c>
      <c r="J302" s="4" t="str">
        <f>IFERROR(IF(VLOOKUP($C302,'C'!$A$1:$N$1998,9,FALSE)=1,"&lt;",""),"")</f>
        <v/>
      </c>
      <c r="M302" s="4" t="str">
        <f t="shared" si="168"/>
        <v/>
      </c>
      <c r="N302" s="4" t="str">
        <f t="shared" si="169"/>
        <v/>
      </c>
      <c r="O302" s="4" t="str">
        <f t="shared" si="175"/>
        <v/>
      </c>
      <c r="P302" s="4" t="str">
        <f t="shared" si="170"/>
        <v/>
      </c>
      <c r="Q302" s="4" t="str">
        <f t="shared" si="176"/>
        <v/>
      </c>
      <c r="R302" s="4" t="str">
        <f t="shared" si="171"/>
        <v/>
      </c>
      <c r="V302" s="4">
        <f>IFERROR(IF(VLOOKUP(B302,E!$B$1:$AK$300,4,FALSE)=0,1000000,VLOOKUP(B302,E!$B$1:$AK$300,4,FALSE)),1000000)</f>
        <v>1000000</v>
      </c>
      <c r="Z302" s="4" t="str">
        <f t="shared" si="160"/>
        <v/>
      </c>
      <c r="AC302" s="4" t="str">
        <f t="shared" si="161"/>
        <v/>
      </c>
      <c r="AF302" s="4" t="str">
        <f t="shared" si="162"/>
        <v/>
      </c>
      <c r="AI302" s="77">
        <v>0</v>
      </c>
      <c r="AJ302" s="77">
        <v>0</v>
      </c>
      <c r="AK302" s="77">
        <v>1</v>
      </c>
      <c r="AO302" s="4">
        <f t="shared" si="172"/>
        <v>5</v>
      </c>
      <c r="AQ302" s="4">
        <f t="shared" si="173"/>
        <v>5</v>
      </c>
      <c r="AS302" s="4">
        <f t="shared" si="174"/>
        <v>5</v>
      </c>
      <c r="AV302" s="4" t="str">
        <f t="shared" si="165"/>
        <v/>
      </c>
      <c r="AX302" s="4" t="str">
        <f t="shared" si="166"/>
        <v/>
      </c>
      <c r="AZ302" s="4" t="str">
        <f t="shared" si="167"/>
        <v/>
      </c>
    </row>
    <row r="303" spans="1:52" x14ac:dyDescent="0.2">
      <c r="A303" s="4" t="s">
        <v>777</v>
      </c>
      <c r="B303" s="4">
        <v>641</v>
      </c>
      <c r="C303" s="4" t="str">
        <f t="shared" si="140"/>
        <v>urn:immetingen:parameter:id:641</v>
      </c>
      <c r="D303" s="4" t="str">
        <f>IFERROR(IF(VLOOKUP($C303,'C'!$A$1:$N$1998,4,FALSE)=0,IF(VLOOKUP($C303,'C'!$A$1:$N$1998,7,FALSE)=0,VLOOKUP($C303,'C'!$A$1:$N$1998,10,FALSE),VLOOKUP($C303,'C'!$A$1:$N$1998,7,FALSE)),VLOOKUP($C303,'C'!$A$1:$N$1998,4,FALSE)),"")</f>
        <v/>
      </c>
      <c r="E303" s="4" t="str">
        <f>IFERROR(VLOOKUP($C303,'C'!$A$1:$N$1998,2,FALSE),"")</f>
        <v/>
      </c>
      <c r="F303" s="4" t="str">
        <f>IFERROR(IF(VLOOKUP($C303,'C'!$A$1:$N$1998,3,FALSE)=1,"&lt;",""),"")</f>
        <v/>
      </c>
      <c r="G303" s="4" t="str">
        <f>IFERROR(VLOOKUP($C303,'C'!$A$1:$N$1998,5,FALSE),"")</f>
        <v/>
      </c>
      <c r="H303" s="4" t="str">
        <f>IFERROR(IF(VLOOKUP($C303,'C'!$A$1:$N$1998,6,FALSE)=1,"&lt;",""),"")</f>
        <v/>
      </c>
      <c r="I303" s="4" t="str">
        <f>IFERROR(VLOOKUP($C303,'C'!$A$1:$N$1998,8,FALSE),"")</f>
        <v/>
      </c>
      <c r="J303" s="4" t="str">
        <f>IFERROR(IF(VLOOKUP($C303,'C'!$A$1:$N$1998,9,FALSE)=1,"&lt;",""),"")</f>
        <v/>
      </c>
      <c r="M303" s="4" t="str">
        <f t="shared" si="168"/>
        <v/>
      </c>
      <c r="N303" s="4" t="str">
        <f t="shared" si="169"/>
        <v/>
      </c>
      <c r="O303" s="4" t="str">
        <f t="shared" si="175"/>
        <v/>
      </c>
      <c r="P303" s="4" t="str">
        <f t="shared" si="170"/>
        <v/>
      </c>
      <c r="Q303" s="4" t="str">
        <f t="shared" si="176"/>
        <v/>
      </c>
      <c r="R303" s="4" t="str">
        <f t="shared" si="171"/>
        <v/>
      </c>
      <c r="V303" s="4">
        <f>IFERROR(IF(VLOOKUP(B303,E!$B$1:$AK$300,4,FALSE)=0,1000000,VLOOKUP(B303,E!$B$1:$AK$300,4,FALSE)),1000000)</f>
        <v>1000000</v>
      </c>
      <c r="Z303" s="4" t="str">
        <f t="shared" si="160"/>
        <v/>
      </c>
      <c r="AC303" s="4" t="str">
        <f t="shared" si="161"/>
        <v/>
      </c>
      <c r="AF303" s="4" t="str">
        <f t="shared" si="162"/>
        <v/>
      </c>
      <c r="AI303" s="77">
        <v>0</v>
      </c>
      <c r="AJ303" s="77">
        <v>0</v>
      </c>
      <c r="AK303" s="77">
        <v>1</v>
      </c>
      <c r="AO303" s="4">
        <f t="shared" si="172"/>
        <v>5</v>
      </c>
      <c r="AQ303" s="4">
        <f t="shared" si="173"/>
        <v>5</v>
      </c>
      <c r="AS303" s="4">
        <f t="shared" si="174"/>
        <v>5</v>
      </c>
      <c r="AV303" s="4" t="str">
        <f t="shared" si="165"/>
        <v/>
      </c>
      <c r="AX303" s="4" t="str">
        <f t="shared" si="166"/>
        <v/>
      </c>
      <c r="AZ303" s="4" t="str">
        <f t="shared" si="167"/>
        <v/>
      </c>
    </row>
    <row r="304" spans="1:52" x14ac:dyDescent="0.2">
      <c r="A304" s="4" t="s">
        <v>778</v>
      </c>
      <c r="B304" s="4">
        <v>1175</v>
      </c>
      <c r="C304" s="4" t="str">
        <f t="shared" si="140"/>
        <v>urn:immetingen:parameter:id:1175</v>
      </c>
      <c r="D304" s="4" t="str">
        <f>IFERROR(IF(VLOOKUP($C304,'C'!$A$1:$N$1998,4,FALSE)=0,IF(VLOOKUP($C304,'C'!$A$1:$N$1998,7,FALSE)=0,VLOOKUP($C304,'C'!$A$1:$N$1998,10,FALSE),VLOOKUP($C304,'C'!$A$1:$N$1998,7,FALSE)),VLOOKUP($C304,'C'!$A$1:$N$1998,4,FALSE)),"")</f>
        <v/>
      </c>
      <c r="E304" s="4" t="str">
        <f>IFERROR(VLOOKUP($C304,'C'!$A$1:$N$1998,2,FALSE),"")</f>
        <v/>
      </c>
      <c r="F304" s="4" t="str">
        <f>IFERROR(IF(VLOOKUP($C304,'C'!$A$1:$N$1998,3,FALSE)=1,"&lt;",""),"")</f>
        <v/>
      </c>
      <c r="G304" s="4" t="str">
        <f>IFERROR(VLOOKUP($C304,'C'!$A$1:$N$1998,5,FALSE),"")</f>
        <v/>
      </c>
      <c r="H304" s="4" t="str">
        <f>IFERROR(IF(VLOOKUP($C304,'C'!$A$1:$N$1998,6,FALSE)=1,"&lt;",""),"")</f>
        <v/>
      </c>
      <c r="I304" s="4" t="str">
        <f>IFERROR(VLOOKUP($C304,'C'!$A$1:$N$1998,8,FALSE),"")</f>
        <v/>
      </c>
      <c r="J304" s="4" t="str">
        <f>IFERROR(IF(VLOOKUP($C304,'C'!$A$1:$N$1998,9,FALSE)=1,"&lt;",""),"")</f>
        <v/>
      </c>
      <c r="M304" s="4" t="str">
        <f t="shared" si="168"/>
        <v/>
      </c>
      <c r="N304" s="4" t="str">
        <f t="shared" si="169"/>
        <v/>
      </c>
      <c r="O304" s="4" t="str">
        <f t="shared" si="175"/>
        <v/>
      </c>
      <c r="P304" s="4" t="str">
        <f t="shared" si="170"/>
        <v/>
      </c>
      <c r="Q304" s="4" t="str">
        <f t="shared" si="176"/>
        <v/>
      </c>
      <c r="R304" s="4" t="str">
        <f t="shared" si="171"/>
        <v/>
      </c>
      <c r="V304" s="4">
        <f>IFERROR(IF(VLOOKUP(B304,E!$B$1:$AK$300,4,FALSE)=0,1000000,VLOOKUP(B304,E!$B$1:$AK$300,4,FALSE)),1000000)</f>
        <v>1000000</v>
      </c>
      <c r="Z304" s="4" t="str">
        <f t="shared" si="160"/>
        <v/>
      </c>
      <c r="AC304" s="4" t="str">
        <f t="shared" si="161"/>
        <v/>
      </c>
      <c r="AF304" s="4" t="str">
        <f t="shared" si="162"/>
        <v/>
      </c>
      <c r="AI304" s="77">
        <v>0</v>
      </c>
      <c r="AJ304" s="77">
        <v>0</v>
      </c>
      <c r="AK304" s="77">
        <v>1</v>
      </c>
      <c r="AO304" s="4">
        <f t="shared" si="172"/>
        <v>5</v>
      </c>
      <c r="AQ304" s="4">
        <f t="shared" si="173"/>
        <v>5</v>
      </c>
      <c r="AS304" s="4">
        <f t="shared" si="174"/>
        <v>5</v>
      </c>
      <c r="AV304" s="4" t="str">
        <f t="shared" si="165"/>
        <v/>
      </c>
      <c r="AX304" s="4" t="str">
        <f t="shared" si="166"/>
        <v/>
      </c>
      <c r="AZ304" s="4" t="str">
        <f t="shared" si="167"/>
        <v/>
      </c>
    </row>
    <row r="305" spans="1:52" x14ac:dyDescent="0.2">
      <c r="A305" s="4" t="s">
        <v>779</v>
      </c>
      <c r="B305" s="4">
        <v>1171</v>
      </c>
      <c r="C305" s="4" t="str">
        <f t="shared" si="140"/>
        <v>urn:immetingen:parameter:id:1171</v>
      </c>
      <c r="D305" s="4" t="str">
        <f>IFERROR(IF(VLOOKUP($C305,'C'!$A$1:$N$1998,4,FALSE)=0,IF(VLOOKUP($C305,'C'!$A$1:$N$1998,7,FALSE)=0,VLOOKUP($C305,'C'!$A$1:$N$1998,10,FALSE),VLOOKUP($C305,'C'!$A$1:$N$1998,7,FALSE)),VLOOKUP($C305,'C'!$A$1:$N$1998,4,FALSE)),"")</f>
        <v/>
      </c>
      <c r="E305" s="4" t="str">
        <f>IFERROR(VLOOKUP($C305,'C'!$A$1:$N$1998,2,FALSE),"")</f>
        <v/>
      </c>
      <c r="F305" s="4" t="str">
        <f>IFERROR(IF(VLOOKUP($C305,'C'!$A$1:$N$1998,3,FALSE)=1,"&lt;",""),"")</f>
        <v/>
      </c>
      <c r="G305" s="4" t="str">
        <f>IFERROR(VLOOKUP($C305,'C'!$A$1:$N$1998,5,FALSE),"")</f>
        <v/>
      </c>
      <c r="H305" s="4" t="str">
        <f>IFERROR(IF(VLOOKUP($C305,'C'!$A$1:$N$1998,6,FALSE)=1,"&lt;",""),"")</f>
        <v/>
      </c>
      <c r="I305" s="4" t="str">
        <f>IFERROR(VLOOKUP($C305,'C'!$A$1:$N$1998,8,FALSE),"")</f>
        <v/>
      </c>
      <c r="J305" s="4" t="str">
        <f>IFERROR(IF(VLOOKUP($C305,'C'!$A$1:$N$1998,9,FALSE)=1,"&lt;",""),"")</f>
        <v/>
      </c>
      <c r="M305" s="4" t="str">
        <f t="shared" si="168"/>
        <v/>
      </c>
      <c r="N305" s="4" t="str">
        <f t="shared" si="169"/>
        <v/>
      </c>
      <c r="O305" s="4" t="str">
        <f t="shared" si="175"/>
        <v/>
      </c>
      <c r="P305" s="4" t="str">
        <f t="shared" si="170"/>
        <v/>
      </c>
      <c r="Q305" s="4" t="str">
        <f t="shared" si="176"/>
        <v/>
      </c>
      <c r="R305" s="4" t="str">
        <f t="shared" si="171"/>
        <v/>
      </c>
      <c r="V305" s="4">
        <f>IFERROR(IF(VLOOKUP(B305,E!$B$1:$AK$300,4,FALSE)=0,1000000,VLOOKUP(B305,E!$B$1:$AK$300,4,FALSE)),1000000)</f>
        <v>1000000000</v>
      </c>
      <c r="Z305" s="4" t="str">
        <f t="shared" si="160"/>
        <v/>
      </c>
      <c r="AC305" s="4" t="str">
        <f t="shared" si="161"/>
        <v/>
      </c>
      <c r="AF305" s="4" t="str">
        <f t="shared" si="162"/>
        <v/>
      </c>
      <c r="AI305" s="77">
        <v>0</v>
      </c>
      <c r="AJ305" s="77">
        <v>0</v>
      </c>
      <c r="AK305" s="77">
        <v>1</v>
      </c>
      <c r="AO305" s="4">
        <f t="shared" si="172"/>
        <v>5</v>
      </c>
      <c r="AQ305" s="4">
        <f t="shared" si="173"/>
        <v>5</v>
      </c>
      <c r="AS305" s="4">
        <f t="shared" si="174"/>
        <v>5</v>
      </c>
      <c r="AV305" s="4" t="str">
        <f t="shared" si="165"/>
        <v/>
      </c>
      <c r="AX305" s="4" t="str">
        <f t="shared" si="166"/>
        <v/>
      </c>
      <c r="AZ305" s="4" t="str">
        <f t="shared" si="167"/>
        <v/>
      </c>
    </row>
    <row r="306" spans="1:52" x14ac:dyDescent="0.2">
      <c r="A306" s="4" t="s">
        <v>780</v>
      </c>
      <c r="B306" s="4">
        <v>251</v>
      </c>
      <c r="C306" s="4" t="str">
        <f t="shared" si="140"/>
        <v>urn:immetingen:parameter:id:251</v>
      </c>
      <c r="D306" s="4" t="str">
        <f>IFERROR(IF(VLOOKUP($C306,'C'!$A$1:$N$1998,4,FALSE)=0,IF(VLOOKUP($C306,'C'!$A$1:$N$1998,7,FALSE)=0,VLOOKUP($C306,'C'!$A$1:$N$1998,10,FALSE),VLOOKUP($C306,'C'!$A$1:$N$1998,7,FALSE)),VLOOKUP($C306,'C'!$A$1:$N$1998,4,FALSE)),"")</f>
        <v/>
      </c>
      <c r="E306" s="4" t="str">
        <f>IFERROR(VLOOKUP($C306,'C'!$A$1:$N$1998,2,FALSE),"")</f>
        <v/>
      </c>
      <c r="F306" s="4" t="str">
        <f>IFERROR(IF(VLOOKUP($C306,'C'!$A$1:$N$1998,3,FALSE)=1,"&lt;",""),"")</f>
        <v/>
      </c>
      <c r="G306" s="4" t="str">
        <f>IFERROR(VLOOKUP($C306,'C'!$A$1:$N$1998,5,FALSE),"")</f>
        <v/>
      </c>
      <c r="H306" s="4" t="str">
        <f>IFERROR(IF(VLOOKUP($C306,'C'!$A$1:$N$1998,6,FALSE)=1,"&lt;",""),"")</f>
        <v/>
      </c>
      <c r="I306" s="4" t="str">
        <f>IFERROR(VLOOKUP($C306,'C'!$A$1:$N$1998,8,FALSE),"")</f>
        <v/>
      </c>
      <c r="J306" s="4" t="str">
        <f>IFERROR(IF(VLOOKUP($C306,'C'!$A$1:$N$1998,9,FALSE)=1,"&lt;",""),"")</f>
        <v/>
      </c>
      <c r="M306" s="4" t="str">
        <f t="shared" si="168"/>
        <v/>
      </c>
      <c r="N306" s="4" t="str">
        <f t="shared" si="169"/>
        <v/>
      </c>
      <c r="O306" s="4" t="str">
        <f t="shared" si="175"/>
        <v/>
      </c>
      <c r="P306" s="4" t="str">
        <f t="shared" si="170"/>
        <v/>
      </c>
      <c r="Q306" s="4" t="str">
        <f t="shared" si="176"/>
        <v/>
      </c>
      <c r="R306" s="4" t="str">
        <f t="shared" si="171"/>
        <v/>
      </c>
      <c r="V306" s="4">
        <f>IFERROR(IF(VLOOKUP(B306,E!$B$1:$AK$300,4,FALSE)=0,1000000,VLOOKUP(B306,E!$B$1:$AK$300,4,FALSE)),1000000)</f>
        <v>1000000</v>
      </c>
      <c r="Z306" s="4" t="str">
        <f t="shared" si="160"/>
        <v/>
      </c>
      <c r="AC306" s="4" t="str">
        <f t="shared" si="161"/>
        <v/>
      </c>
      <c r="AF306" s="4" t="str">
        <f t="shared" si="162"/>
        <v/>
      </c>
      <c r="AI306" s="77">
        <v>0</v>
      </c>
      <c r="AJ306" s="77">
        <v>0</v>
      </c>
      <c r="AK306" s="77">
        <v>1</v>
      </c>
      <c r="AO306" s="4">
        <f t="shared" si="172"/>
        <v>5</v>
      </c>
      <c r="AQ306" s="4">
        <f t="shared" si="173"/>
        <v>5</v>
      </c>
      <c r="AS306" s="4">
        <f t="shared" si="174"/>
        <v>5</v>
      </c>
      <c r="AV306" s="4" t="str">
        <f t="shared" si="165"/>
        <v/>
      </c>
      <c r="AX306" s="4" t="str">
        <f t="shared" si="166"/>
        <v/>
      </c>
      <c r="AZ306" s="4" t="str">
        <f t="shared" si="167"/>
        <v/>
      </c>
    </row>
    <row r="307" spans="1:52" x14ac:dyDescent="0.2">
      <c r="A307" s="4" t="s">
        <v>709</v>
      </c>
      <c r="B307" s="4">
        <v>1142</v>
      </c>
      <c r="C307" s="71" t="str">
        <f t="shared" si="140"/>
        <v>urn:immetingen:parameter:id:1142</v>
      </c>
      <c r="D307" s="4" t="str">
        <f>IFERROR(IF(VLOOKUP($C307,'C'!$A$1:$N$1998,4,FALSE)=0,IF(VLOOKUP($C307,'C'!$A$1:$N$1998,7,FALSE)=0,VLOOKUP($C307,'C'!$A$1:$N$1998,10,FALSE),VLOOKUP($C307,'C'!$A$1:$N$1998,7,FALSE)),VLOOKUP($C307,'C'!$A$1:$N$1998,4,FALSE)),"")</f>
        <v/>
      </c>
      <c r="E307" s="71">
        <f>Invoer!D59</f>
        <v>0</v>
      </c>
      <c r="F307" s="71" t="str">
        <f>IF(Invoer!C59="&lt;","&lt;","")</f>
        <v/>
      </c>
      <c r="G307" s="71">
        <f>Invoer!F59</f>
        <v>0</v>
      </c>
      <c r="H307" s="71" t="str">
        <f>IF(Invoer!E59="&lt;","&lt;","")</f>
        <v/>
      </c>
      <c r="I307" s="71">
        <f>Invoer!H59</f>
        <v>0</v>
      </c>
      <c r="J307" s="71" t="str">
        <f>IF(Invoer!G59="&lt;","&lt;","")</f>
        <v/>
      </c>
      <c r="K307" s="71"/>
      <c r="L307" s="71"/>
      <c r="M307" s="4">
        <f t="shared" si="168"/>
        <v>0</v>
      </c>
      <c r="N307" s="4" t="str">
        <f t="shared" si="169"/>
        <v/>
      </c>
      <c r="O307" s="4">
        <f t="shared" si="175"/>
        <v>0</v>
      </c>
      <c r="P307" s="4" t="str">
        <f t="shared" si="170"/>
        <v/>
      </c>
      <c r="Q307" s="4">
        <f t="shared" si="176"/>
        <v>0</v>
      </c>
      <c r="R307" s="4" t="str">
        <f t="shared" si="171"/>
        <v/>
      </c>
      <c r="S307" s="71"/>
      <c r="T307" s="71"/>
      <c r="U307" s="71"/>
      <c r="V307" s="4">
        <f>IFERROR(IF(VLOOKUP(B307,E!$B$1:$AK$300,4,FALSE)=0,1000000,VLOOKUP(B307,E!$B$1:$AK$300,4,FALSE)),1000000)</f>
        <v>1000000</v>
      </c>
      <c r="W307" s="71"/>
      <c r="X307" s="71"/>
      <c r="Z307" s="4">
        <f t="shared" ref="Z307:Z326" si="177">IF(M307="","",IF(AND(N307="&lt;",M307&lt;=$V307),-1,(IF(N307="&lt;",0.7*M307,M307))))</f>
        <v>0</v>
      </c>
      <c r="AC307" s="4">
        <f t="shared" ref="AC307:AC326" si="178">IF(O307="","",IF(AND(P307="&lt;",O307&lt;=$V307),-1,(IF(P307="&lt;",0.7*O307,O307))))</f>
        <v>0</v>
      </c>
      <c r="AF307" s="4">
        <f t="shared" ref="AF307:AF326" si="179">IF(Q307="","",IF(AND(R307="&lt;",Q307&lt;=$V307),-1,(IF(R307="&lt;",0.7*Q307,Q307))))</f>
        <v>0</v>
      </c>
      <c r="AI307" s="77">
        <v>0</v>
      </c>
      <c r="AJ307" s="77">
        <v>0</v>
      </c>
      <c r="AK307" s="77">
        <v>1</v>
      </c>
      <c r="AO307" s="4">
        <f t="shared" si="172"/>
        <v>5</v>
      </c>
      <c r="AQ307" s="4">
        <f t="shared" si="173"/>
        <v>5</v>
      </c>
      <c r="AS307" s="4">
        <f t="shared" si="174"/>
        <v>5</v>
      </c>
      <c r="AV307" s="4">
        <f t="shared" si="165"/>
        <v>0</v>
      </c>
      <c r="AX307" s="4">
        <f t="shared" si="166"/>
        <v>0</v>
      </c>
      <c r="AZ307" s="4">
        <f t="shared" si="167"/>
        <v>0</v>
      </c>
    </row>
    <row r="308" spans="1:52" x14ac:dyDescent="0.2">
      <c r="A308" s="4" t="s">
        <v>710</v>
      </c>
      <c r="B308" s="4">
        <v>1741</v>
      </c>
      <c r="C308" s="4" t="str">
        <f t="shared" si="140"/>
        <v>urn:immetingen:parameter:id:1741</v>
      </c>
      <c r="D308" s="4" t="str">
        <f>IFERROR(IF(VLOOKUP($C308,'C'!$A$1:$N$1998,4,FALSE)=0,IF(VLOOKUP($C308,'C'!$A$1:$N$1998,7,FALSE)=0,VLOOKUP($C308,'C'!$A$1:$N$1998,10,FALSE),VLOOKUP($C308,'C'!$A$1:$N$1998,7,FALSE)),VLOOKUP($C308,'C'!$A$1:$N$1998,4,FALSE)),"")</f>
        <v/>
      </c>
      <c r="E308" s="4" t="str">
        <f>IFERROR(VLOOKUP($C308,'C'!$A$1:$N$1998,2,FALSE),"")</f>
        <v/>
      </c>
      <c r="F308" s="4" t="str">
        <f>IFERROR(IF(VLOOKUP($C308,'C'!$A$1:$N$1998,3,FALSE)=1,"&lt;",""),"")</f>
        <v/>
      </c>
      <c r="G308" s="4" t="str">
        <f>IFERROR(VLOOKUP($C308,'C'!$A$1:$N$1998,5,FALSE),"")</f>
        <v/>
      </c>
      <c r="H308" s="4" t="str">
        <f>IFERROR(IF(VLOOKUP($C308,'C'!$A$1:$N$1998,6,FALSE)=1,"&lt;",""),"")</f>
        <v/>
      </c>
      <c r="I308" s="4" t="str">
        <f>IFERROR(VLOOKUP($C308,'C'!$A$1:$N$1998,8,FALSE),"")</f>
        <v/>
      </c>
      <c r="J308" s="4" t="str">
        <f>IFERROR(IF(VLOOKUP($C308,'C'!$A$1:$N$1998,9,FALSE)=1,"&lt;",""),"")</f>
        <v/>
      </c>
      <c r="M308" s="4" t="str">
        <f t="shared" si="168"/>
        <v/>
      </c>
      <c r="N308" s="4" t="str">
        <f t="shared" si="169"/>
        <v/>
      </c>
      <c r="O308" s="4" t="str">
        <f t="shared" si="175"/>
        <v/>
      </c>
      <c r="P308" s="4" t="str">
        <f t="shared" si="170"/>
        <v/>
      </c>
      <c r="Q308" s="4" t="str">
        <f t="shared" si="176"/>
        <v/>
      </c>
      <c r="R308" s="4" t="str">
        <f t="shared" si="171"/>
        <v/>
      </c>
      <c r="V308" s="4">
        <f>IFERROR(IF(VLOOKUP(B308,E!$B$1:$AK$300,4,FALSE)=0,1000000,VLOOKUP(B308,E!$B$1:$AK$300,4,FALSE)),1000000)</f>
        <v>1000000</v>
      </c>
      <c r="Z308" s="4" t="str">
        <f t="shared" si="177"/>
        <v/>
      </c>
      <c r="AC308" s="4" t="str">
        <f t="shared" si="178"/>
        <v/>
      </c>
      <c r="AF308" s="4" t="str">
        <f t="shared" si="179"/>
        <v/>
      </c>
      <c r="AI308" s="77">
        <v>0</v>
      </c>
      <c r="AJ308" s="77">
        <v>0</v>
      </c>
      <c r="AK308" s="77">
        <v>1</v>
      </c>
      <c r="AO308" s="4">
        <f t="shared" si="172"/>
        <v>5</v>
      </c>
      <c r="AQ308" s="4">
        <f t="shared" si="173"/>
        <v>5</v>
      </c>
      <c r="AS308" s="4">
        <f t="shared" si="174"/>
        <v>5</v>
      </c>
      <c r="AV308" s="4" t="str">
        <f t="shared" si="165"/>
        <v/>
      </c>
      <c r="AX308" s="4" t="str">
        <f t="shared" si="166"/>
        <v/>
      </c>
      <c r="AZ308" s="4" t="str">
        <f t="shared" si="167"/>
        <v/>
      </c>
    </row>
    <row r="309" spans="1:52" x14ac:dyDescent="0.2">
      <c r="A309" s="4" t="s">
        <v>711</v>
      </c>
      <c r="B309" s="4">
        <v>2333</v>
      </c>
      <c r="C309" s="4" t="str">
        <f t="shared" si="140"/>
        <v>urn:immetingen:parameter:id:2333</v>
      </c>
      <c r="D309" s="4" t="str">
        <f>IFERROR(IF(VLOOKUP($C309,'C'!$A$1:$N$1998,4,FALSE)=0,IF(VLOOKUP($C309,'C'!$A$1:$N$1998,7,FALSE)=0,VLOOKUP($C309,'C'!$A$1:$N$1998,10,FALSE),VLOOKUP($C309,'C'!$A$1:$N$1998,7,FALSE)),VLOOKUP($C309,'C'!$A$1:$N$1998,4,FALSE)),"")</f>
        <v/>
      </c>
      <c r="E309" s="4" t="str">
        <f>IFERROR(VLOOKUP($C309,'C'!$A$1:$N$1998,2,FALSE),"")</f>
        <v/>
      </c>
      <c r="F309" s="4" t="str">
        <f>IFERROR(IF(VLOOKUP($C309,'C'!$A$1:$N$1998,3,FALSE)=1,"&lt;",""),"")</f>
        <v/>
      </c>
      <c r="G309" s="4" t="str">
        <f>IFERROR(VLOOKUP($C309,'C'!$A$1:$N$1998,5,FALSE),"")</f>
        <v/>
      </c>
      <c r="H309" s="4" t="str">
        <f>IFERROR(IF(VLOOKUP($C309,'C'!$A$1:$N$1998,6,FALSE)=1,"&lt;",""),"")</f>
        <v/>
      </c>
      <c r="I309" s="4" t="str">
        <f>IFERROR(VLOOKUP($C309,'C'!$A$1:$N$1998,8,FALSE),"")</f>
        <v/>
      </c>
      <c r="J309" s="4" t="str">
        <f>IFERROR(IF(VLOOKUP($C309,'C'!$A$1:$N$1998,9,FALSE)=1,"&lt;",""),"")</f>
        <v/>
      </c>
      <c r="M309" s="4" t="str">
        <f t="shared" si="168"/>
        <v/>
      </c>
      <c r="N309" s="4" t="str">
        <f t="shared" si="169"/>
        <v/>
      </c>
      <c r="O309" s="4" t="str">
        <f t="shared" si="175"/>
        <v/>
      </c>
      <c r="P309" s="4" t="str">
        <f t="shared" si="170"/>
        <v/>
      </c>
      <c r="Q309" s="4" t="str">
        <f t="shared" si="176"/>
        <v/>
      </c>
      <c r="R309" s="4" t="str">
        <f t="shared" si="171"/>
        <v/>
      </c>
      <c r="V309" s="4">
        <f>IFERROR(IF(VLOOKUP(B309,E!$B$1:$AK$300,4,FALSE)=0,1000000,VLOOKUP(B309,E!$B$1:$AK$300,4,FALSE)),1000000)</f>
        <v>1000000</v>
      </c>
      <c r="Z309" s="4" t="str">
        <f t="shared" si="177"/>
        <v/>
      </c>
      <c r="AC309" s="4" t="str">
        <f t="shared" si="178"/>
        <v/>
      </c>
      <c r="AF309" s="4" t="str">
        <f t="shared" si="179"/>
        <v/>
      </c>
      <c r="AI309" s="77">
        <v>0</v>
      </c>
      <c r="AJ309" s="77">
        <v>0</v>
      </c>
      <c r="AK309" s="77">
        <v>1</v>
      </c>
      <c r="AO309" s="4">
        <f t="shared" si="172"/>
        <v>5</v>
      </c>
      <c r="AQ309" s="4">
        <f t="shared" si="173"/>
        <v>5</v>
      </c>
      <c r="AS309" s="4">
        <f t="shared" si="174"/>
        <v>5</v>
      </c>
      <c r="AV309" s="4" t="str">
        <f t="shared" si="165"/>
        <v/>
      </c>
      <c r="AX309" s="4" t="str">
        <f t="shared" si="166"/>
        <v/>
      </c>
      <c r="AZ309" s="4" t="str">
        <f t="shared" si="167"/>
        <v/>
      </c>
    </row>
    <row r="310" spans="1:52" x14ac:dyDescent="0.2">
      <c r="A310" s="4" t="s">
        <v>712</v>
      </c>
      <c r="B310" s="4">
        <v>2335</v>
      </c>
      <c r="C310" s="4" t="str">
        <f t="shared" si="140"/>
        <v>urn:immetingen:parameter:id:2335</v>
      </c>
      <c r="D310" s="4" t="str">
        <f>IFERROR(IF(VLOOKUP($C310,'C'!$A$1:$N$1998,4,FALSE)=0,IF(VLOOKUP($C310,'C'!$A$1:$N$1998,7,FALSE)=0,VLOOKUP($C310,'C'!$A$1:$N$1998,10,FALSE),VLOOKUP($C310,'C'!$A$1:$N$1998,7,FALSE)),VLOOKUP($C310,'C'!$A$1:$N$1998,4,FALSE)),"")</f>
        <v/>
      </c>
      <c r="E310" s="4" t="str">
        <f>IFERROR(VLOOKUP($C310,'C'!$A$1:$N$1998,2,FALSE),"")</f>
        <v/>
      </c>
      <c r="F310" s="4" t="str">
        <f>IFERROR(IF(VLOOKUP($C310,'C'!$A$1:$N$1998,3,FALSE)=1,"&lt;",""),"")</f>
        <v/>
      </c>
      <c r="G310" s="4" t="str">
        <f>IFERROR(VLOOKUP($C310,'C'!$A$1:$N$1998,5,FALSE),"")</f>
        <v/>
      </c>
      <c r="H310" s="4" t="str">
        <f>IFERROR(IF(VLOOKUP($C310,'C'!$A$1:$N$1998,6,FALSE)=1,"&lt;",""),"")</f>
        <v/>
      </c>
      <c r="I310" s="4" t="str">
        <f>IFERROR(VLOOKUP($C310,'C'!$A$1:$N$1998,8,FALSE),"")</f>
        <v/>
      </c>
      <c r="J310" s="4" t="str">
        <f>IFERROR(IF(VLOOKUP($C310,'C'!$A$1:$N$1998,9,FALSE)=1,"&lt;",""),"")</f>
        <v/>
      </c>
      <c r="M310" s="4" t="str">
        <f t="shared" si="168"/>
        <v/>
      </c>
      <c r="N310" s="4" t="str">
        <f t="shared" si="169"/>
        <v/>
      </c>
      <c r="O310" s="4" t="str">
        <f t="shared" si="175"/>
        <v/>
      </c>
      <c r="P310" s="4" t="str">
        <f t="shared" si="170"/>
        <v/>
      </c>
      <c r="Q310" s="4" t="str">
        <f t="shared" si="176"/>
        <v/>
      </c>
      <c r="R310" s="4" t="str">
        <f t="shared" si="171"/>
        <v/>
      </c>
      <c r="V310" s="4">
        <f>IFERROR(IF(VLOOKUP(B310,E!$B$1:$AK$300,4,FALSE)=0,1000000,VLOOKUP(B310,E!$B$1:$AK$300,4,FALSE)),1000000)</f>
        <v>1000000</v>
      </c>
      <c r="Z310" s="4" t="str">
        <f t="shared" si="177"/>
        <v/>
      </c>
      <c r="AC310" s="4" t="str">
        <f t="shared" si="178"/>
        <v/>
      </c>
      <c r="AF310" s="4" t="str">
        <f t="shared" si="179"/>
        <v/>
      </c>
      <c r="AI310" s="77">
        <v>0</v>
      </c>
      <c r="AJ310" s="77">
        <v>0</v>
      </c>
      <c r="AK310" s="77">
        <v>1</v>
      </c>
      <c r="AO310" s="4">
        <f t="shared" si="172"/>
        <v>5</v>
      </c>
      <c r="AQ310" s="4">
        <f t="shared" si="173"/>
        <v>5</v>
      </c>
      <c r="AS310" s="4">
        <f t="shared" si="174"/>
        <v>5</v>
      </c>
      <c r="AV310" s="4" t="str">
        <f t="shared" si="165"/>
        <v/>
      </c>
      <c r="AX310" s="4" t="str">
        <f t="shared" si="166"/>
        <v/>
      </c>
      <c r="AZ310" s="4" t="str">
        <f t="shared" si="167"/>
        <v/>
      </c>
    </row>
    <row r="311" spans="1:52" x14ac:dyDescent="0.2">
      <c r="A311" s="4" t="s">
        <v>713</v>
      </c>
      <c r="B311" s="4">
        <v>2340</v>
      </c>
      <c r="C311" s="4" t="str">
        <f t="shared" si="140"/>
        <v>urn:immetingen:parameter:id:2340</v>
      </c>
      <c r="D311" s="4" t="str">
        <f>IFERROR(IF(VLOOKUP($C311,'C'!$A$1:$N$1998,4,FALSE)=0,IF(VLOOKUP($C311,'C'!$A$1:$N$1998,7,FALSE)=0,VLOOKUP($C311,'C'!$A$1:$N$1998,10,FALSE),VLOOKUP($C311,'C'!$A$1:$N$1998,7,FALSE)),VLOOKUP($C311,'C'!$A$1:$N$1998,4,FALSE)),"")</f>
        <v/>
      </c>
      <c r="E311" s="4" t="str">
        <f>IFERROR(VLOOKUP($C311,'C'!$A$1:$N$1998,2,FALSE),"")</f>
        <v/>
      </c>
      <c r="F311" s="4" t="str">
        <f>IFERROR(IF(VLOOKUP($C311,'C'!$A$1:$N$1998,3,FALSE)=1,"&lt;",""),"")</f>
        <v/>
      </c>
      <c r="G311" s="4" t="str">
        <f>IFERROR(VLOOKUP($C311,'C'!$A$1:$N$1998,5,FALSE),"")</f>
        <v/>
      </c>
      <c r="H311" s="4" t="str">
        <f>IFERROR(IF(VLOOKUP($C311,'C'!$A$1:$N$1998,6,FALSE)=1,"&lt;",""),"")</f>
        <v/>
      </c>
      <c r="I311" s="4" t="str">
        <f>IFERROR(VLOOKUP($C311,'C'!$A$1:$N$1998,8,FALSE),"")</f>
        <v/>
      </c>
      <c r="J311" s="4" t="str">
        <f>IFERROR(IF(VLOOKUP($C311,'C'!$A$1:$N$1998,9,FALSE)=1,"&lt;",""),"")</f>
        <v/>
      </c>
      <c r="M311" s="4" t="str">
        <f t="shared" si="168"/>
        <v/>
      </c>
      <c r="N311" s="4" t="str">
        <f t="shared" si="169"/>
        <v/>
      </c>
      <c r="O311" s="4" t="str">
        <f t="shared" si="175"/>
        <v/>
      </c>
      <c r="P311" s="4" t="str">
        <f t="shared" si="170"/>
        <v/>
      </c>
      <c r="Q311" s="4" t="str">
        <f t="shared" si="176"/>
        <v/>
      </c>
      <c r="R311" s="4" t="str">
        <f t="shared" si="171"/>
        <v/>
      </c>
      <c r="V311" s="4">
        <f>IFERROR(IF(VLOOKUP(B311,E!$B$1:$AK$300,4,FALSE)=0,1000000,VLOOKUP(B311,E!$B$1:$AK$300,4,FALSE)),1000000)</f>
        <v>1000000</v>
      </c>
      <c r="Z311" s="4" t="str">
        <f t="shared" si="177"/>
        <v/>
      </c>
      <c r="AC311" s="4" t="str">
        <f t="shared" si="178"/>
        <v/>
      </c>
      <c r="AF311" s="4" t="str">
        <f t="shared" si="179"/>
        <v/>
      </c>
      <c r="AI311" s="77">
        <v>0</v>
      </c>
      <c r="AJ311" s="77">
        <v>0</v>
      </c>
      <c r="AK311" s="77">
        <v>1</v>
      </c>
      <c r="AO311" s="4">
        <f t="shared" si="172"/>
        <v>5</v>
      </c>
      <c r="AQ311" s="4">
        <f t="shared" si="173"/>
        <v>5</v>
      </c>
      <c r="AS311" s="4">
        <f t="shared" si="174"/>
        <v>5</v>
      </c>
      <c r="AV311" s="4" t="str">
        <f t="shared" si="165"/>
        <v/>
      </c>
      <c r="AX311" s="4" t="str">
        <f t="shared" si="166"/>
        <v/>
      </c>
      <c r="AZ311" s="4" t="str">
        <f t="shared" si="167"/>
        <v/>
      </c>
    </row>
    <row r="312" spans="1:52" x14ac:dyDescent="0.2">
      <c r="A312" s="4" t="s">
        <v>766</v>
      </c>
      <c r="B312" s="4">
        <v>1154</v>
      </c>
      <c r="C312" s="4" t="str">
        <f t="shared" si="140"/>
        <v>urn:immetingen:parameter:id:1154</v>
      </c>
      <c r="D312" s="4" t="str">
        <f>IFERROR(IF(VLOOKUP($C312,'C'!$A$1:$N$1998,4,FALSE)=0,IF(VLOOKUP($C312,'C'!$A$1:$N$1998,7,FALSE)=0,VLOOKUP($C312,'C'!$A$1:$N$1998,10,FALSE),VLOOKUP($C312,'C'!$A$1:$N$1998,7,FALSE)),VLOOKUP($C312,'C'!$A$1:$N$1998,4,FALSE)),"")</f>
        <v/>
      </c>
      <c r="E312" s="4" t="str">
        <f>IFERROR(VLOOKUP($C312,'C'!$A$1:$N$1998,2,FALSE),"")</f>
        <v/>
      </c>
      <c r="F312" s="4" t="str">
        <f>IFERROR(IF(VLOOKUP($C312,'C'!$A$1:$N$1998,3,FALSE)=1,"&lt;",""),"")</f>
        <v/>
      </c>
      <c r="G312" s="4" t="str">
        <f>IFERROR(VLOOKUP($C312,'C'!$A$1:$N$1998,5,FALSE),"")</f>
        <v/>
      </c>
      <c r="H312" s="4" t="str">
        <f>IFERROR(IF(VLOOKUP($C312,'C'!$A$1:$N$1998,6,FALSE)=1,"&lt;",""),"")</f>
        <v/>
      </c>
      <c r="I312" s="4" t="str">
        <f>IFERROR(VLOOKUP($C312,'C'!$A$1:$N$1998,8,FALSE),"")</f>
        <v/>
      </c>
      <c r="J312" s="4" t="str">
        <f>IFERROR(IF(VLOOKUP($C312,'C'!$A$1:$N$1998,9,FALSE)=1,"&lt;",""),"")</f>
        <v/>
      </c>
      <c r="M312" s="4" t="str">
        <f t="shared" si="168"/>
        <v/>
      </c>
      <c r="N312" s="4" t="str">
        <f t="shared" si="169"/>
        <v/>
      </c>
      <c r="O312" s="4" t="str">
        <f t="shared" si="175"/>
        <v/>
      </c>
      <c r="P312" s="4" t="str">
        <f t="shared" si="170"/>
        <v/>
      </c>
      <c r="Q312" s="4" t="str">
        <f t="shared" si="176"/>
        <v/>
      </c>
      <c r="R312" s="4" t="str">
        <f t="shared" si="171"/>
        <v/>
      </c>
      <c r="V312" s="4">
        <f>IFERROR(IF(VLOOKUP(B312,E!$B$1:$AK$300,4,FALSE)=0,1000000,VLOOKUP(B312,E!$B$1:$AK$300,4,FALSE)),1000000)</f>
        <v>1000000000</v>
      </c>
      <c r="Z312" s="4" t="str">
        <f t="shared" si="177"/>
        <v/>
      </c>
      <c r="AC312" s="4" t="str">
        <f t="shared" si="178"/>
        <v/>
      </c>
      <c r="AF312" s="4" t="str">
        <f t="shared" si="179"/>
        <v/>
      </c>
      <c r="AI312" s="77">
        <v>0</v>
      </c>
      <c r="AJ312" s="77">
        <v>0</v>
      </c>
      <c r="AK312" s="77">
        <v>1</v>
      </c>
      <c r="AO312" s="4">
        <f t="shared" si="172"/>
        <v>5</v>
      </c>
      <c r="AQ312" s="4">
        <f t="shared" si="173"/>
        <v>5</v>
      </c>
      <c r="AS312" s="4">
        <f t="shared" si="174"/>
        <v>5</v>
      </c>
      <c r="AV312" s="4" t="str">
        <f t="shared" si="165"/>
        <v/>
      </c>
      <c r="AX312" s="4" t="str">
        <f t="shared" si="166"/>
        <v/>
      </c>
      <c r="AZ312" s="4" t="str">
        <f t="shared" si="167"/>
        <v/>
      </c>
    </row>
    <row r="313" spans="1:52" x14ac:dyDescent="0.2">
      <c r="A313" s="4" t="s">
        <v>767</v>
      </c>
      <c r="B313" s="4">
        <v>716</v>
      </c>
      <c r="C313" s="4" t="str">
        <f t="shared" si="140"/>
        <v>urn:immetingen:parameter:id:716</v>
      </c>
      <c r="D313" s="4" t="str">
        <f>IFERROR(IF(VLOOKUP($C313,'C'!$A$1:$N$1998,4,FALSE)=0,IF(VLOOKUP($C313,'C'!$A$1:$N$1998,7,FALSE)=0,VLOOKUP($C313,'C'!$A$1:$N$1998,10,FALSE),VLOOKUP($C313,'C'!$A$1:$N$1998,7,FALSE)),VLOOKUP($C313,'C'!$A$1:$N$1998,4,FALSE)),"")</f>
        <v/>
      </c>
      <c r="E313" s="4" t="str">
        <f>IFERROR(VLOOKUP($C313,'C'!$A$1:$N$1998,2,FALSE),"")</f>
        <v/>
      </c>
      <c r="F313" s="4" t="str">
        <f>IFERROR(IF(VLOOKUP($C313,'C'!$A$1:$N$1998,3,FALSE)=1,"&lt;",""),"")</f>
        <v/>
      </c>
      <c r="G313" s="4" t="str">
        <f>IFERROR(VLOOKUP($C313,'C'!$A$1:$N$1998,5,FALSE),"")</f>
        <v/>
      </c>
      <c r="H313" s="4" t="str">
        <f>IFERROR(IF(VLOOKUP($C313,'C'!$A$1:$N$1998,6,FALSE)=1,"&lt;",""),"")</f>
        <v/>
      </c>
      <c r="I313" s="4" t="str">
        <f>IFERROR(VLOOKUP($C313,'C'!$A$1:$N$1998,8,FALSE),"")</f>
        <v/>
      </c>
      <c r="J313" s="4" t="str">
        <f>IFERROR(IF(VLOOKUP($C313,'C'!$A$1:$N$1998,9,FALSE)=1,"&lt;",""),"")</f>
        <v/>
      </c>
      <c r="M313" s="4" t="str">
        <f t="shared" si="168"/>
        <v/>
      </c>
      <c r="N313" s="4" t="str">
        <f t="shared" si="169"/>
        <v/>
      </c>
      <c r="O313" s="4" t="str">
        <f t="shared" si="175"/>
        <v/>
      </c>
      <c r="P313" s="4" t="str">
        <f t="shared" si="170"/>
        <v/>
      </c>
      <c r="Q313" s="4" t="str">
        <f t="shared" si="176"/>
        <v/>
      </c>
      <c r="R313" s="4" t="str">
        <f t="shared" si="171"/>
        <v/>
      </c>
      <c r="V313" s="4">
        <f>IFERROR(IF(VLOOKUP(B313,E!$B$1:$AK$300,4,FALSE)=0,1000000,VLOOKUP(B313,E!$B$1:$AK$300,4,FALSE)),1000000)</f>
        <v>1000000</v>
      </c>
      <c r="Z313" s="4" t="str">
        <f t="shared" si="177"/>
        <v/>
      </c>
      <c r="AC313" s="4" t="str">
        <f t="shared" si="178"/>
        <v/>
      </c>
      <c r="AF313" s="4" t="str">
        <f t="shared" si="179"/>
        <v/>
      </c>
      <c r="AI313" s="77">
        <v>0</v>
      </c>
      <c r="AJ313" s="77">
        <v>0</v>
      </c>
      <c r="AK313" s="77">
        <v>1</v>
      </c>
      <c r="AO313" s="4">
        <f t="shared" si="172"/>
        <v>5</v>
      </c>
      <c r="AQ313" s="4">
        <f t="shared" si="173"/>
        <v>5</v>
      </c>
      <c r="AS313" s="4">
        <f t="shared" si="174"/>
        <v>5</v>
      </c>
      <c r="AV313" s="4" t="str">
        <f t="shared" si="165"/>
        <v/>
      </c>
      <c r="AX313" s="4" t="str">
        <f t="shared" si="166"/>
        <v/>
      </c>
      <c r="AZ313" s="4" t="str">
        <f t="shared" si="167"/>
        <v/>
      </c>
    </row>
    <row r="314" spans="1:52" x14ac:dyDescent="0.2">
      <c r="A314" s="4" t="s">
        <v>768</v>
      </c>
      <c r="B314" s="4">
        <v>1258</v>
      </c>
      <c r="C314" s="4" t="str">
        <f t="shared" si="140"/>
        <v>urn:immetingen:parameter:id:1258</v>
      </c>
      <c r="D314" s="4" t="str">
        <f>IFERROR(IF(VLOOKUP($C314,'C'!$A$1:$N$1998,4,FALSE)=0,IF(VLOOKUP($C314,'C'!$A$1:$N$1998,7,FALSE)=0,VLOOKUP($C314,'C'!$A$1:$N$1998,10,FALSE),VLOOKUP($C314,'C'!$A$1:$N$1998,7,FALSE)),VLOOKUP($C314,'C'!$A$1:$N$1998,4,FALSE)),"")</f>
        <v/>
      </c>
      <c r="E314" s="4" t="str">
        <f>IFERROR(VLOOKUP($C314,'C'!$A$1:$N$1998,2,FALSE),"")</f>
        <v/>
      </c>
      <c r="F314" s="4" t="str">
        <f>IFERROR(IF(VLOOKUP($C314,'C'!$A$1:$N$1998,3,FALSE)=1,"&lt;",""),"")</f>
        <v/>
      </c>
      <c r="G314" s="4" t="str">
        <f>IFERROR(VLOOKUP($C314,'C'!$A$1:$N$1998,5,FALSE),"")</f>
        <v/>
      </c>
      <c r="H314" s="4" t="str">
        <f>IFERROR(IF(VLOOKUP($C314,'C'!$A$1:$N$1998,6,FALSE)=1,"&lt;",""),"")</f>
        <v/>
      </c>
      <c r="I314" s="4" t="str">
        <f>IFERROR(VLOOKUP($C314,'C'!$A$1:$N$1998,8,FALSE),"")</f>
        <v/>
      </c>
      <c r="J314" s="4" t="str">
        <f>IFERROR(IF(VLOOKUP($C314,'C'!$A$1:$N$1998,9,FALSE)=1,"&lt;",""),"")</f>
        <v/>
      </c>
      <c r="M314" s="4" t="str">
        <f t="shared" si="168"/>
        <v/>
      </c>
      <c r="N314" s="4" t="str">
        <f t="shared" si="169"/>
        <v/>
      </c>
      <c r="O314" s="4" t="str">
        <f t="shared" si="175"/>
        <v/>
      </c>
      <c r="P314" s="4" t="str">
        <f t="shared" si="170"/>
        <v/>
      </c>
      <c r="Q314" s="4" t="str">
        <f t="shared" si="176"/>
        <v/>
      </c>
      <c r="R314" s="4" t="str">
        <f t="shared" si="171"/>
        <v/>
      </c>
      <c r="V314" s="4">
        <f>IFERROR(IF(VLOOKUP(B314,E!$B$1:$AK$300,4,FALSE)=0,1000000,VLOOKUP(B314,E!$B$1:$AK$300,4,FALSE)),1000000)</f>
        <v>1000000</v>
      </c>
      <c r="Z314" s="4" t="str">
        <f t="shared" si="177"/>
        <v/>
      </c>
      <c r="AC314" s="4" t="str">
        <f t="shared" si="178"/>
        <v/>
      </c>
      <c r="AF314" s="4" t="str">
        <f t="shared" si="179"/>
        <v/>
      </c>
      <c r="AI314" s="77">
        <v>0</v>
      </c>
      <c r="AJ314" s="77">
        <v>0</v>
      </c>
      <c r="AK314" s="77">
        <v>1</v>
      </c>
      <c r="AO314" s="4">
        <f t="shared" si="172"/>
        <v>5</v>
      </c>
      <c r="AQ314" s="4">
        <f t="shared" si="173"/>
        <v>5</v>
      </c>
      <c r="AS314" s="4">
        <f t="shared" si="174"/>
        <v>5</v>
      </c>
      <c r="AV314" s="4" t="str">
        <f t="shared" si="165"/>
        <v/>
      </c>
      <c r="AX314" s="4" t="str">
        <f t="shared" si="166"/>
        <v/>
      </c>
      <c r="AZ314" s="4" t="str">
        <f t="shared" si="167"/>
        <v/>
      </c>
    </row>
    <row r="315" spans="1:52" x14ac:dyDescent="0.2">
      <c r="A315" s="4" t="s">
        <v>769</v>
      </c>
      <c r="B315" s="4">
        <v>174</v>
      </c>
      <c r="C315" s="4" t="str">
        <f t="shared" si="140"/>
        <v>urn:immetingen:parameter:id:174</v>
      </c>
      <c r="D315" s="4" t="str">
        <f>IFERROR(IF(VLOOKUP($C315,'C'!$A$1:$N$1998,4,FALSE)=0,IF(VLOOKUP($C315,'C'!$A$1:$N$1998,7,FALSE)=0,VLOOKUP($C315,'C'!$A$1:$N$1998,10,FALSE),VLOOKUP($C315,'C'!$A$1:$N$1998,7,FALSE)),VLOOKUP($C315,'C'!$A$1:$N$1998,4,FALSE)),"")</f>
        <v/>
      </c>
      <c r="E315" s="4" t="str">
        <f>IFERROR(VLOOKUP($C315,'C'!$A$1:$N$1998,2,FALSE),"")</f>
        <v/>
      </c>
      <c r="F315" s="4" t="str">
        <f>IFERROR(IF(VLOOKUP($C315,'C'!$A$1:$N$1998,3,FALSE)=1,"&lt;",""),"")</f>
        <v/>
      </c>
      <c r="G315" s="4" t="str">
        <f>IFERROR(VLOOKUP($C315,'C'!$A$1:$N$1998,5,FALSE),"")</f>
        <v/>
      </c>
      <c r="H315" s="4" t="str">
        <f>IFERROR(IF(VLOOKUP($C315,'C'!$A$1:$N$1998,6,FALSE)=1,"&lt;",""),"")</f>
        <v/>
      </c>
      <c r="I315" s="4" t="str">
        <f>IFERROR(VLOOKUP($C315,'C'!$A$1:$N$1998,8,FALSE),"")</f>
        <v/>
      </c>
      <c r="J315" s="4" t="str">
        <f>IFERROR(IF(VLOOKUP($C315,'C'!$A$1:$N$1998,9,FALSE)=1,"&lt;",""),"")</f>
        <v/>
      </c>
      <c r="M315" s="4" t="str">
        <f t="shared" si="168"/>
        <v/>
      </c>
      <c r="N315" s="4" t="str">
        <f t="shared" si="169"/>
        <v/>
      </c>
      <c r="O315" s="4" t="str">
        <f t="shared" si="175"/>
        <v/>
      </c>
      <c r="P315" s="4" t="str">
        <f t="shared" si="170"/>
        <v/>
      </c>
      <c r="Q315" s="4" t="str">
        <f t="shared" si="176"/>
        <v/>
      </c>
      <c r="R315" s="4" t="str">
        <f t="shared" si="171"/>
        <v/>
      </c>
      <c r="V315" s="4">
        <f>IFERROR(IF(VLOOKUP(B315,E!$B$1:$AK$300,4,FALSE)=0,1000000,VLOOKUP(B315,E!$B$1:$AK$300,4,FALSE)),1000000)</f>
        <v>1000000000</v>
      </c>
      <c r="Z315" s="4" t="str">
        <f t="shared" si="177"/>
        <v/>
      </c>
      <c r="AC315" s="4" t="str">
        <f t="shared" si="178"/>
        <v/>
      </c>
      <c r="AF315" s="4" t="str">
        <f t="shared" si="179"/>
        <v/>
      </c>
      <c r="AI315" s="77">
        <v>0</v>
      </c>
      <c r="AJ315" s="77">
        <v>0</v>
      </c>
      <c r="AK315" s="77">
        <v>1</v>
      </c>
      <c r="AO315" s="4">
        <f t="shared" si="172"/>
        <v>5</v>
      </c>
      <c r="AQ315" s="4">
        <f t="shared" si="173"/>
        <v>5</v>
      </c>
      <c r="AS315" s="4">
        <f t="shared" si="174"/>
        <v>5</v>
      </c>
      <c r="AV315" s="4" t="str">
        <f t="shared" si="165"/>
        <v/>
      </c>
      <c r="AX315" s="4" t="str">
        <f t="shared" si="166"/>
        <v/>
      </c>
      <c r="AZ315" s="4" t="str">
        <f t="shared" si="167"/>
        <v/>
      </c>
    </row>
    <row r="316" spans="1:52" x14ac:dyDescent="0.2">
      <c r="A316" s="4" t="s">
        <v>770</v>
      </c>
      <c r="B316" s="4">
        <v>1516</v>
      </c>
      <c r="C316" s="4" t="str">
        <f t="shared" si="140"/>
        <v>urn:immetingen:parameter:id:1516</v>
      </c>
      <c r="D316" s="4" t="str">
        <f>IFERROR(IF(VLOOKUP($C316,'C'!$A$1:$N$1998,4,FALSE)=0,IF(VLOOKUP($C316,'C'!$A$1:$N$1998,7,FALSE)=0,VLOOKUP($C316,'C'!$A$1:$N$1998,10,FALSE),VLOOKUP($C316,'C'!$A$1:$N$1998,7,FALSE)),VLOOKUP($C316,'C'!$A$1:$N$1998,4,FALSE)),"")</f>
        <v/>
      </c>
      <c r="E316" s="4" t="str">
        <f>IFERROR(VLOOKUP($C316,'C'!$A$1:$N$1998,2,FALSE),"")</f>
        <v/>
      </c>
      <c r="F316" s="4" t="str">
        <f>IFERROR(IF(VLOOKUP($C316,'C'!$A$1:$N$1998,3,FALSE)=1,"&lt;",""),"")</f>
        <v/>
      </c>
      <c r="G316" s="4" t="str">
        <f>IFERROR(VLOOKUP($C316,'C'!$A$1:$N$1998,5,FALSE),"")</f>
        <v/>
      </c>
      <c r="H316" s="4" t="str">
        <f>IFERROR(IF(VLOOKUP($C316,'C'!$A$1:$N$1998,6,FALSE)=1,"&lt;",""),"")</f>
        <v/>
      </c>
      <c r="I316" s="4" t="str">
        <f>IFERROR(VLOOKUP($C316,'C'!$A$1:$N$1998,8,FALSE),"")</f>
        <v/>
      </c>
      <c r="J316" s="4" t="str">
        <f>IFERROR(IF(VLOOKUP($C316,'C'!$A$1:$N$1998,9,FALSE)=1,"&lt;",""),"")</f>
        <v/>
      </c>
      <c r="M316" s="4" t="str">
        <f t="shared" si="168"/>
        <v/>
      </c>
      <c r="N316" s="4" t="str">
        <f t="shared" si="169"/>
        <v/>
      </c>
      <c r="O316" s="4" t="str">
        <f t="shared" si="175"/>
        <v/>
      </c>
      <c r="P316" s="4" t="str">
        <f t="shared" si="170"/>
        <v/>
      </c>
      <c r="Q316" s="4" t="str">
        <f t="shared" si="176"/>
        <v/>
      </c>
      <c r="R316" s="4" t="str">
        <f t="shared" si="171"/>
        <v/>
      </c>
      <c r="V316" s="4">
        <f>IFERROR(IF(VLOOKUP(B316,E!$B$1:$AK$300,4,FALSE)=0,1000000,VLOOKUP(B316,E!$B$1:$AK$300,4,FALSE)),1000000)</f>
        <v>1000000000</v>
      </c>
      <c r="Z316" s="4" t="str">
        <f t="shared" si="177"/>
        <v/>
      </c>
      <c r="AC316" s="4" t="str">
        <f t="shared" si="178"/>
        <v/>
      </c>
      <c r="AF316" s="4" t="str">
        <f t="shared" si="179"/>
        <v/>
      </c>
      <c r="AI316" s="77">
        <v>0</v>
      </c>
      <c r="AJ316" s="77">
        <v>0</v>
      </c>
      <c r="AK316" s="77">
        <v>1</v>
      </c>
      <c r="AO316" s="4">
        <f t="shared" si="172"/>
        <v>5</v>
      </c>
      <c r="AQ316" s="4">
        <f t="shared" si="173"/>
        <v>5</v>
      </c>
      <c r="AS316" s="4">
        <f t="shared" si="174"/>
        <v>5</v>
      </c>
      <c r="AV316" s="4" t="str">
        <f t="shared" si="165"/>
        <v/>
      </c>
      <c r="AX316" s="4" t="str">
        <f t="shared" si="166"/>
        <v/>
      </c>
      <c r="AZ316" s="4" t="str">
        <f t="shared" si="167"/>
        <v/>
      </c>
    </row>
    <row r="317" spans="1:52" x14ac:dyDescent="0.2">
      <c r="A317" s="4" t="s">
        <v>771</v>
      </c>
      <c r="B317" s="4">
        <v>894</v>
      </c>
      <c r="C317" s="4" t="str">
        <f t="shared" si="140"/>
        <v>urn:immetingen:parameter:id:894</v>
      </c>
      <c r="D317" s="4" t="str">
        <f>IFERROR(IF(VLOOKUP($C317,'C'!$A$1:$N$1998,4,FALSE)=0,IF(VLOOKUP($C317,'C'!$A$1:$N$1998,7,FALSE)=0,VLOOKUP($C317,'C'!$A$1:$N$1998,10,FALSE),VLOOKUP($C317,'C'!$A$1:$N$1998,7,FALSE)),VLOOKUP($C317,'C'!$A$1:$N$1998,4,FALSE)),"")</f>
        <v/>
      </c>
      <c r="E317" s="4" t="str">
        <f>IFERROR(VLOOKUP($C317,'C'!$A$1:$N$1998,2,FALSE),"")</f>
        <v/>
      </c>
      <c r="F317" s="4" t="str">
        <f>IFERROR(IF(VLOOKUP($C317,'C'!$A$1:$N$1998,3,FALSE)=1,"&lt;",""),"")</f>
        <v/>
      </c>
      <c r="G317" s="4" t="str">
        <f>IFERROR(VLOOKUP($C317,'C'!$A$1:$N$1998,5,FALSE),"")</f>
        <v/>
      </c>
      <c r="H317" s="4" t="str">
        <f>IFERROR(IF(VLOOKUP($C317,'C'!$A$1:$N$1998,6,FALSE)=1,"&lt;",""),"")</f>
        <v/>
      </c>
      <c r="I317" s="4" t="str">
        <f>IFERROR(VLOOKUP($C317,'C'!$A$1:$N$1998,8,FALSE),"")</f>
        <v/>
      </c>
      <c r="J317" s="4" t="str">
        <f>IFERROR(IF(VLOOKUP($C317,'C'!$A$1:$N$1998,9,FALSE)=1,"&lt;",""),"")</f>
        <v/>
      </c>
      <c r="M317" s="4" t="str">
        <f t="shared" si="168"/>
        <v/>
      </c>
      <c r="N317" s="4" t="str">
        <f t="shared" si="169"/>
        <v/>
      </c>
      <c r="O317" s="4" t="str">
        <f t="shared" si="175"/>
        <v/>
      </c>
      <c r="P317" s="4" t="str">
        <f t="shared" si="170"/>
        <v/>
      </c>
      <c r="Q317" s="4" t="str">
        <f t="shared" si="176"/>
        <v/>
      </c>
      <c r="R317" s="4" t="str">
        <f t="shared" si="171"/>
        <v/>
      </c>
      <c r="V317" s="4">
        <f>IFERROR(IF(VLOOKUP(B317,E!$B$1:$AK$300,4,FALSE)=0,1000000,VLOOKUP(B317,E!$B$1:$AK$300,4,FALSE)),1000000)</f>
        <v>1000000</v>
      </c>
      <c r="Z317" s="4" t="str">
        <f t="shared" si="177"/>
        <v/>
      </c>
      <c r="AC317" s="4" t="str">
        <f t="shared" si="178"/>
        <v/>
      </c>
      <c r="AF317" s="4" t="str">
        <f t="shared" si="179"/>
        <v/>
      </c>
      <c r="AI317" s="77">
        <v>0</v>
      </c>
      <c r="AJ317" s="77">
        <v>0</v>
      </c>
      <c r="AK317" s="77">
        <v>1</v>
      </c>
      <c r="AO317" s="4">
        <f t="shared" si="172"/>
        <v>5</v>
      </c>
      <c r="AQ317" s="4">
        <f t="shared" si="173"/>
        <v>5</v>
      </c>
      <c r="AS317" s="4">
        <f t="shared" si="174"/>
        <v>5</v>
      </c>
      <c r="AV317" s="4" t="str">
        <f t="shared" si="165"/>
        <v/>
      </c>
      <c r="AX317" s="4" t="str">
        <f t="shared" si="166"/>
        <v/>
      </c>
      <c r="AZ317" s="4" t="str">
        <f t="shared" si="167"/>
        <v/>
      </c>
    </row>
    <row r="318" spans="1:52" x14ac:dyDescent="0.2">
      <c r="A318" s="4" t="s">
        <v>772</v>
      </c>
      <c r="B318" s="4">
        <v>406</v>
      </c>
      <c r="C318" s="4" t="str">
        <f t="shared" si="140"/>
        <v>urn:immetingen:parameter:id:406</v>
      </c>
      <c r="D318" s="4" t="str">
        <f>IFERROR(IF(VLOOKUP($C318,'C'!$A$1:$N$1998,4,FALSE)=0,IF(VLOOKUP($C318,'C'!$A$1:$N$1998,7,FALSE)=0,VLOOKUP($C318,'C'!$A$1:$N$1998,10,FALSE),VLOOKUP($C318,'C'!$A$1:$N$1998,7,FALSE)),VLOOKUP($C318,'C'!$A$1:$N$1998,4,FALSE)),"")</f>
        <v/>
      </c>
      <c r="E318" s="4" t="str">
        <f>IFERROR(VLOOKUP($C318,'C'!$A$1:$N$1998,2,FALSE),"")</f>
        <v/>
      </c>
      <c r="F318" s="4" t="str">
        <f>IFERROR(IF(VLOOKUP($C318,'C'!$A$1:$N$1998,3,FALSE)=1,"&lt;",""),"")</f>
        <v/>
      </c>
      <c r="G318" s="4" t="str">
        <f>IFERROR(VLOOKUP($C318,'C'!$A$1:$N$1998,5,FALSE),"")</f>
        <v/>
      </c>
      <c r="H318" s="4" t="str">
        <f>IFERROR(IF(VLOOKUP($C318,'C'!$A$1:$N$1998,6,FALSE)=1,"&lt;",""),"")</f>
        <v/>
      </c>
      <c r="I318" s="4" t="str">
        <f>IFERROR(VLOOKUP($C318,'C'!$A$1:$N$1998,8,FALSE),"")</f>
        <v/>
      </c>
      <c r="J318" s="4" t="str">
        <f>IFERROR(IF(VLOOKUP($C318,'C'!$A$1:$N$1998,9,FALSE)=1,"&lt;",""),"")</f>
        <v/>
      </c>
      <c r="M318" s="4" t="str">
        <f t="shared" si="168"/>
        <v/>
      </c>
      <c r="N318" s="4" t="str">
        <f t="shared" si="169"/>
        <v/>
      </c>
      <c r="O318" s="4" t="str">
        <f t="shared" si="175"/>
        <v/>
      </c>
      <c r="P318" s="4" t="str">
        <f t="shared" si="170"/>
        <v/>
      </c>
      <c r="Q318" s="4" t="str">
        <f t="shared" si="176"/>
        <v/>
      </c>
      <c r="R318" s="4" t="str">
        <f t="shared" si="171"/>
        <v/>
      </c>
      <c r="V318" s="4">
        <f>IFERROR(IF(VLOOKUP(B318,E!$B$1:$AK$300,4,FALSE)=0,1000000,VLOOKUP(B318,E!$B$1:$AK$300,4,FALSE)),1000000)</f>
        <v>1000000</v>
      </c>
      <c r="Z318" s="4" t="str">
        <f t="shared" si="177"/>
        <v/>
      </c>
      <c r="AC318" s="4" t="str">
        <f t="shared" si="178"/>
        <v/>
      </c>
      <c r="AF318" s="4" t="str">
        <f t="shared" si="179"/>
        <v/>
      </c>
      <c r="AI318" s="77">
        <v>0</v>
      </c>
      <c r="AJ318" s="77">
        <v>0</v>
      </c>
      <c r="AK318" s="77">
        <v>1</v>
      </c>
      <c r="AO318" s="4">
        <f t="shared" si="172"/>
        <v>5</v>
      </c>
      <c r="AQ318" s="4">
        <f t="shared" si="173"/>
        <v>5</v>
      </c>
      <c r="AS318" s="4">
        <f t="shared" si="174"/>
        <v>5</v>
      </c>
      <c r="AV318" s="4" t="str">
        <f t="shared" si="165"/>
        <v/>
      </c>
      <c r="AX318" s="4" t="str">
        <f t="shared" si="166"/>
        <v/>
      </c>
      <c r="AZ318" s="4" t="str">
        <f t="shared" si="167"/>
        <v/>
      </c>
    </row>
    <row r="319" spans="1:52" x14ac:dyDescent="0.2">
      <c r="A319" s="4" t="s">
        <v>773</v>
      </c>
      <c r="B319" s="4">
        <v>1164</v>
      </c>
      <c r="C319" s="4" t="str">
        <f t="shared" si="140"/>
        <v>urn:immetingen:parameter:id:1164</v>
      </c>
      <c r="D319" s="4" t="str">
        <f>IFERROR(IF(VLOOKUP($C319,'C'!$A$1:$N$1998,4,FALSE)=0,IF(VLOOKUP($C319,'C'!$A$1:$N$1998,7,FALSE)=0,VLOOKUP($C319,'C'!$A$1:$N$1998,10,FALSE),VLOOKUP($C319,'C'!$A$1:$N$1998,7,FALSE)),VLOOKUP($C319,'C'!$A$1:$N$1998,4,FALSE)),"")</f>
        <v/>
      </c>
      <c r="E319" s="4" t="str">
        <f>IFERROR(VLOOKUP($C319,'C'!$A$1:$N$1998,2,FALSE),"")</f>
        <v/>
      </c>
      <c r="F319" s="4" t="str">
        <f>IFERROR(IF(VLOOKUP($C319,'C'!$A$1:$N$1998,3,FALSE)=1,"&lt;",""),"")</f>
        <v/>
      </c>
      <c r="G319" s="4" t="str">
        <f>IFERROR(VLOOKUP($C319,'C'!$A$1:$N$1998,5,FALSE),"")</f>
        <v/>
      </c>
      <c r="H319" s="4" t="str">
        <f>IFERROR(IF(VLOOKUP($C319,'C'!$A$1:$N$1998,6,FALSE)=1,"&lt;",""),"")</f>
        <v/>
      </c>
      <c r="I319" s="4" t="str">
        <f>IFERROR(VLOOKUP($C319,'C'!$A$1:$N$1998,8,FALSE),"")</f>
        <v/>
      </c>
      <c r="J319" s="4" t="str">
        <f>IFERROR(IF(VLOOKUP($C319,'C'!$A$1:$N$1998,9,FALSE)=1,"&lt;",""),"")</f>
        <v/>
      </c>
      <c r="M319" s="4" t="str">
        <f t="shared" si="168"/>
        <v/>
      </c>
      <c r="N319" s="4" t="str">
        <f t="shared" si="169"/>
        <v/>
      </c>
      <c r="O319" s="4" t="str">
        <f t="shared" si="175"/>
        <v/>
      </c>
      <c r="P319" s="4" t="str">
        <f t="shared" si="170"/>
        <v/>
      </c>
      <c r="Q319" s="4" t="str">
        <f t="shared" si="176"/>
        <v/>
      </c>
      <c r="R319" s="4" t="str">
        <f t="shared" si="171"/>
        <v/>
      </c>
      <c r="V319" s="4">
        <f>IFERROR(IF(VLOOKUP(B319,E!$B$1:$AK$300,4,FALSE)=0,1000000,VLOOKUP(B319,E!$B$1:$AK$300,4,FALSE)),1000000)</f>
        <v>1000000</v>
      </c>
      <c r="Z319" s="4" t="str">
        <f t="shared" si="177"/>
        <v/>
      </c>
      <c r="AC319" s="4" t="str">
        <f t="shared" si="178"/>
        <v/>
      </c>
      <c r="AF319" s="4" t="str">
        <f t="shared" si="179"/>
        <v/>
      </c>
      <c r="AI319" s="77">
        <v>0</v>
      </c>
      <c r="AJ319" s="77">
        <v>0</v>
      </c>
      <c r="AK319" s="77">
        <v>1</v>
      </c>
      <c r="AO319" s="4">
        <f t="shared" si="172"/>
        <v>5</v>
      </c>
      <c r="AQ319" s="4">
        <f t="shared" si="173"/>
        <v>5</v>
      </c>
      <c r="AS319" s="4">
        <f t="shared" si="174"/>
        <v>5</v>
      </c>
      <c r="AV319" s="4" t="str">
        <f t="shared" si="165"/>
        <v/>
      </c>
      <c r="AX319" s="4" t="str">
        <f t="shared" si="166"/>
        <v/>
      </c>
      <c r="AZ319" s="4" t="str">
        <f t="shared" si="167"/>
        <v/>
      </c>
    </row>
    <row r="320" spans="1:52" x14ac:dyDescent="0.2">
      <c r="A320" s="4" t="s">
        <v>774</v>
      </c>
      <c r="B320" s="4">
        <v>725</v>
      </c>
      <c r="C320" s="4" t="str">
        <f t="shared" si="140"/>
        <v>urn:immetingen:parameter:id:725</v>
      </c>
      <c r="D320" s="4" t="str">
        <f>IFERROR(IF(VLOOKUP($C320,'C'!$A$1:$N$1998,4,FALSE)=0,IF(VLOOKUP($C320,'C'!$A$1:$N$1998,7,FALSE)=0,VLOOKUP($C320,'C'!$A$1:$N$1998,10,FALSE),VLOOKUP($C320,'C'!$A$1:$N$1998,7,FALSE)),VLOOKUP($C320,'C'!$A$1:$N$1998,4,FALSE)),"")</f>
        <v/>
      </c>
      <c r="E320" s="4" t="str">
        <f>IFERROR(VLOOKUP($C320,'C'!$A$1:$N$1998,2,FALSE),"")</f>
        <v/>
      </c>
      <c r="F320" s="4" t="str">
        <f>IFERROR(IF(VLOOKUP($C320,'C'!$A$1:$N$1998,3,FALSE)=1,"&lt;",""),"")</f>
        <v/>
      </c>
      <c r="G320" s="4" t="str">
        <f>IFERROR(VLOOKUP($C320,'C'!$A$1:$N$1998,5,FALSE),"")</f>
        <v/>
      </c>
      <c r="H320" s="4" t="str">
        <f>IFERROR(IF(VLOOKUP($C320,'C'!$A$1:$N$1998,6,FALSE)=1,"&lt;",""),"")</f>
        <v/>
      </c>
      <c r="I320" s="4" t="str">
        <f>IFERROR(VLOOKUP($C320,'C'!$A$1:$N$1998,8,FALSE),"")</f>
        <v/>
      </c>
      <c r="J320" s="4" t="str">
        <f>IFERROR(IF(VLOOKUP($C320,'C'!$A$1:$N$1998,9,FALSE)=1,"&lt;",""),"")</f>
        <v/>
      </c>
      <c r="M320" s="4" t="str">
        <f t="shared" si="168"/>
        <v/>
      </c>
      <c r="N320" s="4" t="str">
        <f t="shared" si="169"/>
        <v/>
      </c>
      <c r="O320" s="4" t="str">
        <f t="shared" si="175"/>
        <v/>
      </c>
      <c r="P320" s="4" t="str">
        <f t="shared" si="170"/>
        <v/>
      </c>
      <c r="Q320" s="4" t="str">
        <f t="shared" si="176"/>
        <v/>
      </c>
      <c r="R320" s="4" t="str">
        <f t="shared" si="171"/>
        <v/>
      </c>
      <c r="V320" s="4">
        <f>IFERROR(IF(VLOOKUP(B320,E!$B$1:$AK$300,4,FALSE)=0,1000000,VLOOKUP(B320,E!$B$1:$AK$300,4,FALSE)),1000000)</f>
        <v>1000000000</v>
      </c>
      <c r="Z320" s="4" t="str">
        <f t="shared" si="177"/>
        <v/>
      </c>
      <c r="AC320" s="4" t="str">
        <f t="shared" si="178"/>
        <v/>
      </c>
      <c r="AF320" s="4" t="str">
        <f t="shared" si="179"/>
        <v/>
      </c>
      <c r="AI320" s="77">
        <v>0</v>
      </c>
      <c r="AJ320" s="77">
        <v>0</v>
      </c>
      <c r="AK320" s="77">
        <v>1</v>
      </c>
      <c r="AO320" s="4">
        <f t="shared" si="172"/>
        <v>5</v>
      </c>
      <c r="AQ320" s="4">
        <f t="shared" si="173"/>
        <v>5</v>
      </c>
      <c r="AS320" s="4">
        <f t="shared" si="174"/>
        <v>5</v>
      </c>
      <c r="AV320" s="4" t="str">
        <f t="shared" si="165"/>
        <v/>
      </c>
      <c r="AX320" s="4" t="str">
        <f t="shared" si="166"/>
        <v/>
      </c>
      <c r="AZ320" s="4" t="str">
        <f t="shared" si="167"/>
        <v/>
      </c>
    </row>
    <row r="321" spans="1:52" x14ac:dyDescent="0.2">
      <c r="A321" s="4" t="s">
        <v>775</v>
      </c>
      <c r="B321" s="4">
        <v>412</v>
      </c>
      <c r="C321" s="4" t="str">
        <f t="shared" si="140"/>
        <v>urn:immetingen:parameter:id:412</v>
      </c>
      <c r="D321" s="4" t="str">
        <f>IFERROR(IF(VLOOKUP($C321,'C'!$A$1:$N$1998,4,FALSE)=0,IF(VLOOKUP($C321,'C'!$A$1:$N$1998,7,FALSE)=0,VLOOKUP($C321,'C'!$A$1:$N$1998,10,FALSE),VLOOKUP($C321,'C'!$A$1:$N$1998,7,FALSE)),VLOOKUP($C321,'C'!$A$1:$N$1998,4,FALSE)),"")</f>
        <v/>
      </c>
      <c r="E321" s="4" t="str">
        <f>IFERROR(VLOOKUP($C321,'C'!$A$1:$N$1998,2,FALSE),"")</f>
        <v/>
      </c>
      <c r="F321" s="4" t="str">
        <f>IFERROR(IF(VLOOKUP($C321,'C'!$A$1:$N$1998,3,FALSE)=1,"&lt;",""),"")</f>
        <v/>
      </c>
      <c r="G321" s="4" t="str">
        <f>IFERROR(VLOOKUP($C321,'C'!$A$1:$N$1998,5,FALSE),"")</f>
        <v/>
      </c>
      <c r="H321" s="4" t="str">
        <f>IFERROR(IF(VLOOKUP($C321,'C'!$A$1:$N$1998,6,FALSE)=1,"&lt;",""),"")</f>
        <v/>
      </c>
      <c r="I321" s="4" t="str">
        <f>IFERROR(VLOOKUP($C321,'C'!$A$1:$N$1998,8,FALSE),"")</f>
        <v/>
      </c>
      <c r="J321" s="4" t="str">
        <f>IFERROR(IF(VLOOKUP($C321,'C'!$A$1:$N$1998,9,FALSE)=1,"&lt;",""),"")</f>
        <v/>
      </c>
      <c r="M321" s="4" t="str">
        <f t="shared" si="168"/>
        <v/>
      </c>
      <c r="N321" s="4" t="str">
        <f t="shared" si="169"/>
        <v/>
      </c>
      <c r="O321" s="4" t="str">
        <f t="shared" si="175"/>
        <v/>
      </c>
      <c r="P321" s="4" t="str">
        <f t="shared" si="170"/>
        <v/>
      </c>
      <c r="Q321" s="4" t="str">
        <f t="shared" si="176"/>
        <v/>
      </c>
      <c r="R321" s="4" t="str">
        <f t="shared" si="171"/>
        <v/>
      </c>
      <c r="V321" s="4">
        <f>IFERROR(IF(VLOOKUP(B321,E!$B$1:$AK$300,4,FALSE)=0,1000000,VLOOKUP(B321,E!$B$1:$AK$300,4,FALSE)),1000000)</f>
        <v>1000000000</v>
      </c>
      <c r="Z321" s="4" t="str">
        <f t="shared" si="177"/>
        <v/>
      </c>
      <c r="AC321" s="4" t="str">
        <f t="shared" si="178"/>
        <v/>
      </c>
      <c r="AF321" s="4" t="str">
        <f t="shared" si="179"/>
        <v/>
      </c>
      <c r="AI321" s="77">
        <v>0</v>
      </c>
      <c r="AJ321" s="77">
        <v>0</v>
      </c>
      <c r="AK321" s="77">
        <v>1</v>
      </c>
      <c r="AO321" s="4">
        <f t="shared" si="172"/>
        <v>5</v>
      </c>
      <c r="AQ321" s="4">
        <f t="shared" si="173"/>
        <v>5</v>
      </c>
      <c r="AS321" s="4">
        <f t="shared" si="174"/>
        <v>5</v>
      </c>
      <c r="AV321" s="4" t="str">
        <f t="shared" si="165"/>
        <v/>
      </c>
      <c r="AX321" s="4" t="str">
        <f t="shared" si="166"/>
        <v/>
      </c>
      <c r="AZ321" s="4" t="str">
        <f t="shared" si="167"/>
        <v/>
      </c>
    </row>
    <row r="322" spans="1:52" x14ac:dyDescent="0.2">
      <c r="A322" s="4" t="s">
        <v>765</v>
      </c>
      <c r="B322" s="4">
        <v>289</v>
      </c>
      <c r="C322" s="15" t="str">
        <f>CONCATENATE("urn:immetingen:hoedanigheid:id:",B322)</f>
        <v>urn:immetingen:hoedanigheid:id:289</v>
      </c>
      <c r="D322" s="4" t="str">
        <f>IFERROR(IF(VLOOKUP($C322,'C'!$A$1:$N$1998,4,FALSE)=0,IF(VLOOKUP($C322,'C'!$A$1:$N$1998,7,FALSE)=0,VLOOKUP($C322,'C'!$A$1:$N$1998,10,FALSE),VLOOKUP($C322,'C'!$A$1:$N$1998,7,FALSE)),VLOOKUP($C322,'C'!$A$1:$N$1998,4,FALSE)),"")</f>
        <v/>
      </c>
      <c r="E322" s="15" t="str">
        <f>IFERROR(VLOOKUP($C322,'C'!$S$1:$AC$1998,2,FALSE),"")</f>
        <v/>
      </c>
      <c r="F322" s="15" t="str">
        <f>IFERROR(IF(VLOOKUP($C322,'C'!$S$1:$AC$1998,3,FALSE)=1,"&lt;",""),"")</f>
        <v/>
      </c>
      <c r="G322" s="15" t="str">
        <f>IFERROR(VLOOKUP($C322,'C'!$S$1:$AC$1998,5,FALSE),"")</f>
        <v/>
      </c>
      <c r="H322" s="15" t="str">
        <f>IFERROR(IF(VLOOKUP($C322,'C'!$S$1:$AC$1998,6,FALSE)=1,"&lt;",""),"")</f>
        <v/>
      </c>
      <c r="I322" s="15" t="str">
        <f>IFERROR(VLOOKUP($C322,'C'!$S$1:$AC$1998,8,FALSE),"")</f>
        <v/>
      </c>
      <c r="J322" s="15" t="str">
        <f>IFERROR(IF(VLOOKUP($C322,'C'!$S$1:$AC$1998,9,FALSE)=1,"&lt;",""),"")</f>
        <v/>
      </c>
      <c r="K322" s="15"/>
      <c r="L322" s="15"/>
      <c r="M322" s="4" t="str">
        <f t="shared" si="168"/>
        <v/>
      </c>
      <c r="N322" s="4" t="str">
        <f t="shared" si="169"/>
        <v/>
      </c>
      <c r="O322" s="4" t="str">
        <f t="shared" si="175"/>
        <v/>
      </c>
      <c r="P322" s="4" t="str">
        <f t="shared" si="170"/>
        <v/>
      </c>
      <c r="Q322" s="4" t="str">
        <f t="shared" si="176"/>
        <v/>
      </c>
      <c r="R322" s="4" t="str">
        <f t="shared" si="171"/>
        <v/>
      </c>
      <c r="S322" s="15"/>
      <c r="T322" s="15"/>
      <c r="U322" s="15"/>
      <c r="V322" s="4">
        <f>IFERROR(IF(VLOOKUP(B322,E!$B$1:$AK$300,4,FALSE)=0,1000000,VLOOKUP(B322,E!$B$1:$AK$300,4,FALSE)),1000000)</f>
        <v>1000000</v>
      </c>
      <c r="W322" s="15"/>
      <c r="X322" s="15"/>
      <c r="Z322" s="4" t="str">
        <f t="shared" si="177"/>
        <v/>
      </c>
      <c r="AC322" s="4" t="str">
        <f t="shared" si="178"/>
        <v/>
      </c>
      <c r="AF322" s="4" t="str">
        <f t="shared" si="179"/>
        <v/>
      </c>
      <c r="AI322" s="77">
        <v>1</v>
      </c>
      <c r="AJ322" s="77">
        <v>0</v>
      </c>
      <c r="AK322" s="77">
        <v>0</v>
      </c>
      <c r="AO322" s="17">
        <v>1</v>
      </c>
      <c r="AQ322" s="17">
        <v>1</v>
      </c>
      <c r="AS322" s="17">
        <v>1</v>
      </c>
      <c r="AV322" s="4" t="str">
        <f t="shared" si="165"/>
        <v/>
      </c>
      <c r="AX322" s="4" t="str">
        <f t="shared" si="166"/>
        <v/>
      </c>
      <c r="AZ322" s="4" t="str">
        <f t="shared" si="167"/>
        <v/>
      </c>
    </row>
    <row r="323" spans="1:52" x14ac:dyDescent="0.2">
      <c r="A323" s="4" t="s">
        <v>57</v>
      </c>
      <c r="B323" s="4">
        <v>508</v>
      </c>
      <c r="C323" s="4" t="str">
        <f t="shared" si="140"/>
        <v>urn:immetingen:parameter:id:508</v>
      </c>
      <c r="D323" s="4" t="str">
        <f>IFERROR(IF(VLOOKUP($C323,'C'!$A$1:$N$1998,4,FALSE)=0,IF(VLOOKUP($C323,'C'!$A$1:$N$1998,7,FALSE)=0,VLOOKUP($C323,'C'!$A$1:$N$1998,10,FALSE),VLOOKUP($C323,'C'!$A$1:$N$1998,7,FALSE)),VLOOKUP($C323,'C'!$A$1:$N$1998,4,FALSE)),"")</f>
        <v/>
      </c>
      <c r="E323" s="4" t="str">
        <f>IFERROR(VLOOKUP($C323,'C'!$A$1:$N$1998,2,FALSE),"")</f>
        <v/>
      </c>
      <c r="F323" s="4" t="str">
        <f>IFERROR(IF(VLOOKUP($C323,'C'!$A$1:$N$1998,3,FALSE)=1,"&lt;",""),"")</f>
        <v/>
      </c>
      <c r="G323" s="4" t="str">
        <f>IFERROR(VLOOKUP($C323,'C'!$A$1:$N$1998,5,FALSE),"")</f>
        <v/>
      </c>
      <c r="H323" s="4" t="str">
        <f>IFERROR(IF(VLOOKUP($C323,'C'!$A$1:$N$1998,6,FALSE)=1,"&lt;",""),"")</f>
        <v/>
      </c>
      <c r="I323" s="4" t="str">
        <f>IFERROR(VLOOKUP($C323,'C'!$A$1:$N$1998,8,FALSE),"")</f>
        <v/>
      </c>
      <c r="J323" s="4" t="str">
        <f>IFERROR(IF(VLOOKUP($C323,'C'!$A$1:$N$1998,9,FALSE)=1,"&lt;",""),"")</f>
        <v/>
      </c>
      <c r="M323" s="4" t="str">
        <f t="shared" si="168"/>
        <v/>
      </c>
      <c r="N323" s="4" t="str">
        <f t="shared" si="169"/>
        <v/>
      </c>
      <c r="O323" s="4" t="str">
        <f t="shared" si="175"/>
        <v/>
      </c>
      <c r="P323" s="4" t="str">
        <f t="shared" si="170"/>
        <v/>
      </c>
      <c r="Q323" s="4" t="str">
        <f t="shared" si="176"/>
        <v/>
      </c>
      <c r="R323" s="4" t="str">
        <f t="shared" si="171"/>
        <v/>
      </c>
      <c r="V323" s="4">
        <f>IFERROR(IF(VLOOKUP(B323,E!$B$1:$AK$300,4,FALSE)=0,1000000,VLOOKUP(B323,E!$B$1:$AK$300,4,FALSE)),1000000)</f>
        <v>150</v>
      </c>
      <c r="Z323" s="4" t="str">
        <f t="shared" si="177"/>
        <v/>
      </c>
      <c r="AC323" s="4" t="str">
        <f t="shared" si="178"/>
        <v/>
      </c>
      <c r="AF323" s="4" t="str">
        <f t="shared" si="179"/>
        <v/>
      </c>
      <c r="AI323" s="77">
        <v>1</v>
      </c>
      <c r="AJ323" s="77">
        <v>0</v>
      </c>
      <c r="AK323" s="77">
        <v>0</v>
      </c>
      <c r="AO323" s="17">
        <v>1</v>
      </c>
      <c r="AQ323" s="17">
        <v>1</v>
      </c>
      <c r="AS323" s="17">
        <v>1</v>
      </c>
      <c r="AV323" s="4" t="str">
        <f t="shared" si="165"/>
        <v/>
      </c>
      <c r="AX323" s="4" t="str">
        <f t="shared" si="166"/>
        <v/>
      </c>
      <c r="AZ323" s="4" t="str">
        <f t="shared" si="167"/>
        <v/>
      </c>
    </row>
    <row r="324" spans="1:52" x14ac:dyDescent="0.2">
      <c r="A324" s="81" t="s">
        <v>849</v>
      </c>
      <c r="B324" s="4">
        <v>537</v>
      </c>
      <c r="C324" s="4" t="str">
        <f t="shared" si="140"/>
        <v>urn:immetingen:parameter:id:537</v>
      </c>
      <c r="D324" s="4" t="str">
        <f>IFERROR(IF(VLOOKUP($C324,'C'!$A$1:$N$1998,4,FALSE)=0,IF(VLOOKUP($C324,'C'!$A$1:$N$1998,7,FALSE)=0,VLOOKUP($C324,'C'!$A$1:$N$1998,10,FALSE),VLOOKUP($C324,'C'!$A$1:$N$1998,7,FALSE)),VLOOKUP($C324,'C'!$A$1:$N$1998,4,FALSE)),"")</f>
        <v/>
      </c>
      <c r="E324" s="4" t="str">
        <f>IFERROR(VLOOKUP($C324,'C'!$A$1:$N$1998,2,FALSE),"")</f>
        <v/>
      </c>
      <c r="F324" s="4" t="str">
        <f>IFERROR(IF(VLOOKUP($C324,'C'!$A$1:$N$1998,3,FALSE)=1,"&lt;",""),"")</f>
        <v/>
      </c>
      <c r="G324" s="4" t="str">
        <f>IFERROR(VLOOKUP($C324,'C'!$A$1:$N$1998,5,FALSE),"")</f>
        <v/>
      </c>
      <c r="H324" s="4" t="str">
        <f>IFERROR(IF(VLOOKUP($C324,'C'!$A$1:$N$1998,6,FALSE)=1,"&lt;",""),"")</f>
        <v/>
      </c>
      <c r="I324" s="4" t="str">
        <f>IFERROR(VLOOKUP($C324,'C'!$A$1:$N$1998,8,FALSE),"")</f>
        <v/>
      </c>
      <c r="J324" s="4" t="str">
        <f>IFERROR(IF(VLOOKUP($C324,'C'!$A$1:$N$1998,9,FALSE)=1,"&lt;",""),"")</f>
        <v/>
      </c>
      <c r="M324" s="4" t="str">
        <f t="shared" si="168"/>
        <v/>
      </c>
      <c r="N324" s="4" t="str">
        <f t="shared" si="169"/>
        <v/>
      </c>
      <c r="O324" s="4" t="str">
        <f t="shared" si="175"/>
        <v/>
      </c>
      <c r="P324" s="4" t="str">
        <f t="shared" si="170"/>
        <v/>
      </c>
      <c r="Q324" s="4" t="str">
        <f t="shared" si="176"/>
        <v/>
      </c>
      <c r="R324" s="4" t="str">
        <f t="shared" si="171"/>
        <v/>
      </c>
      <c r="V324" s="4">
        <f>IFERROR(IF(VLOOKUP(B324,E!$B$1:$AK$300,4,FALSE)=0,1000000,VLOOKUP(B324,E!$B$1:$AK$300,4,FALSE)),1000000)</f>
        <v>2</v>
      </c>
      <c r="Z324" s="4" t="str">
        <f t="shared" si="177"/>
        <v/>
      </c>
      <c r="AC324" s="4" t="str">
        <f t="shared" si="178"/>
        <v/>
      </c>
      <c r="AF324" s="4" t="str">
        <f t="shared" si="179"/>
        <v/>
      </c>
      <c r="AI324" s="77">
        <v>0</v>
      </c>
      <c r="AJ324" s="77">
        <v>0</v>
      </c>
      <c r="AK324" s="77">
        <v>1</v>
      </c>
      <c r="AO324" s="4">
        <f t="shared" si="172"/>
        <v>5</v>
      </c>
      <c r="AQ324" s="4">
        <f t="shared" si="173"/>
        <v>5</v>
      </c>
      <c r="AS324" s="4">
        <f t="shared" si="174"/>
        <v>5</v>
      </c>
      <c r="AV324" s="4" t="str">
        <f t="shared" si="165"/>
        <v/>
      </c>
      <c r="AX324" s="4" t="str">
        <f t="shared" si="166"/>
        <v/>
      </c>
      <c r="AZ324" s="4" t="str">
        <f t="shared" si="167"/>
        <v/>
      </c>
    </row>
    <row r="325" spans="1:52" x14ac:dyDescent="0.2">
      <c r="A325" s="81" t="s">
        <v>850</v>
      </c>
      <c r="B325" s="4">
        <v>2595</v>
      </c>
      <c r="C325" s="4" t="str">
        <f t="shared" si="140"/>
        <v>urn:immetingen:parameter:id:2595</v>
      </c>
      <c r="D325" s="4" t="str">
        <f>IFERROR(IF(VLOOKUP($C325,'C'!$A$1:$N$1998,4,FALSE)=0,IF(VLOOKUP($C325,'C'!$A$1:$N$1998,7,FALSE)=0,VLOOKUP($C325,'C'!$A$1:$N$1998,10,FALSE),VLOOKUP($C325,'C'!$A$1:$N$1998,7,FALSE)),VLOOKUP($C325,'C'!$A$1:$N$1998,4,FALSE)),"")</f>
        <v/>
      </c>
      <c r="E325" s="4" t="str">
        <f>IFERROR(VLOOKUP($C325,'C'!$A$1:$N$1998,2,FALSE),"")</f>
        <v/>
      </c>
      <c r="F325" s="4" t="str">
        <f>IFERROR(IF(VLOOKUP($C325,'C'!$A$1:$N$1998,3,FALSE)=1,"&lt;",""),"")</f>
        <v/>
      </c>
      <c r="G325" s="4" t="str">
        <f>IFERROR(VLOOKUP($C325,'C'!$A$1:$N$1998,5,FALSE),"")</f>
        <v/>
      </c>
      <c r="H325" s="4" t="str">
        <f>IFERROR(IF(VLOOKUP($C325,'C'!$A$1:$N$1998,6,FALSE)=1,"&lt;",""),"")</f>
        <v/>
      </c>
      <c r="I325" s="4" t="str">
        <f>IFERROR(VLOOKUP($C325,'C'!$A$1:$N$1998,8,FALSE),"")</f>
        <v/>
      </c>
      <c r="J325" s="4" t="str">
        <f>IFERROR(IF(VLOOKUP($C325,'C'!$A$1:$N$1998,9,FALSE)=1,"&lt;",""),"")</f>
        <v/>
      </c>
      <c r="M325" s="4" t="str">
        <f t="shared" si="168"/>
        <v/>
      </c>
      <c r="N325" s="4" t="str">
        <f t="shared" si="169"/>
        <v/>
      </c>
      <c r="O325" s="4" t="str">
        <f t="shared" si="175"/>
        <v/>
      </c>
      <c r="P325" s="4" t="str">
        <f t="shared" si="170"/>
        <v/>
      </c>
      <c r="Q325" s="4" t="str">
        <f t="shared" si="176"/>
        <v/>
      </c>
      <c r="R325" s="4" t="str">
        <f t="shared" si="171"/>
        <v/>
      </c>
      <c r="V325" s="4">
        <f>IFERROR(IF(VLOOKUP(B325,E!$B$1:$AK$300,4,FALSE)=0,1000000,VLOOKUP(B325,E!$B$1:$AK$300,4,FALSE)),1000000)</f>
        <v>1000000000</v>
      </c>
      <c r="Z325" s="4" t="str">
        <f t="shared" si="177"/>
        <v/>
      </c>
      <c r="AC325" s="4" t="str">
        <f t="shared" si="178"/>
        <v/>
      </c>
      <c r="AF325" s="4" t="str">
        <f t="shared" si="179"/>
        <v/>
      </c>
      <c r="AI325" s="77">
        <v>0</v>
      </c>
      <c r="AJ325" s="77">
        <v>0</v>
      </c>
      <c r="AK325" s="77">
        <v>1</v>
      </c>
      <c r="AO325" s="4">
        <f t="shared" si="172"/>
        <v>5</v>
      </c>
      <c r="AQ325" s="4">
        <f t="shared" si="173"/>
        <v>5</v>
      </c>
      <c r="AS325" s="4">
        <f t="shared" si="174"/>
        <v>5</v>
      </c>
      <c r="AV325" s="4" t="str">
        <f t="shared" si="165"/>
        <v/>
      </c>
      <c r="AX325" s="4" t="str">
        <f t="shared" si="166"/>
        <v/>
      </c>
      <c r="AZ325" s="4" t="str">
        <f t="shared" si="167"/>
        <v/>
      </c>
    </row>
    <row r="326" spans="1:52" x14ac:dyDescent="0.2">
      <c r="A326" s="81" t="s">
        <v>851</v>
      </c>
      <c r="B326" s="4">
        <v>1556</v>
      </c>
      <c r="C326" s="4" t="str">
        <f t="shared" si="140"/>
        <v>urn:immetingen:parameter:id:1556</v>
      </c>
      <c r="D326" s="4" t="str">
        <f>IFERROR(IF(VLOOKUP($C326,'C'!$A$1:$N$1998,4,FALSE)=0,IF(VLOOKUP($C326,'C'!$A$1:$N$1998,7,FALSE)=0,VLOOKUP($C326,'C'!$A$1:$N$1998,10,FALSE),VLOOKUP($C326,'C'!$A$1:$N$1998,7,FALSE)),VLOOKUP($C326,'C'!$A$1:$N$1998,4,FALSE)),"")</f>
        <v/>
      </c>
      <c r="E326" s="4" t="str">
        <f>IFERROR(VLOOKUP($C326,'C'!$A$1:$N$1998,2,FALSE),"")</f>
        <v/>
      </c>
      <c r="F326" s="4" t="str">
        <f>IFERROR(IF(VLOOKUP($C326,'C'!$A$1:$N$1998,3,FALSE)=1,"&lt;",""),"")</f>
        <v/>
      </c>
      <c r="G326" s="4" t="str">
        <f>IFERROR(VLOOKUP($C326,'C'!$A$1:$N$1998,5,FALSE),"")</f>
        <v/>
      </c>
      <c r="H326" s="4" t="str">
        <f>IFERROR(IF(VLOOKUP($C326,'C'!$A$1:$N$1998,6,FALSE)=1,"&lt;",""),"")</f>
        <v/>
      </c>
      <c r="I326" s="4" t="str">
        <f>IFERROR(VLOOKUP($C326,'C'!$A$1:$N$1998,8,FALSE),"")</f>
        <v/>
      </c>
      <c r="J326" s="4" t="str">
        <f>IFERROR(IF(VLOOKUP($C326,'C'!$A$1:$N$1998,9,FALSE)=1,"&lt;",""),"")</f>
        <v/>
      </c>
      <c r="M326" s="4" t="str">
        <f t="shared" si="168"/>
        <v/>
      </c>
      <c r="N326" s="4" t="str">
        <f t="shared" si="169"/>
        <v/>
      </c>
      <c r="O326" s="4" t="str">
        <f t="shared" si="175"/>
        <v/>
      </c>
      <c r="P326" s="4" t="str">
        <f t="shared" si="170"/>
        <v/>
      </c>
      <c r="Q326" s="4" t="str">
        <f t="shared" si="176"/>
        <v/>
      </c>
      <c r="R326" s="4" t="str">
        <f t="shared" si="171"/>
        <v/>
      </c>
      <c r="V326" s="4">
        <f>IFERROR(IF(VLOOKUP(B326,E!$B$1:$AK$300,4,FALSE)=0,1000000,VLOOKUP(B326,E!$B$1:$AK$300,4,FALSE)),1000000)</f>
        <v>1000000000</v>
      </c>
      <c r="Z326" s="4" t="str">
        <f t="shared" si="177"/>
        <v/>
      </c>
      <c r="AC326" s="4" t="str">
        <f t="shared" si="178"/>
        <v/>
      </c>
      <c r="AF326" s="4" t="str">
        <f t="shared" si="179"/>
        <v/>
      </c>
      <c r="AI326" s="77">
        <v>0</v>
      </c>
      <c r="AJ326" s="77">
        <v>0</v>
      </c>
      <c r="AK326" s="77">
        <v>1</v>
      </c>
      <c r="AO326" s="4">
        <f t="shared" si="172"/>
        <v>5</v>
      </c>
      <c r="AQ326" s="4">
        <f t="shared" si="173"/>
        <v>5</v>
      </c>
      <c r="AS326" s="4">
        <f t="shared" si="174"/>
        <v>5</v>
      </c>
      <c r="AV326" s="4" t="str">
        <f t="shared" si="165"/>
        <v/>
      </c>
      <c r="AX326" s="4" t="str">
        <f t="shared" si="166"/>
        <v/>
      </c>
      <c r="AZ326" s="4" t="str">
        <f t="shared" si="167"/>
        <v/>
      </c>
    </row>
    <row r="327" spans="1:52" x14ac:dyDescent="0.2">
      <c r="A327" s="4" t="s">
        <v>380</v>
      </c>
      <c r="B327" s="4">
        <v>4437</v>
      </c>
      <c r="C327" s="4" t="str">
        <f t="shared" si="140"/>
        <v>urn:immetingen:parameter:id:4437</v>
      </c>
      <c r="D327" s="4">
        <f>IFERROR(IF(VLOOKUP($C327,'C'!$A$1:$N$1998,4,FALSE)=0,IF(VLOOKUP($C327,'C'!$A$1:$N$1998,7,FALSE)=0,VLOOKUP($C327,'C'!$A$1:$N$1998,10,FALSE),VLOOKUP($C327,'C'!$A$1:$N$1998,7,FALSE)),VLOOKUP($C327,'C'!$A$1:$N$1998,4,FALSE)),"")</f>
        <v>131</v>
      </c>
      <c r="E327" s="4">
        <f>IFERROR(VLOOKUP($C327,'C'!$A$1:$N$1998,2,FALSE),"")</f>
        <v>0.1</v>
      </c>
      <c r="F327" s="4" t="str">
        <f>IF(VLOOKUP($C327,'C'!$A$1:$N$1998,3,FALSE)=1,"&lt;","")</f>
        <v>&lt;</v>
      </c>
      <c r="G327" s="4">
        <f>VLOOKUP($C327,'C'!$A$1:$N$1998,5,FALSE)</f>
        <v>0.1</v>
      </c>
      <c r="H327" s="4" t="str">
        <f>IF(VLOOKUP($C327,'C'!$A$1:$N$1998,6,FALSE)=1,"&lt;","")</f>
        <v>&lt;</v>
      </c>
      <c r="I327" s="4">
        <f>VLOOKUP($C327,'C'!$A$1:$N$1998,8,FALSE)</f>
        <v>0.1</v>
      </c>
      <c r="J327" s="4" t="str">
        <f>IF(VLOOKUP($C327,'C'!$A$1:$N$1998,9,FALSE)=1,"&lt;","")</f>
        <v>&lt;</v>
      </c>
      <c r="M327" s="4">
        <f t="shared" si="168"/>
        <v>1E-4</v>
      </c>
      <c r="N327" s="4" t="str">
        <f t="shared" si="169"/>
        <v>&lt;</v>
      </c>
      <c r="O327" s="4">
        <f t="shared" si="175"/>
        <v>1E-4</v>
      </c>
      <c r="P327" s="4" t="str">
        <f t="shared" si="170"/>
        <v>&lt;</v>
      </c>
      <c r="Q327" s="4">
        <f t="shared" si="176"/>
        <v>1E-4</v>
      </c>
      <c r="R327" s="4" t="str">
        <f t="shared" si="171"/>
        <v>&lt;</v>
      </c>
      <c r="V327" s="4">
        <f>IFERROR(IF(VLOOKUP(B327,E!$B$1:$AK$300,4,FALSE)=0,1000000,VLOOKUP(B327,E!$B$1:$AK$300,4,FALSE)),1000000)</f>
        <v>1E-4</v>
      </c>
      <c r="Z327" s="17">
        <f>IF(M327="","",IF(AND(N327="&lt;",M327&lt;=$V327),0,(IF(M327="&lt;",0.7*M327,M327))))</f>
        <v>0</v>
      </c>
      <c r="AA327" s="31">
        <f>IF(E327="",-1,0)</f>
        <v>0</v>
      </c>
      <c r="AB327" s="31">
        <f>IF(E327="",0,IF(F$360="&lt;",E327,Z327))</f>
        <v>0.1</v>
      </c>
      <c r="AC327" s="17">
        <f>IF(O327="","",IF(AND(P327="&lt;",O327&lt;=$V327),0,(IF(O327="&lt;",0.7*O327,O327))))</f>
        <v>0</v>
      </c>
      <c r="AD327" s="31">
        <f>IF(G327="",-1,0)</f>
        <v>0</v>
      </c>
      <c r="AE327" s="31">
        <f>IF(G327="",0,IF(H$360="&lt;",G327,AC327))</f>
        <v>0.1</v>
      </c>
      <c r="AF327" s="17">
        <f>IF(Q327="","",IF(AND(R327="&lt;",Q327&lt;=$V327),0,(IF(Q327="&lt;",0.7*Q327,Q327))))</f>
        <v>0</v>
      </c>
      <c r="AG327" s="31">
        <f>IF(I327="",-1,0)</f>
        <v>0</v>
      </c>
      <c r="AH327" s="31">
        <f>IF(I327="",0,IF(J$360="&lt;",I327,AF327))</f>
        <v>0.1</v>
      </c>
      <c r="AI327" s="77">
        <v>0</v>
      </c>
      <c r="AJ327" s="77">
        <v>0</v>
      </c>
      <c r="AK327" s="77">
        <v>1</v>
      </c>
      <c r="AO327" s="4">
        <f>($AI327+($AJ327*25)+($AK327*10))/($AI327+($AJ327*AO$7)+($AK327*AO$9))</f>
        <v>1</v>
      </c>
      <c r="AQ327" s="4">
        <f t="shared" ref="AQ327:AQ361" si="180">($AI327+($AJ327*25)+($AK327*10))/($AI327+($AJ327*AQ$7)+($AK327*AQ$9))</f>
        <v>1</v>
      </c>
      <c r="AS327" s="4">
        <f t="shared" ref="AS327:AS361" si="181">($AI327+($AJ327*25)+($AK327*10))/($AI327+($AJ327*AS$7)+($AK327*AS$9))</f>
        <v>1</v>
      </c>
      <c r="AV327" s="4">
        <f t="shared" si="165"/>
        <v>6.9999999999999994E-5</v>
      </c>
      <c r="AX327" s="4">
        <f t="shared" si="166"/>
        <v>6.9999999999999994E-5</v>
      </c>
      <c r="AZ327" s="4">
        <f t="shared" si="167"/>
        <v>6.9999999999999994E-5</v>
      </c>
    </row>
    <row r="328" spans="1:52" x14ac:dyDescent="0.2">
      <c r="A328" s="4" t="s">
        <v>381</v>
      </c>
      <c r="B328" s="4">
        <v>4448</v>
      </c>
      <c r="C328" s="4" t="str">
        <f t="shared" si="140"/>
        <v>urn:immetingen:parameter:id:4448</v>
      </c>
      <c r="D328" s="4">
        <f>IFERROR(IF(VLOOKUP($C328,'C'!$A$1:$N$1998,4,FALSE)=0,IF(VLOOKUP($C328,'C'!$A$1:$N$1998,7,FALSE)=0,VLOOKUP($C328,'C'!$A$1:$N$1998,10,FALSE),VLOOKUP($C328,'C'!$A$1:$N$1998,7,FALSE)),VLOOKUP($C328,'C'!$A$1:$N$1998,4,FALSE)),"")</f>
        <v>131</v>
      </c>
      <c r="E328" s="4">
        <f>IFERROR(VLOOKUP($C328,'C'!$A$1:$N$1998,2,FALSE),"")</f>
        <v>0.1</v>
      </c>
      <c r="F328" s="4" t="str">
        <f>IF(VLOOKUP($C328,'C'!$A$1:$N$1998,3,FALSE)=1,"&lt;","")</f>
        <v>&lt;</v>
      </c>
      <c r="G328" s="4">
        <f>VLOOKUP($C328,'C'!$A$1:$N$1998,5,FALSE)</f>
        <v>0.1</v>
      </c>
      <c r="H328" s="4" t="str">
        <f>IF(VLOOKUP($C328,'C'!$A$1:$N$1998,6,FALSE)=1,"&lt;","")</f>
        <v>&lt;</v>
      </c>
      <c r="I328" s="4">
        <f>VLOOKUP($C328,'C'!$A$1:$N$1998,8,FALSE)</f>
        <v>0.1</v>
      </c>
      <c r="J328" s="4" t="str">
        <f>IF(VLOOKUP($C328,'C'!$A$1:$N$1998,9,FALSE)=1,"&lt;","")</f>
        <v>&lt;</v>
      </c>
      <c r="M328" s="4">
        <f t="shared" si="168"/>
        <v>1E-4</v>
      </c>
      <c r="N328" s="4" t="str">
        <f t="shared" si="169"/>
        <v>&lt;</v>
      </c>
      <c r="O328" s="4">
        <f t="shared" si="175"/>
        <v>1E-4</v>
      </c>
      <c r="P328" s="4" t="str">
        <f t="shared" si="170"/>
        <v>&lt;</v>
      </c>
      <c r="Q328" s="4">
        <f t="shared" si="176"/>
        <v>1E-4</v>
      </c>
      <c r="R328" s="4" t="str">
        <f t="shared" si="171"/>
        <v>&lt;</v>
      </c>
      <c r="V328" s="4">
        <f>IFERROR(IF(VLOOKUP(B328,E!$B$1:$AK$300,4,FALSE)=0,1000000,VLOOKUP(B328,E!$B$1:$AK$300,4,FALSE)),1000000)</f>
        <v>1E-4</v>
      </c>
      <c r="Z328" s="17">
        <f t="shared" ref="Z328:Z332" si="182">IF(M328="","",IF(AND(N328="&lt;",M328&lt;=$V328),0,(IF(M328="&lt;",0.7*M328,M328))))</f>
        <v>0</v>
      </c>
      <c r="AA328" s="31">
        <f t="shared" ref="AA328:AA359" si="183">IF(E328="",-1,0)</f>
        <v>0</v>
      </c>
      <c r="AB328" s="31">
        <f t="shared" ref="AB328:AB359" si="184">IF(E328="",0,IF(F$360="&lt;",E328,Z328))</f>
        <v>0.1</v>
      </c>
      <c r="AC328" s="17">
        <f t="shared" ref="AC328:AC332" si="185">IF(O328="","",IF(AND(P328="&lt;",O328&lt;=$V328),0,(IF(O328="&lt;",0.7*O328,O328))))</f>
        <v>0</v>
      </c>
      <c r="AD328" s="31">
        <f t="shared" ref="AD328:AD359" si="186">IF(G328="",-1,0)</f>
        <v>0</v>
      </c>
      <c r="AE328" s="31">
        <f t="shared" ref="AE328:AE359" si="187">IF(G328="",0,IF(H$360="&lt;",G328,AC328))</f>
        <v>0.1</v>
      </c>
      <c r="AF328" s="17">
        <f t="shared" ref="AF328:AF359" si="188">IF(Q328="","",IF(AND(R328="&lt;",Q328&lt;=$V328),0,(IF(Q328="&lt;",0.7*Q328,Q328))))</f>
        <v>0</v>
      </c>
      <c r="AG328" s="31">
        <f t="shared" ref="AG328:AG359" si="189">IF(I328="",-1,0)</f>
        <v>0</v>
      </c>
      <c r="AH328" s="31">
        <f t="shared" ref="AH328:AH359" si="190">IF(I328="",0,IF(J$360="&lt;",I328,AF328))</f>
        <v>0.1</v>
      </c>
      <c r="AI328" s="77">
        <v>0</v>
      </c>
      <c r="AJ328" s="77">
        <v>0</v>
      </c>
      <c r="AK328" s="77">
        <v>1</v>
      </c>
      <c r="AO328" s="4">
        <f t="shared" ref="AO328:AO361" si="191">($AI328+($AJ328*25)+($AK328*10))/($AI328+($AJ328*AO$7)+($AK328*AO$9))</f>
        <v>1</v>
      </c>
      <c r="AQ328" s="4">
        <f t="shared" si="180"/>
        <v>1</v>
      </c>
      <c r="AS328" s="4">
        <f t="shared" si="181"/>
        <v>1</v>
      </c>
      <c r="AV328" s="4">
        <f t="shared" si="165"/>
        <v>6.9999999999999994E-5</v>
      </c>
      <c r="AX328" s="4">
        <f t="shared" si="166"/>
        <v>6.9999999999999994E-5</v>
      </c>
      <c r="AZ328" s="4">
        <f t="shared" si="167"/>
        <v>6.9999999999999994E-5</v>
      </c>
    </row>
    <row r="329" spans="1:52" x14ac:dyDescent="0.2">
      <c r="A329" s="4" t="s">
        <v>382</v>
      </c>
      <c r="B329" s="4">
        <v>4441</v>
      </c>
      <c r="C329" s="4" t="str">
        <f t="shared" si="140"/>
        <v>urn:immetingen:parameter:id:4441</v>
      </c>
      <c r="D329" s="4">
        <f>IFERROR(IF(VLOOKUP($C329,'C'!$A$1:$N$1998,4,FALSE)=0,IF(VLOOKUP($C329,'C'!$A$1:$N$1998,7,FALSE)=0,VLOOKUP($C329,'C'!$A$1:$N$1998,10,FALSE),VLOOKUP($C329,'C'!$A$1:$N$1998,7,FALSE)),VLOOKUP($C329,'C'!$A$1:$N$1998,4,FALSE)),"")</f>
        <v>131</v>
      </c>
      <c r="E329" s="4">
        <f>IFERROR(VLOOKUP($C329,'C'!$A$1:$N$1998,2,FALSE),"")</f>
        <v>0.1</v>
      </c>
      <c r="F329" s="4" t="str">
        <f>IF(VLOOKUP($C329,'C'!$A$1:$N$1998,3,FALSE)=1,"&lt;","")</f>
        <v>&lt;</v>
      </c>
      <c r="G329" s="4">
        <f>VLOOKUP($C329,'C'!$A$1:$N$1998,5,FALSE)</f>
        <v>0.1</v>
      </c>
      <c r="H329" s="4" t="str">
        <f>IF(VLOOKUP($C329,'C'!$A$1:$N$1998,6,FALSE)=1,"&lt;","")</f>
        <v>&lt;</v>
      </c>
      <c r="I329" s="4">
        <f>VLOOKUP($C329,'C'!$A$1:$N$1998,8,FALSE)</f>
        <v>0.1</v>
      </c>
      <c r="J329" s="4" t="str">
        <f>IF(VLOOKUP($C329,'C'!$A$1:$N$1998,9,FALSE)=1,"&lt;","")</f>
        <v>&lt;</v>
      </c>
      <c r="M329" s="4">
        <f t="shared" si="168"/>
        <v>1E-4</v>
      </c>
      <c r="N329" s="4" t="str">
        <f t="shared" si="169"/>
        <v>&lt;</v>
      </c>
      <c r="O329" s="4">
        <f t="shared" si="175"/>
        <v>1E-4</v>
      </c>
      <c r="P329" s="4" t="str">
        <f t="shared" si="170"/>
        <v>&lt;</v>
      </c>
      <c r="Q329" s="4">
        <f t="shared" si="176"/>
        <v>1E-4</v>
      </c>
      <c r="R329" s="4" t="str">
        <f t="shared" si="171"/>
        <v>&lt;</v>
      </c>
      <c r="V329" s="4">
        <f>IFERROR(IF(VLOOKUP(B329,E!$B$1:$AK$300,4,FALSE)=0,1000000,VLOOKUP(B329,E!$B$1:$AK$300,4,FALSE)),1000000)</f>
        <v>1E-4</v>
      </c>
      <c r="Z329" s="17">
        <f t="shared" si="182"/>
        <v>0</v>
      </c>
      <c r="AA329" s="31">
        <f t="shared" si="183"/>
        <v>0</v>
      </c>
      <c r="AB329" s="31">
        <f t="shared" si="184"/>
        <v>0.1</v>
      </c>
      <c r="AC329" s="17">
        <f t="shared" si="185"/>
        <v>0</v>
      </c>
      <c r="AD329" s="31">
        <f t="shared" si="186"/>
        <v>0</v>
      </c>
      <c r="AE329" s="31">
        <f t="shared" si="187"/>
        <v>0.1</v>
      </c>
      <c r="AF329" s="17">
        <f t="shared" si="188"/>
        <v>0</v>
      </c>
      <c r="AG329" s="31">
        <f t="shared" si="189"/>
        <v>0</v>
      </c>
      <c r="AH329" s="31">
        <f t="shared" si="190"/>
        <v>0.1</v>
      </c>
      <c r="AI329" s="77">
        <v>0</v>
      </c>
      <c r="AJ329" s="77">
        <v>0</v>
      </c>
      <c r="AK329" s="77">
        <v>1</v>
      </c>
      <c r="AO329" s="4">
        <f t="shared" si="191"/>
        <v>1</v>
      </c>
      <c r="AQ329" s="4">
        <f t="shared" si="180"/>
        <v>1</v>
      </c>
      <c r="AS329" s="4">
        <f t="shared" si="181"/>
        <v>1</v>
      </c>
      <c r="AV329" s="4">
        <f t="shared" si="165"/>
        <v>6.9999999999999994E-5</v>
      </c>
      <c r="AX329" s="4">
        <f t="shared" si="166"/>
        <v>6.9999999999999994E-5</v>
      </c>
      <c r="AZ329" s="4">
        <f t="shared" si="167"/>
        <v>6.9999999999999994E-5</v>
      </c>
    </row>
    <row r="330" spans="1:52" x14ac:dyDescent="0.2">
      <c r="A330" s="4" t="s">
        <v>383</v>
      </c>
      <c r="B330" s="4">
        <v>4440</v>
      </c>
      <c r="C330" s="4" t="str">
        <f t="shared" si="140"/>
        <v>urn:immetingen:parameter:id:4440</v>
      </c>
      <c r="D330" s="4">
        <f>IFERROR(IF(VLOOKUP($C330,'C'!$A$1:$N$1998,4,FALSE)=0,IF(VLOOKUP($C330,'C'!$A$1:$N$1998,7,FALSE)=0,VLOOKUP($C330,'C'!$A$1:$N$1998,10,FALSE),VLOOKUP($C330,'C'!$A$1:$N$1998,7,FALSE)),VLOOKUP($C330,'C'!$A$1:$N$1998,4,FALSE)),"")</f>
        <v>131</v>
      </c>
      <c r="E330" s="4">
        <f>IFERROR(VLOOKUP($C330,'C'!$A$1:$N$1998,2,FALSE),"")</f>
        <v>0.1</v>
      </c>
      <c r="F330" s="4" t="str">
        <f>IF(VLOOKUP($C330,'C'!$A$1:$N$1998,3,FALSE)=1,"&lt;","")</f>
        <v>&lt;</v>
      </c>
      <c r="G330" s="4">
        <f>VLOOKUP($C330,'C'!$A$1:$N$1998,5,FALSE)</f>
        <v>0.1</v>
      </c>
      <c r="H330" s="4" t="str">
        <f>IF(VLOOKUP($C330,'C'!$A$1:$N$1998,6,FALSE)=1,"&lt;","")</f>
        <v>&lt;</v>
      </c>
      <c r="I330" s="4">
        <f>VLOOKUP($C330,'C'!$A$1:$N$1998,8,FALSE)</f>
        <v>0.1</v>
      </c>
      <c r="J330" s="4" t="str">
        <f>IF(VLOOKUP($C330,'C'!$A$1:$N$1998,9,FALSE)=1,"&lt;","")</f>
        <v>&lt;</v>
      </c>
      <c r="M330" s="4">
        <f t="shared" si="168"/>
        <v>1E-4</v>
      </c>
      <c r="N330" s="4" t="str">
        <f t="shared" si="169"/>
        <v>&lt;</v>
      </c>
      <c r="O330" s="4">
        <f t="shared" si="175"/>
        <v>1E-4</v>
      </c>
      <c r="P330" s="4" t="str">
        <f t="shared" si="170"/>
        <v>&lt;</v>
      </c>
      <c r="Q330" s="4">
        <f t="shared" si="176"/>
        <v>1E-4</v>
      </c>
      <c r="R330" s="4" t="str">
        <f t="shared" si="171"/>
        <v>&lt;</v>
      </c>
      <c r="V330" s="4">
        <f>IFERROR(IF(VLOOKUP(B330,E!$B$1:$AK$300,4,FALSE)=0,1000000,VLOOKUP(B330,E!$B$1:$AK$300,4,FALSE)),1000000)</f>
        <v>1E-4</v>
      </c>
      <c r="Z330" s="17">
        <f t="shared" si="182"/>
        <v>0</v>
      </c>
      <c r="AA330" s="31">
        <f t="shared" si="183"/>
        <v>0</v>
      </c>
      <c r="AB330" s="31">
        <f t="shared" si="184"/>
        <v>0.1</v>
      </c>
      <c r="AC330" s="17">
        <f t="shared" si="185"/>
        <v>0</v>
      </c>
      <c r="AD330" s="31">
        <f t="shared" si="186"/>
        <v>0</v>
      </c>
      <c r="AE330" s="31">
        <f t="shared" si="187"/>
        <v>0.1</v>
      </c>
      <c r="AF330" s="17">
        <f t="shared" si="188"/>
        <v>0</v>
      </c>
      <c r="AG330" s="31">
        <f t="shared" si="189"/>
        <v>0</v>
      </c>
      <c r="AH330" s="31">
        <f t="shared" si="190"/>
        <v>0.1</v>
      </c>
      <c r="AI330" s="77">
        <v>0</v>
      </c>
      <c r="AJ330" s="77">
        <v>0</v>
      </c>
      <c r="AK330" s="77">
        <v>1</v>
      </c>
      <c r="AO330" s="4">
        <f t="shared" si="191"/>
        <v>1</v>
      </c>
      <c r="AQ330" s="4">
        <f t="shared" si="180"/>
        <v>1</v>
      </c>
      <c r="AS330" s="4">
        <f t="shared" si="181"/>
        <v>1</v>
      </c>
      <c r="AV330" s="4">
        <f t="shared" si="165"/>
        <v>6.9999999999999994E-5</v>
      </c>
      <c r="AX330" s="4">
        <f t="shared" si="166"/>
        <v>6.9999999999999994E-5</v>
      </c>
      <c r="AZ330" s="4">
        <f t="shared" si="167"/>
        <v>6.9999999999999994E-5</v>
      </c>
    </row>
    <row r="331" spans="1:52" x14ac:dyDescent="0.2">
      <c r="A331" s="4" t="s">
        <v>249</v>
      </c>
      <c r="B331" s="4">
        <v>4443</v>
      </c>
      <c r="C331" s="4" t="str">
        <f t="shared" si="140"/>
        <v>urn:immetingen:parameter:id:4443</v>
      </c>
      <c r="D331" s="4">
        <f>IFERROR(IF(VLOOKUP($C331,'C'!$A$1:$N$1998,4,FALSE)=0,IF(VLOOKUP($C331,'C'!$A$1:$N$1998,7,FALSE)=0,VLOOKUP($C331,'C'!$A$1:$N$1998,10,FALSE),VLOOKUP($C331,'C'!$A$1:$N$1998,7,FALSE)),VLOOKUP($C331,'C'!$A$1:$N$1998,4,FALSE)),"")</f>
        <v>131</v>
      </c>
      <c r="E331" s="4">
        <f>IFERROR(VLOOKUP($C331,'C'!$A$1:$N$1998,2,FALSE),"")</f>
        <v>0.1</v>
      </c>
      <c r="F331" s="4" t="str">
        <f>IF(VLOOKUP($C331,'C'!$A$1:$N$1998,3,FALSE)=1,"&lt;","")</f>
        <v>&lt;</v>
      </c>
      <c r="G331" s="4">
        <f>VLOOKUP($C331,'C'!$A$1:$N$1998,5,FALSE)</f>
        <v>0.1</v>
      </c>
      <c r="H331" s="4" t="str">
        <f>IF(VLOOKUP($C331,'C'!$A$1:$N$1998,6,FALSE)=1,"&lt;","")</f>
        <v>&lt;</v>
      </c>
      <c r="I331" s="4">
        <f>VLOOKUP($C331,'C'!$A$1:$N$1998,8,FALSE)</f>
        <v>0.1</v>
      </c>
      <c r="J331" s="4" t="str">
        <f>IF(VLOOKUP($C331,'C'!$A$1:$N$1998,9,FALSE)=1,"&lt;","")</f>
        <v>&lt;</v>
      </c>
      <c r="M331" s="4">
        <f t="shared" si="168"/>
        <v>1E-4</v>
      </c>
      <c r="N331" s="4" t="str">
        <f t="shared" si="169"/>
        <v>&lt;</v>
      </c>
      <c r="O331" s="4">
        <f t="shared" si="175"/>
        <v>1E-4</v>
      </c>
      <c r="P331" s="4" t="str">
        <f t="shared" si="170"/>
        <v>&lt;</v>
      </c>
      <c r="Q331" s="4">
        <f t="shared" si="176"/>
        <v>1E-4</v>
      </c>
      <c r="R331" s="4" t="str">
        <f t="shared" si="171"/>
        <v>&lt;</v>
      </c>
      <c r="V331" s="4">
        <f>IFERROR(IF(VLOOKUP(B331,E!$B$1:$AK$300,4,FALSE)=0,1000000,VLOOKUP(B331,E!$B$1:$AK$300,4,FALSE)),1000000)</f>
        <v>1E-4</v>
      </c>
      <c r="Z331" s="17">
        <f t="shared" si="182"/>
        <v>0</v>
      </c>
      <c r="AA331" s="31">
        <f t="shared" si="183"/>
        <v>0</v>
      </c>
      <c r="AB331" s="31">
        <f t="shared" si="184"/>
        <v>0.1</v>
      </c>
      <c r="AC331" s="17">
        <f t="shared" si="185"/>
        <v>0</v>
      </c>
      <c r="AD331" s="31">
        <f t="shared" si="186"/>
        <v>0</v>
      </c>
      <c r="AE331" s="31">
        <f t="shared" si="187"/>
        <v>0.1</v>
      </c>
      <c r="AF331" s="17">
        <f t="shared" si="188"/>
        <v>0</v>
      </c>
      <c r="AG331" s="31">
        <f t="shared" si="189"/>
        <v>0</v>
      </c>
      <c r="AH331" s="31">
        <f t="shared" si="190"/>
        <v>0.1</v>
      </c>
      <c r="AI331" s="77">
        <v>0</v>
      </c>
      <c r="AJ331" s="77">
        <v>0</v>
      </c>
      <c r="AK331" s="77">
        <v>1</v>
      </c>
      <c r="AO331" s="4">
        <f t="shared" si="191"/>
        <v>1</v>
      </c>
      <c r="AQ331" s="4">
        <f t="shared" si="180"/>
        <v>1</v>
      </c>
      <c r="AS331" s="4">
        <f t="shared" si="181"/>
        <v>1</v>
      </c>
      <c r="AV331" s="4">
        <f t="shared" si="165"/>
        <v>6.9999999999999994E-5</v>
      </c>
      <c r="AX331" s="4">
        <f t="shared" si="166"/>
        <v>6.9999999999999994E-5</v>
      </c>
      <c r="AZ331" s="4">
        <f t="shared" si="167"/>
        <v>6.9999999999999994E-5</v>
      </c>
    </row>
    <row r="332" spans="1:52" x14ac:dyDescent="0.2">
      <c r="A332" s="4" t="s">
        <v>250</v>
      </c>
      <c r="B332" s="4">
        <v>5577</v>
      </c>
      <c r="C332" s="4" t="str">
        <f t="shared" si="140"/>
        <v>urn:immetingen:parameter:id:5577</v>
      </c>
      <c r="D332" s="4">
        <f>IFERROR(IF(VLOOKUP($C332,'C'!$A$1:$N$1998,4,FALSE)=0,IF(VLOOKUP($C332,'C'!$A$1:$N$1998,7,FALSE)=0,VLOOKUP($C332,'C'!$A$1:$N$1998,10,FALSE),VLOOKUP($C332,'C'!$A$1:$N$1998,7,FALSE)),VLOOKUP($C332,'C'!$A$1:$N$1998,4,FALSE)),"")</f>
        <v>131</v>
      </c>
      <c r="E332" s="4">
        <f>IFERROR(VLOOKUP($C332,'C'!$A$1:$N$1998,2,FALSE),"")</f>
        <v>0.1</v>
      </c>
      <c r="F332" s="4" t="str">
        <f>IF(VLOOKUP($C332,'C'!$A$1:$N$1998,3,FALSE)=1,"&lt;","")</f>
        <v>&lt;</v>
      </c>
      <c r="G332" s="4">
        <f>VLOOKUP($C332,'C'!$A$1:$N$1998,5,FALSE)</f>
        <v>0.1</v>
      </c>
      <c r="H332" s="4" t="str">
        <f>IF(VLOOKUP($C332,'C'!$A$1:$N$1998,6,FALSE)=1,"&lt;","")</f>
        <v>&lt;</v>
      </c>
      <c r="I332" s="4">
        <f>VLOOKUP($C332,'C'!$A$1:$N$1998,8,FALSE)</f>
        <v>0.1</v>
      </c>
      <c r="J332" s="4" t="str">
        <f>IF(VLOOKUP($C332,'C'!$A$1:$N$1998,9,FALSE)=1,"&lt;","")</f>
        <v>&lt;</v>
      </c>
      <c r="M332" s="4">
        <f t="shared" si="168"/>
        <v>1E-4</v>
      </c>
      <c r="N332" s="4" t="str">
        <f t="shared" si="169"/>
        <v>&lt;</v>
      </c>
      <c r="O332" s="4">
        <f t="shared" si="175"/>
        <v>1E-4</v>
      </c>
      <c r="P332" s="4" t="str">
        <f t="shared" si="170"/>
        <v>&lt;</v>
      </c>
      <c r="Q332" s="4">
        <f t="shared" si="176"/>
        <v>1E-4</v>
      </c>
      <c r="R332" s="4" t="str">
        <f t="shared" si="171"/>
        <v>&lt;</v>
      </c>
      <c r="V332" s="4">
        <f>IFERROR(IF(VLOOKUP(B332,E!$B$1:$AK$300,4,FALSE)=0,1000000,VLOOKUP(B332,E!$B$1:$AK$300,4,FALSE)),1000000)</f>
        <v>1E-4</v>
      </c>
      <c r="Z332" s="17">
        <f t="shared" si="182"/>
        <v>0</v>
      </c>
      <c r="AA332" s="31">
        <f t="shared" si="183"/>
        <v>0</v>
      </c>
      <c r="AB332" s="31">
        <f t="shared" si="184"/>
        <v>0.1</v>
      </c>
      <c r="AC332" s="17">
        <f t="shared" si="185"/>
        <v>0</v>
      </c>
      <c r="AD332" s="31">
        <f t="shared" si="186"/>
        <v>0</v>
      </c>
      <c r="AE332" s="31">
        <f t="shared" si="187"/>
        <v>0.1</v>
      </c>
      <c r="AF332" s="17">
        <f t="shared" si="188"/>
        <v>0</v>
      </c>
      <c r="AG332" s="31">
        <f t="shared" si="189"/>
        <v>0</v>
      </c>
      <c r="AH332" s="31">
        <f t="shared" si="190"/>
        <v>0.1</v>
      </c>
      <c r="AI332" s="77">
        <v>0</v>
      </c>
      <c r="AJ332" s="77">
        <v>0</v>
      </c>
      <c r="AK332" s="77">
        <v>1</v>
      </c>
      <c r="AO332" s="4">
        <f t="shared" si="191"/>
        <v>1</v>
      </c>
      <c r="AQ332" s="4">
        <f t="shared" si="180"/>
        <v>1</v>
      </c>
      <c r="AS332" s="4">
        <f t="shared" si="181"/>
        <v>1</v>
      </c>
      <c r="AV332" s="4">
        <f t="shared" si="165"/>
        <v>6.9999999999999994E-5</v>
      </c>
      <c r="AX332" s="4">
        <f t="shared" si="166"/>
        <v>6.9999999999999994E-5</v>
      </c>
      <c r="AZ332" s="4">
        <f t="shared" si="167"/>
        <v>6.9999999999999994E-5</v>
      </c>
    </row>
    <row r="333" spans="1:52" x14ac:dyDescent="0.2">
      <c r="A333" s="4" t="s">
        <v>251</v>
      </c>
      <c r="B333" s="4">
        <v>6039</v>
      </c>
      <c r="C333" s="4" t="str">
        <f t="shared" si="140"/>
        <v>urn:immetingen:parameter:id:6039</v>
      </c>
      <c r="D333" s="4">
        <f>IFERROR(IF(VLOOKUP($C333,'C'!$A$1:$N$1998,4,FALSE)=0,IF(VLOOKUP($C333,'C'!$A$1:$N$1998,7,FALSE)=0,VLOOKUP($C333,'C'!$A$1:$N$1998,10,FALSE),VLOOKUP($C333,'C'!$A$1:$N$1998,7,FALSE)),VLOOKUP($C333,'C'!$A$1:$N$1998,4,FALSE)),"")</f>
        <v>131</v>
      </c>
      <c r="E333" s="17">
        <f>IFERROR(IF(AND(E331=0.1,E332=0.1,F331="&lt;",F332="&lt;"),0.1,IF(AND(F331="&lt;",F332="&lt;"),SUM(E331:E332),IF(AND(F331="",F332=""),SUM(E331:E332),IF(AND(F331="&lt;",F332=""),(0.7*E331)+E332,IF(AND(F331="",F332="&lt;"),E331+(0.7*E332),(0.7*E331)+(0.7*E332)))))),"")</f>
        <v>0.1</v>
      </c>
      <c r="F333" s="17" t="str">
        <f>IF(AND(F331="&lt;",F332="&lt;"),"&lt;","")</f>
        <v>&lt;</v>
      </c>
      <c r="G333" s="17">
        <f>IF(AND(G331=0.1,G332=0.1,H331="&lt;",H332="&lt;"),0.1,IF(AND(H331="&lt;",H332="&lt;"),SUM(G331:G332),IF(AND(H331="",H332=""),SUM(G331:G332),IF(AND(H331="&lt;",H332=""),(0.7*G331)+G332,IF(AND(H331="",H332="&lt;"),G331+(0.7*G332),(0.7*G331)+(0.7*G332))))))</f>
        <v>0.1</v>
      </c>
      <c r="H333" s="17" t="str">
        <f>IF(AND(H331="&lt;",H332="&lt;"),"&lt;","")</f>
        <v>&lt;</v>
      </c>
      <c r="I333" s="17">
        <f>IF(AND(I331=0.1,I332=0.1,J331="&lt;",J332="&lt;"),0.1,IF(AND(J331="&lt;",J332="&lt;"),SUM(I331:I332),IF(AND(J331="",J332=""),SUM(I331:I332),IF(AND(J331="&lt;",J332=""),(0.7*I331)+I332,IF(AND(J331="",J332="&lt;"),I331+(0.7*I332),(0.7*I331)+(0.7*I332))))))</f>
        <v>0.1</v>
      </c>
      <c r="J333" s="17" t="str">
        <f>IF(AND(J331="&lt;",J332="&lt;"),"&lt;","")</f>
        <v>&lt;</v>
      </c>
      <c r="K333" s="17"/>
      <c r="L333" s="17"/>
      <c r="M333" s="4">
        <f t="shared" si="168"/>
        <v>1E-4</v>
      </c>
      <c r="N333" s="4" t="str">
        <f t="shared" si="169"/>
        <v>&lt;</v>
      </c>
      <c r="O333" s="4">
        <f t="shared" si="175"/>
        <v>1E-4</v>
      </c>
      <c r="P333" s="4" t="str">
        <f t="shared" si="170"/>
        <v>&lt;</v>
      </c>
      <c r="Q333" s="4">
        <f t="shared" si="176"/>
        <v>1E-4</v>
      </c>
      <c r="R333" s="4" t="str">
        <f t="shared" si="171"/>
        <v>&lt;</v>
      </c>
      <c r="V333" s="4">
        <v>2.0000000000000001E-4</v>
      </c>
      <c r="Z333" s="17">
        <f>IF(F333="&lt;",0.7*E333,E333)</f>
        <v>6.9999999999999993E-2</v>
      </c>
      <c r="AC333" s="17">
        <f>IF(H333="&lt;",0.7*G333,G333)</f>
        <v>6.9999999999999993E-2</v>
      </c>
      <c r="AF333" s="17">
        <f>IF(J333="&lt;",0.7*I333,I333)</f>
        <v>6.9999999999999993E-2</v>
      </c>
      <c r="AI333" s="77">
        <v>0</v>
      </c>
      <c r="AJ333" s="77">
        <v>0</v>
      </c>
      <c r="AK333" s="77">
        <v>1</v>
      </c>
      <c r="AO333" s="4">
        <f t="shared" si="191"/>
        <v>1</v>
      </c>
      <c r="AQ333" s="4">
        <f t="shared" si="180"/>
        <v>1</v>
      </c>
      <c r="AS333" s="4">
        <f t="shared" si="181"/>
        <v>1</v>
      </c>
      <c r="AV333" s="4">
        <f t="shared" si="165"/>
        <v>6.9999999999999994E-5</v>
      </c>
      <c r="AX333" s="4">
        <f t="shared" ref="AX333:AX368" si="192">IFERROR(IF(H333="&lt;",0.7*O333*AQ333,O333*AQ333),"")</f>
        <v>6.9999999999999994E-5</v>
      </c>
      <c r="AZ333" s="4">
        <f t="shared" ref="AZ333:AZ368" si="193">IFERROR(IF(J333="&lt;",0.7*Q333*AS333,Q333*AS333),"")</f>
        <v>6.9999999999999994E-5</v>
      </c>
    </row>
    <row r="334" spans="1:52" x14ac:dyDescent="0.2">
      <c r="A334" s="4" t="s">
        <v>384</v>
      </c>
      <c r="B334" s="4">
        <v>4442</v>
      </c>
      <c r="C334" s="4" t="str">
        <f t="shared" si="140"/>
        <v>urn:immetingen:parameter:id:4442</v>
      </c>
      <c r="D334" s="4">
        <f>IFERROR(IF(VLOOKUP($C334,'C'!$A$1:$N$1998,4,FALSE)=0,IF(VLOOKUP($C334,'C'!$A$1:$N$1998,7,FALSE)=0,VLOOKUP($C334,'C'!$A$1:$N$1998,10,FALSE),VLOOKUP($C334,'C'!$A$1:$N$1998,7,FALSE)),VLOOKUP($C334,'C'!$A$1:$N$1998,4,FALSE)),"")</f>
        <v>131</v>
      </c>
      <c r="E334" s="4">
        <f>IFERROR(VLOOKUP($C334,'C'!$A$1:$N$1998,2,FALSE),"")</f>
        <v>0.1</v>
      </c>
      <c r="F334" s="4" t="str">
        <f>IF(VLOOKUP($C334,'C'!$A$1:$N$1998,3,FALSE)=1,"&lt;","")</f>
        <v>&lt;</v>
      </c>
      <c r="G334" s="4">
        <f>VLOOKUP($C334,'C'!$A$1:$N$1998,5,FALSE)</f>
        <v>0.1</v>
      </c>
      <c r="H334" s="4" t="str">
        <f>IF(VLOOKUP($C334,'C'!$A$1:$N$1998,6,FALSE)=1,"&lt;","")</f>
        <v>&lt;</v>
      </c>
      <c r="I334" s="4">
        <f>VLOOKUP($C334,'C'!$A$1:$N$1998,8,FALSE)</f>
        <v>0.1</v>
      </c>
      <c r="J334" s="4" t="str">
        <f>IF(VLOOKUP($C334,'C'!$A$1:$N$1998,9,FALSE)=1,"&lt;","")</f>
        <v>&lt;</v>
      </c>
      <c r="M334" s="4">
        <f t="shared" si="168"/>
        <v>1E-4</v>
      </c>
      <c r="N334" s="4" t="str">
        <f t="shared" si="169"/>
        <v>&lt;</v>
      </c>
      <c r="O334" s="4">
        <f t="shared" si="175"/>
        <v>1E-4</v>
      </c>
      <c r="P334" s="4" t="str">
        <f t="shared" si="170"/>
        <v>&lt;</v>
      </c>
      <c r="Q334" s="4">
        <f t="shared" si="176"/>
        <v>1E-4</v>
      </c>
      <c r="R334" s="4" t="str">
        <f t="shared" si="171"/>
        <v>&lt;</v>
      </c>
      <c r="V334" s="4">
        <f>IFERROR(IF(VLOOKUP(B334,E!$B$1:$AK$300,4,FALSE)=0,1000000,VLOOKUP(B334,E!$B$1:$AK$300,4,FALSE)),1000000)</f>
        <v>1E-4</v>
      </c>
      <c r="Z334" s="17">
        <f>IF(M334="","",IF(AND(N334="&lt;",M334&lt;=$V334),0,(IF(M334="&lt;",0.7*M334,M334))))</f>
        <v>0</v>
      </c>
      <c r="AA334" s="31">
        <f t="shared" si="183"/>
        <v>0</v>
      </c>
      <c r="AB334" s="31">
        <f t="shared" si="184"/>
        <v>0.1</v>
      </c>
      <c r="AC334" s="17">
        <f>IF(O334="","",IF(AND(P334="&lt;",O334&lt;=$V334),0,(IF(O334="&lt;",0.7*O334,O334))))</f>
        <v>0</v>
      </c>
      <c r="AD334" s="31">
        <f t="shared" si="186"/>
        <v>0</v>
      </c>
      <c r="AE334" s="31">
        <f t="shared" si="187"/>
        <v>0.1</v>
      </c>
      <c r="AF334" s="17">
        <f t="shared" si="188"/>
        <v>0</v>
      </c>
      <c r="AG334" s="31">
        <f t="shared" si="189"/>
        <v>0</v>
      </c>
      <c r="AH334" s="31">
        <f t="shared" si="190"/>
        <v>0.1</v>
      </c>
      <c r="AI334" s="77">
        <v>0</v>
      </c>
      <c r="AJ334" s="77">
        <v>0</v>
      </c>
      <c r="AK334" s="77">
        <v>1</v>
      </c>
      <c r="AO334" s="4">
        <f t="shared" si="191"/>
        <v>1</v>
      </c>
      <c r="AQ334" s="4">
        <f t="shared" si="180"/>
        <v>1</v>
      </c>
      <c r="AS334" s="4">
        <f t="shared" si="181"/>
        <v>1</v>
      </c>
      <c r="AV334" s="4">
        <f t="shared" ref="AV334:AV368" si="194">IFERROR(IF(F334="&lt;",0.7*M334*AO334,M334*AO334),"")</f>
        <v>6.9999999999999994E-5</v>
      </c>
      <c r="AX334" s="4">
        <f t="shared" si="192"/>
        <v>6.9999999999999994E-5</v>
      </c>
      <c r="AZ334" s="4">
        <f t="shared" si="193"/>
        <v>6.9999999999999994E-5</v>
      </c>
    </row>
    <row r="335" spans="1:52" x14ac:dyDescent="0.2">
      <c r="A335" s="4" t="s">
        <v>385</v>
      </c>
      <c r="B335" s="4">
        <v>4438</v>
      </c>
      <c r="C335" s="4" t="str">
        <f t="shared" si="140"/>
        <v>urn:immetingen:parameter:id:4438</v>
      </c>
      <c r="D335" s="4">
        <f>IFERROR(IF(VLOOKUP($C335,'C'!$A$1:$N$1998,4,FALSE)=0,IF(VLOOKUP($C335,'C'!$A$1:$N$1998,7,FALSE)=0,VLOOKUP($C335,'C'!$A$1:$N$1998,10,FALSE),VLOOKUP($C335,'C'!$A$1:$N$1998,7,FALSE)),VLOOKUP($C335,'C'!$A$1:$N$1998,4,FALSE)),"")</f>
        <v>131</v>
      </c>
      <c r="E335" s="4">
        <f>IFERROR(VLOOKUP($C335,'C'!$A$1:$N$1998,2,FALSE),"")</f>
        <v>0.1</v>
      </c>
      <c r="F335" s="4" t="str">
        <f>IF(VLOOKUP($C335,'C'!$A$1:$N$1998,3,FALSE)=1,"&lt;","")</f>
        <v>&lt;</v>
      </c>
      <c r="G335" s="4">
        <f>VLOOKUP($C335,'C'!$A$1:$N$1998,5,FALSE)</f>
        <v>0.1</v>
      </c>
      <c r="H335" s="4" t="str">
        <f>IF(VLOOKUP($C335,'C'!$A$1:$N$1998,6,FALSE)=1,"&lt;","")</f>
        <v>&lt;</v>
      </c>
      <c r="I335" s="4">
        <f>VLOOKUP($C335,'C'!$A$1:$N$1998,8,FALSE)</f>
        <v>0.1</v>
      </c>
      <c r="J335" s="4" t="str">
        <f>IF(VLOOKUP($C335,'C'!$A$1:$N$1998,9,FALSE)=1,"&lt;","")</f>
        <v>&lt;</v>
      </c>
      <c r="M335" s="4">
        <f t="shared" si="168"/>
        <v>1E-4</v>
      </c>
      <c r="N335" s="4" t="str">
        <f t="shared" si="169"/>
        <v>&lt;</v>
      </c>
      <c r="O335" s="4">
        <f t="shared" si="175"/>
        <v>1E-4</v>
      </c>
      <c r="P335" s="4" t="str">
        <f t="shared" si="170"/>
        <v>&lt;</v>
      </c>
      <c r="Q335" s="4">
        <f t="shared" si="176"/>
        <v>1E-4</v>
      </c>
      <c r="R335" s="4" t="str">
        <f t="shared" si="171"/>
        <v>&lt;</v>
      </c>
      <c r="V335" s="4">
        <f>IFERROR(IF(VLOOKUP(B335,E!$B$1:$AK$300,4,FALSE)=0,1000000,VLOOKUP(B335,E!$B$1:$AK$300,4,FALSE)),1000000)</f>
        <v>1E-4</v>
      </c>
      <c r="Z335" s="17">
        <f t="shared" ref="Z335:Z347" si="195">IF(M335="","",IF(AND(N335="&lt;",M335&lt;=$V335),0,(IF(M335="&lt;",0.7*M335,M335))))</f>
        <v>0</v>
      </c>
      <c r="AA335" s="31">
        <f t="shared" si="183"/>
        <v>0</v>
      </c>
      <c r="AB335" s="31">
        <f t="shared" si="184"/>
        <v>0.1</v>
      </c>
      <c r="AC335" s="17">
        <f t="shared" ref="AC335:AC359" si="196">IF(O335="","",IF(AND(P335="&lt;",O335&lt;=$V335),0,(IF(O335="&lt;",0.7*O335,O335))))</f>
        <v>0</v>
      </c>
      <c r="AD335" s="31">
        <f t="shared" si="186"/>
        <v>0</v>
      </c>
      <c r="AE335" s="31">
        <f t="shared" si="187"/>
        <v>0.1</v>
      </c>
      <c r="AF335" s="17">
        <f t="shared" si="188"/>
        <v>0</v>
      </c>
      <c r="AG335" s="31">
        <f t="shared" si="189"/>
        <v>0</v>
      </c>
      <c r="AH335" s="31">
        <f t="shared" si="190"/>
        <v>0.1</v>
      </c>
      <c r="AI335" s="77">
        <v>0</v>
      </c>
      <c r="AJ335" s="77">
        <v>0</v>
      </c>
      <c r="AK335" s="77">
        <v>1</v>
      </c>
      <c r="AO335" s="4">
        <f t="shared" si="191"/>
        <v>1</v>
      </c>
      <c r="AQ335" s="4">
        <f t="shared" si="180"/>
        <v>1</v>
      </c>
      <c r="AS335" s="4">
        <f t="shared" si="181"/>
        <v>1</v>
      </c>
      <c r="AV335" s="4">
        <f t="shared" si="194"/>
        <v>6.9999999999999994E-5</v>
      </c>
      <c r="AX335" s="4">
        <f t="shared" si="192"/>
        <v>6.9999999999999994E-5</v>
      </c>
      <c r="AZ335" s="4">
        <f t="shared" si="193"/>
        <v>6.9999999999999994E-5</v>
      </c>
    </row>
    <row r="336" spans="1:52" x14ac:dyDescent="0.2">
      <c r="A336" s="4" t="s">
        <v>386</v>
      </c>
      <c r="B336" s="4">
        <v>4451</v>
      </c>
      <c r="C336" s="4" t="str">
        <f t="shared" si="140"/>
        <v>urn:immetingen:parameter:id:4451</v>
      </c>
      <c r="D336" s="4">
        <f>IFERROR(IF(VLOOKUP($C336,'C'!$A$1:$N$1998,4,FALSE)=0,IF(VLOOKUP($C336,'C'!$A$1:$N$1998,7,FALSE)=0,VLOOKUP($C336,'C'!$A$1:$N$1998,10,FALSE),VLOOKUP($C336,'C'!$A$1:$N$1998,7,FALSE)),VLOOKUP($C336,'C'!$A$1:$N$1998,4,FALSE)),"")</f>
        <v>131</v>
      </c>
      <c r="E336" s="4">
        <f>IFERROR(VLOOKUP($C336,'C'!$A$1:$N$1998,2,FALSE),"")</f>
        <v>0.1</v>
      </c>
      <c r="F336" s="4" t="str">
        <f>IF(VLOOKUP($C336,'C'!$A$1:$N$1998,3,FALSE)=1,"&lt;","")</f>
        <v>&lt;</v>
      </c>
      <c r="G336" s="4">
        <f>VLOOKUP($C336,'C'!$A$1:$N$1998,5,FALSE)</f>
        <v>0.1</v>
      </c>
      <c r="H336" s="4" t="str">
        <f>IF(VLOOKUP($C336,'C'!$A$1:$N$1998,6,FALSE)=1,"&lt;","")</f>
        <v>&lt;</v>
      </c>
      <c r="I336" s="4">
        <f>VLOOKUP($C336,'C'!$A$1:$N$1998,8,FALSE)</f>
        <v>0.1</v>
      </c>
      <c r="J336" s="4" t="str">
        <f>IF(VLOOKUP($C336,'C'!$A$1:$N$1998,9,FALSE)=1,"&lt;","")</f>
        <v>&lt;</v>
      </c>
      <c r="M336" s="4">
        <f t="shared" si="168"/>
        <v>1E-4</v>
      </c>
      <c r="N336" s="4" t="str">
        <f t="shared" si="169"/>
        <v>&lt;</v>
      </c>
      <c r="O336" s="4">
        <f t="shared" si="175"/>
        <v>1E-4</v>
      </c>
      <c r="P336" s="4" t="str">
        <f t="shared" si="170"/>
        <v>&lt;</v>
      </c>
      <c r="Q336" s="4">
        <f t="shared" si="176"/>
        <v>1E-4</v>
      </c>
      <c r="R336" s="4" t="str">
        <f t="shared" si="171"/>
        <v>&lt;</v>
      </c>
      <c r="V336" s="4">
        <f>IFERROR(IF(VLOOKUP(B336,E!$B$1:$AK$300,4,FALSE)=0,1000000,VLOOKUP(B336,E!$B$1:$AK$300,4,FALSE)),1000000)</f>
        <v>1E-4</v>
      </c>
      <c r="Z336" s="17">
        <f t="shared" si="195"/>
        <v>0</v>
      </c>
      <c r="AA336" s="31">
        <f t="shared" si="183"/>
        <v>0</v>
      </c>
      <c r="AB336" s="31">
        <f t="shared" si="184"/>
        <v>0.1</v>
      </c>
      <c r="AC336" s="17">
        <f t="shared" si="196"/>
        <v>0</v>
      </c>
      <c r="AD336" s="31">
        <f t="shared" si="186"/>
        <v>0</v>
      </c>
      <c r="AE336" s="31">
        <f t="shared" si="187"/>
        <v>0.1</v>
      </c>
      <c r="AF336" s="17">
        <f t="shared" si="188"/>
        <v>0</v>
      </c>
      <c r="AG336" s="31">
        <f t="shared" si="189"/>
        <v>0</v>
      </c>
      <c r="AH336" s="31">
        <f t="shared" si="190"/>
        <v>0.1</v>
      </c>
      <c r="AI336" s="77">
        <v>0</v>
      </c>
      <c r="AJ336" s="77">
        <v>0</v>
      </c>
      <c r="AK336" s="77">
        <v>1</v>
      </c>
      <c r="AO336" s="4">
        <f t="shared" si="191"/>
        <v>1</v>
      </c>
      <c r="AQ336" s="4">
        <f t="shared" si="180"/>
        <v>1</v>
      </c>
      <c r="AS336" s="4">
        <f t="shared" si="181"/>
        <v>1</v>
      </c>
      <c r="AV336" s="4">
        <f t="shared" si="194"/>
        <v>6.9999999999999994E-5</v>
      </c>
      <c r="AX336" s="4">
        <f t="shared" si="192"/>
        <v>6.9999999999999994E-5</v>
      </c>
      <c r="AZ336" s="4">
        <f t="shared" si="193"/>
        <v>6.9999999999999994E-5</v>
      </c>
    </row>
    <row r="337" spans="1:52" x14ac:dyDescent="0.2">
      <c r="A337" s="4" t="s">
        <v>387</v>
      </c>
      <c r="B337" s="4">
        <v>4439</v>
      </c>
      <c r="C337" s="4" t="str">
        <f t="shared" si="140"/>
        <v>urn:immetingen:parameter:id:4439</v>
      </c>
      <c r="D337" s="4">
        <f>IFERROR(IF(VLOOKUP($C337,'C'!$A$1:$N$1998,4,FALSE)=0,IF(VLOOKUP($C337,'C'!$A$1:$N$1998,7,FALSE)=0,VLOOKUP($C337,'C'!$A$1:$N$1998,10,FALSE),VLOOKUP($C337,'C'!$A$1:$N$1998,7,FALSE)),VLOOKUP($C337,'C'!$A$1:$N$1998,4,FALSE)),"")</f>
        <v>131</v>
      </c>
      <c r="E337" s="4">
        <f>IFERROR(VLOOKUP($C337,'C'!$A$1:$N$1998,2,FALSE),"")</f>
        <v>0.1</v>
      </c>
      <c r="F337" s="4" t="str">
        <f>IF(VLOOKUP($C337,'C'!$A$1:$N$1998,3,FALSE)=1,"&lt;","")</f>
        <v>&lt;</v>
      </c>
      <c r="G337" s="4">
        <f>VLOOKUP($C337,'C'!$A$1:$N$1998,5,FALSE)</f>
        <v>0.1</v>
      </c>
      <c r="H337" s="4" t="str">
        <f>IF(VLOOKUP($C337,'C'!$A$1:$N$1998,6,FALSE)=1,"&lt;","")</f>
        <v>&lt;</v>
      </c>
      <c r="I337" s="4">
        <f>VLOOKUP($C337,'C'!$A$1:$N$1998,8,FALSE)</f>
        <v>0.1</v>
      </c>
      <c r="J337" s="4" t="str">
        <f>IF(VLOOKUP($C337,'C'!$A$1:$N$1998,9,FALSE)=1,"&lt;","")</f>
        <v>&lt;</v>
      </c>
      <c r="M337" s="4">
        <f t="shared" si="168"/>
        <v>1E-4</v>
      </c>
      <c r="N337" s="4" t="str">
        <f t="shared" si="169"/>
        <v>&lt;</v>
      </c>
      <c r="O337" s="4">
        <f t="shared" si="175"/>
        <v>1E-4</v>
      </c>
      <c r="P337" s="4" t="str">
        <f t="shared" si="170"/>
        <v>&lt;</v>
      </c>
      <c r="Q337" s="4">
        <f t="shared" si="176"/>
        <v>1E-4</v>
      </c>
      <c r="R337" s="4" t="str">
        <f t="shared" si="171"/>
        <v>&lt;</v>
      </c>
      <c r="V337" s="4">
        <f>IFERROR(IF(VLOOKUP(B337,E!$B$1:$AK$300,4,FALSE)=0,1000000,VLOOKUP(B337,E!$B$1:$AK$300,4,FALSE)),1000000)</f>
        <v>1E-4</v>
      </c>
      <c r="Z337" s="17">
        <f t="shared" si="195"/>
        <v>0</v>
      </c>
      <c r="AA337" s="31">
        <f t="shared" si="183"/>
        <v>0</v>
      </c>
      <c r="AB337" s="31">
        <f t="shared" si="184"/>
        <v>0.1</v>
      </c>
      <c r="AC337" s="17">
        <f t="shared" si="196"/>
        <v>0</v>
      </c>
      <c r="AD337" s="31">
        <f t="shared" si="186"/>
        <v>0</v>
      </c>
      <c r="AE337" s="31">
        <f t="shared" si="187"/>
        <v>0.1</v>
      </c>
      <c r="AF337" s="17">
        <f t="shared" si="188"/>
        <v>0</v>
      </c>
      <c r="AG337" s="31">
        <f t="shared" si="189"/>
        <v>0</v>
      </c>
      <c r="AH337" s="31">
        <f t="shared" si="190"/>
        <v>0.1</v>
      </c>
      <c r="AI337" s="77">
        <v>0</v>
      </c>
      <c r="AJ337" s="77">
        <v>0</v>
      </c>
      <c r="AK337" s="77">
        <v>1</v>
      </c>
      <c r="AO337" s="4">
        <f t="shared" si="191"/>
        <v>1</v>
      </c>
      <c r="AQ337" s="4">
        <f t="shared" si="180"/>
        <v>1</v>
      </c>
      <c r="AS337" s="4">
        <f t="shared" si="181"/>
        <v>1</v>
      </c>
      <c r="AV337" s="4">
        <f t="shared" si="194"/>
        <v>6.9999999999999994E-5</v>
      </c>
      <c r="AX337" s="4">
        <f t="shared" si="192"/>
        <v>6.9999999999999994E-5</v>
      </c>
      <c r="AZ337" s="4">
        <f t="shared" si="193"/>
        <v>6.9999999999999994E-5</v>
      </c>
    </row>
    <row r="338" spans="1:52" x14ac:dyDescent="0.2">
      <c r="A338" s="4" t="s">
        <v>388</v>
      </c>
      <c r="B338" s="4">
        <v>4449</v>
      </c>
      <c r="C338" s="4" t="str">
        <f t="shared" si="140"/>
        <v>urn:immetingen:parameter:id:4449</v>
      </c>
      <c r="D338" s="4" t="str">
        <f>IFERROR(IF(VLOOKUP($C338,'C'!$A$1:$N$1998,4,FALSE)=0,IF(VLOOKUP($C338,'C'!$A$1:$N$1998,7,FALSE)=0,VLOOKUP($C338,'C'!$A$1:$N$1998,10,FALSE),VLOOKUP($C338,'C'!$A$1:$N$1998,7,FALSE)),VLOOKUP($C338,'C'!$A$1:$N$1998,4,FALSE)),"")</f>
        <v/>
      </c>
      <c r="E338" s="4" t="str">
        <f>IFERROR(VLOOKUP($C338,'C'!$A$1:$N$1998,2,FALSE),"")</f>
        <v/>
      </c>
      <c r="F338" s="4" t="str">
        <f>IFERROR(IF(VLOOKUP($C338,'C'!$A$1:$N$1998,3,FALSE)=1,"&lt;",""),"")</f>
        <v/>
      </c>
      <c r="G338" s="4" t="str">
        <f>IFERROR(VLOOKUP($C338,'C'!$A$1:$N$1998,5,FALSE),"")</f>
        <v/>
      </c>
      <c r="H338" s="4" t="str">
        <f>IFERROR(IF(VLOOKUP($C338,'C'!$A$1:$N$1998,6,FALSE)=1,"&lt;",""),"")</f>
        <v/>
      </c>
      <c r="I338" s="4" t="str">
        <f>IFERROR(VLOOKUP($C338,'C'!$A$1:$N$1998,8,FALSE),"")</f>
        <v/>
      </c>
      <c r="J338" s="4" t="str">
        <f>IFERROR(IF(VLOOKUP($C338,'C'!$A$1:$N$1998,9,FALSE)=1,"&lt;",""),"")</f>
        <v/>
      </c>
      <c r="M338" s="4" t="str">
        <f t="shared" si="168"/>
        <v/>
      </c>
      <c r="N338" s="4" t="str">
        <f t="shared" si="169"/>
        <v/>
      </c>
      <c r="O338" s="4" t="str">
        <f t="shared" si="175"/>
        <v/>
      </c>
      <c r="P338" s="4" t="str">
        <f t="shared" si="170"/>
        <v/>
      </c>
      <c r="Q338" s="4" t="str">
        <f t="shared" si="176"/>
        <v/>
      </c>
      <c r="R338" s="4" t="str">
        <f t="shared" si="171"/>
        <v/>
      </c>
      <c r="V338" s="4">
        <f>IFERROR(IF(VLOOKUP(B338,E!$B$1:$AK$300,4,FALSE)=0,1000000,VLOOKUP(B338,E!$B$1:$AK$300,4,FALSE)),1000000)</f>
        <v>1E-4</v>
      </c>
      <c r="Z338" s="17" t="str">
        <f t="shared" si="195"/>
        <v/>
      </c>
      <c r="AA338" s="31">
        <f t="shared" si="183"/>
        <v>-1</v>
      </c>
      <c r="AB338" s="31">
        <f t="shared" si="184"/>
        <v>0</v>
      </c>
      <c r="AC338" s="17" t="str">
        <f t="shared" si="196"/>
        <v/>
      </c>
      <c r="AD338" s="31">
        <f t="shared" si="186"/>
        <v>-1</v>
      </c>
      <c r="AE338" s="31">
        <f t="shared" si="187"/>
        <v>0</v>
      </c>
      <c r="AF338" s="17" t="str">
        <f t="shared" si="188"/>
        <v/>
      </c>
      <c r="AG338" s="31">
        <f t="shared" si="189"/>
        <v>-1</v>
      </c>
      <c r="AH338" s="31">
        <f t="shared" si="190"/>
        <v>0</v>
      </c>
      <c r="AI338" s="77">
        <v>0</v>
      </c>
      <c r="AJ338" s="77">
        <v>0</v>
      </c>
      <c r="AK338" s="77">
        <v>1</v>
      </c>
      <c r="AO338" s="4">
        <f t="shared" si="191"/>
        <v>1</v>
      </c>
      <c r="AQ338" s="4">
        <f t="shared" si="180"/>
        <v>1</v>
      </c>
      <c r="AS338" s="4">
        <f t="shared" si="181"/>
        <v>1</v>
      </c>
      <c r="AV338" s="4" t="str">
        <f t="shared" si="194"/>
        <v/>
      </c>
      <c r="AX338" s="4" t="str">
        <f t="shared" si="192"/>
        <v/>
      </c>
      <c r="AZ338" s="4" t="str">
        <f t="shared" si="193"/>
        <v/>
      </c>
    </row>
    <row r="339" spans="1:52" x14ac:dyDescent="0.2">
      <c r="A339" s="4" t="s">
        <v>389</v>
      </c>
      <c r="B339" s="4">
        <v>4450</v>
      </c>
      <c r="C339" s="4" t="str">
        <f t="shared" si="140"/>
        <v>urn:immetingen:parameter:id:4450</v>
      </c>
      <c r="D339" s="4" t="str">
        <f>IFERROR(IF(VLOOKUP($C339,'C'!$A$1:$N$1998,4,FALSE)=0,IF(VLOOKUP($C339,'C'!$A$1:$N$1998,7,FALSE)=0,VLOOKUP($C339,'C'!$A$1:$N$1998,10,FALSE),VLOOKUP($C339,'C'!$A$1:$N$1998,7,FALSE)),VLOOKUP($C339,'C'!$A$1:$N$1998,4,FALSE)),"")</f>
        <v/>
      </c>
      <c r="E339" s="4" t="str">
        <f>IFERROR(VLOOKUP($C339,'C'!$A$1:$N$1998,2,FALSE),"")</f>
        <v/>
      </c>
      <c r="F339" s="4" t="str">
        <f>IFERROR(IF(VLOOKUP($C339,'C'!$A$1:$N$1998,3,FALSE)=1,"&lt;",""),"")</f>
        <v/>
      </c>
      <c r="G339" s="4" t="str">
        <f>IFERROR(VLOOKUP($C339,'C'!$A$1:$N$1998,5,FALSE),"")</f>
        <v/>
      </c>
      <c r="H339" s="4" t="str">
        <f>IFERROR(IF(VLOOKUP($C339,'C'!$A$1:$N$1998,6,FALSE)=1,"&lt;",""),"")</f>
        <v/>
      </c>
      <c r="I339" s="4" t="str">
        <f>IFERROR(VLOOKUP($C339,'C'!$A$1:$N$1998,8,FALSE),"")</f>
        <v/>
      </c>
      <c r="J339" s="4" t="str">
        <f>IFERROR(IF(VLOOKUP($C339,'C'!$A$1:$N$1998,9,FALSE)=1,"&lt;",""),"")</f>
        <v/>
      </c>
      <c r="M339" s="4" t="str">
        <f t="shared" si="168"/>
        <v/>
      </c>
      <c r="N339" s="4" t="str">
        <f t="shared" si="169"/>
        <v/>
      </c>
      <c r="O339" s="4" t="str">
        <f t="shared" si="175"/>
        <v/>
      </c>
      <c r="P339" s="4" t="str">
        <f t="shared" si="170"/>
        <v/>
      </c>
      <c r="Q339" s="4" t="str">
        <f t="shared" si="176"/>
        <v/>
      </c>
      <c r="R339" s="4" t="str">
        <f t="shared" si="171"/>
        <v/>
      </c>
      <c r="V339" s="4">
        <f>IFERROR(IF(VLOOKUP(B339,E!$B$1:$AK$300,4,FALSE)=0,1000000,VLOOKUP(B339,E!$B$1:$AK$300,4,FALSE)),1000000)</f>
        <v>1E-4</v>
      </c>
      <c r="Z339" s="17" t="str">
        <f t="shared" si="195"/>
        <v/>
      </c>
      <c r="AA339" s="31">
        <f t="shared" si="183"/>
        <v>-1</v>
      </c>
      <c r="AB339" s="31">
        <f t="shared" si="184"/>
        <v>0</v>
      </c>
      <c r="AC339" s="17" t="str">
        <f t="shared" si="196"/>
        <v/>
      </c>
      <c r="AD339" s="31">
        <f t="shared" si="186"/>
        <v>-1</v>
      </c>
      <c r="AE339" s="31">
        <f t="shared" si="187"/>
        <v>0</v>
      </c>
      <c r="AF339" s="17" t="str">
        <f t="shared" si="188"/>
        <v/>
      </c>
      <c r="AG339" s="31">
        <f t="shared" si="189"/>
        <v>-1</v>
      </c>
      <c r="AH339" s="31">
        <f t="shared" si="190"/>
        <v>0</v>
      </c>
      <c r="AI339" s="77">
        <v>0</v>
      </c>
      <c r="AJ339" s="77">
        <v>0</v>
      </c>
      <c r="AK339" s="77">
        <v>1</v>
      </c>
      <c r="AO339" s="4">
        <f t="shared" si="191"/>
        <v>1</v>
      </c>
      <c r="AQ339" s="4">
        <f t="shared" si="180"/>
        <v>1</v>
      </c>
      <c r="AS339" s="4">
        <f t="shared" si="181"/>
        <v>1</v>
      </c>
      <c r="AV339" s="4" t="str">
        <f t="shared" si="194"/>
        <v/>
      </c>
      <c r="AX339" s="4" t="str">
        <f t="shared" si="192"/>
        <v/>
      </c>
      <c r="AZ339" s="4" t="str">
        <f t="shared" si="193"/>
        <v/>
      </c>
    </row>
    <row r="340" spans="1:52" x14ac:dyDescent="0.2">
      <c r="A340" s="4" t="s">
        <v>390</v>
      </c>
      <c r="B340" s="4">
        <v>5735</v>
      </c>
      <c r="C340" s="4" t="str">
        <f t="shared" si="140"/>
        <v>urn:immetingen:parameter:id:5735</v>
      </c>
      <c r="D340" s="4" t="str">
        <f>IFERROR(IF(VLOOKUP($C340,'C'!$A$1:$N$1998,4,FALSE)=0,IF(VLOOKUP($C340,'C'!$A$1:$N$1998,7,FALSE)=0,VLOOKUP($C340,'C'!$A$1:$N$1998,10,FALSE),VLOOKUP($C340,'C'!$A$1:$N$1998,7,FALSE)),VLOOKUP($C340,'C'!$A$1:$N$1998,4,FALSE)),"")</f>
        <v/>
      </c>
      <c r="E340" s="4" t="str">
        <f>IFERROR(VLOOKUP($C340,'C'!$A$1:$N$1998,2,FALSE),"")</f>
        <v/>
      </c>
      <c r="F340" s="4" t="str">
        <f>IFERROR(IF(VLOOKUP($C340,'C'!$A$1:$N$1998,3,FALSE)=1,"&lt;",""),"")</f>
        <v/>
      </c>
      <c r="G340" s="4" t="str">
        <f>IFERROR(VLOOKUP($C340,'C'!$A$1:$N$1998,5,FALSE),"")</f>
        <v/>
      </c>
      <c r="H340" s="4" t="str">
        <f>IFERROR(IF(VLOOKUP($C340,'C'!$A$1:$N$1998,6,FALSE)=1,"&lt;",""),"")</f>
        <v/>
      </c>
      <c r="I340" s="4" t="str">
        <f>IFERROR(VLOOKUP($C340,'C'!$A$1:$N$1998,8,FALSE),"")</f>
        <v/>
      </c>
      <c r="J340" s="4" t="str">
        <f>IFERROR(IF(VLOOKUP($C340,'C'!$A$1:$N$1998,9,FALSE)=1,"&lt;",""),"")</f>
        <v/>
      </c>
      <c r="M340" s="4" t="str">
        <f t="shared" si="168"/>
        <v/>
      </c>
      <c r="N340" s="4" t="str">
        <f t="shared" si="169"/>
        <v/>
      </c>
      <c r="O340" s="4" t="str">
        <f t="shared" si="175"/>
        <v/>
      </c>
      <c r="P340" s="4" t="str">
        <f t="shared" si="170"/>
        <v/>
      </c>
      <c r="Q340" s="4" t="str">
        <f t="shared" si="176"/>
        <v/>
      </c>
      <c r="R340" s="4" t="str">
        <f t="shared" si="171"/>
        <v/>
      </c>
      <c r="V340" s="4">
        <f>IFERROR(IF(VLOOKUP(B340,E!$B$1:$AK$300,4,FALSE)=0,1000000,VLOOKUP(B340,E!$B$1:$AK$300,4,FALSE)),1000000)</f>
        <v>1E-4</v>
      </c>
      <c r="Z340" s="17" t="str">
        <f t="shared" si="195"/>
        <v/>
      </c>
      <c r="AA340" s="31">
        <f t="shared" si="183"/>
        <v>-1</v>
      </c>
      <c r="AB340" s="31">
        <f t="shared" si="184"/>
        <v>0</v>
      </c>
      <c r="AC340" s="17" t="str">
        <f t="shared" si="196"/>
        <v/>
      </c>
      <c r="AD340" s="31">
        <f t="shared" si="186"/>
        <v>-1</v>
      </c>
      <c r="AE340" s="31">
        <f t="shared" si="187"/>
        <v>0</v>
      </c>
      <c r="AF340" s="17" t="str">
        <f t="shared" si="188"/>
        <v/>
      </c>
      <c r="AG340" s="31">
        <f t="shared" si="189"/>
        <v>-1</v>
      </c>
      <c r="AH340" s="31">
        <f t="shared" si="190"/>
        <v>0</v>
      </c>
      <c r="AI340" s="77">
        <v>0</v>
      </c>
      <c r="AJ340" s="77">
        <v>0</v>
      </c>
      <c r="AK340" s="77">
        <v>1</v>
      </c>
      <c r="AO340" s="4">
        <f t="shared" si="191"/>
        <v>1</v>
      </c>
      <c r="AQ340" s="4">
        <f t="shared" si="180"/>
        <v>1</v>
      </c>
      <c r="AS340" s="4">
        <f t="shared" si="181"/>
        <v>1</v>
      </c>
      <c r="AV340" s="4" t="str">
        <f t="shared" si="194"/>
        <v/>
      </c>
      <c r="AX340" s="4" t="str">
        <f t="shared" si="192"/>
        <v/>
      </c>
      <c r="AZ340" s="4" t="str">
        <f t="shared" si="193"/>
        <v/>
      </c>
    </row>
    <row r="341" spans="1:52" x14ac:dyDescent="0.2">
      <c r="A341" s="4" t="s">
        <v>391</v>
      </c>
      <c r="B341" s="4">
        <v>5736</v>
      </c>
      <c r="C341" s="4" t="str">
        <f t="shared" si="140"/>
        <v>urn:immetingen:parameter:id:5736</v>
      </c>
      <c r="D341" s="4" t="str">
        <f>IFERROR(IF(VLOOKUP($C341,'C'!$A$1:$N$1998,4,FALSE)=0,IF(VLOOKUP($C341,'C'!$A$1:$N$1998,7,FALSE)=0,VLOOKUP($C341,'C'!$A$1:$N$1998,10,FALSE),VLOOKUP($C341,'C'!$A$1:$N$1998,7,FALSE)),VLOOKUP($C341,'C'!$A$1:$N$1998,4,FALSE)),"")</f>
        <v/>
      </c>
      <c r="E341" s="4" t="str">
        <f>IFERROR(VLOOKUP($C341,'C'!$A$1:$N$1998,2,FALSE),"")</f>
        <v/>
      </c>
      <c r="F341" s="4" t="str">
        <f>IFERROR(IF(VLOOKUP($C341,'C'!$A$1:$N$1998,3,FALSE)=1,"&lt;",""),"")</f>
        <v/>
      </c>
      <c r="G341" s="4" t="str">
        <f>IFERROR(VLOOKUP($C341,'C'!$A$1:$N$1998,5,FALSE),"")</f>
        <v/>
      </c>
      <c r="H341" s="4" t="str">
        <f>IFERROR(IF(VLOOKUP($C341,'C'!$A$1:$N$1998,6,FALSE)=1,"&lt;",""),"")</f>
        <v/>
      </c>
      <c r="I341" s="4" t="str">
        <f>IFERROR(VLOOKUP($C341,'C'!$A$1:$N$1998,8,FALSE),"")</f>
        <v/>
      </c>
      <c r="J341" s="4" t="str">
        <f>IFERROR(IF(VLOOKUP($C341,'C'!$A$1:$N$1998,9,FALSE)=1,"&lt;",""),"")</f>
        <v/>
      </c>
      <c r="M341" s="4" t="str">
        <f t="shared" si="168"/>
        <v/>
      </c>
      <c r="N341" s="4" t="str">
        <f t="shared" si="169"/>
        <v/>
      </c>
      <c r="O341" s="4" t="str">
        <f t="shared" si="175"/>
        <v/>
      </c>
      <c r="P341" s="4" t="str">
        <f t="shared" si="170"/>
        <v/>
      </c>
      <c r="Q341" s="4" t="str">
        <f t="shared" si="176"/>
        <v/>
      </c>
      <c r="R341" s="4" t="str">
        <f t="shared" si="171"/>
        <v/>
      </c>
      <c r="V341" s="4">
        <f>IFERROR(IF(VLOOKUP(B341,E!$B$1:$AK$300,4,FALSE)=0,1000000,VLOOKUP(B341,E!$B$1:$AK$300,4,FALSE)),1000000)</f>
        <v>1E-4</v>
      </c>
      <c r="Z341" s="17" t="str">
        <f t="shared" si="195"/>
        <v/>
      </c>
      <c r="AA341" s="31">
        <f t="shared" si="183"/>
        <v>-1</v>
      </c>
      <c r="AB341" s="31">
        <f t="shared" si="184"/>
        <v>0</v>
      </c>
      <c r="AC341" s="17" t="str">
        <f t="shared" si="196"/>
        <v/>
      </c>
      <c r="AD341" s="31">
        <f t="shared" si="186"/>
        <v>-1</v>
      </c>
      <c r="AE341" s="31">
        <f t="shared" si="187"/>
        <v>0</v>
      </c>
      <c r="AF341" s="17" t="str">
        <f t="shared" si="188"/>
        <v/>
      </c>
      <c r="AG341" s="31">
        <f t="shared" si="189"/>
        <v>-1</v>
      </c>
      <c r="AH341" s="31">
        <f t="shared" si="190"/>
        <v>0</v>
      </c>
      <c r="AI341" s="77">
        <v>0</v>
      </c>
      <c r="AJ341" s="77">
        <v>0</v>
      </c>
      <c r="AK341" s="77">
        <v>1</v>
      </c>
      <c r="AO341" s="4">
        <f t="shared" si="191"/>
        <v>1</v>
      </c>
      <c r="AQ341" s="4">
        <f t="shared" si="180"/>
        <v>1</v>
      </c>
      <c r="AS341" s="4">
        <f t="shared" si="181"/>
        <v>1</v>
      </c>
      <c r="AV341" s="4" t="str">
        <f t="shared" si="194"/>
        <v/>
      </c>
      <c r="AX341" s="4" t="str">
        <f t="shared" si="192"/>
        <v/>
      </c>
      <c r="AZ341" s="4" t="str">
        <f t="shared" si="193"/>
        <v/>
      </c>
    </row>
    <row r="342" spans="1:52" x14ac:dyDescent="0.2">
      <c r="A342" s="4" t="s">
        <v>392</v>
      </c>
      <c r="B342" s="4">
        <v>3895</v>
      </c>
      <c r="C342" s="4" t="str">
        <f t="shared" si="140"/>
        <v>urn:immetingen:parameter:id:3895</v>
      </c>
      <c r="D342" s="4">
        <f>IFERROR(IF(VLOOKUP($C342,'C'!$A$1:$N$1998,4,FALSE)=0,IF(VLOOKUP($C342,'C'!$A$1:$N$1998,7,FALSE)=0,VLOOKUP($C342,'C'!$A$1:$N$1998,10,FALSE),VLOOKUP($C342,'C'!$A$1:$N$1998,7,FALSE)),VLOOKUP($C342,'C'!$A$1:$N$1998,4,FALSE)),"")</f>
        <v>131</v>
      </c>
      <c r="E342" s="4">
        <f>IFERROR(VLOOKUP($C342,'C'!$A$1:$N$1998,2,FALSE),"")</f>
        <v>0.1</v>
      </c>
      <c r="F342" s="4" t="str">
        <f>IF(VLOOKUP($C342,'C'!$A$1:$N$1998,3,FALSE)=1,"&lt;","")</f>
        <v>&lt;</v>
      </c>
      <c r="G342" s="4">
        <f>VLOOKUP($C342,'C'!$A$1:$N$1998,5,FALSE)</f>
        <v>0.1</v>
      </c>
      <c r="H342" s="4" t="str">
        <f>IF(VLOOKUP($C342,'C'!$A$1:$N$1998,6,FALSE)=1,"&lt;","")</f>
        <v>&lt;</v>
      </c>
      <c r="I342" s="4">
        <f>VLOOKUP($C342,'C'!$A$1:$N$1998,8,FALSE)</f>
        <v>0.1</v>
      </c>
      <c r="J342" s="4" t="str">
        <f>IF(VLOOKUP($C342,'C'!$A$1:$N$1998,9,FALSE)=1,"&lt;","")</f>
        <v>&lt;</v>
      </c>
      <c r="M342" s="4">
        <f t="shared" si="168"/>
        <v>1E-4</v>
      </c>
      <c r="N342" s="4" t="str">
        <f t="shared" si="169"/>
        <v>&lt;</v>
      </c>
      <c r="O342" s="4">
        <f t="shared" si="175"/>
        <v>1E-4</v>
      </c>
      <c r="P342" s="4" t="str">
        <f t="shared" si="170"/>
        <v>&lt;</v>
      </c>
      <c r="Q342" s="4">
        <f t="shared" si="176"/>
        <v>1E-4</v>
      </c>
      <c r="R342" s="4" t="str">
        <f t="shared" si="171"/>
        <v>&lt;</v>
      </c>
      <c r="V342" s="4">
        <f>IFERROR(IF(VLOOKUP(B342,E!$B$1:$AK$300,4,FALSE)=0,1000000,VLOOKUP(B342,E!$B$1:$AK$300,4,FALSE)),1000000)</f>
        <v>1E-4</v>
      </c>
      <c r="Z342" s="17">
        <f t="shared" si="195"/>
        <v>0</v>
      </c>
      <c r="AA342" s="31">
        <f t="shared" si="183"/>
        <v>0</v>
      </c>
      <c r="AB342" s="31">
        <f t="shared" si="184"/>
        <v>0.1</v>
      </c>
      <c r="AC342" s="17">
        <f t="shared" si="196"/>
        <v>0</v>
      </c>
      <c r="AD342" s="31">
        <f t="shared" si="186"/>
        <v>0</v>
      </c>
      <c r="AE342" s="31">
        <f t="shared" si="187"/>
        <v>0.1</v>
      </c>
      <c r="AF342" s="17">
        <f t="shared" si="188"/>
        <v>0</v>
      </c>
      <c r="AG342" s="31">
        <f t="shared" si="189"/>
        <v>0</v>
      </c>
      <c r="AH342" s="31">
        <f t="shared" si="190"/>
        <v>0.1</v>
      </c>
      <c r="AI342" s="77">
        <v>0</v>
      </c>
      <c r="AJ342" s="77">
        <v>0</v>
      </c>
      <c r="AK342" s="77">
        <v>1</v>
      </c>
      <c r="AO342" s="4">
        <f t="shared" si="191"/>
        <v>1</v>
      </c>
      <c r="AQ342" s="4">
        <f t="shared" si="180"/>
        <v>1</v>
      </c>
      <c r="AS342" s="4">
        <f t="shared" si="181"/>
        <v>1</v>
      </c>
      <c r="AV342" s="4">
        <f t="shared" si="194"/>
        <v>6.9999999999999994E-5</v>
      </c>
      <c r="AX342" s="4">
        <f t="shared" si="192"/>
        <v>6.9999999999999994E-5</v>
      </c>
      <c r="AZ342" s="4">
        <f t="shared" si="193"/>
        <v>6.9999999999999994E-5</v>
      </c>
    </row>
    <row r="343" spans="1:52" x14ac:dyDescent="0.2">
      <c r="A343" s="4" t="s">
        <v>393</v>
      </c>
      <c r="B343" s="4">
        <v>5935</v>
      </c>
      <c r="C343" s="4" t="str">
        <f t="shared" si="140"/>
        <v>urn:immetingen:parameter:id:5935</v>
      </c>
      <c r="D343" s="4">
        <f>IFERROR(IF(VLOOKUP($C343,'C'!$A$1:$N$1998,4,FALSE)=0,IF(VLOOKUP($C343,'C'!$A$1:$N$1998,7,FALSE)=0,VLOOKUP($C343,'C'!$A$1:$N$1998,10,FALSE),VLOOKUP($C343,'C'!$A$1:$N$1998,7,FALSE)),VLOOKUP($C343,'C'!$A$1:$N$1998,4,FALSE)),"")</f>
        <v>131</v>
      </c>
      <c r="E343" s="4">
        <f>IFERROR(VLOOKUP($C343,'C'!$A$1:$N$1998,2,FALSE),"")</f>
        <v>0.1</v>
      </c>
      <c r="F343" s="4" t="str">
        <f>IF(VLOOKUP($C343,'C'!$A$1:$N$1998,3,FALSE)=1,"&lt;","")</f>
        <v>&lt;</v>
      </c>
      <c r="G343" s="4">
        <f>VLOOKUP($C343,'C'!$A$1:$N$1998,5,FALSE)</f>
        <v>0.1</v>
      </c>
      <c r="H343" s="4" t="str">
        <f>IF(VLOOKUP($C343,'C'!$A$1:$N$1998,6,FALSE)=1,"&lt;","")</f>
        <v>&lt;</v>
      </c>
      <c r="I343" s="4">
        <f>VLOOKUP($C343,'C'!$A$1:$N$1998,8,FALSE)</f>
        <v>0.1</v>
      </c>
      <c r="J343" s="4" t="str">
        <f>IF(VLOOKUP($C343,'C'!$A$1:$N$1998,9,FALSE)=1,"&lt;","")</f>
        <v>&lt;</v>
      </c>
      <c r="M343" s="4">
        <f t="shared" si="168"/>
        <v>1E-4</v>
      </c>
      <c r="N343" s="4" t="str">
        <f t="shared" si="169"/>
        <v>&lt;</v>
      </c>
      <c r="O343" s="4">
        <f t="shared" si="175"/>
        <v>1E-4</v>
      </c>
      <c r="P343" s="4" t="str">
        <f t="shared" si="170"/>
        <v>&lt;</v>
      </c>
      <c r="Q343" s="4">
        <f t="shared" si="176"/>
        <v>1E-4</v>
      </c>
      <c r="R343" s="4" t="str">
        <f t="shared" si="171"/>
        <v>&lt;</v>
      </c>
      <c r="V343" s="4">
        <f>IFERROR(IF(VLOOKUP(B343,E!$B$1:$AK$300,4,FALSE)=0,1000000,VLOOKUP(B343,E!$B$1:$AK$300,4,FALSE)),1000000)</f>
        <v>1E-4</v>
      </c>
      <c r="Z343" s="17">
        <f t="shared" si="195"/>
        <v>0</v>
      </c>
      <c r="AA343" s="31">
        <f t="shared" si="183"/>
        <v>0</v>
      </c>
      <c r="AB343" s="31">
        <f t="shared" si="184"/>
        <v>0.1</v>
      </c>
      <c r="AC343" s="17">
        <f t="shared" si="196"/>
        <v>0</v>
      </c>
      <c r="AD343" s="31">
        <f t="shared" si="186"/>
        <v>0</v>
      </c>
      <c r="AE343" s="31">
        <f t="shared" si="187"/>
        <v>0.1</v>
      </c>
      <c r="AF343" s="17">
        <f t="shared" si="188"/>
        <v>0</v>
      </c>
      <c r="AG343" s="31">
        <f t="shared" si="189"/>
        <v>0</v>
      </c>
      <c r="AH343" s="31">
        <f t="shared" si="190"/>
        <v>0.1</v>
      </c>
      <c r="AI343" s="77">
        <v>0</v>
      </c>
      <c r="AJ343" s="77">
        <v>0</v>
      </c>
      <c r="AK343" s="77">
        <v>1</v>
      </c>
      <c r="AO343" s="4">
        <f t="shared" si="191"/>
        <v>1</v>
      </c>
      <c r="AQ343" s="4">
        <f t="shared" si="180"/>
        <v>1</v>
      </c>
      <c r="AS343" s="4">
        <f t="shared" si="181"/>
        <v>1</v>
      </c>
      <c r="AV343" s="4">
        <f t="shared" si="194"/>
        <v>6.9999999999999994E-5</v>
      </c>
      <c r="AX343" s="4">
        <f t="shared" si="192"/>
        <v>6.9999999999999994E-5</v>
      </c>
      <c r="AZ343" s="4">
        <f t="shared" si="193"/>
        <v>6.9999999999999994E-5</v>
      </c>
    </row>
    <row r="344" spans="1:52" x14ac:dyDescent="0.2">
      <c r="A344" s="4" t="s">
        <v>394</v>
      </c>
      <c r="B344" s="4">
        <v>3932</v>
      </c>
      <c r="C344" s="4" t="str">
        <f t="shared" si="140"/>
        <v>urn:immetingen:parameter:id:3932</v>
      </c>
      <c r="D344" s="4">
        <f>IFERROR(IF(VLOOKUP($C344,'C'!$A$1:$N$1998,4,FALSE)=0,IF(VLOOKUP($C344,'C'!$A$1:$N$1998,7,FALSE)=0,VLOOKUP($C344,'C'!$A$1:$N$1998,10,FALSE),VLOOKUP($C344,'C'!$A$1:$N$1998,7,FALSE)),VLOOKUP($C344,'C'!$A$1:$N$1998,4,FALSE)),"")</f>
        <v>131</v>
      </c>
      <c r="E344" s="4">
        <f>IFERROR(VLOOKUP($C344,'C'!$A$1:$N$1998,2,FALSE),"")</f>
        <v>0.1</v>
      </c>
      <c r="F344" s="4" t="str">
        <f>IF(VLOOKUP($C344,'C'!$A$1:$N$1998,3,FALSE)=1,"&lt;","")</f>
        <v>&lt;</v>
      </c>
      <c r="G344" s="4">
        <f>VLOOKUP($C344,'C'!$A$1:$N$1998,5,FALSE)</f>
        <v>0.1</v>
      </c>
      <c r="H344" s="4" t="str">
        <f>IF(VLOOKUP($C344,'C'!$A$1:$N$1998,6,FALSE)=1,"&lt;","")</f>
        <v>&lt;</v>
      </c>
      <c r="I344" s="4">
        <f>VLOOKUP($C344,'C'!$A$1:$N$1998,8,FALSE)</f>
        <v>0.1</v>
      </c>
      <c r="J344" s="4" t="str">
        <f>IF(VLOOKUP($C344,'C'!$A$1:$N$1998,9,FALSE)=1,"&lt;","")</f>
        <v>&lt;</v>
      </c>
      <c r="M344" s="4">
        <f t="shared" si="168"/>
        <v>1E-4</v>
      </c>
      <c r="N344" s="4" t="str">
        <f t="shared" si="169"/>
        <v>&lt;</v>
      </c>
      <c r="O344" s="4">
        <f t="shared" si="175"/>
        <v>1E-4</v>
      </c>
      <c r="P344" s="4" t="str">
        <f t="shared" si="170"/>
        <v>&lt;</v>
      </c>
      <c r="Q344" s="4">
        <f t="shared" si="176"/>
        <v>1E-4</v>
      </c>
      <c r="R344" s="4" t="str">
        <f t="shared" si="171"/>
        <v>&lt;</v>
      </c>
      <c r="V344" s="4">
        <f>IFERROR(IF(VLOOKUP(B344,E!$B$1:$AK$300,4,FALSE)=0,1000000,VLOOKUP(B344,E!$B$1:$AK$300,4,FALSE)),1000000)</f>
        <v>1E-4</v>
      </c>
      <c r="Z344" s="17">
        <f t="shared" si="195"/>
        <v>0</v>
      </c>
      <c r="AA344" s="31">
        <f t="shared" si="183"/>
        <v>0</v>
      </c>
      <c r="AB344" s="31">
        <f t="shared" si="184"/>
        <v>0.1</v>
      </c>
      <c r="AC344" s="17">
        <f t="shared" si="196"/>
        <v>0</v>
      </c>
      <c r="AD344" s="31">
        <f t="shared" si="186"/>
        <v>0</v>
      </c>
      <c r="AE344" s="31">
        <f t="shared" si="187"/>
        <v>0.1</v>
      </c>
      <c r="AF344" s="17">
        <f t="shared" si="188"/>
        <v>0</v>
      </c>
      <c r="AG344" s="31">
        <f t="shared" si="189"/>
        <v>0</v>
      </c>
      <c r="AH344" s="31">
        <f t="shared" si="190"/>
        <v>0.1</v>
      </c>
      <c r="AI344" s="77">
        <v>0</v>
      </c>
      <c r="AJ344" s="77">
        <v>0</v>
      </c>
      <c r="AK344" s="77">
        <v>1</v>
      </c>
      <c r="AO344" s="4">
        <f t="shared" si="191"/>
        <v>1</v>
      </c>
      <c r="AQ344" s="4">
        <f t="shared" si="180"/>
        <v>1</v>
      </c>
      <c r="AS344" s="4">
        <f t="shared" si="181"/>
        <v>1</v>
      </c>
      <c r="AV344" s="4">
        <f t="shared" si="194"/>
        <v>6.9999999999999994E-5</v>
      </c>
      <c r="AX344" s="4">
        <f t="shared" si="192"/>
        <v>6.9999999999999994E-5</v>
      </c>
      <c r="AZ344" s="4">
        <f t="shared" si="193"/>
        <v>6.9999999999999994E-5</v>
      </c>
    </row>
    <row r="345" spans="1:52" x14ac:dyDescent="0.2">
      <c r="A345" s="4" t="s">
        <v>395</v>
      </c>
      <c r="B345" s="4">
        <v>3931</v>
      </c>
      <c r="C345" s="4" t="str">
        <f t="shared" si="140"/>
        <v>urn:immetingen:parameter:id:3931</v>
      </c>
      <c r="D345" s="4">
        <f>IFERROR(IF(VLOOKUP($C345,'C'!$A$1:$N$1998,4,FALSE)=0,IF(VLOOKUP($C345,'C'!$A$1:$N$1998,7,FALSE)=0,VLOOKUP($C345,'C'!$A$1:$N$1998,10,FALSE),VLOOKUP($C345,'C'!$A$1:$N$1998,7,FALSE)),VLOOKUP($C345,'C'!$A$1:$N$1998,4,FALSE)),"")</f>
        <v>131</v>
      </c>
      <c r="E345" s="4">
        <f>IFERROR(VLOOKUP($C345,'C'!$A$1:$N$1998,2,FALSE),"")</f>
        <v>0.1</v>
      </c>
      <c r="F345" s="4" t="str">
        <f>IF(VLOOKUP($C345,'C'!$A$1:$N$1998,3,FALSE)=1,"&lt;","")</f>
        <v>&lt;</v>
      </c>
      <c r="G345" s="4">
        <f>VLOOKUP($C345,'C'!$A$1:$N$1998,5,FALSE)</f>
        <v>0.1</v>
      </c>
      <c r="H345" s="4" t="str">
        <f>IF(VLOOKUP($C345,'C'!$A$1:$N$1998,6,FALSE)=1,"&lt;","")</f>
        <v>&lt;</v>
      </c>
      <c r="I345" s="4">
        <f>VLOOKUP($C345,'C'!$A$1:$N$1998,8,FALSE)</f>
        <v>0.1</v>
      </c>
      <c r="J345" s="4" t="str">
        <f>IF(VLOOKUP($C345,'C'!$A$1:$N$1998,9,FALSE)=1,"&lt;","")</f>
        <v>&lt;</v>
      </c>
      <c r="M345" s="4">
        <f t="shared" si="168"/>
        <v>1E-4</v>
      </c>
      <c r="N345" s="4" t="str">
        <f t="shared" si="169"/>
        <v>&lt;</v>
      </c>
      <c r="O345" s="4">
        <f t="shared" si="175"/>
        <v>1E-4</v>
      </c>
      <c r="P345" s="4" t="str">
        <f t="shared" si="170"/>
        <v>&lt;</v>
      </c>
      <c r="Q345" s="4">
        <f t="shared" si="176"/>
        <v>1E-4</v>
      </c>
      <c r="R345" s="4" t="str">
        <f t="shared" si="171"/>
        <v>&lt;</v>
      </c>
      <c r="V345" s="4">
        <f>IFERROR(IF(VLOOKUP(B345,E!$B$1:$AK$300,4,FALSE)=0,1000000,VLOOKUP(B345,E!$B$1:$AK$300,4,FALSE)),1000000)</f>
        <v>1E-4</v>
      </c>
      <c r="Z345" s="17">
        <f t="shared" si="195"/>
        <v>0</v>
      </c>
      <c r="AA345" s="31">
        <f t="shared" si="183"/>
        <v>0</v>
      </c>
      <c r="AB345" s="31">
        <f t="shared" si="184"/>
        <v>0.1</v>
      </c>
      <c r="AC345" s="17">
        <f t="shared" si="196"/>
        <v>0</v>
      </c>
      <c r="AD345" s="31">
        <f t="shared" si="186"/>
        <v>0</v>
      </c>
      <c r="AE345" s="31">
        <f t="shared" si="187"/>
        <v>0.1</v>
      </c>
      <c r="AF345" s="17">
        <f t="shared" si="188"/>
        <v>0</v>
      </c>
      <c r="AG345" s="31">
        <f t="shared" si="189"/>
        <v>0</v>
      </c>
      <c r="AH345" s="31">
        <f t="shared" si="190"/>
        <v>0.1</v>
      </c>
      <c r="AI345" s="77">
        <v>0</v>
      </c>
      <c r="AJ345" s="77">
        <v>0</v>
      </c>
      <c r="AK345" s="77">
        <v>1</v>
      </c>
      <c r="AO345" s="4">
        <f t="shared" si="191"/>
        <v>1</v>
      </c>
      <c r="AQ345" s="4">
        <f t="shared" si="180"/>
        <v>1</v>
      </c>
      <c r="AS345" s="4">
        <f t="shared" si="181"/>
        <v>1</v>
      </c>
      <c r="AV345" s="4">
        <f t="shared" si="194"/>
        <v>6.9999999999999994E-5</v>
      </c>
      <c r="AX345" s="4">
        <f t="shared" si="192"/>
        <v>6.9999999999999994E-5</v>
      </c>
      <c r="AZ345" s="4">
        <f t="shared" si="193"/>
        <v>6.9999999999999994E-5</v>
      </c>
    </row>
    <row r="346" spans="1:52" x14ac:dyDescent="0.2">
      <c r="A346" s="4" t="s">
        <v>235</v>
      </c>
      <c r="B346" s="4">
        <v>4445</v>
      </c>
      <c r="C346" s="4" t="str">
        <f t="shared" si="140"/>
        <v>urn:immetingen:parameter:id:4445</v>
      </c>
      <c r="D346" s="4">
        <f>IFERROR(IF(VLOOKUP($C346,'C'!$A$1:$N$1998,4,FALSE)=0,IF(VLOOKUP($C346,'C'!$A$1:$N$1998,7,FALSE)=0,VLOOKUP($C346,'C'!$A$1:$N$1998,10,FALSE),VLOOKUP($C346,'C'!$A$1:$N$1998,7,FALSE)),VLOOKUP($C346,'C'!$A$1:$N$1998,4,FALSE)),"")</f>
        <v>131</v>
      </c>
      <c r="E346" s="4">
        <f>IFERROR(VLOOKUP($C346,'C'!$A$1:$N$1998,2,FALSE),"")</f>
        <v>0.1</v>
      </c>
      <c r="F346" s="4" t="str">
        <f>IF(VLOOKUP($C346,'C'!$A$1:$N$1998,3,FALSE)=1,"&lt;","")</f>
        <v>&lt;</v>
      </c>
      <c r="G346" s="4">
        <f>VLOOKUP($C346,'C'!$A$1:$N$1998,5,FALSE)</f>
        <v>0.1</v>
      </c>
      <c r="H346" s="4" t="str">
        <f>IF(VLOOKUP($C346,'C'!$A$1:$N$1998,6,FALSE)=1,"&lt;","")</f>
        <v>&lt;</v>
      </c>
      <c r="I346" s="4">
        <f>VLOOKUP($C346,'C'!$A$1:$N$1998,8,FALSE)</f>
        <v>0.1</v>
      </c>
      <c r="J346" s="4" t="str">
        <f>IF(VLOOKUP($C346,'C'!$A$1:$N$1998,9,FALSE)=1,"&lt;","")</f>
        <v>&lt;</v>
      </c>
      <c r="M346" s="4">
        <f t="shared" si="168"/>
        <v>1E-4</v>
      </c>
      <c r="N346" s="4" t="str">
        <f t="shared" si="169"/>
        <v>&lt;</v>
      </c>
      <c r="O346" s="4">
        <f t="shared" si="175"/>
        <v>1E-4</v>
      </c>
      <c r="P346" s="4" t="str">
        <f t="shared" si="170"/>
        <v>&lt;</v>
      </c>
      <c r="Q346" s="4">
        <f t="shared" si="176"/>
        <v>1E-4</v>
      </c>
      <c r="R346" s="4" t="str">
        <f t="shared" si="171"/>
        <v>&lt;</v>
      </c>
      <c r="V346" s="4">
        <f>IFERROR(IF(VLOOKUP(B346,E!$B$1:$AK$300,4,FALSE)=0,1000000,VLOOKUP(B346,E!$B$1:$AK$300,4,FALSE)),1000000)</f>
        <v>1E-4</v>
      </c>
      <c r="Z346" s="17">
        <f t="shared" si="195"/>
        <v>0</v>
      </c>
      <c r="AA346" s="31">
        <f t="shared" si="183"/>
        <v>0</v>
      </c>
      <c r="AB346" s="31">
        <f t="shared" si="184"/>
        <v>0.1</v>
      </c>
      <c r="AC346" s="17">
        <f t="shared" si="196"/>
        <v>0</v>
      </c>
      <c r="AD346" s="31">
        <f t="shared" si="186"/>
        <v>0</v>
      </c>
      <c r="AE346" s="31">
        <f t="shared" si="187"/>
        <v>0.1</v>
      </c>
      <c r="AF346" s="17">
        <f t="shared" si="188"/>
        <v>0</v>
      </c>
      <c r="AG346" s="31">
        <f t="shared" si="189"/>
        <v>0</v>
      </c>
      <c r="AH346" s="31">
        <f t="shared" si="190"/>
        <v>0.1</v>
      </c>
      <c r="AI346" s="77">
        <v>0</v>
      </c>
      <c r="AJ346" s="77">
        <v>0</v>
      </c>
      <c r="AK346" s="77">
        <v>1</v>
      </c>
      <c r="AO346" s="4">
        <f t="shared" si="191"/>
        <v>1</v>
      </c>
      <c r="AQ346" s="4">
        <f t="shared" si="180"/>
        <v>1</v>
      </c>
      <c r="AS346" s="4">
        <f t="shared" si="181"/>
        <v>1</v>
      </c>
      <c r="AV346" s="4">
        <f t="shared" si="194"/>
        <v>6.9999999999999994E-5</v>
      </c>
      <c r="AX346" s="4">
        <f t="shared" si="192"/>
        <v>6.9999999999999994E-5</v>
      </c>
      <c r="AZ346" s="4">
        <f t="shared" si="193"/>
        <v>6.9999999999999994E-5</v>
      </c>
    </row>
    <row r="347" spans="1:52" x14ac:dyDescent="0.2">
      <c r="A347" s="4" t="s">
        <v>236</v>
      </c>
      <c r="B347" s="4">
        <v>5518</v>
      </c>
      <c r="C347" s="4" t="str">
        <f t="shared" si="140"/>
        <v>urn:immetingen:parameter:id:5518</v>
      </c>
      <c r="D347" s="4">
        <f>IFERROR(IF(VLOOKUP($C347,'C'!$A$1:$N$1998,4,FALSE)=0,IF(VLOOKUP($C347,'C'!$A$1:$N$1998,7,FALSE)=0,VLOOKUP($C347,'C'!$A$1:$N$1998,10,FALSE),VLOOKUP($C347,'C'!$A$1:$N$1998,7,FALSE)),VLOOKUP($C347,'C'!$A$1:$N$1998,4,FALSE)),"")</f>
        <v>131</v>
      </c>
      <c r="E347" s="4">
        <f>IFERROR(VLOOKUP($C347,'C'!$A$1:$N$1998,2,FALSE),"")</f>
        <v>0.1</v>
      </c>
      <c r="F347" s="4" t="str">
        <f>IF(VLOOKUP($C347,'C'!$A$1:$N$1998,3,FALSE)=1,"&lt;","")</f>
        <v>&lt;</v>
      </c>
      <c r="G347" s="4">
        <f>VLOOKUP($C347,'C'!$A$1:$N$1998,5,FALSE)</f>
        <v>0.1</v>
      </c>
      <c r="H347" s="4" t="str">
        <f>IF(VLOOKUP($C347,'C'!$A$1:$N$1998,6,FALSE)=1,"&lt;","")</f>
        <v>&lt;</v>
      </c>
      <c r="I347" s="4">
        <f>VLOOKUP($C347,'C'!$A$1:$N$1998,8,FALSE)</f>
        <v>0.1</v>
      </c>
      <c r="J347" s="4" t="str">
        <f>IF(VLOOKUP($C347,'C'!$A$1:$N$1998,9,FALSE)=1,"&lt;","")</f>
        <v>&lt;</v>
      </c>
      <c r="M347" s="4">
        <f t="shared" si="168"/>
        <v>1E-4</v>
      </c>
      <c r="N347" s="4" t="str">
        <f t="shared" si="169"/>
        <v>&lt;</v>
      </c>
      <c r="O347" s="4">
        <f t="shared" si="175"/>
        <v>1E-4</v>
      </c>
      <c r="P347" s="4" t="str">
        <f t="shared" si="170"/>
        <v>&lt;</v>
      </c>
      <c r="Q347" s="4">
        <f t="shared" si="176"/>
        <v>1E-4</v>
      </c>
      <c r="R347" s="4" t="str">
        <f t="shared" si="171"/>
        <v>&lt;</v>
      </c>
      <c r="V347" s="4">
        <f>IFERROR(IF(VLOOKUP(B347,E!$B$1:$AK$300,4,FALSE)=0,1000000,VLOOKUP(B347,E!$B$1:$AK$300,4,FALSE)),1000000)</f>
        <v>1E-4</v>
      </c>
      <c r="Z347" s="17">
        <f t="shared" si="195"/>
        <v>0</v>
      </c>
      <c r="AA347" s="31">
        <f t="shared" si="183"/>
        <v>0</v>
      </c>
      <c r="AB347" s="31">
        <f t="shared" si="184"/>
        <v>0.1</v>
      </c>
      <c r="AC347" s="17">
        <f t="shared" si="196"/>
        <v>0</v>
      </c>
      <c r="AD347" s="31">
        <f t="shared" si="186"/>
        <v>0</v>
      </c>
      <c r="AE347" s="31">
        <f t="shared" si="187"/>
        <v>0.1</v>
      </c>
      <c r="AF347" s="17">
        <f t="shared" si="188"/>
        <v>0</v>
      </c>
      <c r="AG347" s="31">
        <f t="shared" si="189"/>
        <v>0</v>
      </c>
      <c r="AH347" s="31">
        <f t="shared" si="190"/>
        <v>0.1</v>
      </c>
      <c r="AI347" s="77">
        <v>0</v>
      </c>
      <c r="AJ347" s="77">
        <v>0</v>
      </c>
      <c r="AK347" s="77">
        <v>1</v>
      </c>
      <c r="AO347" s="4">
        <f t="shared" si="191"/>
        <v>1</v>
      </c>
      <c r="AQ347" s="4">
        <f t="shared" si="180"/>
        <v>1</v>
      </c>
      <c r="AS347" s="4">
        <f t="shared" si="181"/>
        <v>1</v>
      </c>
      <c r="AV347" s="4">
        <f t="shared" si="194"/>
        <v>6.9999999999999994E-5</v>
      </c>
      <c r="AX347" s="4">
        <f t="shared" si="192"/>
        <v>6.9999999999999994E-5</v>
      </c>
      <c r="AZ347" s="4">
        <f t="shared" si="193"/>
        <v>6.9999999999999994E-5</v>
      </c>
    </row>
    <row r="348" spans="1:52" x14ac:dyDescent="0.2">
      <c r="A348" s="4" t="s">
        <v>240</v>
      </c>
      <c r="B348" s="4">
        <v>6040</v>
      </c>
      <c r="C348" s="4" t="str">
        <f t="shared" si="140"/>
        <v>urn:immetingen:parameter:id:6040</v>
      </c>
      <c r="D348" s="4">
        <f>IFERROR(IF(VLOOKUP($C348,'C'!$A$1:$N$1998,4,FALSE)=0,IF(VLOOKUP($C348,'C'!$A$1:$N$1998,7,FALSE)=0,VLOOKUP($C348,'C'!$A$1:$N$1998,10,FALSE),VLOOKUP($C348,'C'!$A$1:$N$1998,7,FALSE)),VLOOKUP($C348,'C'!$A$1:$N$1998,4,FALSE)),"")</f>
        <v>131</v>
      </c>
      <c r="E348" s="17">
        <f>IFERROR(IF(AND(E346=0.1,E347=0.1,F346="&lt;",F347="&lt;"),0.1,IF(AND(F346="&lt;",F347="&lt;"),SUM(E346:E347),IF(AND(F346="",F347=""),SUM(E346:E347),IF(AND(F346="&lt;",F347=""),(0.7*E346)+E347,IF(AND(F346="",F347="&lt;"),E346+(0.7*E347),(0.7*E346)+(0.7*E347)))))),"")</f>
        <v>0.1</v>
      </c>
      <c r="F348" s="17" t="str">
        <f>IF(AND(F346="&lt;",F347="&lt;"),"&lt;","")</f>
        <v>&lt;</v>
      </c>
      <c r="G348" s="17">
        <f>IF(AND(G346=0.1,G347=0.1,H346="&lt;",H347="&lt;"),0.1,IF(AND(H346="&lt;",H347="&lt;"),SUM(G346:G347),IF(AND(H346="",H347=""),SUM(G346:G347),IF(AND(H346="&lt;",H347=""),(0.7*G346)+G347,IF(AND(H346="",H347="&lt;"),G346+(0.7*G347),(0.7*G346)+(0.7*G347))))))</f>
        <v>0.1</v>
      </c>
      <c r="H348" s="17" t="str">
        <f>IF(AND(H346="&lt;",H347="&lt;"),"&lt;","")</f>
        <v>&lt;</v>
      </c>
      <c r="I348" s="17">
        <f>IF(AND(I346=0.1,I347=0.1,J346="&lt;",J347="&lt;"),0.1,IF(AND(J346="&lt;",J347="&lt;"),SUM(I346:I347),IF(AND(J346="",J347=""),SUM(I346:I347),IF(AND(J346="&lt;",J347=""),(0.7*I346)+I347,IF(AND(J346="",J347="&lt;"),I346+(0.7*I347),(0.7*I346)+(0.7*I347))))))</f>
        <v>0.1</v>
      </c>
      <c r="J348" s="17" t="str">
        <f>IF(AND(J346="&lt;",J347="&lt;"),"&lt;","")</f>
        <v>&lt;</v>
      </c>
      <c r="K348" s="17"/>
      <c r="L348" s="17"/>
      <c r="M348" s="4">
        <f t="shared" si="168"/>
        <v>1E-4</v>
      </c>
      <c r="N348" s="4" t="str">
        <f t="shared" si="169"/>
        <v>&lt;</v>
      </c>
      <c r="O348" s="4">
        <f t="shared" si="175"/>
        <v>1E-4</v>
      </c>
      <c r="P348" s="4" t="str">
        <f t="shared" si="170"/>
        <v>&lt;</v>
      </c>
      <c r="Q348" s="4">
        <f t="shared" si="176"/>
        <v>1E-4</v>
      </c>
      <c r="R348" s="4" t="str">
        <f t="shared" si="171"/>
        <v>&lt;</v>
      </c>
      <c r="V348" s="4">
        <v>2.0000000000000001E-4</v>
      </c>
      <c r="Z348" s="17">
        <f>IF(F348="&lt;",0.7*E348,E348)</f>
        <v>6.9999999999999993E-2</v>
      </c>
      <c r="AC348" s="17">
        <f>IF(H348="&lt;",0.7*G348,G348)</f>
        <v>6.9999999999999993E-2</v>
      </c>
      <c r="AF348" s="17">
        <f>IF(J348="&lt;",0.7*I348,I348)</f>
        <v>6.9999999999999993E-2</v>
      </c>
      <c r="AI348" s="77">
        <v>0</v>
      </c>
      <c r="AJ348" s="77">
        <v>0</v>
      </c>
      <c r="AK348" s="77">
        <v>1</v>
      </c>
      <c r="AO348" s="4">
        <f t="shared" si="191"/>
        <v>1</v>
      </c>
      <c r="AQ348" s="4">
        <f t="shared" si="180"/>
        <v>1</v>
      </c>
      <c r="AS348" s="4">
        <f t="shared" si="181"/>
        <v>1</v>
      </c>
      <c r="AV348" s="4">
        <f t="shared" si="194"/>
        <v>6.9999999999999994E-5</v>
      </c>
      <c r="AX348" s="4">
        <f t="shared" si="192"/>
        <v>6.9999999999999994E-5</v>
      </c>
      <c r="AZ348" s="4">
        <f t="shared" si="193"/>
        <v>6.9999999999999994E-5</v>
      </c>
    </row>
    <row r="349" spans="1:52" x14ac:dyDescent="0.2">
      <c r="A349" s="4" t="s">
        <v>396</v>
      </c>
      <c r="B349" s="4">
        <v>3898</v>
      </c>
      <c r="C349" s="4" t="str">
        <f t="shared" si="140"/>
        <v>urn:immetingen:parameter:id:3898</v>
      </c>
      <c r="D349" s="4">
        <f>IFERROR(IF(VLOOKUP($C349,'C'!$A$1:$N$1998,4,FALSE)=0,IF(VLOOKUP($C349,'C'!$A$1:$N$1998,7,FALSE)=0,VLOOKUP($C349,'C'!$A$1:$N$1998,10,FALSE),VLOOKUP($C349,'C'!$A$1:$N$1998,7,FALSE)),VLOOKUP($C349,'C'!$A$1:$N$1998,4,FALSE)),"")</f>
        <v>131</v>
      </c>
      <c r="E349" s="4">
        <f>IFERROR(VLOOKUP($C349,'C'!$A$1:$N$1998,2,FALSE),"")</f>
        <v>0.1</v>
      </c>
      <c r="F349" s="4" t="str">
        <f>IFERROR(IF(VLOOKUP($C349,'C'!$A$1:$N$1998,3,FALSE)=1,"&lt;",""),"")</f>
        <v>&lt;</v>
      </c>
      <c r="G349" s="4">
        <f>IFERROR(VLOOKUP($C349,'C'!$A$1:$N$1998,5,FALSE),"")</f>
        <v>0.1</v>
      </c>
      <c r="H349" s="4" t="str">
        <f>IFERROR(IF(VLOOKUP($C349,'C'!$A$1:$N$1998,6,FALSE)=1,"&lt;",""),"")</f>
        <v>&lt;</v>
      </c>
      <c r="I349" s="4">
        <f>IFERROR(VLOOKUP($C349,'C'!$A$1:$N$1998,8,FALSE),"")</f>
        <v>0.1</v>
      </c>
      <c r="J349" s="4" t="str">
        <f>IFERROR(IF(VLOOKUP($C349,'C'!$A$1:$N$1998,9,FALSE)=1,"&lt;",""),"")</f>
        <v>&lt;</v>
      </c>
      <c r="M349" s="4">
        <f t="shared" si="168"/>
        <v>1E-4</v>
      </c>
      <c r="N349" s="4" t="str">
        <f t="shared" si="169"/>
        <v>&lt;</v>
      </c>
      <c r="O349" s="4">
        <f t="shared" si="175"/>
        <v>1E-4</v>
      </c>
      <c r="P349" s="4" t="str">
        <f t="shared" si="170"/>
        <v>&lt;</v>
      </c>
      <c r="Q349" s="4">
        <f t="shared" si="176"/>
        <v>1E-4</v>
      </c>
      <c r="R349" s="4" t="str">
        <f t="shared" si="171"/>
        <v>&lt;</v>
      </c>
      <c r="V349" s="4">
        <f>IFERROR(IF(VLOOKUP(B349,E!$B$1:$AK$300,4,FALSE)=0,1000000,VLOOKUP(B349,E!$B$1:$AK$300,4,FALSE)),1000000)</f>
        <v>1E-4</v>
      </c>
      <c r="Z349" s="17">
        <f>IF(M349="","",IF(AND(N349="&lt;",M349&lt;=$V349),0,(IF(M349="&lt;",0.7*M349,M349))))</f>
        <v>0</v>
      </c>
      <c r="AA349" s="31">
        <f t="shared" si="183"/>
        <v>0</v>
      </c>
      <c r="AB349" s="31">
        <f t="shared" si="184"/>
        <v>0.1</v>
      </c>
      <c r="AC349" s="17">
        <f t="shared" si="196"/>
        <v>0</v>
      </c>
      <c r="AD349" s="31">
        <f t="shared" si="186"/>
        <v>0</v>
      </c>
      <c r="AE349" s="31">
        <f t="shared" si="187"/>
        <v>0.1</v>
      </c>
      <c r="AF349" s="17">
        <f t="shared" si="188"/>
        <v>0</v>
      </c>
      <c r="AG349" s="31">
        <f t="shared" si="189"/>
        <v>0</v>
      </c>
      <c r="AH349" s="31">
        <f t="shared" si="190"/>
        <v>0.1</v>
      </c>
      <c r="AI349" s="77">
        <v>0</v>
      </c>
      <c r="AJ349" s="77">
        <v>0</v>
      </c>
      <c r="AK349" s="77">
        <v>1</v>
      </c>
      <c r="AO349" s="4">
        <f t="shared" si="191"/>
        <v>1</v>
      </c>
      <c r="AQ349" s="4">
        <f t="shared" si="180"/>
        <v>1</v>
      </c>
      <c r="AS349" s="4">
        <f t="shared" si="181"/>
        <v>1</v>
      </c>
      <c r="AV349" s="4">
        <f t="shared" si="194"/>
        <v>6.9999999999999994E-5</v>
      </c>
      <c r="AX349" s="4">
        <f t="shared" si="192"/>
        <v>6.9999999999999994E-5</v>
      </c>
      <c r="AZ349" s="4">
        <f t="shared" si="193"/>
        <v>6.9999999999999994E-5</v>
      </c>
    </row>
    <row r="350" spans="1:52" x14ac:dyDescent="0.2">
      <c r="A350" s="4" t="s">
        <v>397</v>
      </c>
      <c r="B350" s="4">
        <v>5996</v>
      </c>
      <c r="C350" s="4" t="str">
        <f t="shared" si="140"/>
        <v>urn:immetingen:parameter:id:5996</v>
      </c>
      <c r="D350" s="4">
        <f>IFERROR(IF(VLOOKUP($C350,'C'!$A$1:$N$1998,4,FALSE)=0,IF(VLOOKUP($C350,'C'!$A$1:$N$1998,7,FALSE)=0,VLOOKUP($C350,'C'!$A$1:$N$1998,10,FALSE),VLOOKUP($C350,'C'!$A$1:$N$1998,7,FALSE)),VLOOKUP($C350,'C'!$A$1:$N$1998,4,FALSE)),"")</f>
        <v>131</v>
      </c>
      <c r="E350" s="4">
        <f>IFERROR(VLOOKUP($C350,'C'!$A$1:$N$1998,2,FALSE),"")</f>
        <v>0.1</v>
      </c>
      <c r="F350" s="4" t="str">
        <f>IFERROR(IF(VLOOKUP($C350,'C'!$A$1:$N$1998,3,FALSE)=1,"&lt;",""),"")</f>
        <v>&lt;</v>
      </c>
      <c r="G350" s="4">
        <f>IFERROR(VLOOKUP($C350,'C'!$A$1:$N$1998,5,FALSE),"")</f>
        <v>0.1</v>
      </c>
      <c r="H350" s="4" t="str">
        <f>IFERROR(IF(VLOOKUP($C350,'C'!$A$1:$N$1998,6,FALSE)=1,"&lt;",""),"")</f>
        <v>&lt;</v>
      </c>
      <c r="I350" s="4">
        <f>IFERROR(VLOOKUP($C350,'C'!$A$1:$N$1998,8,FALSE),"")</f>
        <v>0.1</v>
      </c>
      <c r="J350" s="4" t="str">
        <f>IFERROR(IF(VLOOKUP($C350,'C'!$A$1:$N$1998,9,FALSE)=1,"&lt;",""),"")</f>
        <v>&lt;</v>
      </c>
      <c r="M350" s="4">
        <f t="shared" ref="M350:Q368" si="197">IF(E350="","",IF($D350=131,E350/1000,E350))</f>
        <v>1E-4</v>
      </c>
      <c r="N350" s="4" t="str">
        <f t="shared" si="169"/>
        <v>&lt;</v>
      </c>
      <c r="O350" s="4">
        <f t="shared" si="175"/>
        <v>1E-4</v>
      </c>
      <c r="P350" s="4" t="str">
        <f t="shared" si="170"/>
        <v>&lt;</v>
      </c>
      <c r="Q350" s="4">
        <f t="shared" si="176"/>
        <v>1E-4</v>
      </c>
      <c r="R350" s="4" t="str">
        <f t="shared" si="171"/>
        <v>&lt;</v>
      </c>
      <c r="V350" s="4">
        <f>IFERROR(IF(VLOOKUP(B350,E!$B$1:$AK$300,4,FALSE)=0,1000000,VLOOKUP(B350,E!$B$1:$AK$300,4,FALSE)),1000000)</f>
        <v>1E-4</v>
      </c>
      <c r="Z350" s="17">
        <f t="shared" ref="Z350:Z359" si="198">IF(M350="","",IF(AND(N350="&lt;",M350&lt;=$V350),0,(IF(M350="&lt;",0.7*M350,M350))))</f>
        <v>0</v>
      </c>
      <c r="AA350" s="31">
        <f t="shared" si="183"/>
        <v>0</v>
      </c>
      <c r="AB350" s="31">
        <f t="shared" si="184"/>
        <v>0.1</v>
      </c>
      <c r="AC350" s="17">
        <f t="shared" si="196"/>
        <v>0</v>
      </c>
      <c r="AD350" s="31">
        <f t="shared" si="186"/>
        <v>0</v>
      </c>
      <c r="AE350" s="31">
        <f t="shared" si="187"/>
        <v>0.1</v>
      </c>
      <c r="AF350" s="17">
        <f t="shared" si="188"/>
        <v>0</v>
      </c>
      <c r="AG350" s="31">
        <f t="shared" si="189"/>
        <v>0</v>
      </c>
      <c r="AH350" s="31">
        <f t="shared" si="190"/>
        <v>0.1</v>
      </c>
      <c r="AI350" s="77">
        <v>0</v>
      </c>
      <c r="AJ350" s="77">
        <v>0</v>
      </c>
      <c r="AK350" s="77">
        <v>1</v>
      </c>
      <c r="AO350" s="4">
        <f t="shared" si="191"/>
        <v>1</v>
      </c>
      <c r="AQ350" s="4">
        <f t="shared" si="180"/>
        <v>1</v>
      </c>
      <c r="AS350" s="4">
        <f t="shared" si="181"/>
        <v>1</v>
      </c>
      <c r="AV350" s="4">
        <f t="shared" si="194"/>
        <v>6.9999999999999994E-5</v>
      </c>
      <c r="AX350" s="4">
        <f t="shared" si="192"/>
        <v>6.9999999999999994E-5</v>
      </c>
      <c r="AZ350" s="4">
        <f t="shared" si="193"/>
        <v>6.9999999999999994E-5</v>
      </c>
    </row>
    <row r="351" spans="1:52" x14ac:dyDescent="0.2">
      <c r="A351" s="4" t="s">
        <v>398</v>
      </c>
      <c r="B351" s="4">
        <v>5517</v>
      </c>
      <c r="C351" s="4" t="str">
        <f t="shared" si="140"/>
        <v>urn:immetingen:parameter:id:5517</v>
      </c>
      <c r="D351" s="4">
        <f>IFERROR(IF(VLOOKUP($C351,'C'!$A$1:$N$1998,4,FALSE)=0,IF(VLOOKUP($C351,'C'!$A$1:$N$1998,7,FALSE)=0,VLOOKUP($C351,'C'!$A$1:$N$1998,10,FALSE),VLOOKUP($C351,'C'!$A$1:$N$1998,7,FALSE)),VLOOKUP($C351,'C'!$A$1:$N$1998,4,FALSE)),"")</f>
        <v>131</v>
      </c>
      <c r="E351" s="4">
        <f>IFERROR(VLOOKUP($C351,'C'!$A$1:$N$1998,2,FALSE),"")</f>
        <v>0.1</v>
      </c>
      <c r="F351" s="4" t="str">
        <f>IFERROR(IF(VLOOKUP($C351,'C'!$A$1:$N$1998,3,FALSE)=1,"&lt;",""),"")</f>
        <v>&lt;</v>
      </c>
      <c r="G351" s="4">
        <f>IFERROR(VLOOKUP($C351,'C'!$A$1:$N$1998,5,FALSE),"")</f>
        <v>0.1</v>
      </c>
      <c r="H351" s="4" t="str">
        <f>IFERROR(IF(VLOOKUP($C351,'C'!$A$1:$N$1998,6,FALSE)=1,"&lt;",""),"")</f>
        <v>&lt;</v>
      </c>
      <c r="I351" s="4">
        <f>IFERROR(VLOOKUP($C351,'C'!$A$1:$N$1998,8,FALSE),"")</f>
        <v>0.1</v>
      </c>
      <c r="J351" s="4" t="str">
        <f>IFERROR(IF(VLOOKUP($C351,'C'!$A$1:$N$1998,9,FALSE)=1,"&lt;",""),"")</f>
        <v>&lt;</v>
      </c>
      <c r="M351" s="4">
        <f t="shared" si="197"/>
        <v>1E-4</v>
      </c>
      <c r="N351" s="4" t="str">
        <f t="shared" ref="N351:R368" si="199">IF(F351="","",F351)</f>
        <v>&lt;</v>
      </c>
      <c r="O351" s="4">
        <f t="shared" si="175"/>
        <v>1E-4</v>
      </c>
      <c r="P351" s="4" t="str">
        <f t="shared" ref="P351:P361" si="200">IF(H351="","",H351)</f>
        <v>&lt;</v>
      </c>
      <c r="Q351" s="4">
        <f t="shared" si="176"/>
        <v>1E-4</v>
      </c>
      <c r="R351" s="4" t="str">
        <f t="shared" ref="R351:R361" si="201">IF(J351="","",J351)</f>
        <v>&lt;</v>
      </c>
      <c r="V351" s="4">
        <f>IFERROR(IF(VLOOKUP(B351,E!$B$1:$AK$300,4,FALSE)=0,1000000,VLOOKUP(B351,E!$B$1:$AK$300,4,FALSE)),1000000)</f>
        <v>1E-4</v>
      </c>
      <c r="Z351" s="17">
        <f t="shared" si="198"/>
        <v>0</v>
      </c>
      <c r="AA351" s="31">
        <f t="shared" si="183"/>
        <v>0</v>
      </c>
      <c r="AB351" s="31">
        <f t="shared" si="184"/>
        <v>0.1</v>
      </c>
      <c r="AC351" s="17">
        <f t="shared" si="196"/>
        <v>0</v>
      </c>
      <c r="AD351" s="31">
        <f t="shared" si="186"/>
        <v>0</v>
      </c>
      <c r="AE351" s="31">
        <f t="shared" si="187"/>
        <v>0.1</v>
      </c>
      <c r="AF351" s="17">
        <f t="shared" si="188"/>
        <v>0</v>
      </c>
      <c r="AG351" s="31">
        <f t="shared" si="189"/>
        <v>0</v>
      </c>
      <c r="AH351" s="31">
        <f t="shared" si="190"/>
        <v>0.1</v>
      </c>
      <c r="AI351" s="77">
        <v>0</v>
      </c>
      <c r="AJ351" s="77">
        <v>0</v>
      </c>
      <c r="AK351" s="77">
        <v>1</v>
      </c>
      <c r="AO351" s="4">
        <f t="shared" si="191"/>
        <v>1</v>
      </c>
      <c r="AQ351" s="4">
        <f t="shared" si="180"/>
        <v>1</v>
      </c>
      <c r="AS351" s="4">
        <f t="shared" si="181"/>
        <v>1</v>
      </c>
      <c r="AV351" s="4">
        <f t="shared" si="194"/>
        <v>6.9999999999999994E-5</v>
      </c>
      <c r="AX351" s="4">
        <f t="shared" si="192"/>
        <v>6.9999999999999994E-5</v>
      </c>
      <c r="AZ351" s="4">
        <f t="shared" si="193"/>
        <v>6.9999999999999994E-5</v>
      </c>
    </row>
    <row r="352" spans="1:52" x14ac:dyDescent="0.2">
      <c r="A352" s="4" t="s">
        <v>399</v>
      </c>
      <c r="B352" s="4">
        <v>5830</v>
      </c>
      <c r="C352" s="4" t="str">
        <f t="shared" si="140"/>
        <v>urn:immetingen:parameter:id:5830</v>
      </c>
      <c r="D352" s="4">
        <f>IFERROR(IF(VLOOKUP($C352,'C'!$A$1:$N$1998,4,FALSE)=0,IF(VLOOKUP($C352,'C'!$A$1:$N$1998,7,FALSE)=0,VLOOKUP($C352,'C'!$A$1:$N$1998,10,FALSE),VLOOKUP($C352,'C'!$A$1:$N$1998,7,FALSE)),VLOOKUP($C352,'C'!$A$1:$N$1998,4,FALSE)),"")</f>
        <v>131</v>
      </c>
      <c r="E352" s="4">
        <f>IFERROR(VLOOKUP($C352,'C'!$A$1:$N$1998,2,FALSE),"")</f>
        <v>0.1</v>
      </c>
      <c r="F352" s="4" t="str">
        <f>IFERROR(IF(VLOOKUP($C352,'C'!$A$1:$N$1998,3,FALSE)=1,"&lt;",""),"")</f>
        <v>&lt;</v>
      </c>
      <c r="G352" s="4">
        <f>IFERROR(VLOOKUP($C352,'C'!$A$1:$N$1998,5,FALSE),"")</f>
        <v>0.1</v>
      </c>
      <c r="H352" s="4" t="str">
        <f>IFERROR(IF(VLOOKUP($C352,'C'!$A$1:$N$1998,6,FALSE)=1,"&lt;",""),"")</f>
        <v>&lt;</v>
      </c>
      <c r="I352" s="4">
        <f>IFERROR(VLOOKUP($C352,'C'!$A$1:$N$1998,8,FALSE),"")</f>
        <v>0.1</v>
      </c>
      <c r="J352" s="4" t="str">
        <f>IFERROR(IF(VLOOKUP($C352,'C'!$A$1:$N$1998,9,FALSE)=1,"&lt;",""),"")</f>
        <v>&lt;</v>
      </c>
      <c r="M352" s="4">
        <f t="shared" si="197"/>
        <v>1E-4</v>
      </c>
      <c r="N352" s="4" t="str">
        <f t="shared" si="199"/>
        <v>&lt;</v>
      </c>
      <c r="O352" s="4">
        <f t="shared" si="175"/>
        <v>1E-4</v>
      </c>
      <c r="P352" s="4" t="str">
        <f t="shared" si="200"/>
        <v>&lt;</v>
      </c>
      <c r="Q352" s="4">
        <f t="shared" si="176"/>
        <v>1E-4</v>
      </c>
      <c r="R352" s="4" t="str">
        <f t="shared" si="201"/>
        <v>&lt;</v>
      </c>
      <c r="V352" s="4">
        <f>IFERROR(IF(VLOOKUP(B352,E!$B$1:$AK$300,4,FALSE)=0,1000000,VLOOKUP(B352,E!$B$1:$AK$300,4,FALSE)),1000000)</f>
        <v>1E-4</v>
      </c>
      <c r="Z352" s="17">
        <f t="shared" si="198"/>
        <v>0</v>
      </c>
      <c r="AA352" s="31">
        <f t="shared" si="183"/>
        <v>0</v>
      </c>
      <c r="AB352" s="31">
        <f t="shared" si="184"/>
        <v>0.1</v>
      </c>
      <c r="AC352" s="17">
        <f t="shared" si="196"/>
        <v>0</v>
      </c>
      <c r="AD352" s="31">
        <f t="shared" si="186"/>
        <v>0</v>
      </c>
      <c r="AE352" s="31">
        <f t="shared" si="187"/>
        <v>0.1</v>
      </c>
      <c r="AF352" s="17">
        <f t="shared" si="188"/>
        <v>0</v>
      </c>
      <c r="AG352" s="31">
        <f t="shared" si="189"/>
        <v>0</v>
      </c>
      <c r="AH352" s="31">
        <f t="shared" si="190"/>
        <v>0.1</v>
      </c>
      <c r="AI352" s="77">
        <v>0</v>
      </c>
      <c r="AJ352" s="77">
        <v>0</v>
      </c>
      <c r="AK352" s="77">
        <v>1</v>
      </c>
      <c r="AO352" s="4">
        <f t="shared" si="191"/>
        <v>1</v>
      </c>
      <c r="AQ352" s="4">
        <f t="shared" si="180"/>
        <v>1</v>
      </c>
      <c r="AS352" s="4">
        <f t="shared" si="181"/>
        <v>1</v>
      </c>
      <c r="AV352" s="4">
        <f t="shared" si="194"/>
        <v>6.9999999999999994E-5</v>
      </c>
      <c r="AX352" s="4">
        <f t="shared" si="192"/>
        <v>6.9999999999999994E-5</v>
      </c>
      <c r="AZ352" s="4">
        <f t="shared" si="193"/>
        <v>6.9999999999999994E-5</v>
      </c>
    </row>
    <row r="353" spans="1:52" x14ac:dyDescent="0.2">
      <c r="A353" s="4" t="s">
        <v>400</v>
      </c>
      <c r="B353" s="4">
        <v>5831</v>
      </c>
      <c r="C353" s="4" t="str">
        <f t="shared" si="140"/>
        <v>urn:immetingen:parameter:id:5831</v>
      </c>
      <c r="D353" s="4" t="str">
        <f>IFERROR(IF(VLOOKUP($C353,'C'!$A$1:$N$1998,4,FALSE)=0,IF(VLOOKUP($C353,'C'!$A$1:$N$1998,7,FALSE)=0,VLOOKUP($C353,'C'!$A$1:$N$1998,10,FALSE),VLOOKUP($C353,'C'!$A$1:$N$1998,7,FALSE)),VLOOKUP($C353,'C'!$A$1:$N$1998,4,FALSE)),"")</f>
        <v/>
      </c>
      <c r="E353" s="4" t="str">
        <f>IFERROR(VLOOKUP($C353,'C'!$A$1:$N$1998,2,FALSE),"")</f>
        <v/>
      </c>
      <c r="F353" s="4" t="str">
        <f>IFERROR(IF(VLOOKUP($C353,'C'!$A$1:$N$1998,3,FALSE)=1,"&lt;",""),"")</f>
        <v/>
      </c>
      <c r="G353" s="4" t="str">
        <f>IFERROR(VLOOKUP($C353,'C'!$A$1:$N$1998,5,FALSE),"")</f>
        <v/>
      </c>
      <c r="H353" s="4" t="str">
        <f>IFERROR(IF(VLOOKUP($C353,'C'!$A$1:$N$1998,6,FALSE)=1,"&lt;",""),"")</f>
        <v/>
      </c>
      <c r="I353" s="4" t="str">
        <f>IFERROR(VLOOKUP($C353,'C'!$A$1:$N$1998,8,FALSE),"")</f>
        <v/>
      </c>
      <c r="J353" s="4" t="str">
        <f>IFERROR(IF(VLOOKUP($C353,'C'!$A$1:$N$1998,9,FALSE)=1,"&lt;",""),"")</f>
        <v/>
      </c>
      <c r="M353" s="4" t="str">
        <f t="shared" si="197"/>
        <v/>
      </c>
      <c r="N353" s="4" t="str">
        <f t="shared" si="199"/>
        <v/>
      </c>
      <c r="O353" s="4" t="str">
        <f t="shared" si="175"/>
        <v/>
      </c>
      <c r="P353" s="4" t="str">
        <f t="shared" si="200"/>
        <v/>
      </c>
      <c r="Q353" s="4" t="str">
        <f t="shared" si="176"/>
        <v/>
      </c>
      <c r="R353" s="4" t="str">
        <f t="shared" si="201"/>
        <v/>
      </c>
      <c r="V353" s="4">
        <f>IFERROR(IF(VLOOKUP(B353,E!$B$1:$AK$300,4,FALSE)=0,1000000,VLOOKUP(B353,E!$B$1:$AK$300,4,FALSE)),1000000)</f>
        <v>1E-4</v>
      </c>
      <c r="Z353" s="17" t="str">
        <f t="shared" si="198"/>
        <v/>
      </c>
      <c r="AA353" s="31">
        <f t="shared" si="183"/>
        <v>-1</v>
      </c>
      <c r="AB353" s="31">
        <f t="shared" si="184"/>
        <v>0</v>
      </c>
      <c r="AC353" s="17" t="str">
        <f t="shared" si="196"/>
        <v/>
      </c>
      <c r="AD353" s="31">
        <f t="shared" si="186"/>
        <v>-1</v>
      </c>
      <c r="AE353" s="31">
        <f t="shared" si="187"/>
        <v>0</v>
      </c>
      <c r="AF353" s="17" t="str">
        <f t="shared" si="188"/>
        <v/>
      </c>
      <c r="AG353" s="31">
        <f t="shared" si="189"/>
        <v>-1</v>
      </c>
      <c r="AH353" s="31">
        <f t="shared" si="190"/>
        <v>0</v>
      </c>
      <c r="AI353" s="77">
        <v>0</v>
      </c>
      <c r="AJ353" s="77">
        <v>0</v>
      </c>
      <c r="AK353" s="77">
        <v>1</v>
      </c>
      <c r="AO353" s="4">
        <f t="shared" si="191"/>
        <v>1</v>
      </c>
      <c r="AQ353" s="4">
        <f t="shared" si="180"/>
        <v>1</v>
      </c>
      <c r="AS353" s="4">
        <f t="shared" si="181"/>
        <v>1</v>
      </c>
      <c r="AV353" s="4" t="str">
        <f t="shared" si="194"/>
        <v/>
      </c>
      <c r="AX353" s="4" t="str">
        <f t="shared" si="192"/>
        <v/>
      </c>
      <c r="AZ353" s="4" t="str">
        <f t="shared" si="193"/>
        <v/>
      </c>
    </row>
    <row r="354" spans="1:52" x14ac:dyDescent="0.2">
      <c r="A354" s="4" t="s">
        <v>401</v>
      </c>
      <c r="B354" s="4">
        <v>5937</v>
      </c>
      <c r="C354" s="4" t="str">
        <f t="shared" si="140"/>
        <v>urn:immetingen:parameter:id:5937</v>
      </c>
      <c r="D354" s="4" t="str">
        <f>IFERROR(IF(VLOOKUP($C354,'C'!$A$1:$N$1998,4,FALSE)=0,IF(VLOOKUP($C354,'C'!$A$1:$N$1998,7,FALSE)=0,VLOOKUP($C354,'C'!$A$1:$N$1998,10,FALSE),VLOOKUP($C354,'C'!$A$1:$N$1998,7,FALSE)),VLOOKUP($C354,'C'!$A$1:$N$1998,4,FALSE)),"")</f>
        <v/>
      </c>
      <c r="E354" s="4" t="str">
        <f>IFERROR(VLOOKUP($C354,'C'!$A$1:$N$1998,2,FALSE),"")</f>
        <v/>
      </c>
      <c r="F354" s="4" t="str">
        <f>IFERROR(IF(VLOOKUP($C354,'C'!$A$1:$N$1998,3,FALSE)=1,"&lt;",""),"")</f>
        <v/>
      </c>
      <c r="G354" s="4" t="str">
        <f>IFERROR(VLOOKUP($C354,'C'!$A$1:$N$1998,5,FALSE),"")</f>
        <v/>
      </c>
      <c r="H354" s="4" t="str">
        <f>IFERROR(IF(VLOOKUP($C354,'C'!$A$1:$N$1998,6,FALSE)=1,"&lt;",""),"")</f>
        <v/>
      </c>
      <c r="I354" s="4" t="str">
        <f>IFERROR(VLOOKUP($C354,'C'!$A$1:$N$1998,8,FALSE),"")</f>
        <v/>
      </c>
      <c r="J354" s="4" t="str">
        <f>IFERROR(IF(VLOOKUP($C354,'C'!$A$1:$N$1998,9,FALSE)=1,"&lt;",""),"")</f>
        <v/>
      </c>
      <c r="M354" s="4" t="str">
        <f t="shared" si="197"/>
        <v/>
      </c>
      <c r="N354" s="4" t="str">
        <f t="shared" si="199"/>
        <v/>
      </c>
      <c r="O354" s="4" t="str">
        <f t="shared" si="175"/>
        <v/>
      </c>
      <c r="P354" s="4" t="str">
        <f t="shared" si="200"/>
        <v/>
      </c>
      <c r="Q354" s="4" t="str">
        <f t="shared" si="176"/>
        <v/>
      </c>
      <c r="R354" s="4" t="str">
        <f t="shared" si="201"/>
        <v/>
      </c>
      <c r="V354" s="4">
        <f>IFERROR(IF(VLOOKUP(B354,E!$B$1:$AK$300,4,FALSE)=0,1000000,VLOOKUP(B354,E!$B$1:$AK$300,4,FALSE)),1000000)</f>
        <v>1E-4</v>
      </c>
      <c r="Z354" s="17" t="str">
        <f t="shared" si="198"/>
        <v/>
      </c>
      <c r="AA354" s="31">
        <f t="shared" si="183"/>
        <v>-1</v>
      </c>
      <c r="AB354" s="31">
        <f t="shared" si="184"/>
        <v>0</v>
      </c>
      <c r="AC354" s="17" t="str">
        <f t="shared" si="196"/>
        <v/>
      </c>
      <c r="AD354" s="31">
        <f t="shared" si="186"/>
        <v>-1</v>
      </c>
      <c r="AE354" s="31">
        <f t="shared" si="187"/>
        <v>0</v>
      </c>
      <c r="AF354" s="17" t="str">
        <f t="shared" si="188"/>
        <v/>
      </c>
      <c r="AG354" s="31">
        <f t="shared" si="189"/>
        <v>-1</v>
      </c>
      <c r="AH354" s="31">
        <f t="shared" si="190"/>
        <v>0</v>
      </c>
      <c r="AI354" s="77">
        <v>0</v>
      </c>
      <c r="AJ354" s="77">
        <v>0</v>
      </c>
      <c r="AK354" s="77">
        <v>1</v>
      </c>
      <c r="AO354" s="4">
        <f t="shared" si="191"/>
        <v>1</v>
      </c>
      <c r="AQ354" s="4">
        <f t="shared" si="180"/>
        <v>1</v>
      </c>
      <c r="AS354" s="4">
        <f t="shared" si="181"/>
        <v>1</v>
      </c>
      <c r="AV354" s="4" t="str">
        <f t="shared" si="194"/>
        <v/>
      </c>
      <c r="AX354" s="4" t="str">
        <f t="shared" si="192"/>
        <v/>
      </c>
      <c r="AZ354" s="4" t="str">
        <f t="shared" si="193"/>
        <v/>
      </c>
    </row>
    <row r="355" spans="1:52" x14ac:dyDescent="0.2">
      <c r="A355" s="4" t="s">
        <v>402</v>
      </c>
      <c r="B355" s="4">
        <v>5744</v>
      </c>
      <c r="C355" s="4" t="str">
        <f t="shared" si="140"/>
        <v>urn:immetingen:parameter:id:5744</v>
      </c>
      <c r="D355" s="4" t="str">
        <f>IFERROR(IF(VLOOKUP($C355,'C'!$A$1:$N$1998,4,FALSE)=0,IF(VLOOKUP($C355,'C'!$A$1:$N$1998,7,FALSE)=0,VLOOKUP($C355,'C'!$A$1:$N$1998,10,FALSE),VLOOKUP($C355,'C'!$A$1:$N$1998,7,FALSE)),VLOOKUP($C355,'C'!$A$1:$N$1998,4,FALSE)),"")</f>
        <v/>
      </c>
      <c r="E355" s="4" t="str">
        <f>IFERROR(VLOOKUP($C355,'C'!$A$1:$N$1998,2,FALSE),"")</f>
        <v/>
      </c>
      <c r="F355" s="4" t="str">
        <f>IFERROR(IF(VLOOKUP($C355,'C'!$A$1:$N$1998,3,FALSE)=1,"&lt;",""),"")</f>
        <v/>
      </c>
      <c r="G355" s="4" t="str">
        <f>IFERROR(VLOOKUP($C355,'C'!$A$1:$N$1998,5,FALSE),"")</f>
        <v/>
      </c>
      <c r="H355" s="4" t="str">
        <f>IFERROR(IF(VLOOKUP($C355,'C'!$A$1:$N$1998,6,FALSE)=1,"&lt;",""),"")</f>
        <v/>
      </c>
      <c r="I355" s="4" t="str">
        <f>IFERROR(VLOOKUP($C355,'C'!$A$1:$N$1998,8,FALSE),"")</f>
        <v/>
      </c>
      <c r="J355" s="4" t="str">
        <f>IFERROR(IF(VLOOKUP($C355,'C'!$A$1:$N$1998,9,FALSE)=1,"&lt;",""),"")</f>
        <v/>
      </c>
      <c r="M355" s="4" t="str">
        <f t="shared" si="197"/>
        <v/>
      </c>
      <c r="N355" s="4" t="str">
        <f t="shared" si="199"/>
        <v/>
      </c>
      <c r="O355" s="4" t="str">
        <f t="shared" ref="O355:O361" si="202">IF(G355="","",IF($D355=131,G355/1000,G355))</f>
        <v/>
      </c>
      <c r="P355" s="4" t="str">
        <f t="shared" si="200"/>
        <v/>
      </c>
      <c r="Q355" s="4" t="str">
        <f t="shared" ref="Q355:Q361" si="203">IF(I355="","",IF($D355=131,I355/1000,I355))</f>
        <v/>
      </c>
      <c r="R355" s="4" t="str">
        <f t="shared" si="201"/>
        <v/>
      </c>
      <c r="V355" s="4">
        <f>IFERROR(IF(VLOOKUP(B355,E!$B$1:$AK$300,4,FALSE)=0,1000000,VLOOKUP(B355,E!$B$1:$AK$300,4,FALSE)),1000000)</f>
        <v>1E-4</v>
      </c>
      <c r="Z355" s="17" t="str">
        <f t="shared" si="198"/>
        <v/>
      </c>
      <c r="AA355" s="31">
        <f t="shared" si="183"/>
        <v>-1</v>
      </c>
      <c r="AB355" s="31">
        <f t="shared" si="184"/>
        <v>0</v>
      </c>
      <c r="AC355" s="17" t="str">
        <f t="shared" si="196"/>
        <v/>
      </c>
      <c r="AD355" s="31">
        <f t="shared" si="186"/>
        <v>-1</v>
      </c>
      <c r="AE355" s="31">
        <f t="shared" si="187"/>
        <v>0</v>
      </c>
      <c r="AF355" s="17" t="str">
        <f t="shared" si="188"/>
        <v/>
      </c>
      <c r="AG355" s="31">
        <f t="shared" si="189"/>
        <v>-1</v>
      </c>
      <c r="AH355" s="31">
        <f t="shared" si="190"/>
        <v>0</v>
      </c>
      <c r="AI355" s="77">
        <v>0</v>
      </c>
      <c r="AJ355" s="77">
        <v>0</v>
      </c>
      <c r="AK355" s="77">
        <v>1</v>
      </c>
      <c r="AO355" s="4">
        <f t="shared" si="191"/>
        <v>1</v>
      </c>
      <c r="AQ355" s="4">
        <f t="shared" si="180"/>
        <v>1</v>
      </c>
      <c r="AS355" s="4">
        <f t="shared" si="181"/>
        <v>1</v>
      </c>
      <c r="AV355" s="4" t="str">
        <f t="shared" si="194"/>
        <v/>
      </c>
      <c r="AX355" s="4" t="str">
        <f t="shared" si="192"/>
        <v/>
      </c>
      <c r="AZ355" s="4" t="str">
        <f t="shared" si="193"/>
        <v/>
      </c>
    </row>
    <row r="356" spans="1:52" x14ac:dyDescent="0.2">
      <c r="A356" s="4" t="s">
        <v>403</v>
      </c>
      <c r="B356" s="4">
        <v>4446</v>
      </c>
      <c r="C356" s="4" t="str">
        <f t="shared" si="140"/>
        <v>urn:immetingen:parameter:id:4446</v>
      </c>
      <c r="D356" s="4">
        <f>IFERROR(IF(VLOOKUP($C356,'C'!$A$1:$N$1998,4,FALSE)=0,IF(VLOOKUP($C356,'C'!$A$1:$N$1998,7,FALSE)=0,VLOOKUP($C356,'C'!$A$1:$N$1998,10,FALSE),VLOOKUP($C356,'C'!$A$1:$N$1998,7,FALSE)),VLOOKUP($C356,'C'!$A$1:$N$1998,4,FALSE)),"")</f>
        <v>131</v>
      </c>
      <c r="E356" s="4">
        <f>IFERROR(VLOOKUP($C356,'C'!$A$1:$N$1998,2,FALSE),"")</f>
        <v>0.1</v>
      </c>
      <c r="F356" s="4" t="str">
        <f>IFERROR(IF(VLOOKUP($C356,'C'!$A$1:$N$1998,3,FALSE)=1,"&lt;",""),"")</f>
        <v>&lt;</v>
      </c>
      <c r="G356" s="4">
        <f>IFERROR(VLOOKUP($C356,'C'!$A$1:$N$1998,5,FALSE),"")</f>
        <v>0.1</v>
      </c>
      <c r="H356" s="4" t="str">
        <f>IFERROR(IF(VLOOKUP($C356,'C'!$A$1:$N$1998,6,FALSE)=1,"&lt;",""),"")</f>
        <v>&lt;</v>
      </c>
      <c r="I356" s="4">
        <f>IFERROR(VLOOKUP($C356,'C'!$A$1:$N$1998,8,FALSE),"")</f>
        <v>0.1</v>
      </c>
      <c r="J356" s="4" t="str">
        <f>IFERROR(IF(VLOOKUP($C356,'C'!$A$1:$N$1998,9,FALSE)=1,"&lt;",""),"")</f>
        <v>&lt;</v>
      </c>
      <c r="M356" s="4">
        <f t="shared" si="197"/>
        <v>1E-4</v>
      </c>
      <c r="N356" s="4" t="str">
        <f t="shared" si="199"/>
        <v>&lt;</v>
      </c>
      <c r="O356" s="4">
        <f t="shared" si="202"/>
        <v>1E-4</v>
      </c>
      <c r="P356" s="4" t="str">
        <f t="shared" si="200"/>
        <v>&lt;</v>
      </c>
      <c r="Q356" s="4">
        <f t="shared" si="203"/>
        <v>1E-4</v>
      </c>
      <c r="R356" s="4" t="str">
        <f t="shared" si="201"/>
        <v>&lt;</v>
      </c>
      <c r="V356" s="4">
        <f>IFERROR(IF(VLOOKUP(B356,E!$B$1:$AK$300,4,FALSE)=0,1000000,VLOOKUP(B356,E!$B$1:$AK$300,4,FALSE)),1000000)</f>
        <v>1E-4</v>
      </c>
      <c r="Z356" s="17">
        <f t="shared" si="198"/>
        <v>0</v>
      </c>
      <c r="AA356" s="31">
        <f t="shared" si="183"/>
        <v>0</v>
      </c>
      <c r="AB356" s="31">
        <f t="shared" si="184"/>
        <v>0.1</v>
      </c>
      <c r="AC356" s="17">
        <f t="shared" si="196"/>
        <v>0</v>
      </c>
      <c r="AD356" s="31">
        <f t="shared" si="186"/>
        <v>0</v>
      </c>
      <c r="AE356" s="31">
        <f t="shared" si="187"/>
        <v>0.1</v>
      </c>
      <c r="AF356" s="17">
        <f t="shared" si="188"/>
        <v>0</v>
      </c>
      <c r="AG356" s="31">
        <f t="shared" si="189"/>
        <v>0</v>
      </c>
      <c r="AH356" s="31">
        <f t="shared" si="190"/>
        <v>0.1</v>
      </c>
      <c r="AI356" s="77">
        <v>0</v>
      </c>
      <c r="AJ356" s="77">
        <v>0</v>
      </c>
      <c r="AK356" s="77">
        <v>1</v>
      </c>
      <c r="AO356" s="4">
        <f t="shared" si="191"/>
        <v>1</v>
      </c>
      <c r="AQ356" s="4">
        <f t="shared" si="180"/>
        <v>1</v>
      </c>
      <c r="AS356" s="4">
        <f t="shared" si="181"/>
        <v>1</v>
      </c>
      <c r="AV356" s="4">
        <f t="shared" si="194"/>
        <v>6.9999999999999994E-5</v>
      </c>
      <c r="AX356" s="4">
        <f t="shared" si="192"/>
        <v>6.9999999999999994E-5</v>
      </c>
      <c r="AZ356" s="4">
        <f t="shared" si="193"/>
        <v>6.9999999999999994E-5</v>
      </c>
    </row>
    <row r="357" spans="1:52" x14ac:dyDescent="0.2">
      <c r="A357" s="4" t="s">
        <v>404</v>
      </c>
      <c r="B357" s="4">
        <v>6001</v>
      </c>
      <c r="C357" s="4" t="str">
        <f t="shared" si="140"/>
        <v>urn:immetingen:parameter:id:6001</v>
      </c>
      <c r="D357" s="4" t="str">
        <f>IFERROR(IF(VLOOKUP($C357,'C'!$A$1:$N$1998,4,FALSE)=0,IF(VLOOKUP($C357,'C'!$A$1:$N$1998,7,FALSE)=0,VLOOKUP($C357,'C'!$A$1:$N$1998,10,FALSE),VLOOKUP($C357,'C'!$A$1:$N$1998,7,FALSE)),VLOOKUP($C357,'C'!$A$1:$N$1998,4,FALSE)),"")</f>
        <v/>
      </c>
      <c r="E357" s="4" t="str">
        <f>IFERROR(VLOOKUP($C357,'C'!$A$1:$N$1998,2,FALSE),"")</f>
        <v/>
      </c>
      <c r="F357" s="4" t="str">
        <f>IFERROR(IF(VLOOKUP($C357,'C'!$A$1:$N$1998,3,FALSE)=1,"&lt;",""),"")</f>
        <v/>
      </c>
      <c r="G357" s="4" t="str">
        <f>IFERROR(VLOOKUP($C357,'C'!$A$1:$N$1998,5,FALSE),"")</f>
        <v/>
      </c>
      <c r="H357" s="4" t="str">
        <f>IFERROR(IF(VLOOKUP($C357,'C'!$A$1:$N$1998,6,FALSE)=1,"&lt;",""),"")</f>
        <v/>
      </c>
      <c r="I357" s="4" t="str">
        <f>IFERROR(VLOOKUP($C357,'C'!$A$1:$N$1998,8,FALSE),"")</f>
        <v/>
      </c>
      <c r="J357" s="4" t="str">
        <f>IFERROR(IF(VLOOKUP($C357,'C'!$A$1:$N$1998,9,FALSE)=1,"&lt;",""),"")</f>
        <v/>
      </c>
      <c r="M357" s="4" t="str">
        <f t="shared" si="197"/>
        <v/>
      </c>
      <c r="N357" s="4" t="str">
        <f t="shared" si="199"/>
        <v/>
      </c>
      <c r="O357" s="4" t="str">
        <f t="shared" si="202"/>
        <v/>
      </c>
      <c r="P357" s="4" t="str">
        <f t="shared" si="200"/>
        <v/>
      </c>
      <c r="Q357" s="4" t="str">
        <f t="shared" si="203"/>
        <v/>
      </c>
      <c r="R357" s="4" t="str">
        <f t="shared" si="201"/>
        <v/>
      </c>
      <c r="V357" s="4">
        <f>IFERROR(IF(VLOOKUP(B357,E!$B$1:$AK$300,4,FALSE)=0,1000000,VLOOKUP(B357,E!$B$1:$AK$300,4,FALSE)),1000000)</f>
        <v>1E-4</v>
      </c>
      <c r="Z357" s="17" t="str">
        <f t="shared" si="198"/>
        <v/>
      </c>
      <c r="AA357" s="31">
        <f t="shared" si="183"/>
        <v>-1</v>
      </c>
      <c r="AB357" s="31">
        <f t="shared" si="184"/>
        <v>0</v>
      </c>
      <c r="AC357" s="17" t="str">
        <f t="shared" si="196"/>
        <v/>
      </c>
      <c r="AD357" s="31">
        <f t="shared" si="186"/>
        <v>-1</v>
      </c>
      <c r="AE357" s="31">
        <f t="shared" si="187"/>
        <v>0</v>
      </c>
      <c r="AF357" s="17" t="str">
        <f t="shared" si="188"/>
        <v/>
      </c>
      <c r="AG357" s="31">
        <f t="shared" si="189"/>
        <v>-1</v>
      </c>
      <c r="AH357" s="31">
        <f t="shared" si="190"/>
        <v>0</v>
      </c>
      <c r="AI357" s="77">
        <v>0</v>
      </c>
      <c r="AJ357" s="77">
        <v>0</v>
      </c>
      <c r="AK357" s="77">
        <v>1</v>
      </c>
      <c r="AO357" s="4">
        <f t="shared" si="191"/>
        <v>1</v>
      </c>
      <c r="AQ357" s="4">
        <f t="shared" si="180"/>
        <v>1</v>
      </c>
      <c r="AS357" s="4">
        <f t="shared" si="181"/>
        <v>1</v>
      </c>
      <c r="AV357" s="4" t="str">
        <f t="shared" si="194"/>
        <v/>
      </c>
      <c r="AX357" s="4" t="str">
        <f t="shared" si="192"/>
        <v/>
      </c>
      <c r="AZ357" s="4" t="str">
        <f t="shared" si="193"/>
        <v/>
      </c>
    </row>
    <row r="358" spans="1:52" x14ac:dyDescent="0.2">
      <c r="A358" s="4" t="s">
        <v>405</v>
      </c>
      <c r="B358" s="4">
        <v>5998</v>
      </c>
      <c r="C358" s="4" t="str">
        <f t="shared" si="140"/>
        <v>urn:immetingen:parameter:id:5998</v>
      </c>
      <c r="D358" s="4" t="str">
        <f>IFERROR(IF(VLOOKUP($C358,'C'!$A$1:$N$1998,4,FALSE)=0,IF(VLOOKUP($C358,'C'!$A$1:$N$1998,7,FALSE)=0,VLOOKUP($C358,'C'!$A$1:$N$1998,10,FALSE),VLOOKUP($C358,'C'!$A$1:$N$1998,7,FALSE)),VLOOKUP($C358,'C'!$A$1:$N$1998,4,FALSE)),"")</f>
        <v/>
      </c>
      <c r="E358" s="4" t="str">
        <f>IFERROR(VLOOKUP($C358,'C'!$A$1:$N$1998,2,FALSE),"")</f>
        <v/>
      </c>
      <c r="F358" s="4" t="str">
        <f>IFERROR(IF(VLOOKUP($C358,'C'!$A$1:$N$1998,3,FALSE)=1,"&lt;",""),"")</f>
        <v/>
      </c>
      <c r="G358" s="4" t="str">
        <f>IFERROR(VLOOKUP($C358,'C'!$A$1:$N$1998,5,FALSE),"")</f>
        <v/>
      </c>
      <c r="H358" s="4" t="str">
        <f>IFERROR(IF(VLOOKUP($C358,'C'!$A$1:$N$1998,6,FALSE)=1,"&lt;",""),"")</f>
        <v/>
      </c>
      <c r="I358" s="4" t="str">
        <f>IFERROR(VLOOKUP($C358,'C'!$A$1:$N$1998,8,FALSE),"")</f>
        <v/>
      </c>
      <c r="J358" s="4" t="str">
        <f>IFERROR(IF(VLOOKUP($C358,'C'!$A$1:$N$1998,9,FALSE)=1,"&lt;",""),"")</f>
        <v/>
      </c>
      <c r="M358" s="4" t="str">
        <f t="shared" si="197"/>
        <v/>
      </c>
      <c r="N358" s="4" t="str">
        <f t="shared" si="199"/>
        <v/>
      </c>
      <c r="O358" s="4" t="str">
        <f t="shared" si="202"/>
        <v/>
      </c>
      <c r="P358" s="4" t="str">
        <f t="shared" si="200"/>
        <v/>
      </c>
      <c r="Q358" s="4" t="str">
        <f t="shared" si="203"/>
        <v/>
      </c>
      <c r="R358" s="4" t="str">
        <f t="shared" si="201"/>
        <v/>
      </c>
      <c r="V358" s="4">
        <f>IFERROR(IF(VLOOKUP(B358,E!$B$1:$AK$300,4,FALSE)=0,1000000,VLOOKUP(B358,E!$B$1:$AK$300,4,FALSE)),1000000)</f>
        <v>1E-4</v>
      </c>
      <c r="Z358" s="17" t="str">
        <f t="shared" si="198"/>
        <v/>
      </c>
      <c r="AA358" s="31">
        <f t="shared" si="183"/>
        <v>-1</v>
      </c>
      <c r="AB358" s="31">
        <f t="shared" si="184"/>
        <v>0</v>
      </c>
      <c r="AC358" s="17" t="str">
        <f t="shared" si="196"/>
        <v/>
      </c>
      <c r="AD358" s="31">
        <f t="shared" si="186"/>
        <v>-1</v>
      </c>
      <c r="AE358" s="31">
        <f t="shared" si="187"/>
        <v>0</v>
      </c>
      <c r="AF358" s="17" t="str">
        <f t="shared" si="188"/>
        <v/>
      </c>
      <c r="AG358" s="31">
        <f t="shared" si="189"/>
        <v>-1</v>
      </c>
      <c r="AH358" s="31">
        <f t="shared" si="190"/>
        <v>0</v>
      </c>
      <c r="AI358" s="77">
        <v>0</v>
      </c>
      <c r="AJ358" s="77">
        <v>0</v>
      </c>
      <c r="AK358" s="77">
        <v>1</v>
      </c>
      <c r="AO358" s="4">
        <f t="shared" si="191"/>
        <v>1</v>
      </c>
      <c r="AQ358" s="4">
        <f t="shared" si="180"/>
        <v>1</v>
      </c>
      <c r="AS358" s="4">
        <f t="shared" si="181"/>
        <v>1</v>
      </c>
      <c r="AV358" s="4" t="str">
        <f t="shared" si="194"/>
        <v/>
      </c>
      <c r="AX358" s="4" t="str">
        <f t="shared" si="192"/>
        <v/>
      </c>
      <c r="AZ358" s="4" t="str">
        <f t="shared" si="193"/>
        <v/>
      </c>
    </row>
    <row r="359" spans="1:52" x14ac:dyDescent="0.2">
      <c r="A359" s="4" t="s">
        <v>406</v>
      </c>
      <c r="B359" s="4">
        <v>5741</v>
      </c>
      <c r="C359" s="4" t="str">
        <f t="shared" si="140"/>
        <v>urn:immetingen:parameter:id:5741</v>
      </c>
      <c r="D359" s="4" t="str">
        <f>IFERROR(IF(VLOOKUP($C359,'C'!$A$1:$N$1998,4,FALSE)=0,IF(VLOOKUP($C359,'C'!$A$1:$N$1998,7,FALSE)=0,VLOOKUP($C359,'C'!$A$1:$N$1998,10,FALSE),VLOOKUP($C359,'C'!$A$1:$N$1998,7,FALSE)),VLOOKUP($C359,'C'!$A$1:$N$1998,4,FALSE)),"")</f>
        <v/>
      </c>
      <c r="E359" s="4" t="str">
        <f>IFERROR(VLOOKUP($C359,'C'!$A$1:$N$1998,2,FALSE),"")</f>
        <v/>
      </c>
      <c r="F359" s="4" t="str">
        <f>IFERROR(IF(VLOOKUP($C359,'C'!$A$1:$N$1998,3,FALSE)=1,"&lt;",""),"")</f>
        <v/>
      </c>
      <c r="G359" s="4" t="str">
        <f>IFERROR(VLOOKUP($C359,'C'!$A$1:$N$1998,5,FALSE),"")</f>
        <v/>
      </c>
      <c r="H359" s="4" t="str">
        <f>IFERROR(IF(VLOOKUP($C359,'C'!$A$1:$N$1998,6,FALSE)=1,"&lt;",""),"")</f>
        <v/>
      </c>
      <c r="I359" s="4" t="str">
        <f>IFERROR(VLOOKUP($C359,'C'!$A$1:$N$1998,8,FALSE),"")</f>
        <v/>
      </c>
      <c r="J359" s="4" t="str">
        <f>IFERROR(IF(VLOOKUP($C359,'C'!$A$1:$N$1998,9,FALSE)=1,"&lt;",""),"")</f>
        <v/>
      </c>
      <c r="M359" s="4" t="str">
        <f t="shared" si="197"/>
        <v/>
      </c>
      <c r="N359" s="4" t="str">
        <f t="shared" si="199"/>
        <v/>
      </c>
      <c r="O359" s="4" t="str">
        <f t="shared" si="202"/>
        <v/>
      </c>
      <c r="P359" s="4" t="str">
        <f t="shared" si="200"/>
        <v/>
      </c>
      <c r="Q359" s="4" t="str">
        <f t="shared" si="203"/>
        <v/>
      </c>
      <c r="R359" s="4" t="str">
        <f t="shared" si="201"/>
        <v/>
      </c>
      <c r="V359" s="4">
        <f>IFERROR(IF(VLOOKUP(B359,E!$B$1:$AK$300,4,FALSE)=0,1000000,VLOOKUP(B359,E!$B$1:$AK$300,4,FALSE)),1000000)</f>
        <v>1E-4</v>
      </c>
      <c r="Z359" s="17" t="str">
        <f t="shared" si="198"/>
        <v/>
      </c>
      <c r="AA359" s="31">
        <f t="shared" si="183"/>
        <v>-1</v>
      </c>
      <c r="AB359" s="31">
        <f t="shared" si="184"/>
        <v>0</v>
      </c>
      <c r="AC359" s="17" t="str">
        <f t="shared" si="196"/>
        <v/>
      </c>
      <c r="AD359" s="31">
        <f t="shared" si="186"/>
        <v>-1</v>
      </c>
      <c r="AE359" s="31">
        <f t="shared" si="187"/>
        <v>0</v>
      </c>
      <c r="AF359" s="17" t="str">
        <f t="shared" si="188"/>
        <v/>
      </c>
      <c r="AG359" s="31">
        <f t="shared" si="189"/>
        <v>-1</v>
      </c>
      <c r="AH359" s="31">
        <f t="shared" si="190"/>
        <v>0</v>
      </c>
      <c r="AI359" s="77">
        <v>0</v>
      </c>
      <c r="AJ359" s="77">
        <v>0</v>
      </c>
      <c r="AK359" s="77">
        <v>1</v>
      </c>
      <c r="AO359" s="4">
        <f t="shared" si="191"/>
        <v>1</v>
      </c>
      <c r="AQ359" s="4">
        <f t="shared" si="180"/>
        <v>1</v>
      </c>
      <c r="AS359" s="4">
        <f t="shared" si="181"/>
        <v>1</v>
      </c>
      <c r="AV359" s="4" t="str">
        <f t="shared" si="194"/>
        <v/>
      </c>
      <c r="AX359" s="4" t="str">
        <f t="shared" si="192"/>
        <v/>
      </c>
      <c r="AZ359" s="4" t="str">
        <f t="shared" si="193"/>
        <v/>
      </c>
    </row>
    <row r="360" spans="1:52" x14ac:dyDescent="0.2">
      <c r="A360" s="4" t="s">
        <v>787</v>
      </c>
      <c r="B360" s="4">
        <v>90001</v>
      </c>
      <c r="C360" s="4" t="str">
        <f t="shared" si="140"/>
        <v>urn:immetingen:parameter:id:90001</v>
      </c>
      <c r="D360" s="4" t="str">
        <f>IFERROR(IF(VLOOKUP($C360,'C'!$A$1:$N$1998,4,FALSE)=0,IF(VLOOKUP($C360,'C'!$A$1:$N$1998,7,FALSE)=0,VLOOKUP($C360,'C'!$A$1:$N$1998,10,FALSE),VLOOKUP($C360,'C'!$A$1:$N$1998,7,FALSE)),VLOOKUP($C360,'C'!$A$1:$N$1998,4,FALSE)),"")</f>
        <v/>
      </c>
      <c r="E360" s="17">
        <f>IF(F360="&lt;",AB360,IF(ISERROR(IF(F360="",Z360*1000,SUM(E327:E332,E334:E347,E349:E359)))=TRUE,"",IF(F360="",Z360*1000,SUM(E327:E332,E334:E347,E349:E359))))</f>
        <v>2.1000000000000005</v>
      </c>
      <c r="F360" s="17" t="str">
        <f t="array" ref="F360">IF(SUM((LEN(F327:F332)-LEN(SUBSTITUTE(F327:F332,"&lt;","")))/LEN("&lt;"))+SUM((LEN(F334:F347)-LEN(SUBSTITUTE(F334:F347,"&lt;","")))/LEN("&lt;"))+SUM((LEN(F349:F359)-LEN(SUBSTITUTE(F349:F359,"&lt;","")))/LEN("&lt;"))=31-(COUNTIF(E327:E332,"")+COUNTIF(E334:E347,"")+COUNTIF(E349:E359,"")),"&lt;","")</f>
        <v>&lt;</v>
      </c>
      <c r="G360" s="17">
        <f>IF(H360="&lt;",AE360,IF(ISERROR(IF(H360="",AC360*1000,SUM(G327:G332,G334:G347,G349:G359)))=TRUE,"",IF(H360="",AC360*1000,SUM(G327:G332,G334:G347,G349:G359))))</f>
        <v>2.1000000000000005</v>
      </c>
      <c r="H360" s="17" t="str">
        <f t="array" ref="H360">IF(SUM((LEN(H327:H332)-LEN(SUBSTITUTE(H327:H332,"&lt;","")))/LEN("&lt;"))+SUM((LEN(H334:H347)-LEN(SUBSTITUTE(H334:H347,"&lt;","")))/LEN("&lt;"))+SUM((LEN(H349:H359)-LEN(SUBSTITUTE(H349:H359,"&lt;","")))/LEN("&lt;"))=31-(COUNTIF(G327:G332,"")+COUNTIF(G334:G347,"")+COUNTIF(G349:G359,"")),"&lt;","")</f>
        <v>&lt;</v>
      </c>
      <c r="I360" s="17">
        <f>IF(J360="&lt;",AH360,IF(ISERROR(IF(J360="",AF360*1000,SUM(I327:I332,I334:I347,I349:I359)))=TRUE,"",IF(J360="",AF360*1000,SUM(I327:I332,I334:I347,I349:I359))))</f>
        <v>2.1000000000000005</v>
      </c>
      <c r="J360" s="17" t="str">
        <f t="array" ref="J360">IF(SUM((LEN(J327:J332)-LEN(SUBSTITUTE(J327:J332,"&lt;","")))/LEN("&lt;"))+SUM((LEN(J334:J347)-LEN(SUBSTITUTE(J334:J347,"&lt;","")))/LEN("&lt;"))+SUM((LEN(J349:J359)-LEN(SUBSTITUTE(J349:J359,"&lt;","")))/LEN("&lt;"))=31-(COUNTIF(I327:I332,"")+COUNTIF(I334:I347,"")+COUNTIF(I349:I359,"")),"&lt;","")</f>
        <v>&lt;</v>
      </c>
      <c r="K360" s="17"/>
      <c r="L360" s="17"/>
      <c r="M360" s="4">
        <f t="shared" si="197"/>
        <v>2.1000000000000005</v>
      </c>
      <c r="N360" s="4" t="str">
        <f t="shared" si="199"/>
        <v>&lt;</v>
      </c>
      <c r="O360" s="4">
        <f t="shared" si="202"/>
        <v>2.1000000000000005</v>
      </c>
      <c r="P360" s="4" t="str">
        <f t="shared" si="200"/>
        <v>&lt;</v>
      </c>
      <c r="Q360" s="4">
        <f t="shared" si="203"/>
        <v>2.1000000000000005</v>
      </c>
      <c r="R360" s="4" t="str">
        <f t="shared" si="201"/>
        <v>&lt;</v>
      </c>
      <c r="V360" s="31">
        <f>(28+AA360)*0.0001</f>
        <v>1.8000000000000002E-3</v>
      </c>
      <c r="Z360" s="17">
        <f>SUM(Z327:Z332,Z334:Z347,Z349:Z359)</f>
        <v>0</v>
      </c>
      <c r="AA360" s="31">
        <f>SUM(AA327:AA359)</f>
        <v>-10</v>
      </c>
      <c r="AB360" s="31">
        <f>SUM(AB327:AB359)</f>
        <v>2.1000000000000005</v>
      </c>
      <c r="AC360" s="17">
        <f>SUM(AC327:AC332,AC334:AC347,AC349:AC359)</f>
        <v>0</v>
      </c>
      <c r="AD360" s="31">
        <f>SUM(AD327:AD359)</f>
        <v>-10</v>
      </c>
      <c r="AE360" s="31">
        <f>SUM(AE327:AE359)</f>
        <v>2.1000000000000005</v>
      </c>
      <c r="AF360" s="17">
        <f>SUM(AF327:AF332,AF334:AF347,AF349:AF359)</f>
        <v>0</v>
      </c>
      <c r="AG360" s="31">
        <f>SUM(AG327:AG359)</f>
        <v>-10</v>
      </c>
      <c r="AH360" s="31">
        <f>SUM(AH327:AH359)</f>
        <v>2.1000000000000005</v>
      </c>
      <c r="AI360" s="77">
        <v>0</v>
      </c>
      <c r="AJ360" s="77">
        <v>0</v>
      </c>
      <c r="AK360" s="77">
        <v>1</v>
      </c>
      <c r="AO360" s="4">
        <f t="shared" si="191"/>
        <v>1</v>
      </c>
      <c r="AQ360" s="4">
        <f t="shared" si="180"/>
        <v>1</v>
      </c>
      <c r="AS360" s="4">
        <f t="shared" si="181"/>
        <v>1</v>
      </c>
      <c r="AV360" s="4">
        <f t="shared" si="194"/>
        <v>1.4700000000000002</v>
      </c>
      <c r="AX360" s="4">
        <f t="shared" si="192"/>
        <v>1.4700000000000002</v>
      </c>
      <c r="AZ360" s="4">
        <f t="shared" si="193"/>
        <v>1.4700000000000002</v>
      </c>
    </row>
    <row r="361" spans="1:52" x14ac:dyDescent="0.2">
      <c r="A361" s="4" t="s">
        <v>267</v>
      </c>
      <c r="B361" s="4">
        <v>90002</v>
      </c>
      <c r="C361" s="4" t="str">
        <f t="shared" si="140"/>
        <v>urn:immetingen:parameter:id:90002</v>
      </c>
      <c r="D361" s="4" t="str">
        <f>IFERROR(IF(VLOOKUP($C361,'C'!$A$1:$N$1998,4,FALSE)=0,IF(VLOOKUP($C361,'C'!$A$1:$N$1998,7,FALSE)=0,VLOOKUP($C361,'C'!$A$1:$N$1998,10,FALSE),VLOOKUP($C361,'C'!$A$1:$N$1998,7,FALSE)),VLOOKUP($C361,'C'!$A$1:$N$1998,4,FALSE)),"")</f>
        <v/>
      </c>
      <c r="E361" s="17" t="str">
        <f>IF(F361="&lt;",AB361,IF(ISERROR(IF(F361="",Z361,SUM(E327:E330,E334:E345,E349:E359)))=TRUE,"",IF(F361="",Z361,SUM(E327:E330,E334:E345,E349:E359))))</f>
        <v/>
      </c>
      <c r="F361" s="17" t="str">
        <f>IF(COUNTIF(F327:F330,"")+COUNTIF(F334:F345,"")+COUNTIF(F349:F359,"")=0,"&lt;","")</f>
        <v/>
      </c>
      <c r="G361" s="17" t="str">
        <f>IF(H361="&lt;",AE361,IF(ISERROR(IF(H361="",AC361,SUM(G327:G330,G334:G345,G349:G359)))=TRUE,"",IF(H361="",AC361,SUM(G327:G330,G334:G345,G349:G359))))</f>
        <v/>
      </c>
      <c r="H361" s="17" t="str">
        <f>IF(COUNTIF(H327:H330,"")+COUNTIF(H334:H345,"")+COUNTIF(H349:H359,"")=0,"&lt;","")</f>
        <v/>
      </c>
      <c r="I361" s="17" t="str">
        <f>IF(J361="&lt;",AH361,IF(ISERROR(IF(J361="",AF361,SUM(I327:I330,I334:I345,I349:I359)))=TRUE,"",IF(J361="",AF361,SUM(I327:I330,I334:I345,I349:I359))))</f>
        <v/>
      </c>
      <c r="J361" s="17" t="str">
        <f>IF(COUNTIF(J327:J330,"")+COUNTIF(J334:J345,"")+COUNTIF(J349:J359,"")=0,"&lt;","")</f>
        <v/>
      </c>
      <c r="K361" s="17"/>
      <c r="L361" s="17"/>
      <c r="M361" s="4" t="str">
        <f t="shared" si="197"/>
        <v/>
      </c>
      <c r="N361" s="4" t="str">
        <f t="shared" si="199"/>
        <v/>
      </c>
      <c r="O361" s="4" t="str">
        <f t="shared" si="202"/>
        <v/>
      </c>
      <c r="P361" s="4" t="str">
        <f t="shared" si="200"/>
        <v/>
      </c>
      <c r="Q361" s="4" t="str">
        <f t="shared" si="203"/>
        <v/>
      </c>
      <c r="R361" s="4" t="str">
        <f t="shared" si="201"/>
        <v/>
      </c>
      <c r="V361" s="31">
        <f>(28+AA361)*0.1</f>
        <v>1.8</v>
      </c>
      <c r="Z361" s="17" t="str">
        <f t="shared" ref="Z361:Z369" si="204">IF(F361="","",IF(AND(F361="&lt;",E361&lt;=$V361),-1,(IF(F361="&lt;",0.7*E361,E361))))</f>
        <v/>
      </c>
      <c r="AA361" s="31">
        <f>SUM(AA327:AA330,AA334:AA345,AA349:AA359)</f>
        <v>-10</v>
      </c>
      <c r="AB361" s="31">
        <f t="shared" ref="AB361" si="205">SUM(AB327:AB330,AB334:AB345,AB349:AB359)</f>
        <v>1.7000000000000004</v>
      </c>
      <c r="AC361" s="17" t="str">
        <f>IF(H361="","",IF(AND(H361="&lt;",G361&lt;=$V361),-1,(IF(H361="&lt;",0.7*G361,G361))))</f>
        <v/>
      </c>
      <c r="AD361" s="31">
        <f t="shared" ref="AD361:AH361" si="206">SUM(AD327:AD330,AD334:AD345,AD349:AD359)</f>
        <v>-10</v>
      </c>
      <c r="AE361" s="31">
        <f t="shared" si="206"/>
        <v>1.7000000000000004</v>
      </c>
      <c r="AF361" s="17" t="str">
        <f>IF(J361="","",IF(AND(J361="&lt;",I361&lt;=$V361),-1,(IF(J361="&lt;",0.7*I361,I361))))</f>
        <v/>
      </c>
      <c r="AG361" s="31">
        <f t="shared" si="206"/>
        <v>-10</v>
      </c>
      <c r="AH361" s="31">
        <f t="shared" si="206"/>
        <v>1.7000000000000004</v>
      </c>
      <c r="AI361" s="77">
        <v>0</v>
      </c>
      <c r="AJ361" s="77">
        <v>0</v>
      </c>
      <c r="AK361" s="77">
        <v>1</v>
      </c>
      <c r="AO361" s="4">
        <f t="shared" si="191"/>
        <v>1</v>
      </c>
      <c r="AQ361" s="4">
        <f t="shared" si="180"/>
        <v>1</v>
      </c>
      <c r="AS361" s="4">
        <f t="shared" si="181"/>
        <v>1</v>
      </c>
      <c r="AV361" s="4" t="str">
        <f t="shared" si="194"/>
        <v/>
      </c>
      <c r="AX361" s="4" t="str">
        <f t="shared" si="192"/>
        <v/>
      </c>
      <c r="AZ361" s="4" t="str">
        <f t="shared" si="193"/>
        <v/>
      </c>
    </row>
    <row r="362" spans="1:52" x14ac:dyDescent="0.2">
      <c r="A362" s="4" t="s">
        <v>852</v>
      </c>
      <c r="B362" s="4">
        <v>313</v>
      </c>
      <c r="C362" s="4" t="str">
        <f t="shared" ref="C362:C368" si="207">CONCATENATE("urn:immetingen:parameter:id:",B362)</f>
        <v>urn:immetingen:parameter:id:313</v>
      </c>
      <c r="D362" s="4" t="str">
        <f>IFERROR(IF(VLOOKUP($C362,'C'!$A$1:$N$1998,4,FALSE)=0,IF(VLOOKUP($C362,'C'!$A$1:$N$1998,7,FALSE)=0,VLOOKUP($C362,'C'!$A$1:$N$1998,10,FALSE),VLOOKUP($C362,'C'!$A$1:$N$1998,7,FALSE)),VLOOKUP($C362,'C'!$A$1:$N$1998,4,FALSE)),"")</f>
        <v/>
      </c>
      <c r="E362" s="15"/>
      <c r="F362" s="4" t="str">
        <f>IFERROR(IF(VLOOKUP($C362,'C'!$A$1:$N$1998,3,FALSE)=1,"&lt;",""),"")</f>
        <v/>
      </c>
      <c r="M362" s="4" t="str">
        <f t="shared" si="197"/>
        <v/>
      </c>
      <c r="N362" s="4" t="str">
        <f t="shared" ref="N362" si="208">F362</f>
        <v/>
      </c>
      <c r="V362" s="4">
        <f>IFERROR(IF(VLOOKUP(B362,E!$B$1:$AK$300,4,FALSE)=0,1000000,VLOOKUP(B362,E!$B$1:$AK$300,4,FALSE)),1000000)</f>
        <v>1000000000</v>
      </c>
      <c r="Z362" s="4" t="str">
        <f t="shared" ref="Z362:Z368" si="209">IF(M362="","",IF(AND(N362="&lt;",M362&lt;=$V362),-1,(IF(N362="&lt;",0.7*M362,M362))))</f>
        <v/>
      </c>
      <c r="AC362" s="4" t="str">
        <f t="shared" ref="AC362:AC368" si="210">IF(O362="","",IF(AND(P362="&lt;",O362&lt;=$V362),-1,(IF(P362="&lt;",0.7*O362,O362))))</f>
        <v/>
      </c>
      <c r="AF362" s="4" t="str">
        <f t="shared" ref="AF362:AF368" si="211">IF(Q362="","",IF(AND(R362="&lt;",Q362&lt;=$V362),-1,(IF(R362="&lt;",0.7*Q362,Q362))))</f>
        <v/>
      </c>
      <c r="AI362" s="77">
        <v>0</v>
      </c>
      <c r="AJ362" s="77">
        <v>0</v>
      </c>
      <c r="AK362" s="77">
        <v>1</v>
      </c>
      <c r="AO362" s="17">
        <v>1</v>
      </c>
      <c r="AQ362" s="17">
        <v>1</v>
      </c>
      <c r="AS362" s="17">
        <v>1</v>
      </c>
      <c r="AV362" s="4" t="str">
        <f t="shared" si="194"/>
        <v/>
      </c>
      <c r="AX362" s="4">
        <f t="shared" si="192"/>
        <v>0</v>
      </c>
      <c r="AZ362" s="4">
        <f t="shared" si="193"/>
        <v>0</v>
      </c>
    </row>
    <row r="363" spans="1:52" x14ac:dyDescent="0.2">
      <c r="A363" s="81" t="s">
        <v>853</v>
      </c>
      <c r="B363" s="4">
        <v>542</v>
      </c>
      <c r="C363" s="4" t="str">
        <f t="shared" si="207"/>
        <v>urn:immetingen:parameter:id:542</v>
      </c>
      <c r="D363" s="4" t="str">
        <f>IFERROR(IF(VLOOKUP($C363,'C'!$A$1:$N$1998,4,FALSE)=0,IF(VLOOKUP($C363,'C'!$A$1:$N$1998,7,FALSE)=0,VLOOKUP($C363,'C'!$A$1:$N$1998,10,FALSE),VLOOKUP($C363,'C'!$A$1:$N$1998,7,FALSE)),VLOOKUP($C363,'C'!$A$1:$N$1998,4,FALSE)),"")</f>
        <v/>
      </c>
      <c r="E363" s="4" t="str">
        <f>IFERROR(VLOOKUP($C363,'C'!$A$1:$N$1998,2,FALSE),"")</f>
        <v/>
      </c>
      <c r="F363" s="4" t="str">
        <f>IFERROR(IF(VLOOKUP($C363,'C'!$A$1:$N$1998,3,FALSE)=1,"&lt;",""),"")</f>
        <v/>
      </c>
      <c r="G363" s="4" t="str">
        <f>IFERROR(VLOOKUP($C363,'C'!$A$1:$N$1998,2,FALSE),"")</f>
        <v/>
      </c>
      <c r="H363" s="4" t="str">
        <f>IFERROR(IF(VLOOKUP($C363,'C'!$A$1:$N$1998,3,FALSE)=1,"&lt;",""),"")</f>
        <v/>
      </c>
      <c r="I363" s="4" t="str">
        <f>IFERROR(VLOOKUP($C363,'C'!$A$1:$N$1998,2,FALSE),"")</f>
        <v/>
      </c>
      <c r="J363" s="4" t="str">
        <f>IFERROR(IF(VLOOKUP($C363,'C'!$A$1:$N$1998,3,FALSE)=1,"&lt;",""),"")</f>
        <v/>
      </c>
      <c r="M363" s="4" t="str">
        <f t="shared" si="197"/>
        <v/>
      </c>
      <c r="N363" s="4" t="str">
        <f t="shared" si="199"/>
        <v/>
      </c>
      <c r="O363" s="4" t="str">
        <f t="shared" si="197"/>
        <v/>
      </c>
      <c r="P363" s="4" t="str">
        <f t="shared" si="199"/>
        <v/>
      </c>
      <c r="Q363" s="4" t="str">
        <f t="shared" si="197"/>
        <v/>
      </c>
      <c r="R363" s="4" t="str">
        <f t="shared" si="199"/>
        <v/>
      </c>
      <c r="V363" s="4">
        <f>IFERROR(IF(VLOOKUP(B363,E!$B$1:$AK$300,4,FALSE)=0,1000000,VLOOKUP(B363,E!$B$1:$AK$300,4,FALSE)),1000000)</f>
        <v>1000000000</v>
      </c>
      <c r="Z363" s="4" t="str">
        <f t="shared" si="209"/>
        <v/>
      </c>
      <c r="AC363" s="4" t="str">
        <f t="shared" si="210"/>
        <v/>
      </c>
      <c r="AF363" s="4" t="str">
        <f t="shared" si="211"/>
        <v/>
      </c>
      <c r="AI363" s="77">
        <v>0</v>
      </c>
      <c r="AJ363" s="77">
        <v>0</v>
      </c>
      <c r="AK363" s="77">
        <v>1</v>
      </c>
      <c r="AO363" s="4">
        <f t="shared" ref="AO363:AO368" si="212">($AI363+($AJ363*25)+($AK363*10))/($AI363+($AJ363*AO$7)+($AK363*AO$6))</f>
        <v>5</v>
      </c>
      <c r="AQ363" s="4">
        <f t="shared" ref="AQ363:AQ368" si="213">($AI363+($AJ363*25)+($AK363*10))/($AI363+($AJ363*AQ$7)+($AK363*AQ$6))</f>
        <v>5</v>
      </c>
      <c r="AS363" s="4">
        <f t="shared" ref="AS363:AS368" si="214">($AI363+($AJ363*25)+($AK363*10))/($AI363+($AJ363*AS$7)+($AK363*AS$6))</f>
        <v>5</v>
      </c>
      <c r="AV363" s="4" t="str">
        <f t="shared" si="194"/>
        <v/>
      </c>
      <c r="AX363" s="4" t="str">
        <f t="shared" si="192"/>
        <v/>
      </c>
      <c r="AZ363" s="4" t="str">
        <f t="shared" si="193"/>
        <v/>
      </c>
    </row>
    <row r="364" spans="1:52" x14ac:dyDescent="0.2">
      <c r="A364" s="81" t="s">
        <v>854</v>
      </c>
      <c r="B364" s="4">
        <v>1451</v>
      </c>
      <c r="C364" s="4" t="str">
        <f t="shared" si="207"/>
        <v>urn:immetingen:parameter:id:1451</v>
      </c>
      <c r="D364" s="4" t="str">
        <f>IFERROR(IF(VLOOKUP($C364,'C'!$A$1:$N$1998,4,FALSE)=0,IF(VLOOKUP($C364,'C'!$A$1:$N$1998,7,FALSE)=0,VLOOKUP($C364,'C'!$A$1:$N$1998,10,FALSE),VLOOKUP($C364,'C'!$A$1:$N$1998,7,FALSE)),VLOOKUP($C364,'C'!$A$1:$N$1998,4,FALSE)),"")</f>
        <v/>
      </c>
      <c r="E364" s="4" t="str">
        <f>IFERROR(VLOOKUP($C364,'C'!$A$1:$N$1998,2,FALSE),"")</f>
        <v/>
      </c>
      <c r="F364" s="4" t="str">
        <f>IFERROR(IF(VLOOKUP($C364,'C'!$A$1:$N$1998,3,FALSE)=1,"&lt;",""),"")</f>
        <v/>
      </c>
      <c r="G364" s="4" t="str">
        <f>IFERROR(VLOOKUP($C364,'C'!$A$1:$N$1998,2,FALSE),"")</f>
        <v/>
      </c>
      <c r="H364" s="4" t="str">
        <f>IFERROR(IF(VLOOKUP($C364,'C'!$A$1:$N$1998,3,FALSE)=1,"&lt;",""),"")</f>
        <v/>
      </c>
      <c r="I364" s="4" t="str">
        <f>IFERROR(VLOOKUP($C364,'C'!$A$1:$N$1998,2,FALSE),"")</f>
        <v/>
      </c>
      <c r="J364" s="4" t="str">
        <f>IFERROR(IF(VLOOKUP($C364,'C'!$A$1:$N$1998,3,FALSE)=1,"&lt;",""),"")</f>
        <v/>
      </c>
      <c r="M364" s="4" t="str">
        <f t="shared" si="197"/>
        <v/>
      </c>
      <c r="N364" s="4" t="str">
        <f t="shared" si="199"/>
        <v/>
      </c>
      <c r="O364" s="4" t="str">
        <f t="shared" si="197"/>
        <v/>
      </c>
      <c r="P364" s="4" t="str">
        <f t="shared" si="199"/>
        <v/>
      </c>
      <c r="Q364" s="4" t="str">
        <f t="shared" si="197"/>
        <v/>
      </c>
      <c r="R364" s="4" t="str">
        <f t="shared" si="199"/>
        <v/>
      </c>
      <c r="V364" s="4">
        <f>IFERROR(IF(VLOOKUP(B364,E!$B$1:$AK$300,4,FALSE)=0,1000000,VLOOKUP(B364,E!$B$1:$AK$300,4,FALSE)),1000000)</f>
        <v>1000000000</v>
      </c>
      <c r="Z364" s="4" t="str">
        <f t="shared" si="209"/>
        <v/>
      </c>
      <c r="AC364" s="4" t="str">
        <f t="shared" si="210"/>
        <v/>
      </c>
      <c r="AF364" s="4" t="str">
        <f t="shared" si="211"/>
        <v/>
      </c>
      <c r="AI364" s="77">
        <v>0</v>
      </c>
      <c r="AJ364" s="77">
        <v>0</v>
      </c>
      <c r="AK364" s="77">
        <v>1</v>
      </c>
      <c r="AO364" s="4">
        <f t="shared" si="212"/>
        <v>5</v>
      </c>
      <c r="AQ364" s="4">
        <f t="shared" si="213"/>
        <v>5</v>
      </c>
      <c r="AS364" s="4">
        <f t="shared" si="214"/>
        <v>5</v>
      </c>
      <c r="AV364" s="4" t="str">
        <f t="shared" si="194"/>
        <v/>
      </c>
      <c r="AX364" s="4" t="str">
        <f t="shared" si="192"/>
        <v/>
      </c>
      <c r="AZ364" s="4" t="str">
        <f t="shared" si="193"/>
        <v/>
      </c>
    </row>
    <row r="365" spans="1:52" x14ac:dyDescent="0.2">
      <c r="A365" s="81" t="s">
        <v>855</v>
      </c>
      <c r="B365" s="4">
        <v>1544</v>
      </c>
      <c r="C365" s="4" t="str">
        <f t="shared" si="207"/>
        <v>urn:immetingen:parameter:id:1544</v>
      </c>
      <c r="D365" s="4" t="str">
        <f>IFERROR(IF(VLOOKUP($C365,'C'!$A$1:$N$1998,4,FALSE)=0,IF(VLOOKUP($C365,'C'!$A$1:$N$1998,7,FALSE)=0,VLOOKUP($C365,'C'!$A$1:$N$1998,10,FALSE),VLOOKUP($C365,'C'!$A$1:$N$1998,7,FALSE)),VLOOKUP($C365,'C'!$A$1:$N$1998,4,FALSE)),"")</f>
        <v/>
      </c>
      <c r="E365" s="4" t="str">
        <f>IFERROR(VLOOKUP($C365,'C'!$A$1:$N$1998,2,FALSE),"")</f>
        <v/>
      </c>
      <c r="F365" s="4" t="str">
        <f>IFERROR(IF(VLOOKUP($C365,'C'!$A$1:$N$1998,3,FALSE)=1,"&lt;",""),"")</f>
        <v/>
      </c>
      <c r="G365" s="4" t="str">
        <f>IFERROR(VLOOKUP($C365,'C'!$A$1:$N$1998,2,FALSE),"")</f>
        <v/>
      </c>
      <c r="H365" s="4" t="str">
        <f>IFERROR(IF(VLOOKUP($C365,'C'!$A$1:$N$1998,3,FALSE)=1,"&lt;",""),"")</f>
        <v/>
      </c>
      <c r="I365" s="4" t="str">
        <f>IFERROR(VLOOKUP($C365,'C'!$A$1:$N$1998,2,FALSE),"")</f>
        <v/>
      </c>
      <c r="J365" s="4" t="str">
        <f>IFERROR(IF(VLOOKUP($C365,'C'!$A$1:$N$1998,3,FALSE)=1,"&lt;",""),"")</f>
        <v/>
      </c>
      <c r="M365" s="4" t="str">
        <f t="shared" si="197"/>
        <v/>
      </c>
      <c r="N365" s="4" t="str">
        <f t="shared" si="199"/>
        <v/>
      </c>
      <c r="O365" s="4" t="str">
        <f t="shared" si="197"/>
        <v/>
      </c>
      <c r="P365" s="4" t="str">
        <f t="shared" si="199"/>
        <v/>
      </c>
      <c r="Q365" s="4" t="str">
        <f t="shared" si="197"/>
        <v/>
      </c>
      <c r="R365" s="4" t="str">
        <f t="shared" si="199"/>
        <v/>
      </c>
      <c r="V365" s="4">
        <f>IFERROR(IF(VLOOKUP(B365,E!$B$1:$AK$300,4,FALSE)=0,1000000,VLOOKUP(B365,E!$B$1:$AK$300,4,FALSE)),1000000)</f>
        <v>1000000000</v>
      </c>
      <c r="Z365" s="4" t="str">
        <f t="shared" si="209"/>
        <v/>
      </c>
      <c r="AC365" s="4" t="str">
        <f t="shared" si="210"/>
        <v/>
      </c>
      <c r="AF365" s="4" t="str">
        <f t="shared" si="211"/>
        <v/>
      </c>
      <c r="AI365" s="77">
        <v>0</v>
      </c>
      <c r="AJ365" s="77">
        <v>0</v>
      </c>
      <c r="AK365" s="77">
        <v>1</v>
      </c>
      <c r="AO365" s="4">
        <f t="shared" si="212"/>
        <v>5</v>
      </c>
      <c r="AQ365" s="4">
        <f t="shared" si="213"/>
        <v>5</v>
      </c>
      <c r="AS365" s="4">
        <f t="shared" si="214"/>
        <v>5</v>
      </c>
      <c r="AV365" s="4" t="str">
        <f t="shared" si="194"/>
        <v/>
      </c>
      <c r="AX365" s="4" t="str">
        <f t="shared" si="192"/>
        <v/>
      </c>
      <c r="AZ365" s="4" t="str">
        <f t="shared" si="193"/>
        <v/>
      </c>
    </row>
    <row r="366" spans="1:52" x14ac:dyDescent="0.2">
      <c r="A366" s="81" t="s">
        <v>856</v>
      </c>
      <c r="B366" s="4">
        <v>1546</v>
      </c>
      <c r="C366" s="4" t="str">
        <f t="shared" si="207"/>
        <v>urn:immetingen:parameter:id:1546</v>
      </c>
      <c r="D366" s="4" t="str">
        <f>IFERROR(IF(VLOOKUP($C366,'C'!$A$1:$N$1998,4,FALSE)=0,IF(VLOOKUP($C366,'C'!$A$1:$N$1998,7,FALSE)=0,VLOOKUP($C366,'C'!$A$1:$N$1998,10,FALSE),VLOOKUP($C366,'C'!$A$1:$N$1998,7,FALSE)),VLOOKUP($C366,'C'!$A$1:$N$1998,4,FALSE)),"")</f>
        <v/>
      </c>
      <c r="E366" s="4" t="str">
        <f>IFERROR(VLOOKUP($C366,'C'!$A$1:$N$1998,2,FALSE),"")</f>
        <v/>
      </c>
      <c r="F366" s="4" t="str">
        <f>IFERROR(IF(VLOOKUP($C366,'C'!$A$1:$N$1998,3,FALSE)=1,"&lt;",""),"")</f>
        <v/>
      </c>
      <c r="G366" s="4" t="str">
        <f>IFERROR(VLOOKUP($C366,'C'!$A$1:$N$1998,2,FALSE),"")</f>
        <v/>
      </c>
      <c r="H366" s="4" t="str">
        <f>IFERROR(IF(VLOOKUP($C366,'C'!$A$1:$N$1998,3,FALSE)=1,"&lt;",""),"")</f>
        <v/>
      </c>
      <c r="I366" s="4" t="str">
        <f>IFERROR(VLOOKUP($C366,'C'!$A$1:$N$1998,2,FALSE),"")</f>
        <v/>
      </c>
      <c r="J366" s="4" t="str">
        <f>IFERROR(IF(VLOOKUP($C366,'C'!$A$1:$N$1998,3,FALSE)=1,"&lt;",""),"")</f>
        <v/>
      </c>
      <c r="M366" s="4" t="str">
        <f t="shared" si="197"/>
        <v/>
      </c>
      <c r="N366" s="4" t="str">
        <f t="shared" si="199"/>
        <v/>
      </c>
      <c r="O366" s="4" t="str">
        <f t="shared" si="197"/>
        <v/>
      </c>
      <c r="P366" s="4" t="str">
        <f t="shared" si="199"/>
        <v/>
      </c>
      <c r="Q366" s="4" t="str">
        <f t="shared" si="197"/>
        <v/>
      </c>
      <c r="R366" s="4" t="str">
        <f t="shared" si="199"/>
        <v/>
      </c>
      <c r="V366" s="4">
        <f>IFERROR(IF(VLOOKUP(B366,E!$B$1:$AK$300,4,FALSE)=0,1000000,VLOOKUP(B366,E!$B$1:$AK$300,4,FALSE)),1000000)</f>
        <v>1000000000</v>
      </c>
      <c r="Z366" s="4" t="str">
        <f t="shared" si="209"/>
        <v/>
      </c>
      <c r="AC366" s="4" t="str">
        <f t="shared" si="210"/>
        <v/>
      </c>
      <c r="AF366" s="4" t="str">
        <f t="shared" si="211"/>
        <v/>
      </c>
      <c r="AI366" s="77">
        <v>0</v>
      </c>
      <c r="AJ366" s="77">
        <v>0</v>
      </c>
      <c r="AK366" s="77">
        <v>1</v>
      </c>
      <c r="AO366" s="4">
        <f t="shared" si="212"/>
        <v>5</v>
      </c>
      <c r="AQ366" s="4">
        <f t="shared" si="213"/>
        <v>5</v>
      </c>
      <c r="AS366" s="4">
        <f t="shared" si="214"/>
        <v>5</v>
      </c>
      <c r="AV366" s="4" t="str">
        <f t="shared" si="194"/>
        <v/>
      </c>
      <c r="AX366" s="4" t="str">
        <f t="shared" si="192"/>
        <v/>
      </c>
      <c r="AZ366" s="4" t="str">
        <f t="shared" si="193"/>
        <v/>
      </c>
    </row>
    <row r="367" spans="1:52" x14ac:dyDescent="0.2">
      <c r="A367" s="81" t="s">
        <v>857</v>
      </c>
      <c r="B367" s="4">
        <v>254</v>
      </c>
      <c r="C367" s="4" t="str">
        <f t="shared" si="207"/>
        <v>urn:immetingen:parameter:id:254</v>
      </c>
      <c r="D367" s="4" t="str">
        <f>IFERROR(IF(VLOOKUP($C367,'C'!$A$1:$N$1998,4,FALSE)=0,IF(VLOOKUP($C367,'C'!$A$1:$N$1998,7,FALSE)=0,VLOOKUP($C367,'C'!$A$1:$N$1998,10,FALSE),VLOOKUP($C367,'C'!$A$1:$N$1998,7,FALSE)),VLOOKUP($C367,'C'!$A$1:$N$1998,4,FALSE)),"")</f>
        <v/>
      </c>
      <c r="E367" s="4" t="str">
        <f>IFERROR(VLOOKUP($C367,'C'!$A$1:$N$1998,2,FALSE),"")</f>
        <v/>
      </c>
      <c r="F367" s="4" t="str">
        <f>IFERROR(IF(VLOOKUP($C367,'C'!$A$1:$N$1998,3,FALSE)=1,"&lt;",""),"")</f>
        <v/>
      </c>
      <c r="G367" s="4" t="str">
        <f>IFERROR(VLOOKUP($C367,'C'!$A$1:$N$1998,2,FALSE),"")</f>
        <v/>
      </c>
      <c r="H367" s="4" t="str">
        <f>IFERROR(IF(VLOOKUP($C367,'C'!$A$1:$N$1998,3,FALSE)=1,"&lt;",""),"")</f>
        <v/>
      </c>
      <c r="I367" s="4" t="str">
        <f>IFERROR(VLOOKUP($C367,'C'!$A$1:$N$1998,2,FALSE),"")</f>
        <v/>
      </c>
      <c r="J367" s="4" t="str">
        <f>IFERROR(IF(VLOOKUP($C367,'C'!$A$1:$N$1998,3,FALSE)=1,"&lt;",""),"")</f>
        <v/>
      </c>
      <c r="M367" s="4" t="str">
        <f t="shared" si="197"/>
        <v/>
      </c>
      <c r="N367" s="4" t="str">
        <f t="shared" si="199"/>
        <v/>
      </c>
      <c r="O367" s="4" t="str">
        <f t="shared" si="197"/>
        <v/>
      </c>
      <c r="P367" s="4" t="str">
        <f t="shared" si="199"/>
        <v/>
      </c>
      <c r="Q367" s="4" t="str">
        <f t="shared" si="197"/>
        <v/>
      </c>
      <c r="R367" s="4" t="str">
        <f t="shared" si="199"/>
        <v/>
      </c>
      <c r="V367" s="4">
        <f>IFERROR(IF(VLOOKUP(B367,E!$B$1:$AK$300,4,FALSE)=0,1000000,VLOOKUP(B367,E!$B$1:$AK$300,4,FALSE)),1000000)</f>
        <v>1000000000</v>
      </c>
      <c r="Z367" s="4" t="str">
        <f t="shared" si="209"/>
        <v/>
      </c>
      <c r="AC367" s="4" t="str">
        <f t="shared" si="210"/>
        <v/>
      </c>
      <c r="AF367" s="4" t="str">
        <f t="shared" si="211"/>
        <v/>
      </c>
      <c r="AI367" s="77">
        <v>0</v>
      </c>
      <c r="AJ367" s="77">
        <v>0</v>
      </c>
      <c r="AK367" s="77">
        <v>1</v>
      </c>
      <c r="AO367" s="4">
        <f t="shared" si="212"/>
        <v>5</v>
      </c>
      <c r="AQ367" s="4">
        <f t="shared" si="213"/>
        <v>5</v>
      </c>
      <c r="AS367" s="4">
        <f t="shared" si="214"/>
        <v>5</v>
      </c>
      <c r="AV367" s="4" t="str">
        <f t="shared" si="194"/>
        <v/>
      </c>
      <c r="AX367" s="4" t="str">
        <f t="shared" si="192"/>
        <v/>
      </c>
      <c r="AZ367" s="4" t="str">
        <f t="shared" si="193"/>
        <v/>
      </c>
    </row>
    <row r="368" spans="1:52" x14ac:dyDescent="0.2">
      <c r="A368" s="81" t="s">
        <v>858</v>
      </c>
      <c r="B368" s="4">
        <v>785</v>
      </c>
      <c r="C368" s="4" t="str">
        <f t="shared" si="207"/>
        <v>urn:immetingen:parameter:id:785</v>
      </c>
      <c r="D368" s="4" t="str">
        <f>IFERROR(IF(VLOOKUP($C368,'C'!$A$1:$N$1998,4,FALSE)=0,IF(VLOOKUP($C368,'C'!$A$1:$N$1998,7,FALSE)=0,VLOOKUP($C368,'C'!$A$1:$N$1998,10,FALSE),VLOOKUP($C368,'C'!$A$1:$N$1998,7,FALSE)),VLOOKUP($C368,'C'!$A$1:$N$1998,4,FALSE)),"")</f>
        <v/>
      </c>
      <c r="E368" s="4" t="str">
        <f>IFERROR(VLOOKUP($C368,'C'!$A$1:$N$1998,2,FALSE),"")</f>
        <v/>
      </c>
      <c r="F368" s="4" t="str">
        <f>IFERROR(IF(VLOOKUP($C368,'C'!$A$1:$N$1998,3,FALSE)=1,"&lt;",""),"")</f>
        <v/>
      </c>
      <c r="G368" s="4" t="str">
        <f>IFERROR(VLOOKUP($C368,'C'!$A$1:$N$1998,2,FALSE),"")</f>
        <v/>
      </c>
      <c r="H368" s="4" t="str">
        <f>IFERROR(IF(VLOOKUP($C368,'C'!$A$1:$N$1998,3,FALSE)=1,"&lt;",""),"")</f>
        <v/>
      </c>
      <c r="I368" s="4" t="str">
        <f>IFERROR(VLOOKUP($C368,'C'!$A$1:$N$1998,2,FALSE),"")</f>
        <v/>
      </c>
      <c r="J368" s="4" t="str">
        <f>IFERROR(IF(VLOOKUP($C368,'C'!$A$1:$N$1998,3,FALSE)=1,"&lt;",""),"")</f>
        <v/>
      </c>
      <c r="M368" s="4" t="str">
        <f t="shared" si="197"/>
        <v/>
      </c>
      <c r="N368" s="4" t="str">
        <f t="shared" si="199"/>
        <v/>
      </c>
      <c r="P368" s="4" t="str">
        <f t="shared" si="199"/>
        <v/>
      </c>
      <c r="Q368" s="4" t="str">
        <f t="shared" si="197"/>
        <v/>
      </c>
      <c r="R368" s="4" t="str">
        <f t="shared" si="199"/>
        <v/>
      </c>
      <c r="V368" s="4">
        <f>IFERROR(IF(VLOOKUP(B368,E!$B$1:$AK$300,4,FALSE)=0,1000000,VLOOKUP(B368,E!$B$1:$AK$300,4,FALSE)),1000000)</f>
        <v>1000000000</v>
      </c>
      <c r="Z368" s="4" t="str">
        <f t="shared" si="209"/>
        <v/>
      </c>
      <c r="AC368" s="4" t="str">
        <f t="shared" si="210"/>
        <v/>
      </c>
      <c r="AF368" s="4" t="str">
        <f t="shared" si="211"/>
        <v/>
      </c>
      <c r="AI368" s="77">
        <v>0</v>
      </c>
      <c r="AJ368" s="77">
        <v>0</v>
      </c>
      <c r="AK368" s="77">
        <v>1</v>
      </c>
      <c r="AO368" s="4">
        <f t="shared" si="212"/>
        <v>5</v>
      </c>
      <c r="AQ368" s="4">
        <f t="shared" si="213"/>
        <v>5</v>
      </c>
      <c r="AS368" s="4">
        <f t="shared" si="214"/>
        <v>5</v>
      </c>
      <c r="AV368" s="4" t="str">
        <f t="shared" si="194"/>
        <v/>
      </c>
      <c r="AX368" s="4">
        <f t="shared" si="192"/>
        <v>0</v>
      </c>
      <c r="AZ368" s="4" t="str">
        <f t="shared" si="193"/>
        <v/>
      </c>
    </row>
    <row r="369" spans="26:32" x14ac:dyDescent="0.2">
      <c r="Z369" s="4" t="str">
        <f t="shared" si="204"/>
        <v/>
      </c>
      <c r="AF369" s="4" t="str">
        <f t="shared" ref="AF369" si="215">IF(S369="","",IF(AND(T369="&lt;",S369&lt;=$V369),-1,(IF(S369="&lt;",0.7*S369,S369))))</f>
        <v/>
      </c>
    </row>
    <row r="401" spans="52:52" x14ac:dyDescent="0.2">
      <c r="AZ401" s="4" t="s">
        <v>408</v>
      </c>
    </row>
    <row r="402" spans="52:52" x14ac:dyDescent="0.2">
      <c r="AZ402" s="4" t="s">
        <v>409</v>
      </c>
    </row>
    <row r="437" spans="52:52" x14ac:dyDescent="0.2">
      <c r="AZ437" s="4" t="s">
        <v>408</v>
      </c>
    </row>
    <row r="438" spans="52:52" x14ac:dyDescent="0.2">
      <c r="AZ438" s="4" t="s">
        <v>409</v>
      </c>
    </row>
    <row r="473" spans="52:52" x14ac:dyDescent="0.2">
      <c r="AZ473" s="4" t="s">
        <v>408</v>
      </c>
    </row>
    <row r="474" spans="52:52" x14ac:dyDescent="0.2">
      <c r="AZ474" s="4" t="s">
        <v>409</v>
      </c>
    </row>
    <row r="509" spans="52:52" x14ac:dyDescent="0.2">
      <c r="AZ509" s="4" t="s">
        <v>408</v>
      </c>
    </row>
    <row r="510" spans="52:52" x14ac:dyDescent="0.2">
      <c r="AZ510" s="4" t="s">
        <v>409</v>
      </c>
    </row>
    <row r="545" spans="52:52" x14ac:dyDescent="0.2">
      <c r="AZ545" s="4" t="s">
        <v>408</v>
      </c>
    </row>
    <row r="546" spans="52:52" x14ac:dyDescent="0.2">
      <c r="AZ546" s="4" t="s">
        <v>409</v>
      </c>
    </row>
    <row r="581" spans="52:52" x14ac:dyDescent="0.2">
      <c r="AZ581" s="4" t="s">
        <v>408</v>
      </c>
    </row>
    <row r="582" spans="52:52" x14ac:dyDescent="0.2">
      <c r="AZ582" s="4" t="s">
        <v>409</v>
      </c>
    </row>
    <row r="617" spans="52:52" x14ac:dyDescent="0.2">
      <c r="AZ617" s="4" t="s">
        <v>408</v>
      </c>
    </row>
    <row r="618" spans="52:52" x14ac:dyDescent="0.2">
      <c r="AZ618" s="4" t="s">
        <v>409</v>
      </c>
    </row>
    <row r="653" spans="52:52" x14ac:dyDescent="0.2">
      <c r="AZ653" s="4" t="s">
        <v>408</v>
      </c>
    </row>
    <row r="654" spans="52:52" x14ac:dyDescent="0.2">
      <c r="AZ654" s="4" t="s">
        <v>409</v>
      </c>
    </row>
    <row r="689" spans="52:52" x14ac:dyDescent="0.2">
      <c r="AZ689" s="4" t="s">
        <v>408</v>
      </c>
    </row>
    <row r="690" spans="52:52" x14ac:dyDescent="0.2">
      <c r="AZ690" s="4" t="s">
        <v>409</v>
      </c>
    </row>
    <row r="725" spans="52:54" x14ac:dyDescent="0.2">
      <c r="AZ725" s="4" t="s">
        <v>408</v>
      </c>
    </row>
    <row r="726" spans="52:54" x14ac:dyDescent="0.2">
      <c r="AZ726" s="4" t="s">
        <v>409</v>
      </c>
    </row>
    <row r="761" spans="52:52" x14ac:dyDescent="0.2">
      <c r="AZ761" s="4" t="s">
        <v>408</v>
      </c>
    </row>
    <row r="762" spans="52:52" x14ac:dyDescent="0.2">
      <c r="AZ762" s="4" t="s">
        <v>409</v>
      </c>
    </row>
    <row r="797" spans="52:52" x14ac:dyDescent="0.2">
      <c r="AZ797" s="4" t="s">
        <v>408</v>
      </c>
    </row>
    <row r="798" spans="52:52" x14ac:dyDescent="0.2">
      <c r="AZ798" s="4" t="s">
        <v>409</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333" activePane="bottomRight" state="frozen"/>
      <selection pane="topRight"/>
      <selection pane="bottomLeft"/>
      <selection pane="bottomRight" activeCell="W369" sqref="W369"/>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9" width="4.7109375" style="5" customWidth="1"/>
    <col min="20" max="20" width="8.85546875" style="4"/>
    <col min="21" max="22" width="4.7109375" style="5" customWidth="1"/>
    <col min="23" max="23" width="8.85546875" style="4"/>
    <col min="24" max="25" width="4.7109375" style="5" customWidth="1"/>
    <col min="26" max="34" width="8.85546875" style="4"/>
    <col min="35" max="35" width="8.85546875" style="6"/>
    <col min="36" max="36" width="9.85546875" style="6" bestFit="1" customWidth="1"/>
    <col min="37" max="37" width="8.85546875" style="6"/>
    <col min="38" max="38" width="9.85546875" style="6" bestFit="1" customWidth="1"/>
    <col min="39" max="39" width="8.85546875" style="6"/>
    <col min="40" max="40" width="9.85546875" style="6"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6"/>
    <col min="57" max="57" width="3.28515625" style="6" customWidth="1"/>
    <col min="58" max="58" width="5.7109375" style="6" customWidth="1"/>
    <col min="59" max="59" width="5.7109375" style="4" customWidth="1"/>
    <col min="60" max="16384" width="8.85546875" style="4"/>
  </cols>
  <sheetData>
    <row r="1" spans="1:59" x14ac:dyDescent="0.2">
      <c r="AP1" s="33" t="s">
        <v>816</v>
      </c>
      <c r="AQ1" s="6"/>
      <c r="AR1" s="6"/>
      <c r="AS1" s="6"/>
      <c r="AW1" s="6"/>
      <c r="AX1" s="6"/>
      <c r="AY1" s="6"/>
      <c r="AZ1" s="6"/>
      <c r="BA1" s="6"/>
      <c r="BB1" s="6"/>
      <c r="BC1" s="6"/>
    </row>
    <row r="2" spans="1:59" x14ac:dyDescent="0.2">
      <c r="B2" s="8">
        <f>IF(Invoer!C16=0,99,Invoer!C16)</f>
        <v>1</v>
      </c>
      <c r="C2" s="8"/>
      <c r="D2" s="8">
        <f>IF(Invoer!E16=0,99,Invoer!E16)</f>
        <v>2</v>
      </c>
      <c r="E2" s="8"/>
      <c r="F2" s="8">
        <f>IF(Invoer!G16=0,99,Invoer!G16)</f>
        <v>3</v>
      </c>
      <c r="G2" s="8"/>
      <c r="H2" s="8"/>
      <c r="I2" s="8" t="s">
        <v>814</v>
      </c>
      <c r="J2" s="13"/>
      <c r="K2" s="8"/>
      <c r="L2" s="8"/>
      <c r="M2" s="8"/>
      <c r="N2" s="8"/>
      <c r="P2" s="4" t="s">
        <v>193</v>
      </c>
      <c r="AA2" s="4" t="s">
        <v>2085</v>
      </c>
      <c r="AE2" s="4" t="s">
        <v>2089</v>
      </c>
      <c r="AI2" s="14" t="s">
        <v>142</v>
      </c>
      <c r="AJ2" s="14"/>
      <c r="AP2" s="6" t="s">
        <v>154</v>
      </c>
      <c r="AQ2" s="6"/>
      <c r="AR2" s="6" t="s">
        <v>936</v>
      </c>
      <c r="AS2" s="6"/>
      <c r="AT2" s="6" t="s">
        <v>942</v>
      </c>
      <c r="AU2" s="6" t="s">
        <v>2138</v>
      </c>
      <c r="AV2" s="6" t="s">
        <v>154</v>
      </c>
      <c r="AW2" s="6"/>
      <c r="AX2" s="6" t="s">
        <v>936</v>
      </c>
      <c r="AY2" s="6"/>
      <c r="AZ2" s="6" t="s">
        <v>942</v>
      </c>
      <c r="BA2" s="6" t="s">
        <v>2138</v>
      </c>
      <c r="BB2" s="6" t="s">
        <v>154</v>
      </c>
      <c r="BC2" s="6"/>
      <c r="BD2" s="6" t="s">
        <v>936</v>
      </c>
      <c r="BF2" s="6" t="s">
        <v>942</v>
      </c>
      <c r="BG2" s="6" t="s">
        <v>2138</v>
      </c>
    </row>
    <row r="3" spans="1:59" x14ac:dyDescent="0.2">
      <c r="B3" s="8"/>
      <c r="C3" s="8"/>
      <c r="D3" s="8"/>
      <c r="E3" s="8"/>
      <c r="F3" s="8"/>
      <c r="G3" s="8"/>
      <c r="H3" s="8"/>
      <c r="I3" s="8"/>
      <c r="J3" s="13"/>
      <c r="K3" s="8"/>
      <c r="L3" s="8"/>
      <c r="M3" s="8"/>
      <c r="N3" s="8"/>
      <c r="P3" s="4" t="s">
        <v>937</v>
      </c>
      <c r="AA3" s="11"/>
      <c r="AI3" s="33" t="s">
        <v>809</v>
      </c>
      <c r="AJ3" s="14"/>
      <c r="AK3" s="6" t="s">
        <v>810</v>
      </c>
      <c r="AM3" s="6" t="s">
        <v>811</v>
      </c>
      <c r="AP3" s="6">
        <f>HLOOKUP(SMALL($B$2:$G$2,1),$B$2:$G$286,1,FALSE)</f>
        <v>1</v>
      </c>
      <c r="AQ3" s="6"/>
      <c r="AR3" s="6"/>
      <c r="AS3" s="6"/>
      <c r="AT3" s="6"/>
      <c r="AU3" s="6"/>
      <c r="AV3" s="6">
        <f>HLOOKUP(SMALL($B$2:$G$2,2),$B$2:$G$276,1,FALSE)</f>
        <v>2</v>
      </c>
      <c r="AW3" s="6"/>
      <c r="AX3" s="6"/>
      <c r="AY3" s="6"/>
      <c r="AZ3" s="6"/>
      <c r="BA3" s="6"/>
      <c r="BB3" s="6">
        <f>HLOOKUP(SMALL($B$2:$G$2,3),$B$2:$G$276,1,FALSE)</f>
        <v>3</v>
      </c>
      <c r="BC3" s="6"/>
    </row>
    <row r="4" spans="1:59" x14ac:dyDescent="0.2">
      <c r="C4" s="8">
        <f>B2</f>
        <v>1</v>
      </c>
      <c r="E4" s="8">
        <f>D2</f>
        <v>2</v>
      </c>
      <c r="G4" s="8">
        <f>F2</f>
        <v>3</v>
      </c>
      <c r="H4" s="8"/>
      <c r="I4" s="8">
        <f>B2</f>
        <v>1</v>
      </c>
      <c r="J4" s="8"/>
      <c r="K4" s="8">
        <f>D2</f>
        <v>2</v>
      </c>
      <c r="L4" s="8"/>
      <c r="M4" s="8">
        <f>F2</f>
        <v>3</v>
      </c>
      <c r="N4" s="8"/>
      <c r="Q4" s="8">
        <f>B2</f>
        <v>1</v>
      </c>
      <c r="R4" s="93">
        <f>Q4+0.1</f>
        <v>1.1000000000000001</v>
      </c>
      <c r="S4" s="93">
        <f>Q4+0.2</f>
        <v>1.2</v>
      </c>
      <c r="T4" s="8">
        <f>D2</f>
        <v>2</v>
      </c>
      <c r="U4" s="93">
        <f>T4+0.1</f>
        <v>2.1</v>
      </c>
      <c r="V4" s="93">
        <f>T4+0.2</f>
        <v>2.2000000000000002</v>
      </c>
      <c r="W4" s="8">
        <f>F2</f>
        <v>3</v>
      </c>
      <c r="X4" s="93">
        <f>W4+0.1</f>
        <v>3.1</v>
      </c>
      <c r="Y4" s="93">
        <f>W4+0.2</f>
        <v>3.2</v>
      </c>
      <c r="AA4" s="8">
        <f>B2</f>
        <v>1</v>
      </c>
      <c r="AB4" s="8">
        <f>D2</f>
        <v>2</v>
      </c>
      <c r="AC4" s="8">
        <f>F2</f>
        <v>3</v>
      </c>
      <c r="AD4" s="8"/>
      <c r="AE4" s="8">
        <f>B2</f>
        <v>1</v>
      </c>
      <c r="AF4" s="8">
        <f>D2</f>
        <v>2</v>
      </c>
      <c r="AG4" s="8">
        <f>F2</f>
        <v>3</v>
      </c>
      <c r="AI4" s="87">
        <f>B2</f>
        <v>1</v>
      </c>
      <c r="AJ4" s="88">
        <f>AI4+0.1</f>
        <v>1.1000000000000001</v>
      </c>
      <c r="AK4" s="87">
        <f>D2</f>
        <v>2</v>
      </c>
      <c r="AL4" s="88">
        <f>AK4+0.1</f>
        <v>2.1</v>
      </c>
      <c r="AM4" s="87">
        <f>F2</f>
        <v>3</v>
      </c>
      <c r="AN4" s="88">
        <f>AM4+0.1</f>
        <v>3.1</v>
      </c>
      <c r="AP4" s="6"/>
      <c r="AQ4" s="6">
        <f>AP3</f>
        <v>1</v>
      </c>
      <c r="AR4" s="6">
        <f>AP3</f>
        <v>1</v>
      </c>
      <c r="AS4" s="6">
        <f>AP3</f>
        <v>1</v>
      </c>
      <c r="AT4" s="6">
        <f>AP3</f>
        <v>1</v>
      </c>
      <c r="AU4" s="6">
        <f>AP3</f>
        <v>1</v>
      </c>
      <c r="AV4" s="6"/>
      <c r="AW4" s="6">
        <f>AV3</f>
        <v>2</v>
      </c>
      <c r="AX4" s="6">
        <f>AV3</f>
        <v>2</v>
      </c>
      <c r="AY4" s="6">
        <f>AV3</f>
        <v>2</v>
      </c>
      <c r="AZ4" s="6">
        <f>AV3</f>
        <v>2</v>
      </c>
      <c r="BA4" s="6">
        <f>AV3</f>
        <v>2</v>
      </c>
      <c r="BB4" s="6"/>
      <c r="BC4" s="6">
        <f>BB3</f>
        <v>3</v>
      </c>
      <c r="BD4" s="6">
        <f>BB3</f>
        <v>3</v>
      </c>
      <c r="BE4" s="6">
        <f>BB3</f>
        <v>3</v>
      </c>
      <c r="BF4" s="6">
        <f>BB3</f>
        <v>3</v>
      </c>
      <c r="BG4" s="4">
        <f>BB3</f>
        <v>3</v>
      </c>
    </row>
    <row r="5" spans="1:59" x14ac:dyDescent="0.2">
      <c r="B5" s="4" t="str">
        <f>Invoer!C18</f>
        <v>MM04</v>
      </c>
      <c r="D5" s="4" t="str">
        <f>Invoer!E18</f>
        <v>MM05</v>
      </c>
      <c r="F5" s="4" t="str">
        <f>Invoer!G18</f>
        <v>MM06</v>
      </c>
      <c r="J5" s="8">
        <f>I4</f>
        <v>1</v>
      </c>
      <c r="L5" s="8">
        <f>K4</f>
        <v>2</v>
      </c>
      <c r="N5" s="8">
        <f>M4</f>
        <v>3</v>
      </c>
      <c r="Q5" s="15"/>
      <c r="AA5" s="4" t="s">
        <v>182</v>
      </c>
      <c r="AE5" s="4" t="s">
        <v>182</v>
      </c>
      <c r="AI5" s="6" t="s">
        <v>154</v>
      </c>
      <c r="AJ5" s="6" t="s">
        <v>936</v>
      </c>
      <c r="AK5" s="6" t="s">
        <v>154</v>
      </c>
      <c r="AL5" s="6" t="s">
        <v>936</v>
      </c>
      <c r="AM5" s="6" t="s">
        <v>154</v>
      </c>
      <c r="AN5" s="6" t="s">
        <v>936</v>
      </c>
      <c r="AP5" s="33" t="str">
        <f>HLOOKUP(SMALL($B$2:$G$2,1),$B$2:$G$276,ROW(AP5),FALSE)</f>
        <v>MM04 04 (100-150) 05 (100-150)</v>
      </c>
      <c r="AQ5" s="33"/>
      <c r="AR5" s="33"/>
      <c r="AS5" s="33"/>
      <c r="AT5" s="33"/>
      <c r="AU5" s="33"/>
      <c r="AV5" s="33" t="str">
        <f>HLOOKUP(SMALL($B$2:$G$2,2),$B$2:$G$286,ROW(AV5),FALSE)</f>
        <v>MM05 04 (150-200) 05 (150-200)</v>
      </c>
      <c r="AW5" s="33"/>
      <c r="AX5" s="33"/>
      <c r="AY5" s="33"/>
      <c r="AZ5" s="33"/>
      <c r="BA5" s="33"/>
      <c r="BB5" s="33" t="str">
        <f>HLOOKUP(SMALL($B$2:$G$2,3),$B$2:$G$286,ROW(BB5),FALSE)</f>
        <v>MM06 04 (200-250) 04 (250-300) 05 (200-250) 05 (250-300)</v>
      </c>
      <c r="BC5" s="33"/>
    </row>
    <row r="6" spans="1:59" x14ac:dyDescent="0.2">
      <c r="B6" s="4" t="str">
        <f>F!E4</f>
        <v>MM04 04 (100-150) 05 (100-150)</v>
      </c>
      <c r="D6" s="4" t="str">
        <f>F!G4</f>
        <v>MM05 04 (150-200) 05 (150-200)</v>
      </c>
      <c r="F6" s="4" t="str">
        <f>F!I4</f>
        <v>MM06 04 (200-250) 04 (250-300) 05 (200-250) 05 (250-300)</v>
      </c>
      <c r="I6" s="4" t="s">
        <v>809</v>
      </c>
      <c r="K6" s="4" t="s">
        <v>810</v>
      </c>
      <c r="M6" s="4" t="s">
        <v>811</v>
      </c>
      <c r="Q6" s="4" t="s">
        <v>809</v>
      </c>
      <c r="R6" s="5" t="s">
        <v>2137</v>
      </c>
      <c r="S6" s="5" t="s">
        <v>2138</v>
      </c>
      <c r="T6" s="4" t="s">
        <v>810</v>
      </c>
      <c r="U6" s="5" t="s">
        <v>2137</v>
      </c>
      <c r="V6" s="5" t="s">
        <v>2138</v>
      </c>
      <c r="W6" s="4" t="s">
        <v>811</v>
      </c>
      <c r="X6" s="5" t="s">
        <v>2137</v>
      </c>
      <c r="Y6" s="5" t="s">
        <v>2138</v>
      </c>
      <c r="AA6" s="4" t="s">
        <v>183</v>
      </c>
      <c r="AE6" s="4" t="s">
        <v>183</v>
      </c>
      <c r="AP6" s="33" t="str">
        <f>HLOOKUP(SMALL($B$2:$G$2,1),$B$2:$G$6,4,FALSE)</f>
        <v>MM04</v>
      </c>
      <c r="AQ6" s="6"/>
      <c r="AR6" s="6"/>
      <c r="AS6" s="6"/>
      <c r="AT6" s="33"/>
      <c r="AU6" s="33"/>
      <c r="AV6" s="33" t="str">
        <f>HLOOKUP(SMALL($B$2:$G$2,2),$B$2:$G$6,4,FALSE)</f>
        <v>MM05</v>
      </c>
      <c r="AW6" s="6"/>
      <c r="AX6" s="6"/>
      <c r="AY6" s="6"/>
      <c r="AZ6" s="33"/>
      <c r="BA6" s="33"/>
      <c r="BB6" s="33" t="str">
        <f>HLOOKUP(SMALL($B$2:$G$2,3),$B$2:$G$6,4,FALSE)</f>
        <v>MM06</v>
      </c>
      <c r="BC6" s="6"/>
    </row>
    <row r="7" spans="1:59" x14ac:dyDescent="0.2">
      <c r="A7" s="4" t="str">
        <f>F!A7</f>
        <v>Droge stof (gew.%)</v>
      </c>
      <c r="B7" s="6">
        <f>IF(ISNUMBER(F!E7)=FALSE,"--",IF(F!E7=0,"--",F!E7))</f>
        <v>78.5</v>
      </c>
      <c r="D7" s="6">
        <f>IF(ISNUMBER(F!G7)=FALSE,"--",IF(F!G7=0,"--",F!G7))</f>
        <v>79.5</v>
      </c>
      <c r="F7" s="6">
        <f>IF(ISNUMBER(F!I7)=FALSE,"--",IF(F!I7=0,"--",F!I7))</f>
        <v>76.900000000000006</v>
      </c>
      <c r="P7" s="4" t="str">
        <f>IFERROR(IF(VLOOKUP(F!$B7,E!$B$1:$AK$300,5,FALSE)+VLOOKUP(F!$B7,E!$B$1:$AK$300,6,FALSE)+VLOOKUP(F!$B7,E!$B$1:$AK$300,7,FALSE)+VLOOKUP(F!$B7,E!$B$1:$AK$300,8,FALSE)&lt;&gt;4000000000,"toetsen","niet toetsen"),"")</f>
        <v/>
      </c>
      <c r="Q7" s="6"/>
      <c r="T7" s="6"/>
      <c r="W7" s="6"/>
      <c r="AI7" s="16">
        <f>B7</f>
        <v>78.5</v>
      </c>
      <c r="AJ7" s="16">
        <f>AI7</f>
        <v>78.5</v>
      </c>
      <c r="AK7" s="16">
        <f>D7</f>
        <v>79.5</v>
      </c>
      <c r="AL7" s="16">
        <f>AK7</f>
        <v>79.5</v>
      </c>
      <c r="AM7" s="16">
        <f>F7</f>
        <v>76.900000000000006</v>
      </c>
      <c r="AN7" s="16">
        <f>AM7</f>
        <v>76.900000000000006</v>
      </c>
      <c r="AP7" s="6">
        <f>HLOOKUP(SMALL($AI$4:$AN$4,1),$AI$4:$AN$501,ROW(AP7)-3,FALSE)</f>
        <v>78.5</v>
      </c>
      <c r="AQ7" s="6" t="str">
        <f>IF(HLOOKUP(SMALL($C$4:$G$4,1),$C$4:$G$501,ROW(AP7)-3,FALSE)="&lt;","&lt;","")</f>
        <v/>
      </c>
      <c r="AR7" s="6">
        <f>HLOOKUP(SMALL($AI$4:$AN$4,2),$AI$4:$AN$501,ROW(AP7)-3,FALSE)</f>
        <v>78.5</v>
      </c>
      <c r="AS7" s="6" t="str">
        <f>IF(AR7="rg","&lt;","")</f>
        <v/>
      </c>
      <c r="AT7" s="6" t="str">
        <f>IF(AR7="--","",IF(HLOOKUP(SMALL($Q$4:$Y$4,2),$Q$4:$Y$501,ROW(AP7)-3,FALSE)=0,"",HLOOKUP(SMALL($Q$4:$Y$4,2),$Q$4:$Y$501,ROW(AP7)-3,FALSE)))</f>
        <v/>
      </c>
      <c r="AU7" s="6" t="str">
        <f>IFERROR(IF(AR7="--","",IF(HLOOKUP(SMALL($Q$4:$Y$4,3),$Q$4:$Y$501,ROW(AP7)-3,FALSE)=0,"",IF(HLOOKUP(SMALL($Q$4:$Y$4,3),$Q$4:$Y$501,ROW(AP7)-3,FALSE)="nee",VLOOKUP("De kwaliteitseis emissiearme grond (maximale concentratie) wordt overschreden.",H!$O$10:'H'!$P$59,2,FALSE),""))),"")</f>
        <v/>
      </c>
      <c r="AV7" s="6">
        <f t="shared" ref="AV7:AV70" si="0">HLOOKUP(SMALL($AI$4:$AN$4,3),$AI$4:$AN$501,ROW(AP7)-3,FALSE)</f>
        <v>79.5</v>
      </c>
      <c r="AW7" s="6" t="str">
        <f t="shared" ref="AW7:AW70" si="1">IF(HLOOKUP(SMALL($C$4:$G$4,2),$C$4:$G$501,ROW(AP7)-3,FALSE)="&lt;","&lt;","")</f>
        <v/>
      </c>
      <c r="AX7" s="6">
        <f t="shared" ref="AX7:AX70" si="2">HLOOKUP(SMALL($AI$4:$AN$4,4),$AI$4:$AN$501,ROW(AP7)-3,FALSE)</f>
        <v>79.5</v>
      </c>
      <c r="AY7" s="6" t="str">
        <f>IF(AX7="rg","&lt;","")</f>
        <v/>
      </c>
      <c r="AZ7" s="6" t="str">
        <f>IF(AX7="--","",IF(HLOOKUP(SMALL($Q$4:$Y$4,5),$Q$4:$Y$501,ROW(AP7)-3,FALSE)=0,"",HLOOKUP(SMALL($Q$4:$Y$4,5),$Q$4:$Y$501,ROW(AP7)-3,FALSE)))</f>
        <v/>
      </c>
      <c r="BA7" s="6" t="str">
        <f>IFERROR(IF(AR7="--","",IF(HLOOKUP(SMALL($Q$4:$Y$4,6),$Q$4:$Y$501,ROW(AP7)-3,FALSE)=0,"",IF(HLOOKUP(SMALL($Q$4:$Y$4,6),$Q$4:$Y$501,ROW(AP7)-3,FALSE)="nee",VLOOKUP("De kwaliteitseis emissiearme grond (maximale concentratie) wordt overschreden.",H!$O$10:'H'!$P$59,2,FALSE),""))),"")</f>
        <v/>
      </c>
      <c r="BB7" s="6">
        <f t="shared" ref="BB7:BB70" si="3">HLOOKUP(SMALL($AI$4:$AN$4,5),$AI$4:$AN$501,ROW(AP7)-3,FALSE)</f>
        <v>76.900000000000006</v>
      </c>
      <c r="BC7" s="6" t="str">
        <f t="shared" ref="BC7:BC70" si="4">IF(HLOOKUP(SMALL($C$4:$G$4,3),$C$4:$G$501,ROW(AP7)-3,FALSE)="&lt;","&lt;","")</f>
        <v/>
      </c>
      <c r="BD7" s="6">
        <f t="shared" ref="BD7:BD70" si="5">HLOOKUP(SMALL($AI$4:$AN$4,6),$AI$4:$AN$501,ROW(AP7)-3,FALSE)</f>
        <v>76.900000000000006</v>
      </c>
      <c r="BE7" s="6" t="str">
        <f>IF(BD7="rg","&lt;","")</f>
        <v/>
      </c>
      <c r="BF7" s="6"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6">
        <f>IF(ISNUMBER(F!E8)=FALSE,"--",IF(F!E8=0,"--",F!E8))</f>
        <v>0.2</v>
      </c>
      <c r="C8" s="6" t="str">
        <f>IF(B8="--","",F!F8)</f>
        <v/>
      </c>
      <c r="D8" s="6">
        <f>IF(ISNUMBER(F!G8)=FALSE,"--",IF(F!G8=0,"--",F!G8))</f>
        <v>1.2</v>
      </c>
      <c r="E8" s="6" t="str">
        <f>IF(D8="--","",F!H8)</f>
        <v/>
      </c>
      <c r="F8" s="6">
        <f>IF(ISNUMBER(F!I8)=FALSE,"--",IF(F!I8=0,"--",F!I8))</f>
        <v>1.4</v>
      </c>
      <c r="G8" s="6" t="str">
        <f>IF(F8="--","",F!J8)</f>
        <v/>
      </c>
      <c r="H8" s="6"/>
      <c r="I8" s="6"/>
      <c r="J8" s="6"/>
      <c r="K8" s="6"/>
      <c r="L8" s="6"/>
      <c r="M8" s="6"/>
      <c r="N8" s="6"/>
      <c r="P8" s="4" t="str">
        <f>IFERROR(IF(VLOOKUP(F!$B8,E!$B$1:$AK$300,5,FALSE)+VLOOKUP(F!$B8,E!$B$1:$AK$300,6,FALSE)+VLOOKUP(F!$B8,E!$B$1:$AK$300,7,FALSE)+VLOOKUP(F!$B8,E!$B$1:$AK$300,8,FALSE)&lt;&gt;4000000000,"toetsen","niet toetsen"),"")</f>
        <v/>
      </c>
      <c r="Q8" s="6"/>
      <c r="T8" s="6"/>
      <c r="W8" s="6"/>
      <c r="AI8" s="16">
        <f>B8</f>
        <v>0.2</v>
      </c>
      <c r="AJ8" s="16">
        <f>IF(AI8="--","--",10)</f>
        <v>10</v>
      </c>
      <c r="AK8" s="16">
        <f>D8</f>
        <v>1.2</v>
      </c>
      <c r="AL8" s="16">
        <f>IF(AK8="--","--",10)</f>
        <v>10</v>
      </c>
      <c r="AM8" s="16">
        <f>F8</f>
        <v>1.4</v>
      </c>
      <c r="AN8" s="16">
        <f>IF(AM8="--","--",10)</f>
        <v>10</v>
      </c>
      <c r="AP8" s="6">
        <f t="shared" ref="AP8:AP71" si="6">HLOOKUP(SMALL($AI$4:$AN$4,1),$AI$4:$AN$501,ROW(AP8)-3,FALSE)</f>
        <v>0.2</v>
      </c>
      <c r="AQ8" s="6" t="str">
        <f t="shared" ref="AQ8:AQ71" si="7">IF(HLOOKUP(SMALL($C$4:$G$4,1),$C$4:$G$501,ROW(AP8)-3,FALSE)="&lt;","&lt;","")</f>
        <v/>
      </c>
      <c r="AR8" s="6">
        <f t="shared" ref="AR8:AR71" si="8">HLOOKUP(SMALL($AI$4:$AN$4,2),$AI$4:$AN$501,ROW(AP8)-3,FALSE)</f>
        <v>10</v>
      </c>
      <c r="AS8" s="6" t="str">
        <f t="shared" ref="AS8:AS71" si="9">IF(AR8="rg","&lt;","")</f>
        <v/>
      </c>
      <c r="AT8" s="6" t="str">
        <f t="shared" ref="AT8:AT71" si="10">IF(AR8="--","",IF(HLOOKUP(SMALL($Q$4:$Y$4,2),$Q$4:$Y$501,ROW(AP8)-3,FALSE)=0,"",HLOOKUP(SMALL($Q$4:$Y$4,2),$Q$4:$Y$501,ROW(AP8)-3,FALSE)))</f>
        <v/>
      </c>
      <c r="AU8" s="6" t="str">
        <f>IFERROR(IF(AR8="--","",IF(HLOOKUP(SMALL($Q$4:$Y$4,3),$Q$4:$Y$501,ROW(AP8)-3,FALSE)=0,"",IF(HLOOKUP(SMALL($Q$4:$Y$4,3),$Q$4:$Y$501,ROW(AP8)-3,FALSE)="nee",VLOOKUP("De kwaliteitseis emissiearme grond (maximale concentratie) wordt overschreden.",H!$O$10:'H'!$P$59,2,FALSE),""))),"")</f>
        <v/>
      </c>
      <c r="AV8" s="6">
        <f t="shared" si="0"/>
        <v>1.2</v>
      </c>
      <c r="AW8" s="6" t="str">
        <f t="shared" si="1"/>
        <v/>
      </c>
      <c r="AX8" s="6">
        <f t="shared" si="2"/>
        <v>10</v>
      </c>
      <c r="AY8" s="6" t="str">
        <f t="shared" ref="AY8:AY71" si="11">IF(AX8="rg","&lt;","")</f>
        <v/>
      </c>
      <c r="AZ8" s="6" t="str">
        <f t="shared" ref="AZ8:AZ71" si="12">IF(AX8="--","",IF(HLOOKUP(SMALL($Q$4:$Y$4,5),$Q$4:$Y$501,ROW(AP8)-3,FALSE)=0,"",HLOOKUP(SMALL($Q$4:$Y$4,5),$Q$4:$Y$501,ROW(AP8)-3,FALSE)))</f>
        <v/>
      </c>
      <c r="BA8" s="6" t="str">
        <f>IFERROR(IF(AR8="--","",IF(HLOOKUP(SMALL($Q$4:$Y$4,6),$Q$4:$Y$501,ROW(AP8)-3,FALSE)=0,"",IF(HLOOKUP(SMALL($Q$4:$Y$4,6),$Q$4:$Y$501,ROW(AP8)-3,FALSE)="nee",VLOOKUP("De kwaliteitseis emissiearme grond (maximale concentratie) wordt overschreden.",H!$O$10:'H'!$P$59,2,FALSE),""))),"")</f>
        <v/>
      </c>
      <c r="BB8" s="6">
        <f t="shared" si="3"/>
        <v>1.4</v>
      </c>
      <c r="BC8" s="6" t="str">
        <f t="shared" si="4"/>
        <v/>
      </c>
      <c r="BD8" s="6">
        <f t="shared" si="5"/>
        <v>10</v>
      </c>
      <c r="BE8" s="6" t="str">
        <f t="shared" ref="BE8:BE71" si="13">IF(BD8="rg","&lt;","")</f>
        <v/>
      </c>
      <c r="BF8" s="6"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6">
        <f>IF(ISNUMBER(F!E9)=FALSE,"--",IF(F!E9=0,"--",F!E9))</f>
        <v>2</v>
      </c>
      <c r="C9" s="6" t="str">
        <f>IF(B9="--","",F!F9)</f>
        <v>&lt;</v>
      </c>
      <c r="D9" s="6">
        <f>IF(ISNUMBER(F!G9)=FALSE,"--",IF(F!G9=0,"--",F!G9))</f>
        <v>11</v>
      </c>
      <c r="E9" s="6" t="str">
        <f>IF(D9="--","",F!H9)</f>
        <v/>
      </c>
      <c r="F9" s="6">
        <f>IF(ISNUMBER(F!I9)=FALSE,"--",IF(F!I9=0,"--",F!I9))</f>
        <v>5.8</v>
      </c>
      <c r="G9" s="6" t="str">
        <f>IF(F9="--","",F!J9)</f>
        <v/>
      </c>
      <c r="H9" s="6"/>
      <c r="I9" s="6"/>
      <c r="J9" s="6"/>
      <c r="K9" s="6"/>
      <c r="L9" s="6"/>
      <c r="M9" s="6"/>
      <c r="N9" s="6"/>
      <c r="P9" s="4" t="str">
        <f>IFERROR(IF(VLOOKUP(F!$B9,E!$B$1:$AK$300,5,FALSE)+VLOOKUP(F!$B9,E!$B$1:$AK$300,6,FALSE)+VLOOKUP(F!$B9,E!$B$1:$AK$300,7,FALSE)+VLOOKUP(F!$B9,E!$B$1:$AK$300,8,FALSE)&lt;&gt;4000000000,"toetsen","niet toetsen"),"")</f>
        <v/>
      </c>
      <c r="Q9" s="6"/>
      <c r="T9" s="6"/>
      <c r="W9" s="6"/>
      <c r="AI9" s="16">
        <f>B9</f>
        <v>2</v>
      </c>
      <c r="AJ9" s="16">
        <f>IF(AI9="--","--",25)</f>
        <v>25</v>
      </c>
      <c r="AK9" s="16">
        <f>D9</f>
        <v>11</v>
      </c>
      <c r="AL9" s="16">
        <f>IF(AK9="--","--",25)</f>
        <v>25</v>
      </c>
      <c r="AM9" s="16">
        <f>F9</f>
        <v>5.8</v>
      </c>
      <c r="AN9" s="16">
        <f>IF(AM9="--","--",25)</f>
        <v>25</v>
      </c>
      <c r="AP9" s="6">
        <f t="shared" si="6"/>
        <v>2</v>
      </c>
      <c r="AQ9" s="6" t="str">
        <f t="shared" si="7"/>
        <v>&lt;</v>
      </c>
      <c r="AR9" s="6">
        <f t="shared" si="8"/>
        <v>25</v>
      </c>
      <c r="AS9" s="6" t="str">
        <f t="shared" si="9"/>
        <v/>
      </c>
      <c r="AT9" s="6" t="str">
        <f t="shared" si="10"/>
        <v/>
      </c>
      <c r="AU9" s="6" t="str">
        <f>IFERROR(IF(AR9="--","",IF(HLOOKUP(SMALL($Q$4:$Y$4,3),$Q$4:$Y$501,ROW(AP9)-3,FALSE)=0,"",IF(HLOOKUP(SMALL($Q$4:$Y$4,3),$Q$4:$Y$501,ROW(AP9)-3,FALSE)="nee",VLOOKUP("De kwaliteitseis emissiearme grond (maximale concentratie) wordt overschreden.",H!$O$10:'H'!$P$59,2,FALSE),""))),"")</f>
        <v/>
      </c>
      <c r="AV9" s="6">
        <f t="shared" si="0"/>
        <v>11</v>
      </c>
      <c r="AW9" s="6" t="str">
        <f t="shared" si="1"/>
        <v/>
      </c>
      <c r="AX9" s="6">
        <f t="shared" si="2"/>
        <v>25</v>
      </c>
      <c r="AY9" s="6" t="str">
        <f t="shared" si="11"/>
        <v/>
      </c>
      <c r="AZ9" s="6" t="str">
        <f t="shared" si="12"/>
        <v/>
      </c>
      <c r="BA9" s="6" t="str">
        <f>IFERROR(IF(AR9="--","",IF(HLOOKUP(SMALL($Q$4:$Y$4,6),$Q$4:$Y$501,ROW(AP9)-3,FALSE)=0,"",IF(HLOOKUP(SMALL($Q$4:$Y$4,6),$Q$4:$Y$501,ROW(AP9)-3,FALSE)="nee",VLOOKUP("De kwaliteitseis emissiearme grond (maximale concentratie) wordt overschreden.",H!$O$10:'H'!$P$59,2,FALSE),""))),"")</f>
        <v/>
      </c>
      <c r="BB9" s="6">
        <f t="shared" si="3"/>
        <v>5.8</v>
      </c>
      <c r="BC9" s="6" t="str">
        <f t="shared" si="4"/>
        <v/>
      </c>
      <c r="BD9" s="6">
        <f t="shared" si="5"/>
        <v>25</v>
      </c>
      <c r="BE9" s="6" t="str">
        <f t="shared" si="13"/>
        <v/>
      </c>
      <c r="BF9" s="6"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6" t="str">
        <f>IF(ISNUMBER(F!E10)=FALSE,"--",IF(F!E10=0,"--",F!E10))</f>
        <v>--</v>
      </c>
      <c r="C10" s="6" t="str">
        <f>IF(B10="--","",F!F10)</f>
        <v/>
      </c>
      <c r="D10" s="6" t="str">
        <f>IF(ISNUMBER(F!G10)=FALSE,"--",IF(F!G10=0,"--",F!G10))</f>
        <v>--</v>
      </c>
      <c r="E10" s="6" t="str">
        <f>IF(D10="--","",F!H10)</f>
        <v/>
      </c>
      <c r="F10" s="6" t="str">
        <f>IF(ISNUMBER(F!I10)=FALSE,"--",IF(F!I10=0,"--",F!I10))</f>
        <v>--</v>
      </c>
      <c r="G10" s="6" t="str">
        <f>IF(F10="--","",F!J10)</f>
        <v/>
      </c>
      <c r="H10" s="6"/>
      <c r="I10" s="6"/>
      <c r="J10" s="6"/>
      <c r="K10" s="6"/>
      <c r="L10" s="6"/>
      <c r="M10" s="6"/>
      <c r="N10" s="6"/>
      <c r="P10" s="4" t="str">
        <f>IFERROR(IF(VLOOKUP(F!$B10,E!$B$1:$AK$300,5,FALSE)+VLOOKUP(F!$B10,E!$B$1:$AK$300,6,FALSE)+VLOOKUP(F!$B10,E!$B$1:$AK$300,7,FALSE)+VLOOKUP(F!$B10,E!$B$1:$AK$300,8,FALSE)&lt;&gt;4000000000,"toetsen","niet toetsen"),"")</f>
        <v/>
      </c>
      <c r="Q10" s="6"/>
      <c r="T10" s="6"/>
      <c r="W10" s="6"/>
      <c r="AI10" s="16" t="str">
        <f>B10</f>
        <v>--</v>
      </c>
      <c r="AJ10" s="16" t="str">
        <f t="shared" ref="AJ10" si="15">AI10</f>
        <v>--</v>
      </c>
      <c r="AK10" s="16" t="str">
        <f>D10</f>
        <v>--</v>
      </c>
      <c r="AL10" s="16" t="str">
        <f t="shared" ref="AL10:AL11" si="16">AK10</f>
        <v>--</v>
      </c>
      <c r="AM10" s="16" t="str">
        <f>F10</f>
        <v>--</v>
      </c>
      <c r="AN10" s="16" t="str">
        <f t="shared" ref="AN10" si="17">AM10</f>
        <v>--</v>
      </c>
      <c r="AP10" s="6" t="str">
        <f t="shared" si="6"/>
        <v>--</v>
      </c>
      <c r="AQ10" s="6" t="str">
        <f t="shared" si="7"/>
        <v/>
      </c>
      <c r="AR10" s="6" t="str">
        <f t="shared" si="8"/>
        <v>--</v>
      </c>
      <c r="AS10" s="6" t="str">
        <f t="shared" si="9"/>
        <v/>
      </c>
      <c r="AT10" s="6" t="str">
        <f t="shared" si="10"/>
        <v/>
      </c>
      <c r="AU10" s="6" t="str">
        <f>IFERROR(IF(AR10="--","",IF(HLOOKUP(SMALL($Q$4:$Y$4,3),$Q$4:$Y$501,ROW(AP10)-3,FALSE)=0,"",IF(HLOOKUP(SMALL($Q$4:$Y$4,3),$Q$4:$Y$501,ROW(AP10)-3,FALSE)="nee",VLOOKUP("De kwaliteitseis emissiearme grond (maximale concentratie) wordt overschreden.",H!$O$10:'H'!$P$59,2,FALSE),""))),"")</f>
        <v/>
      </c>
      <c r="AV10" s="6" t="str">
        <f t="shared" si="0"/>
        <v>--</v>
      </c>
      <c r="AW10" s="6" t="str">
        <f t="shared" si="1"/>
        <v/>
      </c>
      <c r="AX10" s="6" t="str">
        <f t="shared" si="2"/>
        <v>--</v>
      </c>
      <c r="AY10" s="6" t="str">
        <f t="shared" si="11"/>
        <v/>
      </c>
      <c r="AZ10" s="6" t="str">
        <f t="shared" si="12"/>
        <v/>
      </c>
      <c r="BA10" s="6" t="str">
        <f>IFERROR(IF(AR10="--","",IF(HLOOKUP(SMALL($Q$4:$Y$4,6),$Q$4:$Y$501,ROW(AP10)-3,FALSE)=0,"",IF(HLOOKUP(SMALL($Q$4:$Y$4,6),$Q$4:$Y$501,ROW(AP10)-3,FALSE)="nee",VLOOKUP("De kwaliteitseis emissiearme grond (maximale concentratie) wordt overschreden.",H!$O$10:'H'!$P$59,2,FALSE),""))),"")</f>
        <v/>
      </c>
      <c r="BB10" s="6" t="str">
        <f t="shared" si="3"/>
        <v>--</v>
      </c>
      <c r="BC10" s="6" t="str">
        <f t="shared" si="4"/>
        <v/>
      </c>
      <c r="BD10" s="6" t="str">
        <f t="shared" si="5"/>
        <v>--</v>
      </c>
      <c r="BE10" s="6" t="str">
        <f t="shared" si="13"/>
        <v/>
      </c>
      <c r="BF10" s="6"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6" t="str">
        <f>IF(ISNUMBER(F!E11)=FALSE,"--",IF(F!E11=0,"--",F!E11))</f>
        <v>--</v>
      </c>
      <c r="C11" s="6" t="str">
        <f>IF(B11="--","",F!F11)</f>
        <v/>
      </c>
      <c r="D11" s="6" t="str">
        <f>IF(ISNUMBER(F!G11)=FALSE,"--",IF(F!G11=0,"--",F!G11))</f>
        <v>--</v>
      </c>
      <c r="E11" s="6" t="str">
        <f>IF(D11="--","",F!H11)</f>
        <v/>
      </c>
      <c r="F11" s="6" t="str">
        <f>IF(ISNUMBER(F!I11)=FALSE,"--",IF(F!I11=0,"--",F!I11))</f>
        <v>--</v>
      </c>
      <c r="G11" s="6" t="str">
        <f>IF(F11="--","",F!J11)</f>
        <v/>
      </c>
      <c r="H11" s="6"/>
      <c r="I11" s="6"/>
      <c r="J11" s="6"/>
      <c r="K11" s="6"/>
      <c r="L11" s="6"/>
      <c r="M11" s="6"/>
      <c r="N11" s="6"/>
      <c r="P11" s="4" t="str">
        <f>IFERROR(IF(VLOOKUP(F!$B11,E!$B$1:$AK$300,5,FALSE)+VLOOKUP(F!$B11,E!$B$1:$AK$300,6,FALSE)+VLOOKUP(F!$B11,E!$B$1:$AK$300,7,FALSE)+VLOOKUP(F!$B11,E!$B$1:$AK$300,8,FALSE)&lt;&gt;4000000000,"toetsen","niet toetsen"),"")</f>
        <v/>
      </c>
      <c r="Q11" s="6"/>
      <c r="T11" s="6"/>
      <c r="W11" s="6"/>
      <c r="AI11" s="16" t="str">
        <f>B11</f>
        <v>--</v>
      </c>
      <c r="AJ11" s="16" t="str">
        <f t="shared" ref="AJ11" si="18">AI11</f>
        <v>--</v>
      </c>
      <c r="AK11" s="16" t="str">
        <f>D11</f>
        <v>--</v>
      </c>
      <c r="AL11" s="16" t="str">
        <f t="shared" si="16"/>
        <v>--</v>
      </c>
      <c r="AM11" s="16" t="str">
        <f>F11</f>
        <v>--</v>
      </c>
      <c r="AN11" s="16" t="str">
        <f t="shared" ref="AN11" si="19">AM11</f>
        <v>--</v>
      </c>
      <c r="AP11" s="6" t="str">
        <f t="shared" si="6"/>
        <v>--</v>
      </c>
      <c r="AQ11" s="6" t="str">
        <f t="shared" si="7"/>
        <v/>
      </c>
      <c r="AR11" s="6" t="str">
        <f t="shared" si="8"/>
        <v>--</v>
      </c>
      <c r="AS11" s="6" t="str">
        <f t="shared" si="9"/>
        <v/>
      </c>
      <c r="AT11" s="6" t="str">
        <f t="shared" si="10"/>
        <v/>
      </c>
      <c r="AU11" s="6" t="str">
        <f>IFERROR(IF(AR11="--","",IF(HLOOKUP(SMALL($Q$4:$Y$4,3),$Q$4:$Y$501,ROW(AP11)-3,FALSE)=0,"",IF(HLOOKUP(SMALL($Q$4:$Y$4,3),$Q$4:$Y$501,ROW(AP11)-3,FALSE)="nee",VLOOKUP("De kwaliteitseis emissiearme grond (maximale concentratie) wordt overschreden.",H!$O$10:'H'!$P$59,2,FALSE),""))),"")</f>
        <v/>
      </c>
      <c r="AV11" s="6" t="str">
        <f t="shared" si="0"/>
        <v>--</v>
      </c>
      <c r="AW11" s="6" t="str">
        <f t="shared" si="1"/>
        <v/>
      </c>
      <c r="AX11" s="6" t="str">
        <f t="shared" si="2"/>
        <v>--</v>
      </c>
      <c r="AY11" s="6" t="str">
        <f t="shared" si="11"/>
        <v/>
      </c>
      <c r="AZ11" s="6" t="str">
        <f t="shared" si="12"/>
        <v/>
      </c>
      <c r="BA11" s="6" t="str">
        <f>IFERROR(IF(AR11="--","",IF(HLOOKUP(SMALL($Q$4:$Y$4,6),$Q$4:$Y$501,ROW(AP11)-3,FALSE)=0,"",IF(HLOOKUP(SMALL($Q$4:$Y$4,6),$Q$4:$Y$501,ROW(AP11)-3,FALSE)="nee",VLOOKUP("De kwaliteitseis emissiearme grond (maximale concentratie) wordt overschreden.",H!$O$10:'H'!$P$59,2,FALSE),""))),"")</f>
        <v/>
      </c>
      <c r="BB11" s="6" t="str">
        <f t="shared" si="3"/>
        <v>--</v>
      </c>
      <c r="BC11" s="6" t="str">
        <f t="shared" si="4"/>
        <v/>
      </c>
      <c r="BD11" s="6" t="str">
        <f t="shared" si="5"/>
        <v>--</v>
      </c>
      <c r="BE11" s="6" t="str">
        <f t="shared" si="13"/>
        <v/>
      </c>
      <c r="BF11" s="6"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6" t="str">
        <f>IF(ISNUMBER(F!E12)=FALSE,"--",IF(F!E12=0,"--",F!E12))</f>
        <v>--</v>
      </c>
      <c r="C12" s="6" t="str">
        <f>IF(B12="--","",F!F12)</f>
        <v/>
      </c>
      <c r="D12" s="6" t="str">
        <f>IF(ISNUMBER(F!G12)=FALSE,"--",IF(F!G12=0,"--",F!G12))</f>
        <v>--</v>
      </c>
      <c r="E12" s="6" t="str">
        <f>IF(D12="--","",F!H12)</f>
        <v/>
      </c>
      <c r="F12" s="6" t="str">
        <f>IF(ISNUMBER(F!I12)=FALSE,"--",IF(F!I12=0,"--",F!I12))</f>
        <v>--</v>
      </c>
      <c r="G12" s="6" t="str">
        <f>IF(F12="--","",F!J12)</f>
        <v/>
      </c>
      <c r="H12" s="6"/>
      <c r="I12" s="6" t="str">
        <f>IF(F!Z12=-1,-1,F!AV12)</f>
        <v/>
      </c>
      <c r="J12" s="6"/>
      <c r="K12" s="6" t="str">
        <f>IF(F!AC12=-1,-1,F!AX12)</f>
        <v/>
      </c>
      <c r="L12" s="6"/>
      <c r="M12" s="6" t="str">
        <f>IF(F!AF12=-1,-1,F!AZ12)</f>
        <v/>
      </c>
      <c r="N12" s="6"/>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6" t="str">
        <f t="shared" ref="Q12:Q76" si="20">I12</f>
        <v/>
      </c>
      <c r="R12" s="5" t="str">
        <f>IF($B12="--","",IF($P12="toetsen",toetsen(F!$B12,Q12),IF($P12="toetsen alleen IW",toetsen_alleen_IW(F!$B12,Q12),IF($P12="toetsen alleen LN",toetsen_alleen_LN(F!$B12,Q12),IF($P12="toetsen geen MV en SV",toetsen_geen_MV_en_SV(F!$B12,Q12),IF($P12="toetsen alleen MV en SV",toetsen_alleen_MV_en_SV(F!$B12,Q12),""))))))</f>
        <v/>
      </c>
      <c r="S12" s="5" t="str">
        <f>IF($P12="toetsen",IF(OR(Q12="",VLOOKUP(F!$B12,E!$B$1:$AK$300,10,FALSE)=1000000000),"",IF(Q12&lt;=VLOOKUP(F!$B12,E!$B$1:$AK$300,10,FALSE),"ja","nee")),"")</f>
        <v/>
      </c>
      <c r="T12" s="87" t="str">
        <f t="shared" ref="T12:T75" si="21">K12</f>
        <v/>
      </c>
      <c r="U12" s="5" t="str">
        <f>IF($D12="--","",IF($P12="toetsen",toetsen(F!$B12,T12),IF($P12="toetsen alleen IW",toetsen_alleen_IW(F!$B12,T12),IF($P12="toetsen alleen LN",toetsen_alleen_LN(F!$B12,T12),IF($P12="toetsen geen MV en SV",toetsen_geen_MV_en_SV(F!$B12,T12),IF($P12="toetsen alleen MV en SV",toetsen_alleen_MV_en_SV(F!$B12,T12),""))))))</f>
        <v/>
      </c>
      <c r="V12" s="5" t="str">
        <f>IF($P12="toetsen",IF(OR(T12="",VLOOKUP(F!$B12,E!$B$1:$AK$300,10,FALSE)=1000000000),"",IF(T12&lt;=VLOOKUP(F!$B12,E!$B$1:$AK$300,10,FALSE),"ja","nee")),"")</f>
        <v/>
      </c>
      <c r="W12" s="6" t="str">
        <f t="shared" ref="W12:W75" si="22">M12</f>
        <v/>
      </c>
      <c r="X12" s="5" t="str">
        <f>IF($F12="--","",IF($P12="toetsen",toetsen(F!$B12,W12),IF($P12="toetsen alleen IW",toetsen_alleen_IW(F!$B12,W12),IF($P12="toetsen alleen LN",toetsen_alleen_LN(F!$B12,W12),IF($P12="toetsen geen MV en SV",toetsen_geen_MV_en_SV(F!$B12,W12),IF($P12="toetsen alleen MV en SV",toetsen_alleen_MV_en_SV(F!$B12,W12),""))))))</f>
        <v/>
      </c>
      <c r="Y12" s="5" t="str">
        <f>IF($P12="toetsen",IF(OR(W12="",VLOOKUP(F!$B12,E!$B$1:$AK$300,10,FALSE)=1000000000),"",IF(W12&lt;=VLOOKUP(F!$B12,E!$B$1:$AK$300,10,FALSE),"ja","nee")),"")</f>
        <v/>
      </c>
      <c r="Z12" s="4" t="str">
        <f>HLOOKUP(SMALL(G!$Q$4:'G'!$Y$4,1),G!$Q$4:'G'!$Y$501,ROW(G!Q12)-3,FALSE)</f>
        <v/>
      </c>
      <c r="AA12" s="4"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6" t="str">
        <f t="shared" ref="AI12:AI75" si="23">IF(B12="--",B12,(IF(B12&lt;1,FIXED(B12,2),IF(B12&lt;10,FIXED(B12,1),IF(B12&lt;100,FIXED(B12,0),IF(B12&lt;1000,MROUND(B12,10),MROUND(B12,100)))))))</f>
        <v>--</v>
      </c>
      <c r="AJ12" s="6" t="str">
        <f>IF(AI12="--","--",IF(F!$D12=131,IF(I12=-1,"rg",IF(I12="","--",IF(I12*1000&lt;1,FIXED(I12*1000,3),IF(I12*1000&lt;10,FIXED(I12*1000,2),(IF(I12*1000&lt;100,FIXED(I12*1000,1),IF(I12*1000&lt;1000,FIXED(I12*1000,0),MROUND(I12*1000,10)))))))),IF(I12=-1,"rg",IF(I12="","--",IF(I12&lt;1,FIXED(I12,3),IF(I12&lt;10,FIXED(I12,2),(IF(I12&lt;100,FIXED(I12,1),IF(I12&lt;1000,FIXED(I12,0),MROUND(I12,10))))))))))</f>
        <v>--</v>
      </c>
      <c r="AK12" s="6" t="str">
        <f t="shared" ref="AK12:AK75" si="24">IF(D12="--",D12,(IF(D12&lt;1,FIXED(D12,2),IF(D12&lt;10,FIXED(D12,1),IF(D12&lt;100,FIXED(D12,0),IF(D12&lt;1000,MROUND(D12,10),MROUND(D12,100)))))))</f>
        <v>--</v>
      </c>
      <c r="AL12" s="6" t="str">
        <f>IF(AK12="--","--",IF(F!$D12=131,IF(K12=-1,"rg",IF(K12="","--",IF(K12*1000&lt;1,FIXED(K12*1000,3),IF(K12*1000&lt;10,FIXED(K12*1000,2),(IF(K12*1000&lt;100,FIXED(K12*1000,1),IF(K12*1000&lt;1000,FIXED(K12*1000,0),MROUND(K12*1000,10)))))))),IF(K12=-1,"rg",IF(K12="","--",IF(K12&lt;1,FIXED(K12,3),IF(K12&lt;10,FIXED(K12,2),(IF(K12&lt;100,FIXED(K12,1),IF(K12&lt;1000,FIXED(K12,0),MROUND(K12,10))))))))))</f>
        <v>--</v>
      </c>
      <c r="AM12" s="6" t="str">
        <f t="shared" ref="AM12:AM75" si="25">IF(F12="--",F12,(IF(F12&lt;1,FIXED(F12,2),IF(F12&lt;10,FIXED(F12,1),IF(F12&lt;100,FIXED(F12,0),IF(F12&lt;1000,MROUND(F12,10),MROUND(F12,100)))))))</f>
        <v>--</v>
      </c>
      <c r="AN12" s="6" t="str">
        <f>IF(AM12="--","--",IF(F!$D12=131,IF(M12=-1,"rg",IF(M12="","--",IF(M12*1000&lt;1,FIXED(M12*1000,3),IF(M12*1000&lt;10,FIXED(M12*1000,2),(IF(M12*1000&lt;100,FIXED(M12*1000,1),IF(M12*1000&lt;1000,FIXED(M12*1000,0),MROUND(M12*1000,10)))))))),IF(M12=-1,"rg",IF(M12="","--",IF(M12&lt;1,FIXED(M12,3),IF(M12&lt;10,FIXED(M12,2),(IF(M12&lt;100,FIXED(M12,1),IF(M12&lt;1000,FIXED(M12,0),MROUND(M12,10))))))))))</f>
        <v>--</v>
      </c>
      <c r="AP12" s="6" t="str">
        <f t="shared" si="6"/>
        <v>--</v>
      </c>
      <c r="AQ12" s="6" t="str">
        <f t="shared" si="7"/>
        <v/>
      </c>
      <c r="AR12" s="6" t="str">
        <f t="shared" si="8"/>
        <v>--</v>
      </c>
      <c r="AS12" s="6" t="str">
        <f t="shared" si="9"/>
        <v/>
      </c>
      <c r="AT12" s="6" t="str">
        <f t="shared" si="10"/>
        <v/>
      </c>
      <c r="AU12" s="6" t="str">
        <f>IFERROR(IF(AR12="--","",IF(HLOOKUP(SMALL($Q$4:$Y$4,3),$Q$4:$Y$501,ROW(AP12)-3,FALSE)=0,"",IF(HLOOKUP(SMALL($Q$4:$Y$4,3),$Q$4:$Y$501,ROW(AP12)-3,FALSE)="nee",VLOOKUP("De kwaliteitseis emissiearme grond (maximale concentratie) wordt overschreden.",H!$O$10:'H'!$P$59,2,FALSE),""))),"")</f>
        <v/>
      </c>
      <c r="AV12" s="6" t="str">
        <f t="shared" si="0"/>
        <v>--</v>
      </c>
      <c r="AW12" s="6" t="str">
        <f t="shared" si="1"/>
        <v/>
      </c>
      <c r="AX12" s="6" t="str">
        <f t="shared" si="2"/>
        <v>--</v>
      </c>
      <c r="AY12" s="6" t="str">
        <f t="shared" si="11"/>
        <v/>
      </c>
      <c r="AZ12" s="6" t="str">
        <f t="shared" si="12"/>
        <v/>
      </c>
      <c r="BA12" s="6" t="str">
        <f>IFERROR(IF(AR12="--","",IF(HLOOKUP(SMALL($Q$4:$Y$4,6),$Q$4:$Y$501,ROW(AP12)-3,FALSE)=0,"",IF(HLOOKUP(SMALL($Q$4:$Y$4,6),$Q$4:$Y$501,ROW(AP12)-3,FALSE)="nee",VLOOKUP("De kwaliteitseis emissiearme grond (maximale concentratie) wordt overschreden.",H!$O$10:'H'!$P$59,2,FALSE),""))),"")</f>
        <v/>
      </c>
      <c r="BB12" s="6" t="str">
        <f t="shared" si="3"/>
        <v>--</v>
      </c>
      <c r="BC12" s="6" t="str">
        <f t="shared" si="4"/>
        <v/>
      </c>
      <c r="BD12" s="6" t="str">
        <f t="shared" si="5"/>
        <v>--</v>
      </c>
      <c r="BE12" s="6" t="str">
        <f t="shared" si="13"/>
        <v/>
      </c>
      <c r="BF12" s="6"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6">
        <f>IF(ISNUMBER(F!E13)=FALSE,"--",IF(F!E13=0,"--",F!E13))</f>
        <v>4</v>
      </c>
      <c r="C13" s="6" t="str">
        <f>IF(B13="--","",F!F13)</f>
        <v>&lt;</v>
      </c>
      <c r="D13" s="6">
        <f>IF(ISNUMBER(F!G13)=FALSE,"--",IF(F!G13=0,"--",F!G13))</f>
        <v>4.4000000000000004</v>
      </c>
      <c r="E13" s="6" t="str">
        <f>IF(D13="--","",F!H13)</f>
        <v/>
      </c>
      <c r="F13" s="6">
        <f>IF(ISNUMBER(F!I13)=FALSE,"--",IF(F!I13=0,"--",F!I13))</f>
        <v>5</v>
      </c>
      <c r="G13" s="6" t="str">
        <f>IF(F13="--","",F!J13)</f>
        <v/>
      </c>
      <c r="H13" s="6"/>
      <c r="I13" s="6">
        <f>IF(F!Z13=-1,-1,F!AV13)</f>
        <v>-1</v>
      </c>
      <c r="J13" s="6"/>
      <c r="K13" s="6">
        <f>IF(F!AC13=-1,-1,F!AX13)</f>
        <v>6.3168316831683171</v>
      </c>
      <c r="L13" s="6"/>
      <c r="M13" s="6">
        <f>IF(F!AF13=-1,-1,F!AZ13)</f>
        <v>8.0022075055187631</v>
      </c>
      <c r="N13" s="6"/>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6">
        <f t="shared" si="20"/>
        <v>-1</v>
      </c>
      <c r="R13" s="5" t="str">
        <f>IF($B13="--","",IF($P13="toetsen",toetsen(F!$B13,Q13),IF($P13="toetsen alleen IW",toetsen_alleen_IW(F!$B13,Q13),IF($P13="toetsen alleen LN",toetsen_alleen_LN(F!$B13,Q13),IF($P13="toetsen geen MV en SV",toetsen_geen_MV_en_SV(F!$B13,Q13),IF($P13="toetsen alleen MV en SV",toetsen_alleen_MV_en_SV(F!$B13,Q13),""))))))</f>
        <v>-</v>
      </c>
      <c r="S13" s="5" t="str">
        <f>IF($P13="toetsen",IF(OR(Q13="",VLOOKUP(F!$B13,E!$B$1:$AK$300,10,FALSE)=1000000000),"",IF(Q13&lt;=VLOOKUP(F!$B13,E!$B$1:$AK$300,10,FALSE),"ja","nee")),"")</f>
        <v>ja</v>
      </c>
      <c r="T13" s="87">
        <f t="shared" si="21"/>
        <v>6.3168316831683171</v>
      </c>
      <c r="U13" s="5" t="str">
        <f>IF($D13="--","",IF($P13="toetsen",toetsen(F!$B13,T13),IF($P13="toetsen alleen IW",toetsen_alleen_IW(F!$B13,T13),IF($P13="toetsen alleen LN",toetsen_alleen_LN(F!$B13,T13),IF($P13="toetsen geen MV en SV",toetsen_geen_MV_en_SV(F!$B13,T13),IF($P13="toetsen alleen MV en SV",toetsen_alleen_MV_en_SV(F!$B13,T13),""))))))</f>
        <v>-</v>
      </c>
      <c r="V13" s="5" t="str">
        <f>IF($P13="toetsen",IF(OR(T13="",VLOOKUP(F!$B13,E!$B$1:$AK$300,10,FALSE)=1000000000),"",IF(T13&lt;=VLOOKUP(F!$B13,E!$B$1:$AK$300,10,FALSE),"ja","nee")),"")</f>
        <v>ja</v>
      </c>
      <c r="W13" s="6">
        <f t="shared" si="22"/>
        <v>8.0022075055187631</v>
      </c>
      <c r="X13" s="5" t="str">
        <f>IF($F13="--","",IF($P13="toetsen",toetsen(F!$B13,W13),IF($P13="toetsen alleen IW",toetsen_alleen_IW(F!$B13,W13),IF($P13="toetsen alleen LN",toetsen_alleen_LN(F!$B13,W13),IF($P13="toetsen geen MV en SV",toetsen_geen_MV_en_SV(F!$B13,W13),IF($P13="toetsen alleen MV en SV",toetsen_alleen_MV_en_SV(F!$B13,W13),""))))))</f>
        <v>-</v>
      </c>
      <c r="Y13" s="5" t="str">
        <f>IF($P13="toetsen",IF(OR(W13="",VLOOKUP(F!$B13,E!$B$1:$AK$300,10,FALSE)=1000000000),"",IF(W13&lt;=VLOOKUP(F!$B13,E!$B$1:$AK$300,10,FALSE),"ja","nee")),"")</f>
        <v>ja</v>
      </c>
      <c r="AA13" s="4">
        <f>IFERROR(IF(Q13="","",(IF(Q13&gt;2*VLOOKUP(F!$B13,E!$B$1:$AK$300,5,FALSE),1,0))),"")</f>
        <v>0</v>
      </c>
      <c r="AB13" s="4">
        <f>IFERROR(IF(T13="","",(IF(T13&gt;2*VLOOKUP(F!$B13,E!$B$1:$AK$300,5,FALSE),1,0))),"")</f>
        <v>0</v>
      </c>
      <c r="AC13" s="4">
        <f>IFERROR(IF(W13="","",(IF(W13&gt;2*VLOOKUP(F!$B13,E!$B$1:$AK$300,5,FALSE),1,0))),"")</f>
        <v>0</v>
      </c>
      <c r="AE13" s="4">
        <f>IFERROR(IF(Q13="","",(IF(Q13&gt;VLOOKUP(F!$B13,E!$B$1:$AK$300,6,FALSE)+VLOOKUP(F!$B13,E!$B$1:$AK$300,5,FALSE),1,0))),"")</f>
        <v>0</v>
      </c>
      <c r="AF13" s="4">
        <f>IFERROR(IF(T13="","",(IF(T13&gt;VLOOKUP(F!$B13,E!$B$1:$AK$300,6,FALSE)+VLOOKUP(F!$B13,E!$B$1:$AK$300,5,FALSE),1,0))),"")</f>
        <v>0</v>
      </c>
      <c r="AG13" s="4">
        <f>IFERROR(IF(W13="","",(IF(W13&gt;VLOOKUP(F!$B13,E!$B$1:$AK$300,6,FALSE)+VLOOKUP(F!$B13,E!$B$1:$AK$300,5,FALSE),1,0))),"")</f>
        <v>0</v>
      </c>
      <c r="AI13" s="6" t="str">
        <f t="shared" si="23"/>
        <v>4,0</v>
      </c>
      <c r="AJ13" s="6" t="str">
        <f>IF(AI13="--","--",IF(F!$D13=131,IF(I13=-1,"rg",IF(I13="","--",IF(I13*1000&lt;1,FIXED(I13*1000,3),IF(I13*1000&lt;10,FIXED(I13*1000,2),(IF(I13*1000&lt;100,FIXED(I13*1000,1),IF(I13*1000&lt;1000,FIXED(I13*1000,0),MROUND(I13*1000,10)))))))),IF(I13=-1,"rg",IF(I13="","--",IF(I13&lt;1,FIXED(I13,3),IF(I13&lt;10,FIXED(I13,2),(IF(I13&lt;100,FIXED(I13,1),IF(I13&lt;1000,FIXED(I13,0),MROUND(I13,10))))))))))</f>
        <v>rg</v>
      </c>
      <c r="AK13" s="6" t="str">
        <f t="shared" si="24"/>
        <v>4,4</v>
      </c>
      <c r="AL13" s="6" t="str">
        <f>IF(AK13="--","--",IF(F!$D13=131,IF(K13=-1,"rg",IF(K13="","--",IF(K13*1000&lt;1,FIXED(K13*1000,3),IF(K13*1000&lt;10,FIXED(K13*1000,2),(IF(K13*1000&lt;100,FIXED(K13*1000,1),IF(K13*1000&lt;1000,FIXED(K13*1000,0),MROUND(K13*1000,10)))))))),IF(K13=-1,"rg",IF(K13="","--",IF(K13&lt;1,FIXED(K13,3),IF(K13&lt;10,FIXED(K13,2),(IF(K13&lt;100,FIXED(K13,1),IF(K13&lt;1000,FIXED(K13,0),MROUND(K13,10))))))))))</f>
        <v>6,32</v>
      </c>
      <c r="AM13" s="6" t="str">
        <f t="shared" si="25"/>
        <v>5,0</v>
      </c>
      <c r="AN13" s="6" t="str">
        <f>IF(AM13="--","--",IF(F!$D13=131,IF(M13=-1,"rg",IF(M13="","--",IF(M13*1000&lt;1,FIXED(M13*1000,3),IF(M13*1000&lt;10,FIXED(M13*1000,2),(IF(M13*1000&lt;100,FIXED(M13*1000,1),IF(M13*1000&lt;1000,FIXED(M13*1000,0),MROUND(M13*1000,10)))))))),IF(M13=-1,"rg",IF(M13="","--",IF(M13&lt;1,FIXED(M13,3),IF(M13&lt;10,FIXED(M13,2),(IF(M13&lt;100,FIXED(M13,1),IF(M13&lt;1000,FIXED(M13,0),MROUND(M13,10))))))))))</f>
        <v>8,00</v>
      </c>
      <c r="AP13" s="6" t="str">
        <f t="shared" si="6"/>
        <v>4,0</v>
      </c>
      <c r="AQ13" s="6" t="str">
        <f t="shared" si="7"/>
        <v>&lt;</v>
      </c>
      <c r="AR13" s="6" t="str">
        <f t="shared" si="8"/>
        <v>rg</v>
      </c>
      <c r="AS13" s="6" t="str">
        <f t="shared" si="9"/>
        <v>&lt;</v>
      </c>
      <c r="AT13" s="6" t="str">
        <f t="shared" si="10"/>
        <v>-</v>
      </c>
      <c r="AU13" s="6" t="str">
        <f>IFERROR(IF(AR13="--","",IF(HLOOKUP(SMALL($Q$4:$Y$4,3),$Q$4:$Y$501,ROW(AP13)-3,FALSE)=0,"",IF(HLOOKUP(SMALL($Q$4:$Y$4,3),$Q$4:$Y$501,ROW(AP13)-3,FALSE)="nee",VLOOKUP("De kwaliteitseis emissiearme grond (maximale concentratie) wordt overschreden.",H!$O$10:'H'!$P$59,2,FALSE),""))),"")</f>
        <v/>
      </c>
      <c r="AV13" s="6" t="str">
        <f t="shared" si="0"/>
        <v>4,4</v>
      </c>
      <c r="AW13" s="6" t="str">
        <f t="shared" si="1"/>
        <v/>
      </c>
      <c r="AX13" s="6" t="str">
        <f t="shared" si="2"/>
        <v>6,32</v>
      </c>
      <c r="AY13" s="6" t="str">
        <f t="shared" si="11"/>
        <v/>
      </c>
      <c r="AZ13" s="6" t="str">
        <f t="shared" si="12"/>
        <v>-</v>
      </c>
      <c r="BA13" s="6" t="str">
        <f>IFERROR(IF(AR13="--","",IF(HLOOKUP(SMALL($Q$4:$Y$4,6),$Q$4:$Y$501,ROW(AP13)-3,FALSE)=0,"",IF(HLOOKUP(SMALL($Q$4:$Y$4,6),$Q$4:$Y$501,ROW(AP13)-3,FALSE)="nee",VLOOKUP("De kwaliteitseis emissiearme grond (maximale concentratie) wordt overschreden.",H!$O$10:'H'!$P$59,2,FALSE),""))),"")</f>
        <v/>
      </c>
      <c r="BB13" s="6" t="str">
        <f t="shared" si="3"/>
        <v>5,0</v>
      </c>
      <c r="BC13" s="6" t="str">
        <f t="shared" si="4"/>
        <v/>
      </c>
      <c r="BD13" s="6" t="str">
        <f t="shared" si="5"/>
        <v>8,00</v>
      </c>
      <c r="BE13" s="6" t="str">
        <f t="shared" si="13"/>
        <v/>
      </c>
      <c r="BF13" s="6" t="str">
        <f t="shared" si="14"/>
        <v>-</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6">
        <f>IF(ISNUMBER(F!E14)=FALSE,"--",IF(F!E14=0,"--",F!E14))</f>
        <v>20</v>
      </c>
      <c r="C14" s="6" t="str">
        <f>IF(B14="--","",F!F14)</f>
        <v>&lt;</v>
      </c>
      <c r="D14" s="6">
        <f>IF(ISNUMBER(F!G14)=FALSE,"--",IF(F!G14=0,"--",F!G14))</f>
        <v>20</v>
      </c>
      <c r="E14" s="6" t="str">
        <f>IF(D14="--","",F!H14)</f>
        <v>&lt;</v>
      </c>
      <c r="F14" s="6">
        <f>IF(ISNUMBER(F!I14)=FALSE,"--",IF(F!I14=0,"--",F!I14))</f>
        <v>20</v>
      </c>
      <c r="G14" s="6" t="str">
        <f>IF(F14="--","",F!J14)</f>
        <v>&lt;</v>
      </c>
      <c r="H14" s="6"/>
      <c r="I14" s="6">
        <f>IF(F!Z14=-1,-1,F!AV14)</f>
        <v>-1</v>
      </c>
      <c r="J14" s="6"/>
      <c r="K14" s="6">
        <f>IF(F!AC14=-1,-1,F!AX14)</f>
        <v>-1</v>
      </c>
      <c r="L14" s="6"/>
      <c r="M14" s="6">
        <f>IF(F!AF14=-1,-1,F!AZ14)</f>
        <v>-1</v>
      </c>
      <c r="N14" s="6"/>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toetsen alleen IW</v>
      </c>
      <c r="Q14" s="6">
        <f t="shared" si="20"/>
        <v>-1</v>
      </c>
      <c r="R14" s="102" t="str">
        <f>IF($B14="--","",IF(IF($P14="toetsen",toetsen(F!$B14,Q14),IF($P14="toetsen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5" t="str">
        <f>IF($P14="toetsen",IF(OR(Q14="",VLOOKUP(F!$B14,E!$B$1:$AK$300,10,FALSE)=1000000000),"",IF(Q14&lt;=VLOOKUP(F!$B14,E!$B$1:$AK$300,10,FALSE),"ja","nee")),"")</f>
        <v/>
      </c>
      <c r="T14" s="87">
        <f t="shared" si="21"/>
        <v>-1</v>
      </c>
      <c r="U14" s="102" t="str">
        <f>IF($D14="--","",IF(IF($P14="toetsen",toetsen(F!$B14,T14),IF($P14="toetsen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5" t="str">
        <f>IF($P14="toetsen",IF(OR(T14="",VLOOKUP(F!$B14,E!$B$1:$AK$300,10,FALSE)=1000000000),"",IF(T14&lt;=VLOOKUP(F!$B14,E!$B$1:$AK$300,10,FALSE),"ja","nee")),"")</f>
        <v/>
      </c>
      <c r="W14" s="6">
        <f t="shared" si="22"/>
        <v>-1</v>
      </c>
      <c r="X14" s="102" t="str">
        <f>IF($F14="--","",IF(IF($P14="toetsen",toetsen(F!$B14,W14),IF($P14="toetsen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5" t="str">
        <f>IF($P14="toetsen",IF(OR(W14="",VLOOKUP(F!$B14,E!$B$1:$AK$300,10,FALSE)=1000000000),"",IF(W14&lt;=VLOOKUP(F!$B14,E!$B$1:$AK$300,10,FALSE),"ja","nee")),"")</f>
        <v/>
      </c>
      <c r="AA14" s="4">
        <f>IFERROR(IF(Q14="","",(IF(Q14&gt;2*VLOOKUP(F!$B14,E!$B$1:$AK$300,5,FALSE),1,0))),"")</f>
        <v>0</v>
      </c>
      <c r="AB14" s="4">
        <f>IFERROR(IF(T14="","",(IF(T14&gt;2*VLOOKUP(F!$B14,E!$B$1:$AK$300,5,FALSE),1,0))),"")</f>
        <v>0</v>
      </c>
      <c r="AC14" s="4">
        <f>IFERROR(IF(W14="","",(IF(W14&gt;2*VLOOKUP(F!$B14,E!$B$1:$AK$300,5,FALSE),1,0))),"")</f>
        <v>0</v>
      </c>
      <c r="AE14" s="4">
        <f>IFERROR(IF(Q14="","",(IF(Q14&gt;VLOOKUP(F!$B14,E!$B$1:$AK$300,6,FALSE)+VLOOKUP(F!$B14,E!$B$1:$AK$300,5,FALSE),1,0))),"")</f>
        <v>0</v>
      </c>
      <c r="AF14" s="4">
        <f>IFERROR(IF(T14="","",(IF(T14&gt;VLOOKUP(F!$B14,E!$B$1:$AK$300,6,FALSE)+VLOOKUP(F!$B14,E!$B$1:$AK$300,5,FALSE),1,0))),"")</f>
        <v>0</v>
      </c>
      <c r="AG14" s="4">
        <f>IFERROR(IF(W14="","",(IF(W14&gt;VLOOKUP(F!$B14,E!$B$1:$AK$300,6,FALSE)+VLOOKUP(F!$B14,E!$B$1:$AK$300,5,FALSE),1,0))),"")</f>
        <v>0</v>
      </c>
      <c r="AI14" s="6" t="str">
        <f t="shared" si="23"/>
        <v>20</v>
      </c>
      <c r="AJ14" s="6" t="str">
        <f>IF(AI14="--","--",IF(F!$D14=131,IF(I14=-1,"rg",IF(I14="","--",IF(I14*1000&lt;1,FIXED(I14*1000,3),IF(I14*1000&lt;10,FIXED(I14*1000,2),(IF(I14*1000&lt;100,FIXED(I14*1000,1),IF(I14*1000&lt;1000,FIXED(I14*1000,0),MROUND(I14*1000,10)))))))),IF(I14=-1,"rg",IF(I14="","--",IF(I14&lt;1,FIXED(I14,3),IF(I14&lt;10,FIXED(I14,2),(IF(I14&lt;100,FIXED(I14,1),IF(I14&lt;1000,FIXED(I14,0),MROUND(I14,10))))))))))</f>
        <v>rg</v>
      </c>
      <c r="AK14" s="6" t="str">
        <f t="shared" si="24"/>
        <v>20</v>
      </c>
      <c r="AL14" s="6" t="str">
        <f>IF(AK14="--","--",IF(F!$D14=131,IF(K14=-1,"rg",IF(K14="","--",IF(K14*1000&lt;1,FIXED(K14*1000,3),IF(K14*1000&lt;10,FIXED(K14*1000,2),(IF(K14*1000&lt;100,FIXED(K14*1000,1),IF(K14*1000&lt;1000,FIXED(K14*1000,0),MROUND(K14*1000,10)))))))),IF(K14=-1,"rg",IF(K14="","--",IF(K14&lt;1,FIXED(K14,3),IF(K14&lt;10,FIXED(K14,2),(IF(K14&lt;100,FIXED(K14,1),IF(K14&lt;1000,FIXED(K14,0),MROUND(K14,10))))))))))</f>
        <v>rg</v>
      </c>
      <c r="AM14" s="6" t="str">
        <f t="shared" si="25"/>
        <v>20</v>
      </c>
      <c r="AN14" s="6" t="str">
        <f>IF(AM14="--","--",IF(F!$D14=131,IF(M14=-1,"rg",IF(M14="","--",IF(M14*1000&lt;1,FIXED(M14*1000,3),IF(M14*1000&lt;10,FIXED(M14*1000,2),(IF(M14*1000&lt;100,FIXED(M14*1000,1),IF(M14*1000&lt;1000,FIXED(M14*1000,0),MROUND(M14*1000,10)))))))),IF(M14=-1,"rg",IF(M14="","--",IF(M14&lt;1,FIXED(M14,3),IF(M14&lt;10,FIXED(M14,2),(IF(M14&lt;100,FIXED(M14,1),IF(M14&lt;1000,FIXED(M14,0),MROUND(M14,10))))))))))</f>
        <v>rg</v>
      </c>
      <c r="AP14" s="6" t="str">
        <f t="shared" si="6"/>
        <v>20</v>
      </c>
      <c r="AQ14" s="6" t="str">
        <f t="shared" si="7"/>
        <v>&lt;</v>
      </c>
      <c r="AR14" s="6" t="str">
        <f t="shared" si="8"/>
        <v>rg</v>
      </c>
      <c r="AS14" s="6" t="str">
        <f t="shared" si="9"/>
        <v>&lt;</v>
      </c>
      <c r="AT14" s="6" t="str">
        <f t="shared" si="10"/>
        <v/>
      </c>
      <c r="AU14" s="6" t="str">
        <f>IFERROR(IF(AR14="--","",IF(HLOOKUP(SMALL($Q$4:$Y$4,3),$Q$4:$Y$501,ROW(AP14)-3,FALSE)=0,"",IF(HLOOKUP(SMALL($Q$4:$Y$4,3),$Q$4:$Y$501,ROW(AP14)-3,FALSE)="nee",VLOOKUP("De kwaliteitseis emissiearme grond (maximale concentratie) wordt overschreden.",H!$O$10:'H'!$P$59,2,FALSE),""))),"")</f>
        <v/>
      </c>
      <c r="AV14" s="6" t="str">
        <f t="shared" si="0"/>
        <v>20</v>
      </c>
      <c r="AW14" s="6" t="str">
        <f t="shared" si="1"/>
        <v>&lt;</v>
      </c>
      <c r="AX14" s="6" t="str">
        <f t="shared" si="2"/>
        <v>rg</v>
      </c>
      <c r="AY14" s="6" t="str">
        <f t="shared" si="11"/>
        <v>&lt;</v>
      </c>
      <c r="AZ14" s="6" t="str">
        <f t="shared" si="12"/>
        <v/>
      </c>
      <c r="BA14" s="6" t="str">
        <f>IFERROR(IF(AR14="--","",IF(HLOOKUP(SMALL($Q$4:$Y$4,6),$Q$4:$Y$501,ROW(AP14)-3,FALSE)=0,"",IF(HLOOKUP(SMALL($Q$4:$Y$4,6),$Q$4:$Y$501,ROW(AP14)-3,FALSE)="nee",VLOOKUP("De kwaliteitseis emissiearme grond (maximale concentratie) wordt overschreden.",H!$O$10:'H'!$P$59,2,FALSE),""))),"")</f>
        <v/>
      </c>
      <c r="BB14" s="6" t="str">
        <f t="shared" si="3"/>
        <v>20</v>
      </c>
      <c r="BC14" s="6" t="str">
        <f t="shared" si="4"/>
        <v>&lt;</v>
      </c>
      <c r="BD14" s="6" t="str">
        <f t="shared" si="5"/>
        <v>rg</v>
      </c>
      <c r="BE14" s="6" t="str">
        <f t="shared" si="13"/>
        <v>&lt;</v>
      </c>
      <c r="BF14" s="6"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6" t="str">
        <f>IF(ISNUMBER(F!E15)=FALSE,"--",IF(F!E15=0,"--",F!E15))</f>
        <v>--</v>
      </c>
      <c r="C15" s="6" t="str">
        <f>IF(B15="--","",F!F15)</f>
        <v/>
      </c>
      <c r="D15" s="6" t="str">
        <f>IF(ISNUMBER(F!G15)=FALSE,"--",IF(F!G15=0,"--",F!G15))</f>
        <v>--</v>
      </c>
      <c r="E15" s="6" t="str">
        <f>IF(D15="--","",F!H15)</f>
        <v/>
      </c>
      <c r="F15" s="6" t="str">
        <f>IF(ISNUMBER(F!I15)=FALSE,"--",IF(F!I15=0,"--",F!I15))</f>
        <v>--</v>
      </c>
      <c r="G15" s="6" t="str">
        <f>IF(F15="--","",F!J15)</f>
        <v/>
      </c>
      <c r="H15" s="6"/>
      <c r="I15" s="6" t="str">
        <f>IF(F!Z15=-1,-1,F!AV15)</f>
        <v/>
      </c>
      <c r="J15" s="6"/>
      <c r="K15" s="6" t="str">
        <f>IF(F!AC15=-1,-1,F!AX15)</f>
        <v/>
      </c>
      <c r="L15" s="6"/>
      <c r="M15" s="6" t="str">
        <f>IF(F!AF15=-1,-1,F!AZ15)</f>
        <v/>
      </c>
      <c r="N15" s="6"/>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6" t="str">
        <f t="shared" si="20"/>
        <v/>
      </c>
      <c r="R15" s="5" t="str">
        <f>IF($B15="--","",IF($P15="toetsen",toetsen(F!$B15,Q15),IF($P15="toetsen alleen IW",toetsen_alleen_IW(F!$B15,Q15),IF($P15="toetsen alleen LN",toetsen_alleen_LN(F!$B15,Q15),IF($P15="toetsen geen MV en SV",toetsen_geen_MV_en_SV(F!$B15,Q15),IF($P15="toetsen alleen MV en SV",toetsen_alleen_MV_en_SV(F!$B15,Q15),""))))))</f>
        <v/>
      </c>
      <c r="S15" s="5" t="str">
        <f>IF($P15="toetsen",IF(OR(Q15="",VLOOKUP(F!$B15,E!$B$1:$AK$300,10,FALSE)=1000000000),"",IF(Q15&lt;=VLOOKUP(F!$B15,E!$B$1:$AK$300,10,FALSE),"ja","nee")),"")</f>
        <v/>
      </c>
      <c r="T15" s="87" t="str">
        <f t="shared" si="21"/>
        <v/>
      </c>
      <c r="U15" s="5" t="str">
        <f>IF($D15="--","",IF($P15="toetsen",toetsen(F!$B15,T15),IF($P15="toetsen alleen IW",toetsen_alleen_IW(F!$B15,T15),IF($P15="toetsen alleen LN",toetsen_alleen_LN(F!$B15,T15),IF($P15="toetsen geen MV en SV",toetsen_geen_MV_en_SV(F!$B15,T15),IF($P15="toetsen alleen MV en SV",toetsen_alleen_MV_en_SV(F!$B15,T15),""))))))</f>
        <v/>
      </c>
      <c r="V15" s="5" t="str">
        <f>IF($P15="toetsen",IF(OR(T15="",VLOOKUP(F!$B15,E!$B$1:$AK$300,10,FALSE)=1000000000),"",IF(T15&lt;=VLOOKUP(F!$B15,E!$B$1:$AK$300,10,FALSE),"ja","nee")),"")</f>
        <v/>
      </c>
      <c r="W15" s="6" t="str">
        <f t="shared" si="22"/>
        <v/>
      </c>
      <c r="X15" s="5" t="str">
        <f>IF($F15="--","",IF($P15="toetsen",toetsen(F!$B15,W15),IF($P15="toetsen alleen IW",toetsen_alleen_IW(F!$B15,W15),IF($P15="toetsen alleen LN",toetsen_alleen_LN(F!$B15,W15),IF($P15="toetsen geen MV en SV",toetsen_geen_MV_en_SV(F!$B15,W15),IF($P15="toetsen alleen MV en SV",toetsen_alleen_MV_en_SV(F!$B15,W15),""))))))</f>
        <v/>
      </c>
      <c r="Y15" s="5" t="str">
        <f>IF($P15="toetsen",IF(OR(W15="",VLOOKUP(F!$B15,E!$B$1:$AK$300,10,FALSE)=1000000000),"",IF(W15&lt;=VLOOKUP(F!$B15,E!$B$1:$AK$300,10,FALSE),"ja","nee")),"")</f>
        <v/>
      </c>
      <c r="AA15" s="4"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6" t="str">
        <f t="shared" si="23"/>
        <v>--</v>
      </c>
      <c r="AJ15" s="6" t="str">
        <f>IF(AI15="--","--",IF(F!$D15=131,IF(I15=-1,"rg",IF(I15="","--",IF(I15*1000&lt;1,FIXED(I15*1000,3),IF(I15*1000&lt;10,FIXED(I15*1000,2),(IF(I15*1000&lt;100,FIXED(I15*1000,1),IF(I15*1000&lt;1000,FIXED(I15*1000,0),MROUND(I15*1000,10)))))))),IF(I15=-1,"rg",IF(I15="","--",IF(I15&lt;1,FIXED(I15,3),IF(I15&lt;10,FIXED(I15,2),(IF(I15&lt;100,FIXED(I15,1),IF(I15&lt;1000,FIXED(I15,0),MROUND(I15,10))))))))))</f>
        <v>--</v>
      </c>
      <c r="AK15" s="6" t="str">
        <f t="shared" si="24"/>
        <v>--</v>
      </c>
      <c r="AL15" s="6" t="str">
        <f>IF(AK15="--","--",IF(F!$D15=131,IF(K15=-1,"rg",IF(K15="","--",IF(K15*1000&lt;1,FIXED(K15*1000,3),IF(K15*1000&lt;10,FIXED(K15*1000,2),(IF(K15*1000&lt;100,FIXED(K15*1000,1),IF(K15*1000&lt;1000,FIXED(K15*1000,0),MROUND(K15*1000,10)))))))),IF(K15=-1,"rg",IF(K15="","--",IF(K15&lt;1,FIXED(K15,3),IF(K15&lt;10,FIXED(K15,2),(IF(K15&lt;100,FIXED(K15,1),IF(K15&lt;1000,FIXED(K15,0),MROUND(K15,10))))))))))</f>
        <v>--</v>
      </c>
      <c r="AM15" s="6" t="str">
        <f t="shared" si="25"/>
        <v>--</v>
      </c>
      <c r="AN15" s="6" t="str">
        <f>IF(AM15="--","--",IF(F!$D15=131,IF(M15=-1,"rg",IF(M15="","--",IF(M15*1000&lt;1,FIXED(M15*1000,3),IF(M15*1000&lt;10,FIXED(M15*1000,2),(IF(M15*1000&lt;100,FIXED(M15*1000,1),IF(M15*1000&lt;1000,FIXED(M15*1000,0),MROUND(M15*1000,10)))))))),IF(M15=-1,"rg",IF(M15="","--",IF(M15&lt;1,FIXED(M15,3),IF(M15&lt;10,FIXED(M15,2),(IF(M15&lt;100,FIXED(M15,1),IF(M15&lt;1000,FIXED(M15,0),MROUND(M15,10))))))))))</f>
        <v>--</v>
      </c>
      <c r="AP15" s="6" t="str">
        <f t="shared" si="6"/>
        <v>--</v>
      </c>
      <c r="AQ15" s="6" t="str">
        <f t="shared" si="7"/>
        <v/>
      </c>
      <c r="AR15" s="6" t="str">
        <f t="shared" si="8"/>
        <v>--</v>
      </c>
      <c r="AS15" s="6" t="str">
        <f t="shared" si="9"/>
        <v/>
      </c>
      <c r="AT15" s="6" t="str">
        <f t="shared" si="10"/>
        <v/>
      </c>
      <c r="AU15" s="6" t="str">
        <f>IFERROR(IF(AR15="--","",IF(HLOOKUP(SMALL($Q$4:$Y$4,3),$Q$4:$Y$501,ROW(AP15)-3,FALSE)=0,"",IF(HLOOKUP(SMALL($Q$4:$Y$4,3),$Q$4:$Y$501,ROW(AP15)-3,FALSE)="nee",VLOOKUP("De kwaliteitseis emissiearme grond (maximale concentratie) wordt overschreden.",H!$O$10:'H'!$P$59,2,FALSE),""))),"")</f>
        <v/>
      </c>
      <c r="AV15" s="6" t="str">
        <f t="shared" si="0"/>
        <v>--</v>
      </c>
      <c r="AW15" s="6" t="str">
        <f t="shared" si="1"/>
        <v/>
      </c>
      <c r="AX15" s="6" t="str">
        <f t="shared" si="2"/>
        <v>--</v>
      </c>
      <c r="AY15" s="6" t="str">
        <f t="shared" si="11"/>
        <v/>
      </c>
      <c r="AZ15" s="6" t="str">
        <f t="shared" si="12"/>
        <v/>
      </c>
      <c r="BA15" s="6" t="str">
        <f>IFERROR(IF(AR15="--","",IF(HLOOKUP(SMALL($Q$4:$Y$4,6),$Q$4:$Y$501,ROW(AP15)-3,FALSE)=0,"",IF(HLOOKUP(SMALL($Q$4:$Y$4,6),$Q$4:$Y$501,ROW(AP15)-3,FALSE)="nee",VLOOKUP("De kwaliteitseis emissiearme grond (maximale concentratie) wordt overschreden.",H!$O$10:'H'!$P$59,2,FALSE),""))),"")</f>
        <v/>
      </c>
      <c r="BB15" s="6" t="str">
        <f t="shared" si="3"/>
        <v>--</v>
      </c>
      <c r="BC15" s="6" t="str">
        <f t="shared" si="4"/>
        <v/>
      </c>
      <c r="BD15" s="6" t="str">
        <f t="shared" si="5"/>
        <v>--</v>
      </c>
      <c r="BE15" s="6" t="str">
        <f t="shared" si="13"/>
        <v/>
      </c>
      <c r="BF15" s="6"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6">
        <f>IF(ISNUMBER(F!E16)=FALSE,"--",IF(F!E16=0,"--",F!E16))</f>
        <v>0.2</v>
      </c>
      <c r="C16" s="6" t="str">
        <f>IF(B16="--","",F!F16)</f>
        <v>&lt;</v>
      </c>
      <c r="D16" s="6">
        <f>IF(ISNUMBER(F!G16)=FALSE,"--",IF(F!G16=0,"--",F!G16))</f>
        <v>0.2</v>
      </c>
      <c r="E16" s="6" t="str">
        <f>IF(D16="--","",F!H16)</f>
        <v>&lt;</v>
      </c>
      <c r="F16" s="6">
        <f>IF(ISNUMBER(F!I16)=FALSE,"--",IF(F!I16=0,"--",F!I16))</f>
        <v>0.2</v>
      </c>
      <c r="G16" s="6" t="str">
        <f>IF(F16="--","",F!J16)</f>
        <v>&lt;</v>
      </c>
      <c r="H16" s="6"/>
      <c r="I16" s="6">
        <f>IF(F!Z16=-1,-1,F!AV16)</f>
        <v>-1</v>
      </c>
      <c r="J16" s="6"/>
      <c r="K16" s="6">
        <f>IF(F!AC16=-1,-1,F!AX16)</f>
        <v>-1</v>
      </c>
      <c r="L16" s="6"/>
      <c r="M16" s="6">
        <f>IF(F!AF16=-1,-1,F!AZ16)</f>
        <v>-1</v>
      </c>
      <c r="N16" s="6"/>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6">
        <f t="shared" si="20"/>
        <v>-1</v>
      </c>
      <c r="R16" s="5" t="str">
        <f>IF($B16="--","",IF($P16="toetsen",toetsen(F!$B16,Q16),IF($P16="toetsen alleen IW",toetsen_alleen_IW(F!$B16,Q16),IF($P16="toetsen alleen LN",toetsen_alleen_LN(F!$B16,Q16),IF($P16="toetsen geen MV en SV",toetsen_geen_MV_en_SV(F!$B16,Q16),IF($P16="toetsen alleen MV en SV",toetsen_alleen_MV_en_SV(F!$B16,Q16),""))))))</f>
        <v>-</v>
      </c>
      <c r="S16" s="5" t="str">
        <f>IF($P16="toetsen",IF(OR(Q16="",VLOOKUP(F!$B16,E!$B$1:$AK$300,10,FALSE)=1000000000),"",IF(Q16&lt;=VLOOKUP(F!$B16,E!$B$1:$AK$300,10,FALSE),"ja","nee")),"")</f>
        <v>ja</v>
      </c>
      <c r="T16" s="87">
        <f t="shared" si="21"/>
        <v>-1</v>
      </c>
      <c r="U16" s="5" t="str">
        <f>IF($D16="--","",IF($P16="toetsen",toetsen(F!$B16,T16),IF($P16="toetsen alleen IW",toetsen_alleen_IW(F!$B16,T16),IF($P16="toetsen alleen LN",toetsen_alleen_LN(F!$B16,T16),IF($P16="toetsen geen MV en SV",toetsen_geen_MV_en_SV(F!$B16,T16),IF($P16="toetsen alleen MV en SV",toetsen_alleen_MV_en_SV(F!$B16,T16),""))))))</f>
        <v>-</v>
      </c>
      <c r="V16" s="5" t="str">
        <f>IF($P16="toetsen",IF(OR(T16="",VLOOKUP(F!$B16,E!$B$1:$AK$300,10,FALSE)=1000000000),"",IF(T16&lt;=VLOOKUP(F!$B16,E!$B$1:$AK$300,10,FALSE),"ja","nee")),"")</f>
        <v>ja</v>
      </c>
      <c r="W16" s="6">
        <f t="shared" si="22"/>
        <v>-1</v>
      </c>
      <c r="X16" s="5" t="str">
        <f>IF($F16="--","",IF($P16="toetsen",toetsen(F!$B16,W16),IF($P16="toetsen alleen IW",toetsen_alleen_IW(F!$B16,W16),IF($P16="toetsen alleen LN",toetsen_alleen_LN(F!$B16,W16),IF($P16="toetsen geen MV en SV",toetsen_geen_MV_en_SV(F!$B16,W16),IF($P16="toetsen alleen MV en SV",toetsen_alleen_MV_en_SV(F!$B16,W16),""))))))</f>
        <v>-</v>
      </c>
      <c r="Y16" s="5" t="str">
        <f>IF($P16="toetsen",IF(OR(W16="",VLOOKUP(F!$B16,E!$B$1:$AK$300,10,FALSE)=1000000000),"",IF(W16&lt;=VLOOKUP(F!$B16,E!$B$1:$AK$300,10,FALSE),"ja","nee")),"")</f>
        <v>ja</v>
      </c>
      <c r="AA16" s="4">
        <f>IFERROR(IF(Q16="","",(IF(Q16&gt;2*VLOOKUP(F!$B16,E!$B$1:$AK$300,5,FALSE),1,0))),"")</f>
        <v>0</v>
      </c>
      <c r="AB16" s="4">
        <f>IFERROR(IF(T16="","",(IF(T16&gt;2*VLOOKUP(F!$B16,E!$B$1:$AK$300,5,FALSE),1,0))),"")</f>
        <v>0</v>
      </c>
      <c r="AC16" s="4">
        <f>IFERROR(IF(W16="","",(IF(W16&gt;2*VLOOKUP(F!$B16,E!$B$1:$AK$300,5,FALSE),1,0))),"")</f>
        <v>0</v>
      </c>
      <c r="AE16" s="4">
        <f>IFERROR(IF(Q16="","",(IF(Q16&gt;VLOOKUP(F!$B16,E!$B$1:$AK$300,6,FALSE)+VLOOKUP(F!$B16,E!$B$1:$AK$300,5,FALSE),1,0))),"")</f>
        <v>0</v>
      </c>
      <c r="AF16" s="4">
        <f>IFERROR(IF(T16="","",(IF(T16&gt;VLOOKUP(F!$B16,E!$B$1:$AK$300,6,FALSE)+VLOOKUP(F!$B16,E!$B$1:$AK$300,5,FALSE),1,0))),"")</f>
        <v>0</v>
      </c>
      <c r="AG16" s="4">
        <f>IFERROR(IF(W16="","",(IF(W16&gt;VLOOKUP(F!$B16,E!$B$1:$AK$300,6,FALSE)+VLOOKUP(F!$B16,E!$B$1:$AK$300,5,FALSE),1,0))),"")</f>
        <v>0</v>
      </c>
      <c r="AI16" s="6" t="str">
        <f t="shared" si="23"/>
        <v>0,20</v>
      </c>
      <c r="AJ16" s="6" t="str">
        <f>IF(AI16="--","--",IF(F!$D16=131,IF(I16=-1,"rg",IF(I16="","--",IF(I16*1000&lt;1,FIXED(I16*1000,3),IF(I16*1000&lt;10,FIXED(I16*1000,2),(IF(I16*1000&lt;100,FIXED(I16*1000,1),IF(I16*1000&lt;1000,FIXED(I16*1000,0),MROUND(I16*1000,10)))))))),IF(I16=-1,"rg",IF(I16="","--",IF(I16&lt;1,FIXED(I16,3),IF(I16&lt;10,FIXED(I16,2),(IF(I16&lt;100,FIXED(I16,1),IF(I16&lt;1000,FIXED(I16,0),MROUND(I16,10))))))))))</f>
        <v>rg</v>
      </c>
      <c r="AK16" s="6" t="str">
        <f t="shared" si="24"/>
        <v>0,20</v>
      </c>
      <c r="AL16" s="6" t="str">
        <f>IF(AK16="--","--",IF(F!$D16=131,IF(K16=-1,"rg",IF(K16="","--",IF(K16*1000&lt;1,FIXED(K16*1000,3),IF(K16*1000&lt;10,FIXED(K16*1000,2),(IF(K16*1000&lt;100,FIXED(K16*1000,1),IF(K16*1000&lt;1000,FIXED(K16*1000,0),MROUND(K16*1000,10)))))))),IF(K16=-1,"rg",IF(K16="","--",IF(K16&lt;1,FIXED(K16,3),IF(K16&lt;10,FIXED(K16,2),(IF(K16&lt;100,FIXED(K16,1),IF(K16&lt;1000,FIXED(K16,0),MROUND(K16,10))))))))))</f>
        <v>rg</v>
      </c>
      <c r="AM16" s="6" t="str">
        <f t="shared" si="25"/>
        <v>0,20</v>
      </c>
      <c r="AN16" s="6" t="str">
        <f>IF(AM16="--","--",IF(F!$D16=131,IF(M16=-1,"rg",IF(M16="","--",IF(M16*1000&lt;1,FIXED(M16*1000,3),IF(M16*1000&lt;10,FIXED(M16*1000,2),(IF(M16*1000&lt;100,FIXED(M16*1000,1),IF(M16*1000&lt;1000,FIXED(M16*1000,0),MROUND(M16*1000,10)))))))),IF(M16=-1,"rg",IF(M16="","--",IF(M16&lt;1,FIXED(M16,3),IF(M16&lt;10,FIXED(M16,2),(IF(M16&lt;100,FIXED(M16,1),IF(M16&lt;1000,FIXED(M16,0),MROUND(M16,10))))))))))</f>
        <v>rg</v>
      </c>
      <c r="AP16" s="6" t="str">
        <f t="shared" si="6"/>
        <v>0,20</v>
      </c>
      <c r="AQ16" s="6" t="str">
        <f t="shared" si="7"/>
        <v>&lt;</v>
      </c>
      <c r="AR16" s="6" t="str">
        <f t="shared" si="8"/>
        <v>rg</v>
      </c>
      <c r="AS16" s="6" t="str">
        <f t="shared" si="9"/>
        <v>&lt;</v>
      </c>
      <c r="AT16" s="6" t="str">
        <f t="shared" si="10"/>
        <v>-</v>
      </c>
      <c r="AU16" s="6" t="str">
        <f>IFERROR(IF(AR16="--","",IF(HLOOKUP(SMALL($Q$4:$Y$4,3),$Q$4:$Y$501,ROW(AP16)-3,FALSE)=0,"",IF(HLOOKUP(SMALL($Q$4:$Y$4,3),$Q$4:$Y$501,ROW(AP16)-3,FALSE)="nee",VLOOKUP("De kwaliteitseis emissiearme grond (maximale concentratie) wordt overschreden.",H!$O$10:'H'!$P$59,2,FALSE),""))),"")</f>
        <v/>
      </c>
      <c r="AV16" s="6" t="str">
        <f t="shared" si="0"/>
        <v>0,20</v>
      </c>
      <c r="AW16" s="6" t="str">
        <f t="shared" si="1"/>
        <v>&lt;</v>
      </c>
      <c r="AX16" s="6" t="str">
        <f t="shared" si="2"/>
        <v>rg</v>
      </c>
      <c r="AY16" s="6" t="str">
        <f t="shared" si="11"/>
        <v>&lt;</v>
      </c>
      <c r="AZ16" s="6" t="str">
        <f t="shared" si="12"/>
        <v>-</v>
      </c>
      <c r="BA16" s="6" t="str">
        <f>IFERROR(IF(AR16="--","",IF(HLOOKUP(SMALL($Q$4:$Y$4,6),$Q$4:$Y$501,ROW(AP16)-3,FALSE)=0,"",IF(HLOOKUP(SMALL($Q$4:$Y$4,6),$Q$4:$Y$501,ROW(AP16)-3,FALSE)="nee",VLOOKUP("De kwaliteitseis emissiearme grond (maximale concentratie) wordt overschreden.",H!$O$10:'H'!$P$59,2,FALSE),""))),"")</f>
        <v/>
      </c>
      <c r="BB16" s="6" t="str">
        <f t="shared" si="3"/>
        <v>0,20</v>
      </c>
      <c r="BC16" s="6" t="str">
        <f t="shared" si="4"/>
        <v>&lt;</v>
      </c>
      <c r="BD16" s="6" t="str">
        <f t="shared" si="5"/>
        <v>rg</v>
      </c>
      <c r="BE16" s="6" t="str">
        <f t="shared" si="13"/>
        <v>&lt;</v>
      </c>
      <c r="BF16" s="6" t="str">
        <f t="shared" si="14"/>
        <v>-</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6" t="str">
        <f>IF(ISNUMBER(F!E17)=FALSE,"--",IF(F!E17=0,"--",F!E17))</f>
        <v>--</v>
      </c>
      <c r="C17" s="6" t="str">
        <f>IF(B17="--","",F!F17)</f>
        <v/>
      </c>
      <c r="D17" s="6" t="str">
        <f>IF(ISNUMBER(F!G17)=FALSE,"--",IF(F!G17=0,"--",F!G17))</f>
        <v>--</v>
      </c>
      <c r="E17" s="6" t="str">
        <f>IF(D17="--","",F!H17)</f>
        <v/>
      </c>
      <c r="F17" s="6" t="str">
        <f>IF(ISNUMBER(F!I17)=FALSE,"--",IF(F!I17=0,"--",F!I17))</f>
        <v>--</v>
      </c>
      <c r="G17" s="6" t="str">
        <f>IF(F17="--","",F!J17)</f>
        <v/>
      </c>
      <c r="H17" s="6"/>
      <c r="I17" s="6" t="str">
        <f>IF(F!Z17=-1,-1,F!AV17)</f>
        <v/>
      </c>
      <c r="J17" s="6"/>
      <c r="K17" s="6" t="str">
        <f>IF(F!AC17=-1,-1,F!AX17)</f>
        <v/>
      </c>
      <c r="L17" s="6"/>
      <c r="M17" s="6" t="str">
        <f>IF(F!AF17=-1,-1,F!AZ17)</f>
        <v/>
      </c>
      <c r="N17" s="6"/>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6" t="str">
        <f t="shared" si="20"/>
        <v/>
      </c>
      <c r="R17" s="5" t="str">
        <f>IF($B17="--","",IF($P17="toetsen",toetsen(F!$B17,Q17),IF($P17="toetsen alleen IW",toetsen_alleen_IW(F!$B17,Q17),IF($P17="toetsen alleen LN",toetsen_alleen_LN(F!$B17,Q17),IF($P17="toetsen geen MV en SV",toetsen_geen_MV_en_SV(F!$B17,Q17),IF($P17="toetsen alleen MV en SV",toetsen_alleen_MV_en_SV(F!$B17,Q17),""))))))</f>
        <v/>
      </c>
      <c r="S17" s="5" t="str">
        <f>IF($P17="toetsen",IF(OR(Q17="",VLOOKUP(F!$B17,E!$B$1:$AK$300,10,FALSE)=1000000000),"",IF(Q17&lt;=VLOOKUP(F!$B17,E!$B$1:$AK$300,10,FALSE),"ja","nee")),"")</f>
        <v/>
      </c>
      <c r="T17" s="87" t="str">
        <f t="shared" si="21"/>
        <v/>
      </c>
      <c r="U17" s="5" t="str">
        <f>IF($D17="--","",IF($P17="toetsen",toetsen(F!$B17,T17),IF($P17="toetsen alleen IW",toetsen_alleen_IW(F!$B17,T17),IF($P17="toetsen alleen LN",toetsen_alleen_LN(F!$B17,T17),IF($P17="toetsen geen MV en SV",toetsen_geen_MV_en_SV(F!$B17,T17),IF($P17="toetsen alleen MV en SV",toetsen_alleen_MV_en_SV(F!$B17,T17),""))))))</f>
        <v/>
      </c>
      <c r="V17" s="5" t="str">
        <f>IF($P17="toetsen",IF(OR(T17="",VLOOKUP(F!$B17,E!$B$1:$AK$300,10,FALSE)=1000000000),"",IF(T17&lt;=VLOOKUP(F!$B17,E!$B$1:$AK$300,10,FALSE),"ja","nee")),"")</f>
        <v/>
      </c>
      <c r="W17" s="6" t="str">
        <f t="shared" si="22"/>
        <v/>
      </c>
      <c r="X17" s="5" t="str">
        <f>IF($F17="--","",IF($P17="toetsen",toetsen(F!$B17,W17),IF($P17="toetsen alleen IW",toetsen_alleen_IW(F!$B17,W17),IF($P17="toetsen alleen LN",toetsen_alleen_LN(F!$B17,W17),IF($P17="toetsen geen MV en SV",toetsen_geen_MV_en_SV(F!$B17,W17),IF($P17="toetsen alleen MV en SV",toetsen_alleen_MV_en_SV(F!$B17,W17),""))))))</f>
        <v/>
      </c>
      <c r="Y17" s="5" t="str">
        <f>IF($P17="toetsen",IF(OR(W17="",VLOOKUP(F!$B17,E!$B$1:$AK$300,10,FALSE)=1000000000),"",IF(W17&lt;=VLOOKUP(F!$B17,E!$B$1:$AK$300,10,FALSE),"ja","nee")),"")</f>
        <v/>
      </c>
      <c r="AA17" s="4"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6" t="str">
        <f t="shared" si="23"/>
        <v>--</v>
      </c>
      <c r="AJ17" s="6" t="str">
        <f>IF(AI17="--","--",IF(F!$D17=131,IF(I17=-1,"rg",IF(I17="","--",IF(I17*1000&lt;1,FIXED(I17*1000,3),IF(I17*1000&lt;10,FIXED(I17*1000,2),(IF(I17*1000&lt;100,FIXED(I17*1000,1),IF(I17*1000&lt;1000,FIXED(I17*1000,0),MROUND(I17*1000,10)))))))),IF(I17=-1,"rg",IF(I17="","--",IF(I17&lt;1,FIXED(I17,3),IF(I17&lt;10,FIXED(I17,2),(IF(I17&lt;100,FIXED(I17,1),IF(I17&lt;1000,FIXED(I17,0),MROUND(I17,10))))))))))</f>
        <v>--</v>
      </c>
      <c r="AK17" s="6" t="str">
        <f t="shared" si="24"/>
        <v>--</v>
      </c>
      <c r="AL17" s="6" t="str">
        <f>IF(AK17="--","--",IF(F!$D17=131,IF(K17=-1,"rg",IF(K17="","--",IF(K17*1000&lt;1,FIXED(K17*1000,3),IF(K17*1000&lt;10,FIXED(K17*1000,2),(IF(K17*1000&lt;100,FIXED(K17*1000,1),IF(K17*1000&lt;1000,FIXED(K17*1000,0),MROUND(K17*1000,10)))))))),IF(K17=-1,"rg",IF(K17="","--",IF(K17&lt;1,FIXED(K17,3),IF(K17&lt;10,FIXED(K17,2),(IF(K17&lt;100,FIXED(K17,1),IF(K17&lt;1000,FIXED(K17,0),MROUND(K17,10))))))))))</f>
        <v>--</v>
      </c>
      <c r="AM17" s="6" t="str">
        <f t="shared" si="25"/>
        <v>--</v>
      </c>
      <c r="AN17" s="6" t="str">
        <f>IF(AM17="--","--",IF(F!$D17=131,IF(M17=-1,"rg",IF(M17="","--",IF(M17*1000&lt;1,FIXED(M17*1000,3),IF(M17*1000&lt;10,FIXED(M17*1000,2),(IF(M17*1000&lt;100,FIXED(M17*1000,1),IF(M17*1000&lt;1000,FIXED(M17*1000,0),MROUND(M17*1000,10)))))))),IF(M17=-1,"rg",IF(M17="","--",IF(M17&lt;1,FIXED(M17,3),IF(M17&lt;10,FIXED(M17,2),(IF(M17&lt;100,FIXED(M17,1),IF(M17&lt;1000,FIXED(M17,0),MROUND(M17,10))))))))))</f>
        <v>--</v>
      </c>
      <c r="AP17" s="6" t="str">
        <f t="shared" si="6"/>
        <v>--</v>
      </c>
      <c r="AQ17" s="6" t="str">
        <f t="shared" si="7"/>
        <v/>
      </c>
      <c r="AR17" s="6" t="str">
        <f t="shared" si="8"/>
        <v>--</v>
      </c>
      <c r="AS17" s="6" t="str">
        <f t="shared" si="9"/>
        <v/>
      </c>
      <c r="AT17" s="6" t="str">
        <f t="shared" si="10"/>
        <v/>
      </c>
      <c r="AU17" s="6" t="str">
        <f>IFERROR(IF(AR17="--","",IF(HLOOKUP(SMALL($Q$4:$Y$4,3),$Q$4:$Y$501,ROW(AP17)-3,FALSE)=0,"",IF(HLOOKUP(SMALL($Q$4:$Y$4,3),$Q$4:$Y$501,ROW(AP17)-3,FALSE)="nee",VLOOKUP("De kwaliteitseis emissiearme grond (maximale concentratie) wordt overschreden.",H!$O$10:'H'!$P$59,2,FALSE),""))),"")</f>
        <v/>
      </c>
      <c r="AV17" s="6" t="str">
        <f t="shared" si="0"/>
        <v>--</v>
      </c>
      <c r="AW17" s="6" t="str">
        <f t="shared" si="1"/>
        <v/>
      </c>
      <c r="AX17" s="6" t="str">
        <f t="shared" si="2"/>
        <v>--</v>
      </c>
      <c r="AY17" s="6" t="str">
        <f t="shared" si="11"/>
        <v/>
      </c>
      <c r="AZ17" s="6" t="str">
        <f t="shared" si="12"/>
        <v/>
      </c>
      <c r="BA17" s="6" t="str">
        <f>IFERROR(IF(AR17="--","",IF(HLOOKUP(SMALL($Q$4:$Y$4,6),$Q$4:$Y$501,ROW(AP17)-3,FALSE)=0,"",IF(HLOOKUP(SMALL($Q$4:$Y$4,6),$Q$4:$Y$501,ROW(AP17)-3,FALSE)="nee",VLOOKUP("De kwaliteitseis emissiearme grond (maximale concentratie) wordt overschreden.",H!$O$10:'H'!$P$59,2,FALSE),""))),"")</f>
        <v/>
      </c>
      <c r="BB17" s="6" t="str">
        <f t="shared" si="3"/>
        <v>--</v>
      </c>
      <c r="BC17" s="6" t="str">
        <f t="shared" si="4"/>
        <v/>
      </c>
      <c r="BD17" s="6" t="str">
        <f t="shared" si="5"/>
        <v>--</v>
      </c>
      <c r="BE17" s="6" t="str">
        <f t="shared" si="13"/>
        <v/>
      </c>
      <c r="BF17" s="6"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6" t="str">
        <f>IF(ISNUMBER(F!E18)=FALSE,"--",IF(F!E18=0,"--",F!E18))</f>
        <v>--</v>
      </c>
      <c r="C18" s="6" t="str">
        <f>IF(B18="--","",F!F18)</f>
        <v/>
      </c>
      <c r="D18" s="6" t="str">
        <f>IF(ISNUMBER(F!G18)=FALSE,"--",IF(F!G18=0,"--",F!G18))</f>
        <v>--</v>
      </c>
      <c r="E18" s="6" t="str">
        <f>IF(D18="--","",F!H18)</f>
        <v/>
      </c>
      <c r="F18" s="6" t="str">
        <f>IF(ISNUMBER(F!I18)=FALSE,"--",IF(F!I18=0,"--",F!I18))</f>
        <v>--</v>
      </c>
      <c r="G18" s="6" t="str">
        <f>IF(F18="--","",F!J18)</f>
        <v/>
      </c>
      <c r="H18" s="6"/>
      <c r="I18" s="6" t="str">
        <f>IF(F!Z18=-1,-1,F!AV18)</f>
        <v/>
      </c>
      <c r="J18" s="6"/>
      <c r="K18" s="6" t="str">
        <f>IF(F!AC18=-1,-1,F!AX18)</f>
        <v/>
      </c>
      <c r="L18" s="6"/>
      <c r="M18" s="6" t="str">
        <f>IF(F!AF18=-1,-1,F!AZ18)</f>
        <v/>
      </c>
      <c r="N18" s="6"/>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6" t="str">
        <f t="shared" si="20"/>
        <v/>
      </c>
      <c r="R18" s="5" t="str">
        <f>IF($B18="--","",IF($P18="toetsen",toetsen(F!$B18,Q18),IF($P18="toetsen alleen IW",toetsen_alleen_IW(F!$B18,Q18),IF($P18="toetsen alleen LN",toetsen_alleen_LN(F!$B18,Q18),IF($P18="toetsen geen MV en SV",toetsen_geen_MV_en_SV(F!$B18,Q18),IF($P18="toetsen alleen MV en SV",toetsen_alleen_MV_en_SV(F!$B18,Q18),""))))))</f>
        <v/>
      </c>
      <c r="S18" s="5" t="str">
        <f>IF($P18="toetsen",IF(OR(Q18="",VLOOKUP(F!$B18,E!$B$1:$AK$300,10,FALSE)=1000000000),"",IF(Q18&lt;=VLOOKUP(F!$B18,E!$B$1:$AK$300,10,FALSE),"ja","nee")),"")</f>
        <v/>
      </c>
      <c r="T18" s="87" t="str">
        <f t="shared" si="21"/>
        <v/>
      </c>
      <c r="U18" s="5" t="str">
        <f>IF($D18="--","",IF($P18="toetsen",toetsen(F!$B18,T18),IF($P18="toetsen alleen IW",toetsen_alleen_IW(F!$B18,T18),IF($P18="toetsen alleen LN",toetsen_alleen_LN(F!$B18,T18),IF($P18="toetsen geen MV en SV",toetsen_geen_MV_en_SV(F!$B18,T18),IF($P18="toetsen alleen MV en SV",toetsen_alleen_MV_en_SV(F!$B18,T18),""))))))</f>
        <v/>
      </c>
      <c r="V18" s="5" t="str">
        <f>IF($P18="toetsen",IF(OR(T18="",VLOOKUP(F!$B18,E!$B$1:$AK$300,10,FALSE)=1000000000),"",IF(T18&lt;=VLOOKUP(F!$B18,E!$B$1:$AK$300,10,FALSE),"ja","nee")),"")</f>
        <v/>
      </c>
      <c r="W18" s="6" t="str">
        <f t="shared" si="22"/>
        <v/>
      </c>
      <c r="X18" s="5" t="str">
        <f>IF($F18="--","",IF($P18="toetsen",toetsen(F!$B18,W18),IF($P18="toetsen alleen IW",toetsen_alleen_IW(F!$B18,W18),IF($P18="toetsen alleen LN",toetsen_alleen_LN(F!$B18,W18),IF($P18="toetsen geen MV en SV",toetsen_geen_MV_en_SV(F!$B18,W18),IF($P18="toetsen alleen MV en SV",toetsen_alleen_MV_en_SV(F!$B18,W18),""))))))</f>
        <v/>
      </c>
      <c r="Y18" s="5" t="str">
        <f>IF($P18="toetsen",IF(OR(W18="",VLOOKUP(F!$B18,E!$B$1:$AK$300,10,FALSE)=1000000000),"",IF(W18&lt;=VLOOKUP(F!$B18,E!$B$1:$AK$300,10,FALSE),"ja","nee")),"")</f>
        <v/>
      </c>
      <c r="AA18" s="4"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6" t="str">
        <f t="shared" si="23"/>
        <v>--</v>
      </c>
      <c r="AJ18" s="6" t="str">
        <f>IF(AI18="--","--",IF(F!$D18=131,IF(I18=-1,"rg",IF(I18="","--",IF(I18*1000&lt;1,FIXED(I18*1000,3),IF(I18*1000&lt;10,FIXED(I18*1000,2),(IF(I18*1000&lt;100,FIXED(I18*1000,1),IF(I18*1000&lt;1000,FIXED(I18*1000,0),MROUND(I18*1000,10)))))))),IF(I18=-1,"rg",IF(I18="","--",IF(I18&lt;1,FIXED(I18,3),IF(I18&lt;10,FIXED(I18,2),(IF(I18&lt;100,FIXED(I18,1),IF(I18&lt;1000,FIXED(I18,0),MROUND(I18,10))))))))))</f>
        <v>--</v>
      </c>
      <c r="AK18" s="6" t="str">
        <f t="shared" si="24"/>
        <v>--</v>
      </c>
      <c r="AL18" s="6" t="str">
        <f>IF(AK18="--","--",IF(F!$D18=131,IF(K18=-1,"rg",IF(K18="","--",IF(K18*1000&lt;1,FIXED(K18*1000,3),IF(K18*1000&lt;10,FIXED(K18*1000,2),(IF(K18*1000&lt;100,FIXED(K18*1000,1),IF(K18*1000&lt;1000,FIXED(K18*1000,0),MROUND(K18*1000,10)))))))),IF(K18=-1,"rg",IF(K18="","--",IF(K18&lt;1,FIXED(K18,3),IF(K18&lt;10,FIXED(K18,2),(IF(K18&lt;100,FIXED(K18,1),IF(K18&lt;1000,FIXED(K18,0),MROUND(K18,10))))))))))</f>
        <v>--</v>
      </c>
      <c r="AM18" s="6" t="str">
        <f t="shared" si="25"/>
        <v>--</v>
      </c>
      <c r="AN18" s="6" t="str">
        <f>IF(AM18="--","--",IF(F!$D18=131,IF(M18=-1,"rg",IF(M18="","--",IF(M18*1000&lt;1,FIXED(M18*1000,3),IF(M18*1000&lt;10,FIXED(M18*1000,2),(IF(M18*1000&lt;100,FIXED(M18*1000,1),IF(M18*1000&lt;1000,FIXED(M18*1000,0),MROUND(M18*1000,10)))))))),IF(M18=-1,"rg",IF(M18="","--",IF(M18&lt;1,FIXED(M18,3),IF(M18&lt;10,FIXED(M18,2),(IF(M18&lt;100,FIXED(M18,1),IF(M18&lt;1000,FIXED(M18,0),MROUND(M18,10))))))))))</f>
        <v>--</v>
      </c>
      <c r="AP18" s="6" t="str">
        <f t="shared" si="6"/>
        <v>--</v>
      </c>
      <c r="AQ18" s="6" t="str">
        <f t="shared" si="7"/>
        <v/>
      </c>
      <c r="AR18" s="6" t="str">
        <f t="shared" si="8"/>
        <v>--</v>
      </c>
      <c r="AS18" s="6" t="str">
        <f t="shared" si="9"/>
        <v/>
      </c>
      <c r="AT18" s="6" t="str">
        <f t="shared" si="10"/>
        <v/>
      </c>
      <c r="AU18" s="6" t="str">
        <f>IFERROR(IF(AR18="--","",IF(HLOOKUP(SMALL($Q$4:$Y$4,3),$Q$4:$Y$501,ROW(AP18)-3,FALSE)=0,"",IF(HLOOKUP(SMALL($Q$4:$Y$4,3),$Q$4:$Y$501,ROW(AP18)-3,FALSE)="nee",VLOOKUP("De kwaliteitseis emissiearme grond (maximale concentratie) wordt overschreden.",H!$O$10:'H'!$P$59,2,FALSE),""))),"")</f>
        <v/>
      </c>
      <c r="AV18" s="6" t="str">
        <f t="shared" si="0"/>
        <v>--</v>
      </c>
      <c r="AW18" s="6" t="str">
        <f t="shared" si="1"/>
        <v/>
      </c>
      <c r="AX18" s="6" t="str">
        <f t="shared" si="2"/>
        <v>--</v>
      </c>
      <c r="AY18" s="6" t="str">
        <f t="shared" si="11"/>
        <v/>
      </c>
      <c r="AZ18" s="6" t="str">
        <f t="shared" si="12"/>
        <v/>
      </c>
      <c r="BA18" s="6" t="str">
        <f>IFERROR(IF(AR18="--","",IF(HLOOKUP(SMALL($Q$4:$Y$4,6),$Q$4:$Y$501,ROW(AP18)-3,FALSE)=0,"",IF(HLOOKUP(SMALL($Q$4:$Y$4,6),$Q$4:$Y$501,ROW(AP18)-3,FALSE)="nee",VLOOKUP("De kwaliteitseis emissiearme grond (maximale concentratie) wordt overschreden.",H!$O$10:'H'!$P$59,2,FALSE),""))),"")</f>
        <v/>
      </c>
      <c r="BB18" s="6" t="str">
        <f t="shared" si="3"/>
        <v>--</v>
      </c>
      <c r="BC18" s="6" t="str">
        <f t="shared" si="4"/>
        <v/>
      </c>
      <c r="BD18" s="6" t="str">
        <f t="shared" si="5"/>
        <v>--</v>
      </c>
      <c r="BE18" s="6" t="str">
        <f t="shared" si="13"/>
        <v/>
      </c>
      <c r="BF18" s="6"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6" t="str">
        <f>IF(ISNUMBER(F!E19)=FALSE,"--",IF(F!E19=0,"--",F!E19))</f>
        <v>--</v>
      </c>
      <c r="C19" s="6" t="str">
        <f>IF(B19="--","",F!F19)</f>
        <v/>
      </c>
      <c r="D19" s="6" t="str">
        <f>IF(ISNUMBER(F!G19)=FALSE,"--",IF(F!G19=0,"--",F!G19))</f>
        <v>--</v>
      </c>
      <c r="E19" s="6" t="str">
        <f>IF(D19="--","",F!H19)</f>
        <v/>
      </c>
      <c r="F19" s="6" t="str">
        <f>IF(ISNUMBER(F!I19)=FALSE,"--",IF(F!I19=0,"--",F!I19))</f>
        <v>--</v>
      </c>
      <c r="G19" s="6" t="str">
        <f>IF(F19="--","",F!J19)</f>
        <v/>
      </c>
      <c r="H19" s="6"/>
      <c r="I19" s="6" t="str">
        <f>IF(F!Z19=-1,-1,F!AV19)</f>
        <v/>
      </c>
      <c r="J19" s="6"/>
      <c r="K19" s="6" t="str">
        <f>IF(F!AC19=-1,-1,F!AX19)</f>
        <v/>
      </c>
      <c r="L19" s="6"/>
      <c r="M19" s="6" t="str">
        <f>IF(F!AF19=-1,-1,F!AZ19)</f>
        <v/>
      </c>
      <c r="N19" s="6"/>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6" t="str">
        <f t="shared" si="20"/>
        <v/>
      </c>
      <c r="R19" s="5" t="str">
        <f>IF($B19="--","",IF($P19="toetsen",toetsen(F!$B19,Q19),IF($P19="toetsen alleen IW",toetsen_alleen_IW(F!$B19,Q19),IF($P19="toetsen alleen LN",toetsen_alleen_LN(F!$B19,Q19),IF($P19="toetsen geen MV en SV",toetsen_geen_MV_en_SV(F!$B19,Q19),IF($P19="toetsen alleen MV en SV",toetsen_alleen_MV_en_SV(F!$B19,Q19),""))))))</f>
        <v/>
      </c>
      <c r="S19" s="5" t="str">
        <f>IF($P19="toetsen",IF(OR(Q19="",VLOOKUP(F!$B19,E!$B$1:$AK$300,10,FALSE)=1000000000),"",IF(Q19&lt;=VLOOKUP(F!$B19,E!$B$1:$AK$300,10,FALSE),"ja","nee")),"")</f>
        <v/>
      </c>
      <c r="T19" s="87" t="str">
        <f t="shared" si="21"/>
        <v/>
      </c>
      <c r="U19" s="5" t="str">
        <f>IF($D19="--","",IF($P19="toetsen",toetsen(F!$B19,T19),IF($P19="toetsen alleen IW",toetsen_alleen_IW(F!$B19,T19),IF($P19="toetsen alleen LN",toetsen_alleen_LN(F!$B19,T19),IF($P19="toetsen geen MV en SV",toetsen_geen_MV_en_SV(F!$B19,T19),IF($P19="toetsen alleen MV en SV",toetsen_alleen_MV_en_SV(F!$B19,T19),""))))))</f>
        <v/>
      </c>
      <c r="V19" s="5" t="str">
        <f>IF($P19="toetsen",IF(OR(T19="",VLOOKUP(F!$B19,E!$B$1:$AK$300,10,FALSE)=1000000000),"",IF(T19&lt;=VLOOKUP(F!$B19,E!$B$1:$AK$300,10,FALSE),"ja","nee")),"")</f>
        <v/>
      </c>
      <c r="W19" s="6" t="str">
        <f t="shared" si="22"/>
        <v/>
      </c>
      <c r="X19" s="5" t="str">
        <f>IF($F19="--","",IF($P19="toetsen",toetsen(F!$B19,W19),IF($P19="toetsen alleen IW",toetsen_alleen_IW(F!$B19,W19),IF($P19="toetsen alleen LN",toetsen_alleen_LN(F!$B19,W19),IF($P19="toetsen geen MV en SV",toetsen_geen_MV_en_SV(F!$B19,W19),IF($P19="toetsen alleen MV en SV",toetsen_alleen_MV_en_SV(F!$B19,W19),""))))))</f>
        <v/>
      </c>
      <c r="Y19" s="5" t="str">
        <f>IF($P19="toetsen",IF(OR(W19="",VLOOKUP(F!$B19,E!$B$1:$AK$300,10,FALSE)=1000000000),"",IF(W19&lt;=VLOOKUP(F!$B19,E!$B$1:$AK$300,10,FALSE),"ja","nee")),"")</f>
        <v/>
      </c>
      <c r="AA19" s="4"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6" t="str">
        <f t="shared" si="23"/>
        <v>--</v>
      </c>
      <c r="AJ19" s="6" t="str">
        <f>IF(AI19="--","--",IF(F!$D19=131,IF(I19=-1,"rg",IF(I19="","--",IF(I19*1000&lt;1,FIXED(I19*1000,3),IF(I19*1000&lt;10,FIXED(I19*1000,2),(IF(I19*1000&lt;100,FIXED(I19*1000,1),IF(I19*1000&lt;1000,FIXED(I19*1000,0),MROUND(I19*1000,10)))))))),IF(I19=-1,"rg",IF(I19="","--",IF(I19&lt;1,FIXED(I19,3),IF(I19&lt;10,FIXED(I19,2),(IF(I19&lt;100,FIXED(I19,1),IF(I19&lt;1000,FIXED(I19,0),MROUND(I19,10))))))))))</f>
        <v>--</v>
      </c>
      <c r="AK19" s="6" t="str">
        <f t="shared" si="24"/>
        <v>--</v>
      </c>
      <c r="AL19" s="6" t="str">
        <f>IF(AK19="--","--",IF(F!$D19=131,IF(K19=-1,"rg",IF(K19="","--",IF(K19*1000&lt;1,FIXED(K19*1000,3),IF(K19*1000&lt;10,FIXED(K19*1000,2),(IF(K19*1000&lt;100,FIXED(K19*1000,1),IF(K19*1000&lt;1000,FIXED(K19*1000,0),MROUND(K19*1000,10)))))))),IF(K19=-1,"rg",IF(K19="","--",IF(K19&lt;1,FIXED(K19,3),IF(K19&lt;10,FIXED(K19,2),(IF(K19&lt;100,FIXED(K19,1),IF(K19&lt;1000,FIXED(K19,0),MROUND(K19,10))))))))))</f>
        <v>--</v>
      </c>
      <c r="AM19" s="6" t="str">
        <f t="shared" si="25"/>
        <v>--</v>
      </c>
      <c r="AN19" s="6" t="str">
        <f>IF(AM19="--","--",IF(F!$D19=131,IF(M19=-1,"rg",IF(M19="","--",IF(M19*1000&lt;1,FIXED(M19*1000,3),IF(M19*1000&lt;10,FIXED(M19*1000,2),(IF(M19*1000&lt;100,FIXED(M19*1000,1),IF(M19*1000&lt;1000,FIXED(M19*1000,0),MROUND(M19*1000,10)))))))),IF(M19=-1,"rg",IF(M19="","--",IF(M19&lt;1,FIXED(M19,3),IF(M19&lt;10,FIXED(M19,2),(IF(M19&lt;100,FIXED(M19,1),IF(M19&lt;1000,FIXED(M19,0),MROUND(M19,10))))))))))</f>
        <v>--</v>
      </c>
      <c r="AP19" s="6" t="str">
        <f t="shared" si="6"/>
        <v>--</v>
      </c>
      <c r="AQ19" s="6" t="str">
        <f t="shared" si="7"/>
        <v/>
      </c>
      <c r="AR19" s="6" t="str">
        <f t="shared" si="8"/>
        <v>--</v>
      </c>
      <c r="AS19" s="6" t="str">
        <f t="shared" si="9"/>
        <v/>
      </c>
      <c r="AT19" s="6" t="str">
        <f t="shared" si="10"/>
        <v/>
      </c>
      <c r="AU19" s="6" t="str">
        <f>IFERROR(IF(AR19="--","",IF(HLOOKUP(SMALL($Q$4:$Y$4,3),$Q$4:$Y$501,ROW(AP19)-3,FALSE)=0,"",IF(HLOOKUP(SMALL($Q$4:$Y$4,3),$Q$4:$Y$501,ROW(AP19)-3,FALSE)="nee",VLOOKUP("De kwaliteitseis emissiearme grond (maximale concentratie) wordt overschreden.",H!$O$10:'H'!$P$59,2,FALSE),""))),"")</f>
        <v/>
      </c>
      <c r="AV19" s="6" t="str">
        <f t="shared" si="0"/>
        <v>--</v>
      </c>
      <c r="AW19" s="6" t="str">
        <f t="shared" si="1"/>
        <v/>
      </c>
      <c r="AX19" s="6" t="str">
        <f t="shared" si="2"/>
        <v>--</v>
      </c>
      <c r="AY19" s="6" t="str">
        <f t="shared" si="11"/>
        <v/>
      </c>
      <c r="AZ19" s="6" t="str">
        <f t="shared" si="12"/>
        <v/>
      </c>
      <c r="BA19" s="6" t="str">
        <f>IFERROR(IF(AR19="--","",IF(HLOOKUP(SMALL($Q$4:$Y$4,6),$Q$4:$Y$501,ROW(AP19)-3,FALSE)=0,"",IF(HLOOKUP(SMALL($Q$4:$Y$4,6),$Q$4:$Y$501,ROW(AP19)-3,FALSE)="nee",VLOOKUP("De kwaliteitseis emissiearme grond (maximale concentratie) wordt overschreden.",H!$O$10:'H'!$P$59,2,FALSE),""))),"")</f>
        <v/>
      </c>
      <c r="BB19" s="6" t="str">
        <f t="shared" si="3"/>
        <v>--</v>
      </c>
      <c r="BC19" s="6" t="str">
        <f t="shared" si="4"/>
        <v/>
      </c>
      <c r="BD19" s="6" t="str">
        <f t="shared" si="5"/>
        <v>--</v>
      </c>
      <c r="BE19" s="6" t="str">
        <f t="shared" si="13"/>
        <v/>
      </c>
      <c r="BF19" s="6"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6" t="str">
        <f>IF(ISNUMBER(F!E20)=FALSE,"--",IF(F!E20=0,"--",F!E20))</f>
        <v>--</v>
      </c>
      <c r="C20" s="6" t="str">
        <f>IF(B20="--","",F!F20)</f>
        <v/>
      </c>
      <c r="D20" s="6" t="str">
        <f>IF(ISNUMBER(F!G20)=FALSE,"--",IF(F!G20=0,"--",F!G20))</f>
        <v>--</v>
      </c>
      <c r="E20" s="6" t="str">
        <f>IF(D20="--","",F!H20)</f>
        <v/>
      </c>
      <c r="F20" s="6" t="str">
        <f>IF(ISNUMBER(F!I20)=FALSE,"--",IF(F!I20=0,"--",F!I20))</f>
        <v>--</v>
      </c>
      <c r="G20" s="6" t="str">
        <f>IF(F20="--","",F!J20)</f>
        <v/>
      </c>
      <c r="H20" s="6"/>
      <c r="I20" s="6" t="str">
        <f>IF(F!Z20=-1,-1,F!AV20)</f>
        <v/>
      </c>
      <c r="J20" s="6"/>
      <c r="K20" s="6" t="str">
        <f>IF(F!AC20=-1,-1,F!AX20)</f>
        <v/>
      </c>
      <c r="L20" s="6"/>
      <c r="M20" s="6" t="str">
        <f>IF(F!AF20=-1,-1,F!AZ20)</f>
        <v/>
      </c>
      <c r="N20" s="6"/>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6" t="str">
        <f t="shared" si="20"/>
        <v/>
      </c>
      <c r="R20" s="5" t="str">
        <f>IF($B20="--","",IF($P20="toetsen",toetsen(F!$B20,Q20),IF($P20="toetsen alleen IW",toetsen_alleen_IW(F!$B20,Q20),IF($P20="toetsen alleen LN",toetsen_alleen_LN(F!$B20,Q20),IF($P20="toetsen geen MV en SV",toetsen_geen_MV_en_SV(F!$B20,Q20),IF($P20="toetsen alleen MV en SV",toetsen_alleen_MV_en_SV(F!$B20,Q20),""))))))</f>
        <v/>
      </c>
      <c r="S20" s="5" t="str">
        <f>IF($P20="toetsen",IF(OR(Q20="",VLOOKUP(F!$B20,E!$B$1:$AK$300,10,FALSE)=1000000000),"",IF(Q20&lt;=VLOOKUP(F!$B20,E!$B$1:$AK$300,10,FALSE),"ja","nee")),"")</f>
        <v/>
      </c>
      <c r="T20" s="87" t="str">
        <f t="shared" si="21"/>
        <v/>
      </c>
      <c r="U20" s="5" t="str">
        <f>IF($D20="--","",IF($P20="toetsen",toetsen(F!$B20,T20),IF($P20="toetsen alleen IW",toetsen_alleen_IW(F!$B20,T20),IF($P20="toetsen alleen LN",toetsen_alleen_LN(F!$B20,T20),IF($P20="toetsen geen MV en SV",toetsen_geen_MV_en_SV(F!$B20,T20),IF($P20="toetsen alleen MV en SV",toetsen_alleen_MV_en_SV(F!$B20,T20),""))))))</f>
        <v/>
      </c>
      <c r="V20" s="5" t="str">
        <f>IF($P20="toetsen",IF(OR(T20="",VLOOKUP(F!$B20,E!$B$1:$AK$300,10,FALSE)=1000000000),"",IF(T20&lt;=VLOOKUP(F!$B20,E!$B$1:$AK$300,10,FALSE),"ja","nee")),"")</f>
        <v/>
      </c>
      <c r="W20" s="6" t="str">
        <f t="shared" si="22"/>
        <v/>
      </c>
      <c r="X20" s="5" t="str">
        <f>IF($F20="--","",IF($P20="toetsen",toetsen(F!$B20,W20),IF($P20="toetsen alleen IW",toetsen_alleen_IW(F!$B20,W20),IF($P20="toetsen alleen LN",toetsen_alleen_LN(F!$B20,W20),IF($P20="toetsen geen MV en SV",toetsen_geen_MV_en_SV(F!$B20,W20),IF($P20="toetsen alleen MV en SV",toetsen_alleen_MV_en_SV(F!$B20,W20),""))))))</f>
        <v/>
      </c>
      <c r="Y20" s="5" t="str">
        <f>IF($P20="toetsen",IF(OR(W20="",VLOOKUP(F!$B20,E!$B$1:$AK$300,10,FALSE)=1000000000),"",IF(W20&lt;=VLOOKUP(F!$B20,E!$B$1:$AK$300,10,FALSE),"ja","nee")),"")</f>
        <v/>
      </c>
      <c r="AA20" s="4"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6" t="str">
        <f t="shared" si="23"/>
        <v>--</v>
      </c>
      <c r="AJ20" s="6" t="str">
        <f>IF(AI20="--","--",IF(F!$D20=131,IF(I20=-1,"rg",IF(I20="","--",IF(I20*1000&lt;1,FIXED(I20*1000,3),IF(I20*1000&lt;10,FIXED(I20*1000,2),(IF(I20*1000&lt;100,FIXED(I20*1000,1),IF(I20*1000&lt;1000,FIXED(I20*1000,0),MROUND(I20*1000,10)))))))),IF(I20=-1,"rg",IF(I20="","--",IF(I20&lt;1,FIXED(I20,3),IF(I20&lt;10,FIXED(I20,2),(IF(I20&lt;100,FIXED(I20,1),IF(I20&lt;1000,FIXED(I20,0),MROUND(I20,10))))))))))</f>
        <v>--</v>
      </c>
      <c r="AK20" s="6" t="str">
        <f t="shared" si="24"/>
        <v>--</v>
      </c>
      <c r="AL20" s="6" t="str">
        <f>IF(AK20="--","--",IF(F!$D20=131,IF(K20=-1,"rg",IF(K20="","--",IF(K20*1000&lt;1,FIXED(K20*1000,3),IF(K20*1000&lt;10,FIXED(K20*1000,2),(IF(K20*1000&lt;100,FIXED(K20*1000,1),IF(K20*1000&lt;1000,FIXED(K20*1000,0),MROUND(K20*1000,10)))))))),IF(K20=-1,"rg",IF(K20="","--",IF(K20&lt;1,FIXED(K20,3),IF(K20&lt;10,FIXED(K20,2),(IF(K20&lt;100,FIXED(K20,1),IF(K20&lt;1000,FIXED(K20,0),MROUND(K20,10))))))))))</f>
        <v>--</v>
      </c>
      <c r="AM20" s="6" t="str">
        <f t="shared" si="25"/>
        <v>--</v>
      </c>
      <c r="AN20" s="6" t="str">
        <f>IF(AM20="--","--",IF(F!$D20=131,IF(M20=-1,"rg",IF(M20="","--",IF(M20*1000&lt;1,FIXED(M20*1000,3),IF(M20*1000&lt;10,FIXED(M20*1000,2),(IF(M20*1000&lt;100,FIXED(M20*1000,1),IF(M20*1000&lt;1000,FIXED(M20*1000,0),MROUND(M20*1000,10)))))))),IF(M20=-1,"rg",IF(M20="","--",IF(M20&lt;1,FIXED(M20,3),IF(M20&lt;10,FIXED(M20,2),(IF(M20&lt;100,FIXED(M20,1),IF(M20&lt;1000,FIXED(M20,0),MROUND(M20,10))))))))))</f>
        <v>--</v>
      </c>
      <c r="AP20" s="6" t="str">
        <f t="shared" si="6"/>
        <v>--</v>
      </c>
      <c r="AQ20" s="6" t="str">
        <f t="shared" si="7"/>
        <v/>
      </c>
      <c r="AR20" s="6" t="str">
        <f t="shared" si="8"/>
        <v>--</v>
      </c>
      <c r="AS20" s="6" t="str">
        <f t="shared" si="9"/>
        <v/>
      </c>
      <c r="AT20" s="6" t="str">
        <f t="shared" si="10"/>
        <v/>
      </c>
      <c r="AU20" s="6" t="str">
        <f>IFERROR(IF(AR20="--","",IF(HLOOKUP(SMALL($Q$4:$Y$4,3),$Q$4:$Y$501,ROW(AP20)-3,FALSE)=0,"",IF(HLOOKUP(SMALL($Q$4:$Y$4,3),$Q$4:$Y$501,ROW(AP20)-3,FALSE)="nee",VLOOKUP("De kwaliteitseis emissiearme grond (maximale concentratie) wordt overschreden.",H!$O$10:'H'!$P$59,2,FALSE),""))),"")</f>
        <v/>
      </c>
      <c r="AV20" s="6" t="str">
        <f t="shared" si="0"/>
        <v>--</v>
      </c>
      <c r="AW20" s="6" t="str">
        <f t="shared" si="1"/>
        <v/>
      </c>
      <c r="AX20" s="6" t="str">
        <f t="shared" si="2"/>
        <v>--</v>
      </c>
      <c r="AY20" s="6" t="str">
        <f t="shared" si="11"/>
        <v/>
      </c>
      <c r="AZ20" s="6" t="str">
        <f t="shared" si="12"/>
        <v/>
      </c>
      <c r="BA20" s="6" t="str">
        <f>IFERROR(IF(AR20="--","",IF(HLOOKUP(SMALL($Q$4:$Y$4,6),$Q$4:$Y$501,ROW(AP20)-3,FALSE)=0,"",IF(HLOOKUP(SMALL($Q$4:$Y$4,6),$Q$4:$Y$501,ROW(AP20)-3,FALSE)="nee",VLOOKUP("De kwaliteitseis emissiearme grond (maximale concentratie) wordt overschreden.",H!$O$10:'H'!$P$59,2,FALSE),""))),"")</f>
        <v/>
      </c>
      <c r="BB20" s="6" t="str">
        <f t="shared" si="3"/>
        <v>--</v>
      </c>
      <c r="BC20" s="6" t="str">
        <f t="shared" si="4"/>
        <v/>
      </c>
      <c r="BD20" s="6" t="str">
        <f t="shared" si="5"/>
        <v>--</v>
      </c>
      <c r="BE20" s="6" t="str">
        <f t="shared" si="13"/>
        <v/>
      </c>
      <c r="BF20" s="6"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6">
        <f>IF(ISNUMBER(F!E21)=FALSE,"--",IF(F!E21=0,"--",F!E21))</f>
        <v>3</v>
      </c>
      <c r="C21" s="6" t="str">
        <f>IF(B21="--","",F!F21)</f>
        <v>&lt;</v>
      </c>
      <c r="D21" s="6">
        <f>IF(ISNUMBER(F!G21)=FALSE,"--",IF(F!G21=0,"--",F!G21))</f>
        <v>4.0999999999999996</v>
      </c>
      <c r="E21" s="6" t="str">
        <f>IF(D21="--","",F!H21)</f>
        <v/>
      </c>
      <c r="F21" s="6">
        <f>IF(ISNUMBER(F!I21)=FALSE,"--",IF(F!I21=0,"--",F!I21))</f>
        <v>3.4</v>
      </c>
      <c r="G21" s="6" t="str">
        <f>IF(F21="--","",F!J21)</f>
        <v/>
      </c>
      <c r="H21" s="6"/>
      <c r="I21" s="6">
        <f>IF(F!Z21=-1,-1,F!AV21)</f>
        <v>-1</v>
      </c>
      <c r="J21" s="6"/>
      <c r="K21" s="6">
        <f>IF(F!AC21=-1,-1,F!AX21)</f>
        <v>7.2637795275590546</v>
      </c>
      <c r="L21" s="6"/>
      <c r="M21" s="6">
        <f>IF(F!AF21=-1,-1,F!AZ21)</f>
        <v>8.443708609271523</v>
      </c>
      <c r="N21" s="6"/>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6">
        <f t="shared" si="20"/>
        <v>-1</v>
      </c>
      <c r="R21" s="5" t="str">
        <f>IF($B21="--","",IF($P21="toetsen",toetsen(F!$B21,Q21),IF($P21="toetsen alleen IW",toetsen_alleen_IW(F!$B21,Q21),IF($P21="toetsen alleen LN",toetsen_alleen_LN(F!$B21,Q21),IF($P21="toetsen geen MV en SV",toetsen_geen_MV_en_SV(F!$B21,Q21),IF($P21="toetsen alleen MV en SV",toetsen_alleen_MV_en_SV(F!$B21,Q21),""))))))</f>
        <v>-</v>
      </c>
      <c r="S21" s="5" t="str">
        <f>IF($P21="toetsen",IF(OR(Q21="",VLOOKUP(F!$B21,E!$B$1:$AK$300,10,FALSE)=1000000000),"",IF(Q21&lt;=VLOOKUP(F!$B21,E!$B$1:$AK$300,10,FALSE),"ja","nee")),"")</f>
        <v>ja</v>
      </c>
      <c r="T21" s="87">
        <f t="shared" si="21"/>
        <v>7.2637795275590546</v>
      </c>
      <c r="U21" s="5" t="str">
        <f>IF($D21="--","",IF($P21="toetsen",toetsen(F!$B21,T21),IF($P21="toetsen alleen IW",toetsen_alleen_IW(F!$B21,T21),IF($P21="toetsen alleen LN",toetsen_alleen_LN(F!$B21,T21),IF($P21="toetsen geen MV en SV",toetsen_geen_MV_en_SV(F!$B21,T21),IF($P21="toetsen alleen MV en SV",toetsen_alleen_MV_en_SV(F!$B21,T21),""))))))</f>
        <v>-</v>
      </c>
      <c r="V21" s="5" t="str">
        <f>IF($P21="toetsen",IF(OR(T21="",VLOOKUP(F!$B21,E!$B$1:$AK$300,10,FALSE)=1000000000),"",IF(T21&lt;=VLOOKUP(F!$B21,E!$B$1:$AK$300,10,FALSE),"ja","nee")),"")</f>
        <v>ja</v>
      </c>
      <c r="W21" s="6">
        <f t="shared" si="22"/>
        <v>8.443708609271523</v>
      </c>
      <c r="X21" s="5" t="str">
        <f>IF($F21="--","",IF($P21="toetsen",toetsen(F!$B21,W21),IF($P21="toetsen alleen IW",toetsen_alleen_IW(F!$B21,W21),IF($P21="toetsen alleen LN",toetsen_alleen_LN(F!$B21,W21),IF($P21="toetsen geen MV en SV",toetsen_geen_MV_en_SV(F!$B21,W21),IF($P21="toetsen alleen MV en SV",toetsen_alleen_MV_en_SV(F!$B21,W21),""))))))</f>
        <v>-</v>
      </c>
      <c r="Y21" s="5" t="str">
        <f>IF($P21="toetsen",IF(OR(W21="",VLOOKUP(F!$B21,E!$B$1:$AK$300,10,FALSE)=1000000000),"",IF(W21&lt;=VLOOKUP(F!$B21,E!$B$1:$AK$300,10,FALSE),"ja","nee")),"")</f>
        <v>ja</v>
      </c>
      <c r="AA21" s="4">
        <f>IFERROR(IF(Q21="","",(IF(Q21&gt;2*VLOOKUP(F!$B21,E!$B$1:$AK$300,5,FALSE),1,0))),"")</f>
        <v>0</v>
      </c>
      <c r="AB21" s="4">
        <f>IFERROR(IF(T21="","",(IF(T21&gt;2*VLOOKUP(F!$B21,E!$B$1:$AK$300,5,FALSE),1,0))),"")</f>
        <v>0</v>
      </c>
      <c r="AC21" s="4">
        <f>IFERROR(IF(W21="","",(IF(W21&gt;2*VLOOKUP(F!$B21,E!$B$1:$AK$300,5,FALSE),1,0))),"")</f>
        <v>0</v>
      </c>
      <c r="AE21" s="4">
        <f>IFERROR(IF(Q21="","",(IF(Q21&gt;VLOOKUP(F!$B21,E!$B$1:$AK$300,6,FALSE)+VLOOKUP(F!$B21,E!$B$1:$AK$300,5,FALSE),1,0))),"")</f>
        <v>0</v>
      </c>
      <c r="AF21" s="4">
        <f>IFERROR(IF(T21="","",(IF(T21&gt;VLOOKUP(F!$B21,E!$B$1:$AK$300,6,FALSE)+VLOOKUP(F!$B21,E!$B$1:$AK$300,5,FALSE),1,0))),"")</f>
        <v>0</v>
      </c>
      <c r="AG21" s="4">
        <f>IFERROR(IF(W21="","",(IF(W21&gt;VLOOKUP(F!$B21,E!$B$1:$AK$300,6,FALSE)+VLOOKUP(F!$B21,E!$B$1:$AK$300,5,FALSE),1,0))),"")</f>
        <v>0</v>
      </c>
      <c r="AI21" s="6" t="str">
        <f t="shared" si="23"/>
        <v>3,0</v>
      </c>
      <c r="AJ21" s="6" t="str">
        <f>IF(AI21="--","--",IF(F!$D21=131,IF(I21=-1,"rg",IF(I21="","--",IF(I21*1000&lt;1,FIXED(I21*1000,3),IF(I21*1000&lt;10,FIXED(I21*1000,2),(IF(I21*1000&lt;100,FIXED(I21*1000,1),IF(I21*1000&lt;1000,FIXED(I21*1000,0),MROUND(I21*1000,10)))))))),IF(I21=-1,"rg",IF(I21="","--",IF(I21&lt;1,FIXED(I21,3),IF(I21&lt;10,FIXED(I21,2),(IF(I21&lt;100,FIXED(I21,1),IF(I21&lt;1000,FIXED(I21,0),MROUND(I21,10))))))))))</f>
        <v>rg</v>
      </c>
      <c r="AK21" s="6" t="str">
        <f t="shared" si="24"/>
        <v>4,1</v>
      </c>
      <c r="AL21" s="6" t="str">
        <f>IF(AK21="--","--",IF(F!$D21=131,IF(K21=-1,"rg",IF(K21="","--",IF(K21*1000&lt;1,FIXED(K21*1000,3),IF(K21*1000&lt;10,FIXED(K21*1000,2),(IF(K21*1000&lt;100,FIXED(K21*1000,1),IF(K21*1000&lt;1000,FIXED(K21*1000,0),MROUND(K21*1000,10)))))))),IF(K21=-1,"rg",IF(K21="","--",IF(K21&lt;1,FIXED(K21,3),IF(K21&lt;10,FIXED(K21,2),(IF(K21&lt;100,FIXED(K21,1),IF(K21&lt;1000,FIXED(K21,0),MROUND(K21,10))))))))))</f>
        <v>7,26</v>
      </c>
      <c r="AM21" s="6" t="str">
        <f t="shared" si="25"/>
        <v>3,4</v>
      </c>
      <c r="AN21" s="6" t="str">
        <f>IF(AM21="--","--",IF(F!$D21=131,IF(M21=-1,"rg",IF(M21="","--",IF(M21*1000&lt;1,FIXED(M21*1000,3),IF(M21*1000&lt;10,FIXED(M21*1000,2),(IF(M21*1000&lt;100,FIXED(M21*1000,1),IF(M21*1000&lt;1000,FIXED(M21*1000,0),MROUND(M21*1000,10)))))))),IF(M21=-1,"rg",IF(M21="","--",IF(M21&lt;1,FIXED(M21,3),IF(M21&lt;10,FIXED(M21,2),(IF(M21&lt;100,FIXED(M21,1),IF(M21&lt;1000,FIXED(M21,0),MROUND(M21,10))))))))))</f>
        <v>8,44</v>
      </c>
      <c r="AP21" s="6" t="str">
        <f t="shared" si="6"/>
        <v>3,0</v>
      </c>
      <c r="AQ21" s="6" t="str">
        <f t="shared" si="7"/>
        <v>&lt;</v>
      </c>
      <c r="AR21" s="6" t="str">
        <f t="shared" si="8"/>
        <v>rg</v>
      </c>
      <c r="AS21" s="6" t="str">
        <f t="shared" si="9"/>
        <v>&lt;</v>
      </c>
      <c r="AT21" s="6" t="str">
        <f t="shared" si="10"/>
        <v>-</v>
      </c>
      <c r="AU21" s="6" t="str">
        <f>IFERROR(IF(AR21="--","",IF(HLOOKUP(SMALL($Q$4:$Y$4,3),$Q$4:$Y$501,ROW(AP21)-3,FALSE)=0,"",IF(HLOOKUP(SMALL($Q$4:$Y$4,3),$Q$4:$Y$501,ROW(AP21)-3,FALSE)="nee",VLOOKUP("De kwaliteitseis emissiearme grond (maximale concentratie) wordt overschreden.",H!$O$10:'H'!$P$59,2,FALSE),""))),"")</f>
        <v/>
      </c>
      <c r="AV21" s="6" t="str">
        <f t="shared" si="0"/>
        <v>4,1</v>
      </c>
      <c r="AW21" s="6" t="str">
        <f t="shared" si="1"/>
        <v/>
      </c>
      <c r="AX21" s="6" t="str">
        <f t="shared" si="2"/>
        <v>7,26</v>
      </c>
      <c r="AY21" s="6" t="str">
        <f t="shared" si="11"/>
        <v/>
      </c>
      <c r="AZ21" s="6" t="str">
        <f t="shared" si="12"/>
        <v>-</v>
      </c>
      <c r="BA21" s="6" t="str">
        <f>IFERROR(IF(AR21="--","",IF(HLOOKUP(SMALL($Q$4:$Y$4,6),$Q$4:$Y$501,ROW(AP21)-3,FALSE)=0,"",IF(HLOOKUP(SMALL($Q$4:$Y$4,6),$Q$4:$Y$501,ROW(AP21)-3,FALSE)="nee",VLOOKUP("De kwaliteitseis emissiearme grond (maximale concentratie) wordt overschreden.",H!$O$10:'H'!$P$59,2,FALSE),""))),"")</f>
        <v/>
      </c>
      <c r="BB21" s="6" t="str">
        <f t="shared" si="3"/>
        <v>3,4</v>
      </c>
      <c r="BC21" s="6" t="str">
        <f t="shared" si="4"/>
        <v/>
      </c>
      <c r="BD21" s="6" t="str">
        <f t="shared" si="5"/>
        <v>8,44</v>
      </c>
      <c r="BE21" s="6" t="str">
        <f t="shared" si="13"/>
        <v/>
      </c>
      <c r="BF21" s="6" t="str">
        <f t="shared" si="14"/>
        <v>-</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6">
        <f>IF(ISNUMBER(F!E22)=FALSE,"--",IF(F!E22=0,"--",F!E22))</f>
        <v>5</v>
      </c>
      <c r="C22" s="6" t="str">
        <f>IF(B22="--","",F!F22)</f>
        <v>&lt;</v>
      </c>
      <c r="D22" s="6">
        <f>IF(ISNUMBER(F!G22)=FALSE,"--",IF(F!G22=0,"--",F!G22))</f>
        <v>5</v>
      </c>
      <c r="E22" s="6" t="str">
        <f>IF(D22="--","",F!H22)</f>
        <v>&lt;</v>
      </c>
      <c r="F22" s="6">
        <f>IF(ISNUMBER(F!I22)=FALSE,"--",IF(F!I22=0,"--",F!I22))</f>
        <v>5</v>
      </c>
      <c r="G22" s="6" t="str">
        <f>IF(F22="--","",F!J22)</f>
        <v>&lt;</v>
      </c>
      <c r="H22" s="6"/>
      <c r="I22" s="6">
        <f>IF(F!Z22=-1,-1,F!AV22)</f>
        <v>-1</v>
      </c>
      <c r="J22" s="6"/>
      <c r="K22" s="6">
        <f>IF(F!AC22=-1,-1,F!AX22)</f>
        <v>-1</v>
      </c>
      <c r="L22" s="6"/>
      <c r="M22" s="6">
        <f>IF(F!AF22=-1,-1,F!AZ22)</f>
        <v>-1</v>
      </c>
      <c r="N22" s="6"/>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6">
        <f t="shared" si="20"/>
        <v>-1</v>
      </c>
      <c r="R22" s="5" t="str">
        <f>IF($B22="--","",IF($P22="toetsen",toetsen(F!$B22,Q22),IF($P22="toetsen alleen IW",toetsen_alleen_IW(F!$B22,Q22),IF($P22="toetsen alleen LN",toetsen_alleen_LN(F!$B22,Q22),IF($P22="toetsen geen MV en SV",toetsen_geen_MV_en_SV(F!$B22,Q22),IF($P22="toetsen alleen MV en SV",toetsen_alleen_MV_en_SV(F!$B22,Q22),""))))))</f>
        <v>-</v>
      </c>
      <c r="S22" s="5" t="str">
        <f>IF($P22="toetsen",IF(OR(Q22="",VLOOKUP(F!$B22,E!$B$1:$AK$300,10,FALSE)=1000000000),"",IF(Q22&lt;=VLOOKUP(F!$B22,E!$B$1:$AK$300,10,FALSE),"ja","nee")),"")</f>
        <v>ja</v>
      </c>
      <c r="T22" s="87">
        <f t="shared" si="21"/>
        <v>-1</v>
      </c>
      <c r="U22" s="5" t="str">
        <f>IF($D22="--","",IF($P22="toetsen",toetsen(F!$B22,T22),IF($P22="toetsen alleen IW",toetsen_alleen_IW(F!$B22,T22),IF($P22="toetsen alleen LN",toetsen_alleen_LN(F!$B22,T22),IF($P22="toetsen geen MV en SV",toetsen_geen_MV_en_SV(F!$B22,T22),IF($P22="toetsen alleen MV en SV",toetsen_alleen_MV_en_SV(F!$B22,T22),""))))))</f>
        <v>-</v>
      </c>
      <c r="V22" s="5" t="str">
        <f>IF($P22="toetsen",IF(OR(T22="",VLOOKUP(F!$B22,E!$B$1:$AK$300,10,FALSE)=1000000000),"",IF(T22&lt;=VLOOKUP(F!$B22,E!$B$1:$AK$300,10,FALSE),"ja","nee")),"")</f>
        <v>ja</v>
      </c>
      <c r="W22" s="6">
        <f t="shared" si="22"/>
        <v>-1</v>
      </c>
      <c r="X22" s="5" t="str">
        <f>IF($F22="--","",IF($P22="toetsen",toetsen(F!$B22,W22),IF($P22="toetsen alleen IW",toetsen_alleen_IW(F!$B22,W22),IF($P22="toetsen alleen LN",toetsen_alleen_LN(F!$B22,W22),IF($P22="toetsen geen MV en SV",toetsen_geen_MV_en_SV(F!$B22,W22),IF($P22="toetsen alleen MV en SV",toetsen_alleen_MV_en_SV(F!$B22,W22),""))))))</f>
        <v>-</v>
      </c>
      <c r="Y22" s="5" t="str">
        <f>IF($P22="toetsen",IF(OR(W22="",VLOOKUP(F!$B22,E!$B$1:$AK$300,10,FALSE)=1000000000),"",IF(W22&lt;=VLOOKUP(F!$B22,E!$B$1:$AK$300,10,FALSE),"ja","nee")),"")</f>
        <v>ja</v>
      </c>
      <c r="AA22" s="4">
        <f>IFERROR(IF(Q22="","",(IF(Q22&gt;2*VLOOKUP(F!$B22,E!$B$1:$AK$300,5,FALSE),1,0))),"")</f>
        <v>0</v>
      </c>
      <c r="AB22" s="4">
        <f>IFERROR(IF(T22="","",(IF(T22&gt;2*VLOOKUP(F!$B22,E!$B$1:$AK$300,5,FALSE),1,0))),"")</f>
        <v>0</v>
      </c>
      <c r="AC22" s="4">
        <f>IFERROR(IF(W22="","",(IF(W22&gt;2*VLOOKUP(F!$B22,E!$B$1:$AK$300,5,FALSE),1,0))),"")</f>
        <v>0</v>
      </c>
      <c r="AE22" s="4">
        <f>IFERROR(IF(Q22="","",(IF(Q22&gt;VLOOKUP(F!$B22,E!$B$1:$AK$300,6,FALSE)+VLOOKUP(F!$B22,E!$B$1:$AK$300,5,FALSE),1,0))),"")</f>
        <v>0</v>
      </c>
      <c r="AF22" s="4">
        <f>IFERROR(IF(T22="","",(IF(T22&gt;VLOOKUP(F!$B22,E!$B$1:$AK$300,6,FALSE)+VLOOKUP(F!$B22,E!$B$1:$AK$300,5,FALSE),1,0))),"")</f>
        <v>0</v>
      </c>
      <c r="AG22" s="4">
        <f>IFERROR(IF(W22="","",(IF(W22&gt;VLOOKUP(F!$B22,E!$B$1:$AK$300,6,FALSE)+VLOOKUP(F!$B22,E!$B$1:$AK$300,5,FALSE),1,0))),"")</f>
        <v>0</v>
      </c>
      <c r="AI22" s="6" t="str">
        <f t="shared" si="23"/>
        <v>5,0</v>
      </c>
      <c r="AJ22" s="6" t="str">
        <f>IF(AI22="--","--",IF(F!$D22=131,IF(I22=-1,"rg",IF(I22="","--",IF(I22*1000&lt;1,FIXED(I22*1000,3),IF(I22*1000&lt;10,FIXED(I22*1000,2),(IF(I22*1000&lt;100,FIXED(I22*1000,1),IF(I22*1000&lt;1000,FIXED(I22*1000,0),MROUND(I22*1000,10)))))))),IF(I22=-1,"rg",IF(I22="","--",IF(I22&lt;1,FIXED(I22,3),IF(I22&lt;10,FIXED(I22,2),(IF(I22&lt;100,FIXED(I22,1),IF(I22&lt;1000,FIXED(I22,0),MROUND(I22,10))))))))))</f>
        <v>rg</v>
      </c>
      <c r="AK22" s="6" t="str">
        <f t="shared" si="24"/>
        <v>5,0</v>
      </c>
      <c r="AL22" s="6" t="str">
        <f>IF(AK22="--","--",IF(F!$D22=131,IF(K22=-1,"rg",IF(K22="","--",IF(K22*1000&lt;1,FIXED(K22*1000,3),IF(K22*1000&lt;10,FIXED(K22*1000,2),(IF(K22*1000&lt;100,FIXED(K22*1000,1),IF(K22*1000&lt;1000,FIXED(K22*1000,0),MROUND(K22*1000,10)))))))),IF(K22=-1,"rg",IF(K22="","--",IF(K22&lt;1,FIXED(K22,3),IF(K22&lt;10,FIXED(K22,2),(IF(K22&lt;100,FIXED(K22,1),IF(K22&lt;1000,FIXED(K22,0),MROUND(K22,10))))))))))</f>
        <v>rg</v>
      </c>
      <c r="AM22" s="6" t="str">
        <f t="shared" si="25"/>
        <v>5,0</v>
      </c>
      <c r="AN22" s="6" t="str">
        <f>IF(AM22="--","--",IF(F!$D22=131,IF(M22=-1,"rg",IF(M22="","--",IF(M22*1000&lt;1,FIXED(M22*1000,3),IF(M22*1000&lt;10,FIXED(M22*1000,2),(IF(M22*1000&lt;100,FIXED(M22*1000,1),IF(M22*1000&lt;1000,FIXED(M22*1000,0),MROUND(M22*1000,10)))))))),IF(M22=-1,"rg",IF(M22="","--",IF(M22&lt;1,FIXED(M22,3),IF(M22&lt;10,FIXED(M22,2),(IF(M22&lt;100,FIXED(M22,1),IF(M22&lt;1000,FIXED(M22,0),MROUND(M22,10))))))))))</f>
        <v>rg</v>
      </c>
      <c r="AP22" s="6" t="str">
        <f t="shared" si="6"/>
        <v>5,0</v>
      </c>
      <c r="AQ22" s="6" t="str">
        <f t="shared" si="7"/>
        <v>&lt;</v>
      </c>
      <c r="AR22" s="6" t="str">
        <f t="shared" si="8"/>
        <v>rg</v>
      </c>
      <c r="AS22" s="6" t="str">
        <f t="shared" si="9"/>
        <v>&lt;</v>
      </c>
      <c r="AT22" s="6" t="str">
        <f t="shared" si="10"/>
        <v>-</v>
      </c>
      <c r="AU22" s="6" t="str">
        <f>IFERROR(IF(AR22="--","",IF(HLOOKUP(SMALL($Q$4:$Y$4,3),$Q$4:$Y$501,ROW(AP22)-3,FALSE)=0,"",IF(HLOOKUP(SMALL($Q$4:$Y$4,3),$Q$4:$Y$501,ROW(AP22)-3,FALSE)="nee",VLOOKUP("De kwaliteitseis emissiearme grond (maximale concentratie) wordt overschreden.",H!$O$10:'H'!$P$59,2,FALSE),""))),"")</f>
        <v/>
      </c>
      <c r="AV22" s="6" t="str">
        <f t="shared" si="0"/>
        <v>5,0</v>
      </c>
      <c r="AW22" s="6" t="str">
        <f t="shared" si="1"/>
        <v>&lt;</v>
      </c>
      <c r="AX22" s="6" t="str">
        <f t="shared" si="2"/>
        <v>rg</v>
      </c>
      <c r="AY22" s="6" t="str">
        <f t="shared" si="11"/>
        <v>&lt;</v>
      </c>
      <c r="AZ22" s="6" t="str">
        <f t="shared" si="12"/>
        <v>-</v>
      </c>
      <c r="BA22" s="6" t="str">
        <f>IFERROR(IF(AR22="--","",IF(HLOOKUP(SMALL($Q$4:$Y$4,6),$Q$4:$Y$501,ROW(AP22)-3,FALSE)=0,"",IF(HLOOKUP(SMALL($Q$4:$Y$4,6),$Q$4:$Y$501,ROW(AP22)-3,FALSE)="nee",VLOOKUP("De kwaliteitseis emissiearme grond (maximale concentratie) wordt overschreden.",H!$O$10:'H'!$P$59,2,FALSE),""))),"")</f>
        <v/>
      </c>
      <c r="BB22" s="6" t="str">
        <f t="shared" si="3"/>
        <v>5,0</v>
      </c>
      <c r="BC22" s="6" t="str">
        <f t="shared" si="4"/>
        <v>&lt;</v>
      </c>
      <c r="BD22" s="6" t="str">
        <f t="shared" si="5"/>
        <v>rg</v>
      </c>
      <c r="BE22" s="6" t="str">
        <f t="shared" si="13"/>
        <v>&lt;</v>
      </c>
      <c r="BF22" s="6" t="str">
        <f t="shared" si="14"/>
        <v>-</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6">
        <f>IF(ISNUMBER(F!E23)=FALSE,"--",IF(F!E23=0,"--",F!E23))</f>
        <v>0.05</v>
      </c>
      <c r="C23" s="6" t="str">
        <f>IF(B23="--","",F!F23)</f>
        <v>&lt;</v>
      </c>
      <c r="D23" s="6">
        <f>IF(ISNUMBER(F!G23)=FALSE,"--",IF(F!G23=0,"--",F!G23))</f>
        <v>0.05</v>
      </c>
      <c r="E23" s="6" t="str">
        <f>IF(D23="--","",F!H23)</f>
        <v>&lt;</v>
      </c>
      <c r="F23" s="6">
        <f>IF(ISNUMBER(F!I23)=FALSE,"--",IF(F!I23=0,"--",F!I23))</f>
        <v>0.05</v>
      </c>
      <c r="G23" s="6" t="str">
        <f>IF(F23="--","",F!J23)</f>
        <v>&lt;</v>
      </c>
      <c r="H23" s="6"/>
      <c r="I23" s="6">
        <f>IF(F!Z23=-1,-1,F!AV23)</f>
        <v>-1</v>
      </c>
      <c r="J23" s="6"/>
      <c r="K23" s="6">
        <f>IF(F!AC23=-1,-1,F!AX23)</f>
        <v>-1</v>
      </c>
      <c r="L23" s="6"/>
      <c r="M23" s="6">
        <f>IF(F!AF23=-1,-1,F!AZ23)</f>
        <v>-1</v>
      </c>
      <c r="N23" s="6"/>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6">
        <f t="shared" si="20"/>
        <v>-1</v>
      </c>
      <c r="R23" s="5" t="str">
        <f>IF($B23="--","",IF($P23="toetsen",toetsen(F!$B23,Q23),IF($P23="toetsen alleen IW",toetsen_alleen_IW(F!$B23,Q23),IF($P23="toetsen alleen LN",toetsen_alleen_LN(F!$B23,Q23),IF($P23="toetsen geen MV en SV",toetsen_geen_MV_en_SV(F!$B23,Q23),IF($P23="toetsen alleen MV en SV",toetsen_alleen_MV_en_SV(F!$B23,Q23),""))))))</f>
        <v>-</v>
      </c>
      <c r="S23" s="5" t="str">
        <f>IF($P23="toetsen",IF(OR(Q23="",VLOOKUP(F!$B23,E!$B$1:$AK$300,10,FALSE)=1000000000),"",IF(Q23&lt;=VLOOKUP(F!$B23,E!$B$1:$AK$300,10,FALSE),"ja","nee")),"")</f>
        <v>ja</v>
      </c>
      <c r="T23" s="87">
        <f t="shared" si="21"/>
        <v>-1</v>
      </c>
      <c r="U23" s="5" t="str">
        <f>IF($D23="--","",IF($P23="toetsen",toetsen(F!$B23,T23),IF($P23="toetsen alleen IW",toetsen_alleen_IW(F!$B23,T23),IF($P23="toetsen alleen LN",toetsen_alleen_LN(F!$B23,T23),IF($P23="toetsen geen MV en SV",toetsen_geen_MV_en_SV(F!$B23,T23),IF($P23="toetsen alleen MV en SV",toetsen_alleen_MV_en_SV(F!$B23,T23),""))))))</f>
        <v>-</v>
      </c>
      <c r="V23" s="5" t="str">
        <f>IF($P23="toetsen",IF(OR(T23="",VLOOKUP(F!$B23,E!$B$1:$AK$300,10,FALSE)=1000000000),"",IF(T23&lt;=VLOOKUP(F!$B23,E!$B$1:$AK$300,10,FALSE),"ja","nee")),"")</f>
        <v>ja</v>
      </c>
      <c r="W23" s="6">
        <f t="shared" si="22"/>
        <v>-1</v>
      </c>
      <c r="X23" s="5" t="str">
        <f>IF($F23="--","",IF($P23="toetsen",toetsen(F!$B23,W23),IF($P23="toetsen alleen IW",toetsen_alleen_IW(F!$B23,W23),IF($P23="toetsen alleen LN",toetsen_alleen_LN(F!$B23,W23),IF($P23="toetsen geen MV en SV",toetsen_geen_MV_en_SV(F!$B23,W23),IF($P23="toetsen alleen MV en SV",toetsen_alleen_MV_en_SV(F!$B23,W23),""))))))</f>
        <v>-</v>
      </c>
      <c r="Y23" s="5" t="str">
        <f>IF($P23="toetsen",IF(OR(W23="",VLOOKUP(F!$B23,E!$B$1:$AK$300,10,FALSE)=1000000000),"",IF(W23&lt;=VLOOKUP(F!$B23,E!$B$1:$AK$300,10,FALSE),"ja","nee")),"")</f>
        <v>ja</v>
      </c>
      <c r="AA23" s="4">
        <f>IFERROR(IF(Q23="","",(IF(Q23&gt;2*VLOOKUP(F!$B23,E!$B$1:$AK$300,5,FALSE),1,0))),"")</f>
        <v>0</v>
      </c>
      <c r="AB23" s="4">
        <f>IFERROR(IF(T23="","",(IF(T23&gt;2*VLOOKUP(F!$B23,E!$B$1:$AK$300,5,FALSE),1,0))),"")</f>
        <v>0</v>
      </c>
      <c r="AC23" s="4">
        <f>IFERROR(IF(W23="","",(IF(W23&gt;2*VLOOKUP(F!$B23,E!$B$1:$AK$300,5,FALSE),1,0))),"")</f>
        <v>0</v>
      </c>
      <c r="AE23" s="4">
        <f>IFERROR(IF(Q23="","",(IF(Q23&gt;VLOOKUP(F!$B23,E!$B$1:$AK$300,6,FALSE)+VLOOKUP(F!$B23,E!$B$1:$AK$300,5,FALSE),1,0))),"")</f>
        <v>0</v>
      </c>
      <c r="AF23" s="4">
        <f>IFERROR(IF(T23="","",(IF(T23&gt;VLOOKUP(F!$B23,E!$B$1:$AK$300,6,FALSE)+VLOOKUP(F!$B23,E!$B$1:$AK$300,5,FALSE),1,0))),"")</f>
        <v>0</v>
      </c>
      <c r="AG23" s="4">
        <f>IFERROR(IF(W23="","",(IF(W23&gt;VLOOKUP(F!$B23,E!$B$1:$AK$300,6,FALSE)+VLOOKUP(F!$B23,E!$B$1:$AK$300,5,FALSE),1,0))),"")</f>
        <v>0</v>
      </c>
      <c r="AI23" s="6" t="str">
        <f t="shared" si="23"/>
        <v>0,05</v>
      </c>
      <c r="AJ23" s="6" t="str">
        <f>IF(AI23="--","--",IF(F!$D23=131,IF(I23=-1,"rg",IF(I23="","--",IF(I23*1000&lt;1,FIXED(I23*1000,3),IF(I23*1000&lt;10,FIXED(I23*1000,2),(IF(I23*1000&lt;100,FIXED(I23*1000,1),IF(I23*1000&lt;1000,FIXED(I23*1000,0),MROUND(I23*1000,10)))))))),IF(I23=-1,"rg",IF(I23="","--",IF(I23&lt;1,FIXED(I23,3),IF(I23&lt;10,FIXED(I23,2),(IF(I23&lt;100,FIXED(I23,1),IF(I23&lt;1000,FIXED(I23,0),MROUND(I23,10))))))))))</f>
        <v>rg</v>
      </c>
      <c r="AK23" s="6" t="str">
        <f t="shared" si="24"/>
        <v>0,05</v>
      </c>
      <c r="AL23" s="6" t="str">
        <f>IF(AK23="--","--",IF(F!$D23=131,IF(K23=-1,"rg",IF(K23="","--",IF(K23*1000&lt;1,FIXED(K23*1000,3),IF(K23*1000&lt;10,FIXED(K23*1000,2),(IF(K23*1000&lt;100,FIXED(K23*1000,1),IF(K23*1000&lt;1000,FIXED(K23*1000,0),MROUND(K23*1000,10)))))))),IF(K23=-1,"rg",IF(K23="","--",IF(K23&lt;1,FIXED(K23,3),IF(K23&lt;10,FIXED(K23,2),(IF(K23&lt;100,FIXED(K23,1),IF(K23&lt;1000,FIXED(K23,0),MROUND(K23,10))))))))))</f>
        <v>rg</v>
      </c>
      <c r="AM23" s="6" t="str">
        <f t="shared" si="25"/>
        <v>0,05</v>
      </c>
      <c r="AN23" s="6" t="str">
        <f>IF(AM23="--","--",IF(F!$D23=131,IF(M23=-1,"rg",IF(M23="","--",IF(M23*1000&lt;1,FIXED(M23*1000,3),IF(M23*1000&lt;10,FIXED(M23*1000,2),(IF(M23*1000&lt;100,FIXED(M23*1000,1),IF(M23*1000&lt;1000,FIXED(M23*1000,0),MROUND(M23*1000,10)))))))),IF(M23=-1,"rg",IF(M23="","--",IF(M23&lt;1,FIXED(M23,3),IF(M23&lt;10,FIXED(M23,2),(IF(M23&lt;100,FIXED(M23,1),IF(M23&lt;1000,FIXED(M23,0),MROUND(M23,10))))))))))</f>
        <v>rg</v>
      </c>
      <c r="AP23" s="6" t="str">
        <f t="shared" si="6"/>
        <v>0,05</v>
      </c>
      <c r="AQ23" s="6" t="str">
        <f t="shared" si="7"/>
        <v>&lt;</v>
      </c>
      <c r="AR23" s="6" t="str">
        <f t="shared" si="8"/>
        <v>rg</v>
      </c>
      <c r="AS23" s="6" t="str">
        <f t="shared" si="9"/>
        <v>&lt;</v>
      </c>
      <c r="AT23" s="6" t="str">
        <f t="shared" si="10"/>
        <v>-</v>
      </c>
      <c r="AU23" s="6" t="str">
        <f>IFERROR(IF(AR23="--","",IF(HLOOKUP(SMALL($Q$4:$Y$4,3),$Q$4:$Y$501,ROW(AP23)-3,FALSE)=0,"",IF(HLOOKUP(SMALL($Q$4:$Y$4,3),$Q$4:$Y$501,ROW(AP23)-3,FALSE)="nee",VLOOKUP("De kwaliteitseis emissiearme grond (maximale concentratie) wordt overschreden.",H!$O$10:'H'!$P$59,2,FALSE),""))),"")</f>
        <v/>
      </c>
      <c r="AV23" s="6" t="str">
        <f t="shared" si="0"/>
        <v>0,05</v>
      </c>
      <c r="AW23" s="6" t="str">
        <f t="shared" si="1"/>
        <v>&lt;</v>
      </c>
      <c r="AX23" s="6" t="str">
        <f t="shared" si="2"/>
        <v>rg</v>
      </c>
      <c r="AY23" s="6" t="str">
        <f t="shared" si="11"/>
        <v>&lt;</v>
      </c>
      <c r="AZ23" s="6" t="str">
        <f t="shared" si="12"/>
        <v>-</v>
      </c>
      <c r="BA23" s="6" t="str">
        <f>IFERROR(IF(AR23="--","",IF(HLOOKUP(SMALL($Q$4:$Y$4,6),$Q$4:$Y$501,ROW(AP23)-3,FALSE)=0,"",IF(HLOOKUP(SMALL($Q$4:$Y$4,6),$Q$4:$Y$501,ROW(AP23)-3,FALSE)="nee",VLOOKUP("De kwaliteitseis emissiearme grond (maximale concentratie) wordt overschreden.",H!$O$10:'H'!$P$59,2,FALSE),""))),"")</f>
        <v/>
      </c>
      <c r="BB23" s="6" t="str">
        <f t="shared" si="3"/>
        <v>0,05</v>
      </c>
      <c r="BC23" s="6" t="str">
        <f t="shared" si="4"/>
        <v>&lt;</v>
      </c>
      <c r="BD23" s="6" t="str">
        <f t="shared" si="5"/>
        <v>rg</v>
      </c>
      <c r="BE23" s="6" t="str">
        <f t="shared" si="13"/>
        <v>&lt;</v>
      </c>
      <c r="BF23" s="6" t="str">
        <f t="shared" si="14"/>
        <v>-</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6" t="str">
        <f>IF(ISNUMBER(F!E24)=FALSE,"--",IF(F!E24=0,"--",F!E24))</f>
        <v>--</v>
      </c>
      <c r="C24" s="6" t="str">
        <f>IF(B24="--","",F!F24)</f>
        <v/>
      </c>
      <c r="D24" s="6" t="str">
        <f>IF(ISNUMBER(F!G24)=FALSE,"--",IF(F!G24=0,"--",F!G24))</f>
        <v>--</v>
      </c>
      <c r="E24" s="6" t="str">
        <f>IF(D24="--","",F!H24)</f>
        <v/>
      </c>
      <c r="F24" s="6" t="str">
        <f>IF(ISNUMBER(F!I24)=FALSE,"--",IF(F!I24=0,"--",F!I24))</f>
        <v>--</v>
      </c>
      <c r="G24" s="6" t="str">
        <f>IF(F24="--","",F!J24)</f>
        <v/>
      </c>
      <c r="H24" s="6"/>
      <c r="I24" s="6" t="str">
        <f>IF(F!Z24=-1,-1,F!AV24)</f>
        <v/>
      </c>
      <c r="J24" s="6"/>
      <c r="K24" s="6" t="str">
        <f>IF(F!AC24=-1,-1,F!AX24)</f>
        <v/>
      </c>
      <c r="L24" s="6"/>
      <c r="M24" s="6" t="str">
        <f>IF(F!AF24=-1,-1,F!AZ24)</f>
        <v/>
      </c>
      <c r="N24" s="6"/>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6" t="str">
        <f t="shared" si="20"/>
        <v/>
      </c>
      <c r="R24" s="5" t="str">
        <f>IF($B24="--","",IF($P24="toetsen",toetsen(F!$B24,Q24),IF($P24="toetsen alleen IW",toetsen_alleen_IW(F!$B24,Q24),IF($P24="toetsen alleen LN",toetsen_alleen_LN(F!$B24,Q24),IF($P24="toetsen geen MV en SV",toetsen_geen_MV_en_SV(F!$B24,Q24),IF($P24="toetsen alleen MV en SV",toetsen_alleen_MV_en_SV(F!$B24,Q24),""))))))</f>
        <v/>
      </c>
      <c r="S24" s="5" t="str">
        <f>IF($P24="toetsen",IF(OR(Q24="",VLOOKUP(F!$B24,E!$B$1:$AK$300,10,FALSE)=1000000000),"",IF(Q24&lt;=VLOOKUP(F!$B24,E!$B$1:$AK$300,10,FALSE),"ja","nee")),"")</f>
        <v/>
      </c>
      <c r="T24" s="87" t="str">
        <f t="shared" si="21"/>
        <v/>
      </c>
      <c r="U24" s="5" t="str">
        <f>IF($D24="--","",IF($P24="toetsen",toetsen(F!$B24,T24),IF($P24="toetsen alleen IW",toetsen_alleen_IW(F!$B24,T24),IF($P24="toetsen alleen LN",toetsen_alleen_LN(F!$B24,T24),IF($P24="toetsen geen MV en SV",toetsen_geen_MV_en_SV(F!$B24,T24),IF($P24="toetsen alleen MV en SV",toetsen_alleen_MV_en_SV(F!$B24,T24),""))))))</f>
        <v/>
      </c>
      <c r="V24" s="5" t="str">
        <f>IF($P24="toetsen",IF(OR(T24="",VLOOKUP(F!$B24,E!$B$1:$AK$300,10,FALSE)=1000000000),"",IF(T24&lt;=VLOOKUP(F!$B24,E!$B$1:$AK$300,10,FALSE),"ja","nee")),"")</f>
        <v/>
      </c>
      <c r="W24" s="6" t="str">
        <f t="shared" si="22"/>
        <v/>
      </c>
      <c r="X24" s="5" t="str">
        <f>IF($F24="--","",IF($P24="toetsen",toetsen(F!$B24,W24),IF($P24="toetsen alleen IW",toetsen_alleen_IW(F!$B24,W24),IF($P24="toetsen alleen LN",toetsen_alleen_LN(F!$B24,W24),IF($P24="toetsen geen MV en SV",toetsen_geen_MV_en_SV(F!$B24,W24),IF($P24="toetsen alleen MV en SV",toetsen_alleen_MV_en_SV(F!$B24,W24),""))))))</f>
        <v/>
      </c>
      <c r="Y24" s="5" t="str">
        <f>IF($P24="toetsen",IF(OR(W24="",VLOOKUP(F!$B24,E!$B$1:$AK$300,10,FALSE)=1000000000),"",IF(W24&lt;=VLOOKUP(F!$B24,E!$B$1:$AK$300,10,FALSE),"ja","nee")),"")</f>
        <v/>
      </c>
      <c r="AA24" s="4"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6" t="str">
        <f t="shared" si="23"/>
        <v>--</v>
      </c>
      <c r="AJ24" s="6" t="str">
        <f>IF(AI24="--","--",IF(F!$D24=131,IF(I24=-1,"rg",IF(I24="","--",IF(I24*1000&lt;1,FIXED(I24*1000,3),IF(I24*1000&lt;10,FIXED(I24*1000,2),(IF(I24*1000&lt;100,FIXED(I24*1000,1),IF(I24*1000&lt;1000,FIXED(I24*1000,0),MROUND(I24*1000,10)))))))),IF(I24=-1,"rg",IF(I24="","--",IF(I24&lt;1,FIXED(I24,3),IF(I24&lt;10,FIXED(I24,2),(IF(I24&lt;100,FIXED(I24,1),IF(I24&lt;1000,FIXED(I24,0),MROUND(I24,10))))))))))</f>
        <v>--</v>
      </c>
      <c r="AK24" s="6" t="str">
        <f t="shared" si="24"/>
        <v>--</v>
      </c>
      <c r="AL24" s="6" t="str">
        <f>IF(AK24="--","--",IF(F!$D24=131,IF(K24=-1,"rg",IF(K24="","--",IF(K24*1000&lt;1,FIXED(K24*1000,3),IF(K24*1000&lt;10,FIXED(K24*1000,2),(IF(K24*1000&lt;100,FIXED(K24*1000,1),IF(K24*1000&lt;1000,FIXED(K24*1000,0),MROUND(K24*1000,10)))))))),IF(K24=-1,"rg",IF(K24="","--",IF(K24&lt;1,FIXED(K24,3),IF(K24&lt;10,FIXED(K24,2),(IF(K24&lt;100,FIXED(K24,1),IF(K24&lt;1000,FIXED(K24,0),MROUND(K24,10))))))))))</f>
        <v>--</v>
      </c>
      <c r="AM24" s="6" t="str">
        <f t="shared" si="25"/>
        <v>--</v>
      </c>
      <c r="AN24" s="6" t="str">
        <f>IF(AM24="--","--",IF(F!$D24=131,IF(M24=-1,"rg",IF(M24="","--",IF(M24*1000&lt;1,FIXED(M24*1000,3),IF(M24*1000&lt;10,FIXED(M24*1000,2),(IF(M24*1000&lt;100,FIXED(M24*1000,1),IF(M24*1000&lt;1000,FIXED(M24*1000,0),MROUND(M24*1000,10)))))))),IF(M24=-1,"rg",IF(M24="","--",IF(M24&lt;1,FIXED(M24,3),IF(M24&lt;10,FIXED(M24,2),(IF(M24&lt;100,FIXED(M24,1),IF(M24&lt;1000,FIXED(M24,0),MROUND(M24,10))))))))))</f>
        <v>--</v>
      </c>
      <c r="AP24" s="6" t="str">
        <f t="shared" si="6"/>
        <v>--</v>
      </c>
      <c r="AQ24" s="6" t="str">
        <f t="shared" si="7"/>
        <v/>
      </c>
      <c r="AR24" s="6" t="str">
        <f t="shared" si="8"/>
        <v>--</v>
      </c>
      <c r="AS24" s="6" t="str">
        <f t="shared" si="9"/>
        <v/>
      </c>
      <c r="AT24" s="6" t="str">
        <f t="shared" si="10"/>
        <v/>
      </c>
      <c r="AU24" s="6" t="str">
        <f>IFERROR(IF(AR24="--","",IF(HLOOKUP(SMALL($Q$4:$Y$4,3),$Q$4:$Y$501,ROW(AP24)-3,FALSE)=0,"",IF(HLOOKUP(SMALL($Q$4:$Y$4,3),$Q$4:$Y$501,ROW(AP24)-3,FALSE)="nee",VLOOKUP("De kwaliteitseis emissiearme grond (maximale concentratie) wordt overschreden.",H!$O$10:'H'!$P$59,2,FALSE),""))),"")</f>
        <v/>
      </c>
      <c r="AV24" s="6" t="str">
        <f t="shared" si="0"/>
        <v>--</v>
      </c>
      <c r="AW24" s="6" t="str">
        <f t="shared" si="1"/>
        <v/>
      </c>
      <c r="AX24" s="6" t="str">
        <f t="shared" si="2"/>
        <v>--</v>
      </c>
      <c r="AY24" s="6" t="str">
        <f t="shared" si="11"/>
        <v/>
      </c>
      <c r="AZ24" s="6" t="str">
        <f t="shared" si="12"/>
        <v/>
      </c>
      <c r="BA24" s="6" t="str">
        <f>IFERROR(IF(AR24="--","",IF(HLOOKUP(SMALL($Q$4:$Y$4,6),$Q$4:$Y$501,ROW(AP24)-3,FALSE)=0,"",IF(HLOOKUP(SMALL($Q$4:$Y$4,6),$Q$4:$Y$501,ROW(AP24)-3,FALSE)="nee",VLOOKUP("De kwaliteitseis emissiearme grond (maximale concentratie) wordt overschreden.",H!$O$10:'H'!$P$59,2,FALSE),""))),"")</f>
        <v/>
      </c>
      <c r="BB24" s="6" t="str">
        <f t="shared" si="3"/>
        <v>--</v>
      </c>
      <c r="BC24" s="6" t="str">
        <f t="shared" si="4"/>
        <v/>
      </c>
      <c r="BD24" s="6" t="str">
        <f t="shared" si="5"/>
        <v>--</v>
      </c>
      <c r="BE24" s="6" t="str">
        <f t="shared" si="13"/>
        <v/>
      </c>
      <c r="BF24" s="6"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6" t="str">
        <f>IF(ISNUMBER(F!E25)=FALSE,"--",IF(F!E25=0,"--",F!E25))</f>
        <v>--</v>
      </c>
      <c r="C25" s="6" t="str">
        <f>IF(B25="--","",F!F25)</f>
        <v/>
      </c>
      <c r="D25" s="6" t="str">
        <f>IF(ISNUMBER(F!G25)=FALSE,"--",IF(F!G25=0,"--",F!G25))</f>
        <v>--</v>
      </c>
      <c r="E25" s="6" t="str">
        <f>IF(D25="--","",F!H25)</f>
        <v/>
      </c>
      <c r="F25" s="6" t="str">
        <f>IF(ISNUMBER(F!I25)=FALSE,"--",IF(F!I25=0,"--",F!I25))</f>
        <v>--</v>
      </c>
      <c r="G25" s="6" t="str">
        <f>IF(F25="--","",F!J25)</f>
        <v/>
      </c>
      <c r="H25" s="6"/>
      <c r="I25" s="6" t="str">
        <f>IF(F!Z25=-1,-1,F!AV25)</f>
        <v/>
      </c>
      <c r="J25" s="6"/>
      <c r="K25" s="6" t="str">
        <f>IF(F!AC25=-1,-1,F!AX25)</f>
        <v/>
      </c>
      <c r="L25" s="6"/>
      <c r="M25" s="6" t="str">
        <f>IF(F!AF25=-1,-1,F!AZ25)</f>
        <v/>
      </c>
      <c r="N25" s="6"/>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6" t="str">
        <f t="shared" si="20"/>
        <v/>
      </c>
      <c r="R25" s="5" t="str">
        <f>IF($B25="--","",IF($P25="toetsen",toetsen(F!$B25,Q25),IF($P25="toetsen alleen IW",toetsen_alleen_IW(F!$B25,Q25),IF($P25="toetsen alleen LN",toetsen_alleen_LN(F!$B25,Q25),IF($P25="toetsen geen MV en SV",toetsen_geen_MV_en_SV(F!$B25,Q25),IF($P25="toetsen alleen MV en SV",toetsen_alleen_MV_en_SV(F!$B25,Q25),""))))))</f>
        <v/>
      </c>
      <c r="S25" s="5" t="str">
        <f>IF($P25="toetsen",IF(OR(Q25="",VLOOKUP(F!$B25,E!$B$1:$AK$300,10,FALSE)=1000000000),"",IF(Q25&lt;=VLOOKUP(F!$B25,E!$B$1:$AK$300,10,FALSE),"ja","nee")),"")</f>
        <v/>
      </c>
      <c r="T25" s="87" t="str">
        <f t="shared" si="21"/>
        <v/>
      </c>
      <c r="U25" s="5" t="str">
        <f>IF($D25="--","",IF($P25="toetsen",toetsen(F!$B25,T25),IF($P25="toetsen alleen IW",toetsen_alleen_IW(F!$B25,T25),IF($P25="toetsen alleen LN",toetsen_alleen_LN(F!$B25,T25),IF($P25="toetsen geen MV en SV",toetsen_geen_MV_en_SV(F!$B25,T25),IF($P25="toetsen alleen MV en SV",toetsen_alleen_MV_en_SV(F!$B25,T25),""))))))</f>
        <v/>
      </c>
      <c r="V25" s="5" t="str">
        <f>IF($P25="toetsen",IF(OR(T25="",VLOOKUP(F!$B25,E!$B$1:$AK$300,10,FALSE)=1000000000),"",IF(T25&lt;=VLOOKUP(F!$B25,E!$B$1:$AK$300,10,FALSE),"ja","nee")),"")</f>
        <v/>
      </c>
      <c r="W25" s="6" t="str">
        <f t="shared" si="22"/>
        <v/>
      </c>
      <c r="X25" s="5" t="str">
        <f>IF($F25="--","",IF($P25="toetsen",toetsen(F!$B25,W25),IF($P25="toetsen alleen IW",toetsen_alleen_IW(F!$B25,W25),IF($P25="toetsen alleen LN",toetsen_alleen_LN(F!$B25,W25),IF($P25="toetsen geen MV en SV",toetsen_geen_MV_en_SV(F!$B25,W25),IF($P25="toetsen alleen MV en SV",toetsen_alleen_MV_en_SV(F!$B25,W25),""))))))</f>
        <v/>
      </c>
      <c r="Y25" s="5" t="str">
        <f>IF($P25="toetsen",IF(OR(W25="",VLOOKUP(F!$B25,E!$B$1:$AK$300,10,FALSE)=1000000000),"",IF(W25&lt;=VLOOKUP(F!$B25,E!$B$1:$AK$300,10,FALSE),"ja","nee")),"")</f>
        <v/>
      </c>
      <c r="AA25" s="4"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6" t="str">
        <f t="shared" si="23"/>
        <v>--</v>
      </c>
      <c r="AJ25" s="6" t="str">
        <f>IF(AI25="--","--",IF(F!$D25=131,IF(I25=-1,"rg",IF(I25="","--",IF(I25*1000&lt;1,FIXED(I25*1000,3),IF(I25*1000&lt;10,FIXED(I25*1000,2),(IF(I25*1000&lt;100,FIXED(I25*1000,1),IF(I25*1000&lt;1000,FIXED(I25*1000,0),MROUND(I25*1000,10)))))))),IF(I25=-1,"rg",IF(I25="","--",IF(I25&lt;1,FIXED(I25,3),IF(I25&lt;10,FIXED(I25,2),(IF(I25&lt;100,FIXED(I25,1),IF(I25&lt;1000,FIXED(I25,0),MROUND(I25,10))))))))))</f>
        <v>--</v>
      </c>
      <c r="AK25" s="6" t="str">
        <f t="shared" si="24"/>
        <v>--</v>
      </c>
      <c r="AL25" s="6" t="str">
        <f>IF(AK25="--","--",IF(F!$D25=131,IF(K25=-1,"rg",IF(K25="","--",IF(K25*1000&lt;1,FIXED(K25*1000,3),IF(K25*1000&lt;10,FIXED(K25*1000,2),(IF(K25*1000&lt;100,FIXED(K25*1000,1),IF(K25*1000&lt;1000,FIXED(K25*1000,0),MROUND(K25*1000,10)))))))),IF(K25=-1,"rg",IF(K25="","--",IF(K25&lt;1,FIXED(K25,3),IF(K25&lt;10,FIXED(K25,2),(IF(K25&lt;100,FIXED(K25,1),IF(K25&lt;1000,FIXED(K25,0),MROUND(K25,10))))))))))</f>
        <v>--</v>
      </c>
      <c r="AM25" s="6" t="str">
        <f t="shared" si="25"/>
        <v>--</v>
      </c>
      <c r="AN25" s="6" t="str">
        <f>IF(AM25="--","--",IF(F!$D25=131,IF(M25=-1,"rg",IF(M25="","--",IF(M25*1000&lt;1,FIXED(M25*1000,3),IF(M25*1000&lt;10,FIXED(M25*1000,2),(IF(M25*1000&lt;100,FIXED(M25*1000,1),IF(M25*1000&lt;1000,FIXED(M25*1000,0),MROUND(M25*1000,10)))))))),IF(M25=-1,"rg",IF(M25="","--",IF(M25&lt;1,FIXED(M25,3),IF(M25&lt;10,FIXED(M25,2),(IF(M25&lt;100,FIXED(M25,1),IF(M25&lt;1000,FIXED(M25,0),MROUND(M25,10))))))))))</f>
        <v>--</v>
      </c>
      <c r="AP25" s="6" t="str">
        <f t="shared" si="6"/>
        <v>--</v>
      </c>
      <c r="AQ25" s="6" t="str">
        <f t="shared" si="7"/>
        <v/>
      </c>
      <c r="AR25" s="6" t="str">
        <f t="shared" si="8"/>
        <v>--</v>
      </c>
      <c r="AS25" s="6" t="str">
        <f t="shared" si="9"/>
        <v/>
      </c>
      <c r="AT25" s="6" t="str">
        <f t="shared" si="10"/>
        <v/>
      </c>
      <c r="AU25" s="6" t="str">
        <f>IFERROR(IF(AR25="--","",IF(HLOOKUP(SMALL($Q$4:$Y$4,3),$Q$4:$Y$501,ROW(AP25)-3,FALSE)=0,"",IF(HLOOKUP(SMALL($Q$4:$Y$4,3),$Q$4:$Y$501,ROW(AP25)-3,FALSE)="nee",VLOOKUP("De kwaliteitseis emissiearme grond (maximale concentratie) wordt overschreden.",H!$O$10:'H'!$P$59,2,FALSE),""))),"")</f>
        <v/>
      </c>
      <c r="AV25" s="6" t="str">
        <f t="shared" si="0"/>
        <v>--</v>
      </c>
      <c r="AW25" s="6" t="str">
        <f t="shared" si="1"/>
        <v/>
      </c>
      <c r="AX25" s="6" t="str">
        <f t="shared" si="2"/>
        <v>--</v>
      </c>
      <c r="AY25" s="6" t="str">
        <f t="shared" si="11"/>
        <v/>
      </c>
      <c r="AZ25" s="6" t="str">
        <f t="shared" si="12"/>
        <v/>
      </c>
      <c r="BA25" s="6" t="str">
        <f>IFERROR(IF(AR25="--","",IF(HLOOKUP(SMALL($Q$4:$Y$4,6),$Q$4:$Y$501,ROW(AP25)-3,FALSE)=0,"",IF(HLOOKUP(SMALL($Q$4:$Y$4,6),$Q$4:$Y$501,ROW(AP25)-3,FALSE)="nee",VLOOKUP("De kwaliteitseis emissiearme grond (maximale concentratie) wordt overschreden.",H!$O$10:'H'!$P$59,2,FALSE),""))),"")</f>
        <v/>
      </c>
      <c r="BB25" s="6" t="str">
        <f t="shared" si="3"/>
        <v>--</v>
      </c>
      <c r="BC25" s="6" t="str">
        <f t="shared" si="4"/>
        <v/>
      </c>
      <c r="BD25" s="6" t="str">
        <f t="shared" si="5"/>
        <v>--</v>
      </c>
      <c r="BE25" s="6" t="str">
        <f t="shared" si="13"/>
        <v/>
      </c>
      <c r="BF25" s="6"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6">
        <f>IF(ISNUMBER(F!E26)=FALSE,"--",IF(F!E26=0,"--",F!E26))</f>
        <v>10</v>
      </c>
      <c r="C26" s="6" t="str">
        <f>IF(B26="--","",F!F26)</f>
        <v>&lt;</v>
      </c>
      <c r="D26" s="6">
        <f>IF(ISNUMBER(F!G26)=FALSE,"--",IF(F!G26=0,"--",F!G26))</f>
        <v>10</v>
      </c>
      <c r="E26" s="6" t="str">
        <f>IF(D26="--","",F!H26)</f>
        <v>&lt;</v>
      </c>
      <c r="F26" s="6">
        <f>IF(ISNUMBER(F!I26)=FALSE,"--",IF(F!I26=0,"--",F!I26))</f>
        <v>10</v>
      </c>
      <c r="G26" s="6" t="str">
        <f>IF(F26="--","",F!J26)</f>
        <v>&lt;</v>
      </c>
      <c r="H26" s="6"/>
      <c r="I26" s="6">
        <f>IF(F!Z26=-1,-1,F!AV26)</f>
        <v>-1</v>
      </c>
      <c r="J26" s="6"/>
      <c r="K26" s="6">
        <f>IF(F!AC26=-1,-1,F!AX26)</f>
        <v>-1</v>
      </c>
      <c r="L26" s="6"/>
      <c r="M26" s="6">
        <f>IF(F!AF26=-1,-1,F!AZ26)</f>
        <v>-1</v>
      </c>
      <c r="N26" s="6"/>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6">
        <f t="shared" si="20"/>
        <v>-1</v>
      </c>
      <c r="R26" s="5" t="str">
        <f>IF($B26="--","",IF($P26="toetsen",toetsen(F!$B26,Q26),IF($P26="toetsen alleen IW",toetsen_alleen_IW(F!$B26,Q26),IF($P26="toetsen alleen LN",toetsen_alleen_LN(F!$B26,Q26),IF($P26="toetsen geen MV en SV",toetsen_geen_MV_en_SV(F!$B26,Q26),IF($P26="toetsen alleen MV en SV",toetsen_alleen_MV_en_SV(F!$B26,Q26),""))))))</f>
        <v>-</v>
      </c>
      <c r="S26" s="5" t="str">
        <f>IF($P26="toetsen",IF(OR(Q26="",VLOOKUP(F!$B26,E!$B$1:$AK$300,10,FALSE)=1000000000),"",IF(Q26&lt;=VLOOKUP(F!$B26,E!$B$1:$AK$300,10,FALSE),"ja","nee")),"")</f>
        <v>ja</v>
      </c>
      <c r="T26" s="87">
        <f t="shared" si="21"/>
        <v>-1</v>
      </c>
      <c r="U26" s="5" t="str">
        <f>IF($D26="--","",IF($P26="toetsen",toetsen(F!$B26,T26),IF($P26="toetsen alleen IW",toetsen_alleen_IW(F!$B26,T26),IF($P26="toetsen alleen LN",toetsen_alleen_LN(F!$B26,T26),IF($P26="toetsen geen MV en SV",toetsen_geen_MV_en_SV(F!$B26,T26),IF($P26="toetsen alleen MV en SV",toetsen_alleen_MV_en_SV(F!$B26,T26),""))))))</f>
        <v>-</v>
      </c>
      <c r="V26" s="5" t="str">
        <f>IF($P26="toetsen",IF(OR(T26="",VLOOKUP(F!$B26,E!$B$1:$AK$300,10,FALSE)=1000000000),"",IF(T26&lt;=VLOOKUP(F!$B26,E!$B$1:$AK$300,10,FALSE),"ja","nee")),"")</f>
        <v>ja</v>
      </c>
      <c r="W26" s="6">
        <f t="shared" si="22"/>
        <v>-1</v>
      </c>
      <c r="X26" s="5" t="str">
        <f>IF($F26="--","",IF($P26="toetsen",toetsen(F!$B26,W26),IF($P26="toetsen alleen IW",toetsen_alleen_IW(F!$B26,W26),IF($P26="toetsen alleen LN",toetsen_alleen_LN(F!$B26,W26),IF($P26="toetsen geen MV en SV",toetsen_geen_MV_en_SV(F!$B26,W26),IF($P26="toetsen alleen MV en SV",toetsen_alleen_MV_en_SV(F!$B26,W26),""))))))</f>
        <v>-</v>
      </c>
      <c r="Y26" s="5" t="str">
        <f>IF($P26="toetsen",IF(OR(W26="",VLOOKUP(F!$B26,E!$B$1:$AK$300,10,FALSE)=1000000000),"",IF(W26&lt;=VLOOKUP(F!$B26,E!$B$1:$AK$300,10,FALSE),"ja","nee")),"")</f>
        <v>ja</v>
      </c>
      <c r="AA26" s="4">
        <f>IFERROR(IF(Q26="","",(IF(Q26&gt;2*VLOOKUP(F!$B26,E!$B$1:$AK$300,5,FALSE),1,0))),"")</f>
        <v>0</v>
      </c>
      <c r="AB26" s="4">
        <f>IFERROR(IF(T26="","",(IF(T26&gt;2*VLOOKUP(F!$B26,E!$B$1:$AK$300,5,FALSE),1,0))),"")</f>
        <v>0</v>
      </c>
      <c r="AC26" s="4">
        <f>IFERROR(IF(W26="","",(IF(W26&gt;2*VLOOKUP(F!$B26,E!$B$1:$AK$300,5,FALSE),1,0))),"")</f>
        <v>0</v>
      </c>
      <c r="AE26" s="4">
        <f>IFERROR(IF(Q26="","",(IF(Q26&gt;VLOOKUP(F!$B26,E!$B$1:$AK$300,6,FALSE)+VLOOKUP(F!$B26,E!$B$1:$AK$300,5,FALSE),1,0))),"")</f>
        <v>0</v>
      </c>
      <c r="AF26" s="4">
        <f>IFERROR(IF(T26="","",(IF(T26&gt;VLOOKUP(F!$B26,E!$B$1:$AK$300,6,FALSE)+VLOOKUP(F!$B26,E!$B$1:$AK$300,5,FALSE),1,0))),"")</f>
        <v>0</v>
      </c>
      <c r="AG26" s="4">
        <f>IFERROR(IF(W26="","",(IF(W26&gt;VLOOKUP(F!$B26,E!$B$1:$AK$300,6,FALSE)+VLOOKUP(F!$B26,E!$B$1:$AK$300,5,FALSE),1,0))),"")</f>
        <v>0</v>
      </c>
      <c r="AI26" s="6" t="str">
        <f t="shared" si="23"/>
        <v>10</v>
      </c>
      <c r="AJ26" s="6" t="str">
        <f>IF(AI26="--","--",IF(F!$D26=131,IF(I26=-1,"rg",IF(I26="","--",IF(I26*1000&lt;1,FIXED(I26*1000,3),IF(I26*1000&lt;10,FIXED(I26*1000,2),(IF(I26*1000&lt;100,FIXED(I26*1000,1),IF(I26*1000&lt;1000,FIXED(I26*1000,0),MROUND(I26*1000,10)))))))),IF(I26=-1,"rg",IF(I26="","--",IF(I26&lt;1,FIXED(I26,3),IF(I26&lt;10,FIXED(I26,2),(IF(I26&lt;100,FIXED(I26,1),IF(I26&lt;1000,FIXED(I26,0),MROUND(I26,10))))))))))</f>
        <v>rg</v>
      </c>
      <c r="AK26" s="6" t="str">
        <f t="shared" si="24"/>
        <v>10</v>
      </c>
      <c r="AL26" s="6" t="str">
        <f>IF(AK26="--","--",IF(F!$D26=131,IF(K26=-1,"rg",IF(K26="","--",IF(K26*1000&lt;1,FIXED(K26*1000,3),IF(K26*1000&lt;10,FIXED(K26*1000,2),(IF(K26*1000&lt;100,FIXED(K26*1000,1),IF(K26*1000&lt;1000,FIXED(K26*1000,0),MROUND(K26*1000,10)))))))),IF(K26=-1,"rg",IF(K26="","--",IF(K26&lt;1,FIXED(K26,3),IF(K26&lt;10,FIXED(K26,2),(IF(K26&lt;100,FIXED(K26,1),IF(K26&lt;1000,FIXED(K26,0),MROUND(K26,10))))))))))</f>
        <v>rg</v>
      </c>
      <c r="AM26" s="6" t="str">
        <f t="shared" si="25"/>
        <v>10</v>
      </c>
      <c r="AN26" s="6" t="str">
        <f>IF(AM26="--","--",IF(F!$D26=131,IF(M26=-1,"rg",IF(M26="","--",IF(M26*1000&lt;1,FIXED(M26*1000,3),IF(M26*1000&lt;10,FIXED(M26*1000,2),(IF(M26*1000&lt;100,FIXED(M26*1000,1),IF(M26*1000&lt;1000,FIXED(M26*1000,0),MROUND(M26*1000,10)))))))),IF(M26=-1,"rg",IF(M26="","--",IF(M26&lt;1,FIXED(M26,3),IF(M26&lt;10,FIXED(M26,2),(IF(M26&lt;100,FIXED(M26,1),IF(M26&lt;1000,FIXED(M26,0),MROUND(M26,10))))))))))</f>
        <v>rg</v>
      </c>
      <c r="AP26" s="6" t="str">
        <f t="shared" si="6"/>
        <v>10</v>
      </c>
      <c r="AQ26" s="6" t="str">
        <f t="shared" si="7"/>
        <v>&lt;</v>
      </c>
      <c r="AR26" s="6" t="str">
        <f t="shared" si="8"/>
        <v>rg</v>
      </c>
      <c r="AS26" s="6" t="str">
        <f t="shared" si="9"/>
        <v>&lt;</v>
      </c>
      <c r="AT26" s="6" t="str">
        <f t="shared" si="10"/>
        <v>-</v>
      </c>
      <c r="AU26" s="6" t="str">
        <f>IFERROR(IF(AR26="--","",IF(HLOOKUP(SMALL($Q$4:$Y$4,3),$Q$4:$Y$501,ROW(AP26)-3,FALSE)=0,"",IF(HLOOKUP(SMALL($Q$4:$Y$4,3),$Q$4:$Y$501,ROW(AP26)-3,FALSE)="nee",VLOOKUP("De kwaliteitseis emissiearme grond (maximale concentratie) wordt overschreden.",H!$O$10:'H'!$P$59,2,FALSE),""))),"")</f>
        <v/>
      </c>
      <c r="AV26" s="6" t="str">
        <f t="shared" si="0"/>
        <v>10</v>
      </c>
      <c r="AW26" s="6" t="str">
        <f t="shared" si="1"/>
        <v>&lt;</v>
      </c>
      <c r="AX26" s="6" t="str">
        <f t="shared" si="2"/>
        <v>rg</v>
      </c>
      <c r="AY26" s="6" t="str">
        <f t="shared" si="11"/>
        <v>&lt;</v>
      </c>
      <c r="AZ26" s="6" t="str">
        <f t="shared" si="12"/>
        <v>-</v>
      </c>
      <c r="BA26" s="6" t="str">
        <f>IFERROR(IF(AR26="--","",IF(HLOOKUP(SMALL($Q$4:$Y$4,6),$Q$4:$Y$501,ROW(AP26)-3,FALSE)=0,"",IF(HLOOKUP(SMALL($Q$4:$Y$4,6),$Q$4:$Y$501,ROW(AP26)-3,FALSE)="nee",VLOOKUP("De kwaliteitseis emissiearme grond (maximale concentratie) wordt overschreden.",H!$O$10:'H'!$P$59,2,FALSE),""))),"")</f>
        <v/>
      </c>
      <c r="BB26" s="6" t="str">
        <f t="shared" si="3"/>
        <v>10</v>
      </c>
      <c r="BC26" s="6" t="str">
        <f t="shared" si="4"/>
        <v>&lt;</v>
      </c>
      <c r="BD26" s="6" t="str">
        <f t="shared" si="5"/>
        <v>rg</v>
      </c>
      <c r="BE26" s="6" t="str">
        <f t="shared" si="13"/>
        <v>&lt;</v>
      </c>
      <c r="BF26" s="6" t="str">
        <f t="shared" si="14"/>
        <v>-</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6">
        <f>IF(ISNUMBER(F!E27)=FALSE,"--",IF(F!E27=0,"--",F!E27))</f>
        <v>1.5</v>
      </c>
      <c r="C27" s="6" t="str">
        <f>IF(B27="--","",F!F27)</f>
        <v>&lt;</v>
      </c>
      <c r="D27" s="6">
        <f>IF(ISNUMBER(F!G27)=FALSE,"--",IF(F!G27=0,"--",F!G27))</f>
        <v>1.5</v>
      </c>
      <c r="E27" s="6" t="str">
        <f>IF(D27="--","",F!H27)</f>
        <v>&lt;</v>
      </c>
      <c r="F27" s="6">
        <f>IF(ISNUMBER(F!I27)=FALSE,"--",IF(F!I27=0,"--",F!I27))</f>
        <v>1.5</v>
      </c>
      <c r="G27" s="6" t="str">
        <f>IF(F27="--","",F!J27)</f>
        <v>&lt;</v>
      </c>
      <c r="H27" s="6"/>
      <c r="I27" s="6">
        <f>IF(F!Z27=-1,-1,F!AV27)</f>
        <v>-1</v>
      </c>
      <c r="J27" s="6"/>
      <c r="K27" s="6">
        <f>IF(F!AC27=-1,-1,F!AX27)</f>
        <v>-1</v>
      </c>
      <c r="L27" s="6"/>
      <c r="M27" s="6">
        <f>IF(F!AF27=-1,-1,F!AZ27)</f>
        <v>-1</v>
      </c>
      <c r="N27" s="6"/>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6">
        <f t="shared" si="20"/>
        <v>-1</v>
      </c>
      <c r="R27" s="5" t="str">
        <f>IF($B27="--","",IF($P27="toetsen",toetsen(F!$B27,Q27),IF($P27="toetsen alleen IW",toetsen_alleen_IW(F!$B27,Q27),IF($P27="toetsen alleen LN",toetsen_alleen_LN(F!$B27,Q27),IF($P27="toetsen geen MV en SV",toetsen_geen_MV_en_SV(F!$B27,Q27),IF($P27="toetsen alleen MV en SV",toetsen_alleen_MV_en_SV(F!$B27,Q27),""))))))</f>
        <v>-</v>
      </c>
      <c r="S27" s="5" t="str">
        <f>IF($P27="toetsen",IF(OR(Q27="",VLOOKUP(F!$B27,E!$B$1:$AK$300,10,FALSE)=1000000000),"",IF(Q27&lt;=VLOOKUP(F!$B27,E!$B$1:$AK$300,10,FALSE),"ja","nee")),"")</f>
        <v>ja</v>
      </c>
      <c r="T27" s="87">
        <f t="shared" si="21"/>
        <v>-1</v>
      </c>
      <c r="U27" s="5" t="str">
        <f>IF($D27="--","",IF($P27="toetsen",toetsen(F!$B27,T27),IF($P27="toetsen alleen IW",toetsen_alleen_IW(F!$B27,T27),IF($P27="toetsen alleen LN",toetsen_alleen_LN(F!$B27,T27),IF($P27="toetsen geen MV en SV",toetsen_geen_MV_en_SV(F!$B27,T27),IF($P27="toetsen alleen MV en SV",toetsen_alleen_MV_en_SV(F!$B27,T27),""))))))</f>
        <v>-</v>
      </c>
      <c r="V27" s="5" t="str">
        <f>IF($P27="toetsen",IF(OR(T27="",VLOOKUP(F!$B27,E!$B$1:$AK$300,10,FALSE)=1000000000),"",IF(T27&lt;=VLOOKUP(F!$B27,E!$B$1:$AK$300,10,FALSE),"ja","nee")),"")</f>
        <v>ja</v>
      </c>
      <c r="W27" s="6">
        <f t="shared" si="22"/>
        <v>-1</v>
      </c>
      <c r="X27" s="5" t="str">
        <f>IF($F27="--","",IF($P27="toetsen",toetsen(F!$B27,W27),IF($P27="toetsen alleen IW",toetsen_alleen_IW(F!$B27,W27),IF($P27="toetsen alleen LN",toetsen_alleen_LN(F!$B27,W27),IF($P27="toetsen geen MV en SV",toetsen_geen_MV_en_SV(F!$B27,W27),IF($P27="toetsen alleen MV en SV",toetsen_alleen_MV_en_SV(F!$B27,W27),""))))))</f>
        <v>-</v>
      </c>
      <c r="Y27" s="5" t="str">
        <f>IF($P27="toetsen",IF(OR(W27="",VLOOKUP(F!$B27,E!$B$1:$AK$300,10,FALSE)=1000000000),"",IF(W27&lt;=VLOOKUP(F!$B27,E!$B$1:$AK$300,10,FALSE),"ja","nee")),"")</f>
        <v>ja</v>
      </c>
      <c r="AA27" s="4">
        <f>IFERROR(IF(Q27="","",(IF(Q27&gt;2*VLOOKUP(F!$B27,E!$B$1:$AK$300,5,FALSE),1,0))),"")</f>
        <v>0</v>
      </c>
      <c r="AB27" s="4">
        <f>IFERROR(IF(T27="","",(IF(T27&gt;2*VLOOKUP(F!$B27,E!$B$1:$AK$300,5,FALSE),1,0))),"")</f>
        <v>0</v>
      </c>
      <c r="AC27" s="4">
        <f>IFERROR(IF(W27="","",(IF(W27&gt;2*VLOOKUP(F!$B27,E!$B$1:$AK$300,5,FALSE),1,0))),"")</f>
        <v>0</v>
      </c>
      <c r="AE27" s="4">
        <f>IFERROR(IF(Q27="","",(IF(Q27&gt;VLOOKUP(F!$B27,E!$B$1:$AK$300,6,FALSE)+VLOOKUP(F!$B27,E!$B$1:$AK$300,5,FALSE),1,0))),"")</f>
        <v>0</v>
      </c>
      <c r="AF27" s="4">
        <f>IFERROR(IF(T27="","",(IF(T27&gt;VLOOKUP(F!$B27,E!$B$1:$AK$300,6,FALSE)+VLOOKUP(F!$B27,E!$B$1:$AK$300,5,FALSE),1,0))),"")</f>
        <v>0</v>
      </c>
      <c r="AG27" s="4">
        <f>IFERROR(IF(W27="","",(IF(W27&gt;VLOOKUP(F!$B27,E!$B$1:$AK$300,6,FALSE)+VLOOKUP(F!$B27,E!$B$1:$AK$300,5,FALSE),1,0))),"")</f>
        <v>0</v>
      </c>
      <c r="AI27" s="6" t="str">
        <f t="shared" si="23"/>
        <v>1,5</v>
      </c>
      <c r="AJ27" s="6" t="str">
        <f>IF(AI27="--","--",IF(F!$D27=131,IF(I27=-1,"rg",IF(I27="","--",IF(I27*1000&lt;1,FIXED(I27*1000,3),IF(I27*1000&lt;10,FIXED(I27*1000,2),(IF(I27*1000&lt;100,FIXED(I27*1000,1),IF(I27*1000&lt;1000,FIXED(I27*1000,0),MROUND(I27*1000,10)))))))),IF(I27=-1,"rg",IF(I27="","--",IF(I27&lt;1,FIXED(I27,3),IF(I27&lt;10,FIXED(I27,2),(IF(I27&lt;100,FIXED(I27,1),IF(I27&lt;1000,FIXED(I27,0),MROUND(I27,10))))))))))</f>
        <v>rg</v>
      </c>
      <c r="AK27" s="6" t="str">
        <f t="shared" si="24"/>
        <v>1,5</v>
      </c>
      <c r="AL27" s="6" t="str">
        <f>IF(AK27="--","--",IF(F!$D27=131,IF(K27=-1,"rg",IF(K27="","--",IF(K27*1000&lt;1,FIXED(K27*1000,3),IF(K27*1000&lt;10,FIXED(K27*1000,2),(IF(K27*1000&lt;100,FIXED(K27*1000,1),IF(K27*1000&lt;1000,FIXED(K27*1000,0),MROUND(K27*1000,10)))))))),IF(K27=-1,"rg",IF(K27="","--",IF(K27&lt;1,FIXED(K27,3),IF(K27&lt;10,FIXED(K27,2),(IF(K27&lt;100,FIXED(K27,1),IF(K27&lt;1000,FIXED(K27,0),MROUND(K27,10))))))))))</f>
        <v>rg</v>
      </c>
      <c r="AM27" s="6" t="str">
        <f t="shared" si="25"/>
        <v>1,5</v>
      </c>
      <c r="AN27" s="6" t="str">
        <f>IF(AM27="--","--",IF(F!$D27=131,IF(M27=-1,"rg",IF(M27="","--",IF(M27*1000&lt;1,FIXED(M27*1000,3),IF(M27*1000&lt;10,FIXED(M27*1000,2),(IF(M27*1000&lt;100,FIXED(M27*1000,1),IF(M27*1000&lt;1000,FIXED(M27*1000,0),MROUND(M27*1000,10)))))))),IF(M27=-1,"rg",IF(M27="","--",IF(M27&lt;1,FIXED(M27,3),IF(M27&lt;10,FIXED(M27,2),(IF(M27&lt;100,FIXED(M27,1),IF(M27&lt;1000,FIXED(M27,0),MROUND(M27,10))))))))))</f>
        <v>rg</v>
      </c>
      <c r="AP27" s="6" t="str">
        <f t="shared" si="6"/>
        <v>1,5</v>
      </c>
      <c r="AQ27" s="6" t="str">
        <f t="shared" si="7"/>
        <v>&lt;</v>
      </c>
      <c r="AR27" s="6" t="str">
        <f t="shared" si="8"/>
        <v>rg</v>
      </c>
      <c r="AS27" s="6" t="str">
        <f t="shared" si="9"/>
        <v>&lt;</v>
      </c>
      <c r="AT27" s="6" t="str">
        <f t="shared" si="10"/>
        <v>-</v>
      </c>
      <c r="AU27" s="6" t="str">
        <f>IFERROR(IF(AR27="--","",IF(HLOOKUP(SMALL($Q$4:$Y$4,3),$Q$4:$Y$501,ROW(AP27)-3,FALSE)=0,"",IF(HLOOKUP(SMALL($Q$4:$Y$4,3),$Q$4:$Y$501,ROW(AP27)-3,FALSE)="nee",VLOOKUP("De kwaliteitseis emissiearme grond (maximale concentratie) wordt overschreden.",H!$O$10:'H'!$P$59,2,FALSE),""))),"")</f>
        <v/>
      </c>
      <c r="AV27" s="6" t="str">
        <f t="shared" si="0"/>
        <v>1,5</v>
      </c>
      <c r="AW27" s="6" t="str">
        <f t="shared" si="1"/>
        <v>&lt;</v>
      </c>
      <c r="AX27" s="6" t="str">
        <f t="shared" si="2"/>
        <v>rg</v>
      </c>
      <c r="AY27" s="6" t="str">
        <f t="shared" si="11"/>
        <v>&lt;</v>
      </c>
      <c r="AZ27" s="6" t="str">
        <f t="shared" si="12"/>
        <v>-</v>
      </c>
      <c r="BA27" s="6" t="str">
        <f>IFERROR(IF(AR27="--","",IF(HLOOKUP(SMALL($Q$4:$Y$4,6),$Q$4:$Y$501,ROW(AP27)-3,FALSE)=0,"",IF(HLOOKUP(SMALL($Q$4:$Y$4,6),$Q$4:$Y$501,ROW(AP27)-3,FALSE)="nee",VLOOKUP("De kwaliteitseis emissiearme grond (maximale concentratie) wordt overschreden.",H!$O$10:'H'!$P$59,2,FALSE),""))),"")</f>
        <v/>
      </c>
      <c r="BB27" s="6" t="str">
        <f t="shared" si="3"/>
        <v>1,5</v>
      </c>
      <c r="BC27" s="6" t="str">
        <f t="shared" si="4"/>
        <v>&lt;</v>
      </c>
      <c r="BD27" s="6" t="str">
        <f t="shared" si="5"/>
        <v>rg</v>
      </c>
      <c r="BE27" s="6" t="str">
        <f t="shared" si="13"/>
        <v>&lt;</v>
      </c>
      <c r="BF27" s="6" t="str">
        <f t="shared" si="14"/>
        <v>-</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6">
        <f>IF(ISNUMBER(F!E28)=FALSE,"--",IF(F!E28=0,"--",F!E28))</f>
        <v>8</v>
      </c>
      <c r="C28" s="6" t="str">
        <f>IF(B28="--","",F!F28)</f>
        <v/>
      </c>
      <c r="D28" s="6">
        <f>IF(ISNUMBER(F!G28)=FALSE,"--",IF(F!G28=0,"--",F!G28))</f>
        <v>13</v>
      </c>
      <c r="E28" s="6" t="str">
        <f>IF(D28="--","",F!H28)</f>
        <v/>
      </c>
      <c r="F28" s="6">
        <f>IF(ISNUMBER(F!I28)=FALSE,"--",IF(F!I28=0,"--",F!I28))</f>
        <v>10</v>
      </c>
      <c r="G28" s="6" t="str">
        <f>IF(F28="--","",F!J28)</f>
        <v/>
      </c>
      <c r="H28" s="6"/>
      <c r="I28" s="6">
        <f>IF(F!Z28=-1,-1,F!AV28)</f>
        <v>23.333333333333332</v>
      </c>
      <c r="J28" s="6"/>
      <c r="K28" s="6">
        <f>IF(F!AC28=-1,-1,F!AX28)</f>
        <v>21.666666666666668</v>
      </c>
      <c r="L28" s="6"/>
      <c r="M28" s="6">
        <f>IF(F!AF28=-1,-1,F!AZ28)</f>
        <v>22.151898734177212</v>
      </c>
      <c r="N28" s="6"/>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6">
        <f t="shared" si="20"/>
        <v>23.333333333333332</v>
      </c>
      <c r="R28" s="5" t="str">
        <f>IF($B28="--","",IF($P28="toetsen",toetsen(F!$B28,Q28),IF($P28="toetsen alleen IW",toetsen_alleen_IW(F!$B28,Q28),IF($P28="toetsen alleen LN",toetsen_alleen_LN(F!$B28,Q28),IF($P28="toetsen geen MV en SV",toetsen_geen_MV_en_SV(F!$B28,Q28),IF($P28="toetsen alleen MV en SV",toetsen_alleen_MV_en_SV(F!$B28,Q28),""))))))</f>
        <v>-</v>
      </c>
      <c r="S28" s="5" t="str">
        <f>IF($P28="toetsen",IF(OR(Q28="",VLOOKUP(F!$B28,E!$B$1:$AK$300,10,FALSE)=1000000000),"",IF(Q28&lt;=VLOOKUP(F!$B28,E!$B$1:$AK$300,10,FALSE),"ja","nee")),"")</f>
        <v>ja</v>
      </c>
      <c r="T28" s="87">
        <f t="shared" si="21"/>
        <v>21.666666666666668</v>
      </c>
      <c r="U28" s="5" t="str">
        <f>IF($D28="--","",IF($P28="toetsen",toetsen(F!$B28,T28),IF($P28="toetsen alleen IW",toetsen_alleen_IW(F!$B28,T28),IF($P28="toetsen alleen LN",toetsen_alleen_LN(F!$B28,T28),IF($P28="toetsen geen MV en SV",toetsen_geen_MV_en_SV(F!$B28,T28),IF($P28="toetsen alleen MV en SV",toetsen_alleen_MV_en_SV(F!$B28,T28),""))))))</f>
        <v>-</v>
      </c>
      <c r="V28" s="5" t="str">
        <f>IF($P28="toetsen",IF(OR(T28="",VLOOKUP(F!$B28,E!$B$1:$AK$300,10,FALSE)=1000000000),"",IF(T28&lt;=VLOOKUP(F!$B28,E!$B$1:$AK$300,10,FALSE),"ja","nee")),"")</f>
        <v>ja</v>
      </c>
      <c r="W28" s="6">
        <f t="shared" si="22"/>
        <v>22.151898734177212</v>
      </c>
      <c r="X28" s="5" t="str">
        <f>IF($F28="--","",IF($P28="toetsen",toetsen(F!$B28,W28),IF($P28="toetsen alleen IW",toetsen_alleen_IW(F!$B28,W28),IF($P28="toetsen alleen LN",toetsen_alleen_LN(F!$B28,W28),IF($P28="toetsen geen MV en SV",toetsen_geen_MV_en_SV(F!$B28,W28),IF($P28="toetsen alleen MV en SV",toetsen_alleen_MV_en_SV(F!$B28,W28),""))))))</f>
        <v>-</v>
      </c>
      <c r="Y28" s="5" t="str">
        <f>IF($P28="toetsen",IF(OR(W28="",VLOOKUP(F!$B28,E!$B$1:$AK$300,10,FALSE)=1000000000),"",IF(W28&lt;=VLOOKUP(F!$B28,E!$B$1:$AK$300,10,FALSE),"ja","nee")),"")</f>
        <v>ja</v>
      </c>
      <c r="AA28" s="4">
        <f>IFERROR(IF(Q28="","",(IF(Q28&gt;2*VLOOKUP(F!$B28,E!$B$1:$AK$300,5,FALSE),1,0))),"")</f>
        <v>0</v>
      </c>
      <c r="AB28" s="4">
        <f>IFERROR(IF(T28="","",(IF(T28&gt;2*VLOOKUP(F!$B28,E!$B$1:$AK$300,5,FALSE),1,0))),"")</f>
        <v>0</v>
      </c>
      <c r="AC28" s="4">
        <f>IFERROR(IF(W28="","",(IF(W28&gt;2*VLOOKUP(F!$B28,E!$B$1:$AK$300,5,FALSE),1,0))),"")</f>
        <v>0</v>
      </c>
      <c r="AE28" s="4">
        <f>IFERROR(IF(Q28="","",(IF(Q28&gt;VLOOKUP(F!$B28,E!$B$1:$AK$300,6,FALSE)+VLOOKUP(F!$B28,E!$B$1:$AK$300,5,FALSE),1,0))),"")</f>
        <v>0</v>
      </c>
      <c r="AF28" s="4">
        <f>IFERROR(IF(T28="","",(IF(T28&gt;VLOOKUP(F!$B28,E!$B$1:$AK$300,6,FALSE)+VLOOKUP(F!$B28,E!$B$1:$AK$300,5,FALSE),1,0))),"")</f>
        <v>0</v>
      </c>
      <c r="AG28" s="4">
        <f>IFERROR(IF(W28="","",(IF(W28&gt;VLOOKUP(F!$B28,E!$B$1:$AK$300,6,FALSE)+VLOOKUP(F!$B28,E!$B$1:$AK$300,5,FALSE),1,0))),"")</f>
        <v>0</v>
      </c>
      <c r="AI28" s="6" t="str">
        <f t="shared" si="23"/>
        <v>8,0</v>
      </c>
      <c r="AJ28" s="6" t="str">
        <f>IF(AI28="--","--",IF(F!$D28=131,IF(I28=-1,"rg",IF(I28="","--",IF(I28*1000&lt;1,FIXED(I28*1000,3),IF(I28*1000&lt;10,FIXED(I28*1000,2),(IF(I28*1000&lt;100,FIXED(I28*1000,1),IF(I28*1000&lt;1000,FIXED(I28*1000,0),MROUND(I28*1000,10)))))))),IF(I28=-1,"rg",IF(I28="","--",IF(I28&lt;1,FIXED(I28,3),IF(I28&lt;10,FIXED(I28,2),(IF(I28&lt;100,FIXED(I28,1),IF(I28&lt;1000,FIXED(I28,0),MROUND(I28,10))))))))))</f>
        <v>23,3</v>
      </c>
      <c r="AK28" s="6" t="str">
        <f t="shared" si="24"/>
        <v>13</v>
      </c>
      <c r="AL28" s="6" t="str">
        <f>IF(AK28="--","--",IF(F!$D28=131,IF(K28=-1,"rg",IF(K28="","--",IF(K28*1000&lt;1,FIXED(K28*1000,3),IF(K28*1000&lt;10,FIXED(K28*1000,2),(IF(K28*1000&lt;100,FIXED(K28*1000,1),IF(K28*1000&lt;1000,FIXED(K28*1000,0),MROUND(K28*1000,10)))))))),IF(K28=-1,"rg",IF(K28="","--",IF(K28&lt;1,FIXED(K28,3),IF(K28&lt;10,FIXED(K28,2),(IF(K28&lt;100,FIXED(K28,1),IF(K28&lt;1000,FIXED(K28,0),MROUND(K28,10))))))))))</f>
        <v>21,7</v>
      </c>
      <c r="AM28" s="6" t="str">
        <f t="shared" si="25"/>
        <v>10</v>
      </c>
      <c r="AN28" s="6" t="str">
        <f>IF(AM28="--","--",IF(F!$D28=131,IF(M28=-1,"rg",IF(M28="","--",IF(M28*1000&lt;1,FIXED(M28*1000,3),IF(M28*1000&lt;10,FIXED(M28*1000,2),(IF(M28*1000&lt;100,FIXED(M28*1000,1),IF(M28*1000&lt;1000,FIXED(M28*1000,0),MROUND(M28*1000,10)))))))),IF(M28=-1,"rg",IF(M28="","--",IF(M28&lt;1,FIXED(M28,3),IF(M28&lt;10,FIXED(M28,2),(IF(M28&lt;100,FIXED(M28,1),IF(M28&lt;1000,FIXED(M28,0),MROUND(M28,10))))))))))</f>
        <v>22,2</v>
      </c>
      <c r="AP28" s="6" t="str">
        <f t="shared" si="6"/>
        <v>8,0</v>
      </c>
      <c r="AQ28" s="6" t="str">
        <f t="shared" si="7"/>
        <v/>
      </c>
      <c r="AR28" s="6" t="str">
        <f t="shared" si="8"/>
        <v>23,3</v>
      </c>
      <c r="AS28" s="6" t="str">
        <f t="shared" si="9"/>
        <v/>
      </c>
      <c r="AT28" s="6" t="str">
        <f t="shared" si="10"/>
        <v>-</v>
      </c>
      <c r="AU28" s="6" t="str">
        <f>IFERROR(IF(AR28="--","",IF(HLOOKUP(SMALL($Q$4:$Y$4,3),$Q$4:$Y$501,ROW(AP28)-3,FALSE)=0,"",IF(HLOOKUP(SMALL($Q$4:$Y$4,3),$Q$4:$Y$501,ROW(AP28)-3,FALSE)="nee",VLOOKUP("De kwaliteitseis emissiearme grond (maximale concentratie) wordt overschreden.",H!$O$10:'H'!$P$59,2,FALSE),""))),"")</f>
        <v/>
      </c>
      <c r="AV28" s="6" t="str">
        <f t="shared" si="0"/>
        <v>13</v>
      </c>
      <c r="AW28" s="6" t="str">
        <f t="shared" si="1"/>
        <v/>
      </c>
      <c r="AX28" s="6" t="str">
        <f t="shared" si="2"/>
        <v>21,7</v>
      </c>
      <c r="AY28" s="6" t="str">
        <f t="shared" si="11"/>
        <v/>
      </c>
      <c r="AZ28" s="6" t="str">
        <f t="shared" si="12"/>
        <v>-</v>
      </c>
      <c r="BA28" s="6" t="str">
        <f>IFERROR(IF(AR28="--","",IF(HLOOKUP(SMALL($Q$4:$Y$4,6),$Q$4:$Y$501,ROW(AP28)-3,FALSE)=0,"",IF(HLOOKUP(SMALL($Q$4:$Y$4,6),$Q$4:$Y$501,ROW(AP28)-3,FALSE)="nee",VLOOKUP("De kwaliteitseis emissiearme grond (maximale concentratie) wordt overschreden.",H!$O$10:'H'!$P$59,2,FALSE),""))),"")</f>
        <v/>
      </c>
      <c r="BB28" s="6" t="str">
        <f t="shared" si="3"/>
        <v>10</v>
      </c>
      <c r="BC28" s="6" t="str">
        <f t="shared" si="4"/>
        <v/>
      </c>
      <c r="BD28" s="6" t="str">
        <f t="shared" si="5"/>
        <v>22,2</v>
      </c>
      <c r="BE28" s="6" t="str">
        <f t="shared" si="13"/>
        <v/>
      </c>
      <c r="BF28" s="6" t="str">
        <f t="shared" si="14"/>
        <v>-</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6" t="str">
        <f>IF(ISNUMBER(F!E29)=FALSE,"--",IF(F!E29=0,"--",F!E29))</f>
        <v>--</v>
      </c>
      <c r="C29" s="6" t="str">
        <f>IF(B29="--","",F!F29)</f>
        <v/>
      </c>
      <c r="D29" s="6" t="str">
        <f>IF(ISNUMBER(F!G29)=FALSE,"--",IF(F!G29=0,"--",F!G29))</f>
        <v>--</v>
      </c>
      <c r="E29" s="6" t="str">
        <f>IF(D29="--","",F!H29)</f>
        <v/>
      </c>
      <c r="F29" s="6" t="str">
        <f>IF(ISNUMBER(F!I29)=FALSE,"--",IF(F!I29=0,"--",F!I29))</f>
        <v>--</v>
      </c>
      <c r="G29" s="6" t="str">
        <f>IF(F29="--","",F!J29)</f>
        <v/>
      </c>
      <c r="H29" s="6"/>
      <c r="I29" s="6" t="str">
        <f>IF(F!Z29=-1,-1,F!AV29)</f>
        <v/>
      </c>
      <c r="J29" s="6"/>
      <c r="K29" s="6" t="str">
        <f>IF(F!AC29=-1,-1,F!AX29)</f>
        <v/>
      </c>
      <c r="L29" s="6"/>
      <c r="M29" s="6" t="str">
        <f>IF(F!AF29=-1,-1,F!AZ29)</f>
        <v/>
      </c>
      <c r="N29" s="6"/>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6" t="str">
        <f t="shared" si="20"/>
        <v/>
      </c>
      <c r="R29" s="5" t="str">
        <f>IF($B29="--","",IF($P29="toetsen",toetsen(F!$B29,Q29),IF($P29="toetsen alleen IW",toetsen_alleen_IW(F!$B29,Q29),IF($P29="toetsen alleen LN",toetsen_alleen_LN(F!$B29,Q29),IF($P29="toetsen geen MV en SV",toetsen_geen_MV_en_SV(F!$B29,Q29),IF($P29="toetsen alleen MV en SV",toetsen_alleen_MV_en_SV(F!$B29,Q29),""))))))</f>
        <v/>
      </c>
      <c r="S29" s="5" t="str">
        <f>IF($P29="toetsen",IF(OR(Q29="",VLOOKUP(F!$B29,E!$B$1:$AK$300,10,FALSE)=1000000000),"",IF(Q29&lt;=VLOOKUP(F!$B29,E!$B$1:$AK$300,10,FALSE),"ja","nee")),"")</f>
        <v/>
      </c>
      <c r="T29" s="87" t="str">
        <f t="shared" si="21"/>
        <v/>
      </c>
      <c r="U29" s="5" t="str">
        <f>IF($D29="--","",IF($P29="toetsen",toetsen(F!$B29,T29),IF($P29="toetsen alleen IW",toetsen_alleen_IW(F!$B29,T29),IF($P29="toetsen alleen LN",toetsen_alleen_LN(F!$B29,T29),IF($P29="toetsen geen MV en SV",toetsen_geen_MV_en_SV(F!$B29,T29),IF($P29="toetsen alleen MV en SV",toetsen_alleen_MV_en_SV(F!$B29,T29),""))))))</f>
        <v/>
      </c>
      <c r="V29" s="5" t="str">
        <f>IF($P29="toetsen",IF(OR(T29="",VLOOKUP(F!$B29,E!$B$1:$AK$300,10,FALSE)=1000000000),"",IF(T29&lt;=VLOOKUP(F!$B29,E!$B$1:$AK$300,10,FALSE),"ja","nee")),"")</f>
        <v/>
      </c>
      <c r="W29" s="6" t="str">
        <f t="shared" si="22"/>
        <v/>
      </c>
      <c r="X29" s="5" t="str">
        <f>IF($F29="--","",IF($P29="toetsen",toetsen(F!$B29,W29),IF($P29="toetsen alleen IW",toetsen_alleen_IW(F!$B29,W29),IF($P29="toetsen alleen LN",toetsen_alleen_LN(F!$B29,W29),IF($P29="toetsen geen MV en SV",toetsen_geen_MV_en_SV(F!$B29,W29),IF($P29="toetsen alleen MV en SV",toetsen_alleen_MV_en_SV(F!$B29,W29),""))))))</f>
        <v/>
      </c>
      <c r="Y29" s="5" t="str">
        <f>IF($P29="toetsen",IF(OR(W29="",VLOOKUP(F!$B29,E!$B$1:$AK$300,10,FALSE)=1000000000),"",IF(W29&lt;=VLOOKUP(F!$B29,E!$B$1:$AK$300,10,FALSE),"ja","nee")),"")</f>
        <v/>
      </c>
      <c r="AA29" s="4"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6" t="str">
        <f t="shared" si="23"/>
        <v>--</v>
      </c>
      <c r="AJ29" s="6" t="str">
        <f>IF(AI29="--","--",IF(F!$D29=131,IF(I29=-1,"rg",IF(I29="","--",IF(I29*1000&lt;1,FIXED(I29*1000,3),IF(I29*1000&lt;10,FIXED(I29*1000,2),(IF(I29*1000&lt;100,FIXED(I29*1000,1),IF(I29*1000&lt;1000,FIXED(I29*1000,0),MROUND(I29*1000,10)))))))),IF(I29=-1,"rg",IF(I29="","--",IF(I29&lt;1,FIXED(I29,3),IF(I29&lt;10,FIXED(I29,2),(IF(I29&lt;100,FIXED(I29,1),IF(I29&lt;1000,FIXED(I29,0),MROUND(I29,10))))))))))</f>
        <v>--</v>
      </c>
      <c r="AK29" s="6" t="str">
        <f t="shared" si="24"/>
        <v>--</v>
      </c>
      <c r="AL29" s="6" t="str">
        <f>IF(AK29="--","--",IF(F!$D29=131,IF(K29=-1,"rg",IF(K29="","--",IF(K29*1000&lt;1,FIXED(K29*1000,3),IF(K29*1000&lt;10,FIXED(K29*1000,2),(IF(K29*1000&lt;100,FIXED(K29*1000,1),IF(K29*1000&lt;1000,FIXED(K29*1000,0),MROUND(K29*1000,10)))))))),IF(K29=-1,"rg",IF(K29="","--",IF(K29&lt;1,FIXED(K29,3),IF(K29&lt;10,FIXED(K29,2),(IF(K29&lt;100,FIXED(K29,1),IF(K29&lt;1000,FIXED(K29,0),MROUND(K29,10))))))))))</f>
        <v>--</v>
      </c>
      <c r="AM29" s="6" t="str">
        <f t="shared" si="25"/>
        <v>--</v>
      </c>
      <c r="AN29" s="6" t="str">
        <f>IF(AM29="--","--",IF(F!$D29=131,IF(M29=-1,"rg",IF(M29="","--",IF(M29*1000&lt;1,FIXED(M29*1000,3),IF(M29*1000&lt;10,FIXED(M29*1000,2),(IF(M29*1000&lt;100,FIXED(M29*1000,1),IF(M29*1000&lt;1000,FIXED(M29*1000,0),MROUND(M29*1000,10)))))))),IF(M29=-1,"rg",IF(M29="","--",IF(M29&lt;1,FIXED(M29,3),IF(M29&lt;10,FIXED(M29,2),(IF(M29&lt;100,FIXED(M29,1),IF(M29&lt;1000,FIXED(M29,0),MROUND(M29,10))))))))))</f>
        <v>--</v>
      </c>
      <c r="AP29" s="6" t="str">
        <f t="shared" si="6"/>
        <v>--</v>
      </c>
      <c r="AQ29" s="6" t="str">
        <f t="shared" si="7"/>
        <v/>
      </c>
      <c r="AR29" s="6" t="str">
        <f t="shared" si="8"/>
        <v>--</v>
      </c>
      <c r="AS29" s="6" t="str">
        <f t="shared" si="9"/>
        <v/>
      </c>
      <c r="AT29" s="6" t="str">
        <f t="shared" si="10"/>
        <v/>
      </c>
      <c r="AU29" s="6" t="str">
        <f>IFERROR(IF(AR29="--","",IF(HLOOKUP(SMALL($Q$4:$Y$4,3),$Q$4:$Y$501,ROW(AP29)-3,FALSE)=0,"",IF(HLOOKUP(SMALL($Q$4:$Y$4,3),$Q$4:$Y$501,ROW(AP29)-3,FALSE)="nee",VLOOKUP("De kwaliteitseis emissiearme grond (maximale concentratie) wordt overschreden.",H!$O$10:'H'!$P$59,2,FALSE),""))),"")</f>
        <v/>
      </c>
      <c r="AV29" s="6" t="str">
        <f t="shared" si="0"/>
        <v>--</v>
      </c>
      <c r="AW29" s="6" t="str">
        <f t="shared" si="1"/>
        <v/>
      </c>
      <c r="AX29" s="6" t="str">
        <f t="shared" si="2"/>
        <v>--</v>
      </c>
      <c r="AY29" s="6" t="str">
        <f t="shared" si="11"/>
        <v/>
      </c>
      <c r="AZ29" s="6" t="str">
        <f t="shared" si="12"/>
        <v/>
      </c>
      <c r="BA29" s="6" t="str">
        <f>IFERROR(IF(AR29="--","",IF(HLOOKUP(SMALL($Q$4:$Y$4,6),$Q$4:$Y$501,ROW(AP29)-3,FALSE)=0,"",IF(HLOOKUP(SMALL($Q$4:$Y$4,6),$Q$4:$Y$501,ROW(AP29)-3,FALSE)="nee",VLOOKUP("De kwaliteitseis emissiearme grond (maximale concentratie) wordt overschreden.",H!$O$10:'H'!$P$59,2,FALSE),""))),"")</f>
        <v/>
      </c>
      <c r="BB29" s="6" t="str">
        <f t="shared" si="3"/>
        <v>--</v>
      </c>
      <c r="BC29" s="6" t="str">
        <f t="shared" si="4"/>
        <v/>
      </c>
      <c r="BD29" s="6" t="str">
        <f t="shared" si="5"/>
        <v>--</v>
      </c>
      <c r="BE29" s="6" t="str">
        <f t="shared" si="13"/>
        <v/>
      </c>
      <c r="BF29" s="6"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6" t="str">
        <f>IF(ISNUMBER(F!E30)=FALSE,"--",IF(F!E30=0,"--",F!E30))</f>
        <v>--</v>
      </c>
      <c r="C30" s="6" t="str">
        <f>IF(B30="--","",F!F30)</f>
        <v/>
      </c>
      <c r="D30" s="6" t="str">
        <f>IF(ISNUMBER(F!G30)=FALSE,"--",IF(F!G30=0,"--",F!G30))</f>
        <v>--</v>
      </c>
      <c r="E30" s="6" t="str">
        <f>IF(D30="--","",F!H30)</f>
        <v/>
      </c>
      <c r="F30" s="6" t="str">
        <f>IF(ISNUMBER(F!I30)=FALSE,"--",IF(F!I30=0,"--",F!I30))</f>
        <v>--</v>
      </c>
      <c r="G30" s="6" t="str">
        <f>IF(F30="--","",F!J30)</f>
        <v/>
      </c>
      <c r="H30" s="6"/>
      <c r="I30" s="6" t="str">
        <f>IF(F!Z30=-1,-1,F!AV30)</f>
        <v/>
      </c>
      <c r="J30" s="6"/>
      <c r="K30" s="6" t="str">
        <f>IF(F!AC30=-1,-1,F!AX30)</f>
        <v/>
      </c>
      <c r="L30" s="6"/>
      <c r="M30" s="6" t="str">
        <f>IF(F!AF30=-1,-1,F!AZ30)</f>
        <v/>
      </c>
      <c r="N30" s="6"/>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6" t="str">
        <f t="shared" si="20"/>
        <v/>
      </c>
      <c r="R30" s="5" t="str">
        <f>IF($B30="--","",IF($P30="toetsen",toetsen(F!$B30,Q30),IF($P30="toetsen alleen IW",toetsen_alleen_IW(F!$B30,Q30),IF($P30="toetsen alleen LN",toetsen_alleen_LN(F!$B30,Q30),IF($P30="toetsen geen MV en SV",toetsen_geen_MV_en_SV(F!$B30,Q30),IF($P30="toetsen alleen MV en SV",toetsen_alleen_MV_en_SV(F!$B30,Q30),""))))))</f>
        <v/>
      </c>
      <c r="S30" s="5" t="str">
        <f>IF($P30="toetsen",IF(OR(Q30="",VLOOKUP(F!$B30,E!$B$1:$AK$300,10,FALSE)=1000000000),"",IF(Q30&lt;=VLOOKUP(F!$B30,E!$B$1:$AK$300,10,FALSE),"ja","nee")),"")</f>
        <v/>
      </c>
      <c r="T30" s="87" t="str">
        <f t="shared" si="21"/>
        <v/>
      </c>
      <c r="U30" s="5" t="str">
        <f>IF($D30="--","",IF($P30="toetsen",toetsen(F!$B30,T30),IF($P30="toetsen alleen IW",toetsen_alleen_IW(F!$B30,T30),IF($P30="toetsen alleen LN",toetsen_alleen_LN(F!$B30,T30),IF($P30="toetsen geen MV en SV",toetsen_geen_MV_en_SV(F!$B30,T30),IF($P30="toetsen alleen MV en SV",toetsen_alleen_MV_en_SV(F!$B30,T30),""))))))</f>
        <v/>
      </c>
      <c r="V30" s="5" t="str">
        <f>IF($P30="toetsen",IF(OR(T30="",VLOOKUP(F!$B30,E!$B$1:$AK$300,10,FALSE)=1000000000),"",IF(T30&lt;=VLOOKUP(F!$B30,E!$B$1:$AK$300,10,FALSE),"ja","nee")),"")</f>
        <v/>
      </c>
      <c r="W30" s="6" t="str">
        <f t="shared" si="22"/>
        <v/>
      </c>
      <c r="X30" s="5" t="str">
        <f>IF($F30="--","",IF($P30="toetsen",toetsen(F!$B30,W30),IF($P30="toetsen alleen IW",toetsen_alleen_IW(F!$B30,W30),IF($P30="toetsen alleen LN",toetsen_alleen_LN(F!$B30,W30),IF($P30="toetsen geen MV en SV",toetsen_geen_MV_en_SV(F!$B30,W30),IF($P30="toetsen alleen MV en SV",toetsen_alleen_MV_en_SV(F!$B30,W30),""))))))</f>
        <v/>
      </c>
      <c r="Y30" s="5" t="str">
        <f>IF($P30="toetsen",IF(OR(W30="",VLOOKUP(F!$B30,E!$B$1:$AK$300,10,FALSE)=1000000000),"",IF(W30&lt;=VLOOKUP(F!$B30,E!$B$1:$AK$300,10,FALSE),"ja","nee")),"")</f>
        <v/>
      </c>
      <c r="AA30" s="4"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6" t="str">
        <f t="shared" si="23"/>
        <v>--</v>
      </c>
      <c r="AJ30" s="6" t="str">
        <f>IF(AI30="--","--",IF(F!$D30=131,IF(I30=-1,"rg",IF(I30="","--",IF(I30*1000&lt;1,FIXED(I30*1000,3),IF(I30*1000&lt;10,FIXED(I30*1000,2),(IF(I30*1000&lt;100,FIXED(I30*1000,1),IF(I30*1000&lt;1000,FIXED(I30*1000,0),MROUND(I30*1000,10)))))))),IF(I30=-1,"rg",IF(I30="","--",IF(I30&lt;1,FIXED(I30,3),IF(I30&lt;10,FIXED(I30,2),(IF(I30&lt;100,FIXED(I30,1),IF(I30&lt;1000,FIXED(I30,0),MROUND(I30,10))))))))))</f>
        <v>--</v>
      </c>
      <c r="AK30" s="6" t="str">
        <f t="shared" si="24"/>
        <v>--</v>
      </c>
      <c r="AL30" s="6" t="str">
        <f>IF(AK30="--","--",IF(F!$D30=131,IF(K30=-1,"rg",IF(K30="","--",IF(K30*1000&lt;1,FIXED(K30*1000,3),IF(K30*1000&lt;10,FIXED(K30*1000,2),(IF(K30*1000&lt;100,FIXED(K30*1000,1),IF(K30*1000&lt;1000,FIXED(K30*1000,0),MROUND(K30*1000,10)))))))),IF(K30=-1,"rg",IF(K30="","--",IF(K30&lt;1,FIXED(K30,3),IF(K30&lt;10,FIXED(K30,2),(IF(K30&lt;100,FIXED(K30,1),IF(K30&lt;1000,FIXED(K30,0),MROUND(K30,10))))))))))</f>
        <v>--</v>
      </c>
      <c r="AM30" s="6" t="str">
        <f t="shared" si="25"/>
        <v>--</v>
      </c>
      <c r="AN30" s="6" t="str">
        <f>IF(AM30="--","--",IF(F!$D30=131,IF(M30=-1,"rg",IF(M30="","--",IF(M30*1000&lt;1,FIXED(M30*1000,3),IF(M30*1000&lt;10,FIXED(M30*1000,2),(IF(M30*1000&lt;100,FIXED(M30*1000,1),IF(M30*1000&lt;1000,FIXED(M30*1000,0),MROUND(M30*1000,10)))))))),IF(M30=-1,"rg",IF(M30="","--",IF(M30&lt;1,FIXED(M30,3),IF(M30&lt;10,FIXED(M30,2),(IF(M30&lt;100,FIXED(M30,1),IF(M30&lt;1000,FIXED(M30,0),MROUND(M30,10))))))))))</f>
        <v>--</v>
      </c>
      <c r="AP30" s="6" t="str">
        <f t="shared" si="6"/>
        <v>--</v>
      </c>
      <c r="AQ30" s="6" t="str">
        <f t="shared" si="7"/>
        <v/>
      </c>
      <c r="AR30" s="6" t="str">
        <f t="shared" si="8"/>
        <v>--</v>
      </c>
      <c r="AS30" s="6" t="str">
        <f t="shared" si="9"/>
        <v/>
      </c>
      <c r="AT30" s="6" t="str">
        <f t="shared" si="10"/>
        <v/>
      </c>
      <c r="AU30" s="6" t="str">
        <f>IFERROR(IF(AR30="--","",IF(HLOOKUP(SMALL($Q$4:$Y$4,3),$Q$4:$Y$501,ROW(AP30)-3,FALSE)=0,"",IF(HLOOKUP(SMALL($Q$4:$Y$4,3),$Q$4:$Y$501,ROW(AP30)-3,FALSE)="nee",VLOOKUP("De kwaliteitseis emissiearme grond (maximale concentratie) wordt overschreden.",H!$O$10:'H'!$P$59,2,FALSE),""))),"")</f>
        <v/>
      </c>
      <c r="AV30" s="6" t="str">
        <f t="shared" si="0"/>
        <v>--</v>
      </c>
      <c r="AW30" s="6" t="str">
        <f t="shared" si="1"/>
        <v/>
      </c>
      <c r="AX30" s="6" t="str">
        <f t="shared" si="2"/>
        <v>--</v>
      </c>
      <c r="AY30" s="6" t="str">
        <f t="shared" si="11"/>
        <v/>
      </c>
      <c r="AZ30" s="6" t="str">
        <f t="shared" si="12"/>
        <v/>
      </c>
      <c r="BA30" s="6" t="str">
        <f>IFERROR(IF(AR30="--","",IF(HLOOKUP(SMALL($Q$4:$Y$4,6),$Q$4:$Y$501,ROW(AP30)-3,FALSE)=0,"",IF(HLOOKUP(SMALL($Q$4:$Y$4,6),$Q$4:$Y$501,ROW(AP30)-3,FALSE)="nee",VLOOKUP("De kwaliteitseis emissiearme grond (maximale concentratie) wordt overschreden.",H!$O$10:'H'!$P$59,2,FALSE),""))),"")</f>
        <v/>
      </c>
      <c r="BB30" s="6" t="str">
        <f t="shared" si="3"/>
        <v>--</v>
      </c>
      <c r="BC30" s="6" t="str">
        <f t="shared" si="4"/>
        <v/>
      </c>
      <c r="BD30" s="6" t="str">
        <f t="shared" si="5"/>
        <v>--</v>
      </c>
      <c r="BE30" s="6" t="str">
        <f t="shared" si="13"/>
        <v/>
      </c>
      <c r="BF30" s="6"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6" t="str">
        <f>IF(ISNUMBER(F!E31)=FALSE,"--",IF(F!E31=0,"--",F!E31))</f>
        <v>--</v>
      </c>
      <c r="C31" s="6" t="str">
        <f>IF(B31="--","",F!F31)</f>
        <v/>
      </c>
      <c r="D31" s="6" t="str">
        <f>IF(ISNUMBER(F!G31)=FALSE,"--",IF(F!G31=0,"--",F!G31))</f>
        <v>--</v>
      </c>
      <c r="E31" s="6" t="str">
        <f>IF(D31="--","",F!H31)</f>
        <v/>
      </c>
      <c r="F31" s="6" t="str">
        <f>IF(ISNUMBER(F!I31)=FALSE,"--",IF(F!I31=0,"--",F!I31))</f>
        <v>--</v>
      </c>
      <c r="G31" s="6" t="str">
        <f>IF(F31="--","",F!J31)</f>
        <v/>
      </c>
      <c r="H31" s="6"/>
      <c r="I31" s="6" t="str">
        <f>IF(F!Z31=-1,-1,F!AV31)</f>
        <v/>
      </c>
      <c r="J31" s="6"/>
      <c r="K31" s="6" t="str">
        <f>IF(F!AC31=-1,-1,F!AX31)</f>
        <v/>
      </c>
      <c r="L31" s="6"/>
      <c r="M31" s="6" t="str">
        <f>IF(F!AF31=-1,-1,F!AZ31)</f>
        <v/>
      </c>
      <c r="N31" s="6"/>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6" t="str">
        <f t="shared" si="20"/>
        <v/>
      </c>
      <c r="R31" s="5" t="str">
        <f>IF($B31="--","",IF($P31="toetsen",toetsen(F!$B31,Q31),IF($P31="toetsen alleen IW",toetsen_alleen_IW(F!$B31,Q31),IF($P31="toetsen alleen LN",toetsen_alleen_LN(F!$B31,Q31),IF($P31="toetsen geen MV en SV",toetsen_geen_MV_en_SV(F!$B31,Q31),IF($P31="toetsen alleen MV en SV",toetsen_alleen_MV_en_SV(F!$B31,Q31),""))))))</f>
        <v/>
      </c>
      <c r="S31" s="5" t="str">
        <f>IF($P31="toetsen",IF(OR(Q31="",VLOOKUP(F!$B31,E!$B$1:$AK$300,10,FALSE)=1000000000),"",IF(Q31&lt;=VLOOKUP(F!$B31,E!$B$1:$AK$300,10,FALSE),"ja","nee")),"")</f>
        <v/>
      </c>
      <c r="T31" s="87" t="str">
        <f t="shared" si="21"/>
        <v/>
      </c>
      <c r="U31" s="5" t="str">
        <f>IF($D31="--","",IF($P31="toetsen",toetsen(F!$B31,T31),IF($P31="toetsen alleen IW",toetsen_alleen_IW(F!$B31,T31),IF($P31="toetsen alleen LN",toetsen_alleen_LN(F!$B31,T31),IF($P31="toetsen geen MV en SV",toetsen_geen_MV_en_SV(F!$B31,T31),IF($P31="toetsen alleen MV en SV",toetsen_alleen_MV_en_SV(F!$B31,T31),""))))))</f>
        <v/>
      </c>
      <c r="V31" s="5" t="str">
        <f>IF($P31="toetsen",IF(OR(T31="",VLOOKUP(F!$B31,E!$B$1:$AK$300,10,FALSE)=1000000000),"",IF(T31&lt;=VLOOKUP(F!$B31,E!$B$1:$AK$300,10,FALSE),"ja","nee")),"")</f>
        <v/>
      </c>
      <c r="W31" s="6" t="str">
        <f t="shared" si="22"/>
        <v/>
      </c>
      <c r="X31" s="5" t="str">
        <f>IF($F31="--","",IF($P31="toetsen",toetsen(F!$B31,W31),IF($P31="toetsen alleen IW",toetsen_alleen_IW(F!$B31,W31),IF($P31="toetsen alleen LN",toetsen_alleen_LN(F!$B31,W31),IF($P31="toetsen geen MV en SV",toetsen_geen_MV_en_SV(F!$B31,W31),IF($P31="toetsen alleen MV en SV",toetsen_alleen_MV_en_SV(F!$B31,W31),""))))))</f>
        <v/>
      </c>
      <c r="Y31" s="5" t="str">
        <f>IF($P31="toetsen",IF(OR(W31="",VLOOKUP(F!$B31,E!$B$1:$AK$300,10,FALSE)=1000000000),"",IF(W31&lt;=VLOOKUP(F!$B31,E!$B$1:$AK$300,10,FALSE),"ja","nee")),"")</f>
        <v/>
      </c>
      <c r="AA31" s="4"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6" t="str">
        <f t="shared" si="23"/>
        <v>--</v>
      </c>
      <c r="AJ31" s="6" t="str">
        <f>IF(AI31="--","--",IF(F!$D31=131,IF(I31=-1,"rg",IF(I31="","--",IF(I31*1000&lt;1,FIXED(I31*1000,3),IF(I31*1000&lt;10,FIXED(I31*1000,2),(IF(I31*1000&lt;100,FIXED(I31*1000,1),IF(I31*1000&lt;1000,FIXED(I31*1000,0),MROUND(I31*1000,10)))))))),IF(I31=-1,"rg",IF(I31="","--",IF(I31&lt;1,FIXED(I31,3),IF(I31&lt;10,FIXED(I31,2),(IF(I31&lt;100,FIXED(I31,1),IF(I31&lt;1000,FIXED(I31,0),MROUND(I31,10))))))))))</f>
        <v>--</v>
      </c>
      <c r="AK31" s="6" t="str">
        <f t="shared" si="24"/>
        <v>--</v>
      </c>
      <c r="AL31" s="6" t="str">
        <f>IF(AK31="--","--",IF(F!$D31=131,IF(K31=-1,"rg",IF(K31="","--",IF(K31*1000&lt;1,FIXED(K31*1000,3),IF(K31*1000&lt;10,FIXED(K31*1000,2),(IF(K31*1000&lt;100,FIXED(K31*1000,1),IF(K31*1000&lt;1000,FIXED(K31*1000,0),MROUND(K31*1000,10)))))))),IF(K31=-1,"rg",IF(K31="","--",IF(K31&lt;1,FIXED(K31,3),IF(K31&lt;10,FIXED(K31,2),(IF(K31&lt;100,FIXED(K31,1),IF(K31&lt;1000,FIXED(K31,0),MROUND(K31,10))))))))))</f>
        <v>--</v>
      </c>
      <c r="AM31" s="6" t="str">
        <f t="shared" si="25"/>
        <v>--</v>
      </c>
      <c r="AN31" s="6" t="str">
        <f>IF(AM31="--","--",IF(F!$D31=131,IF(M31=-1,"rg",IF(M31="","--",IF(M31*1000&lt;1,FIXED(M31*1000,3),IF(M31*1000&lt;10,FIXED(M31*1000,2),(IF(M31*1000&lt;100,FIXED(M31*1000,1),IF(M31*1000&lt;1000,FIXED(M31*1000,0),MROUND(M31*1000,10)))))))),IF(M31=-1,"rg",IF(M31="","--",IF(M31&lt;1,FIXED(M31,3),IF(M31&lt;10,FIXED(M31,2),(IF(M31&lt;100,FIXED(M31,1),IF(M31&lt;1000,FIXED(M31,0),MROUND(M31,10))))))))))</f>
        <v>--</v>
      </c>
      <c r="AP31" s="6" t="str">
        <f t="shared" si="6"/>
        <v>--</v>
      </c>
      <c r="AQ31" s="6" t="str">
        <f t="shared" si="7"/>
        <v/>
      </c>
      <c r="AR31" s="6" t="str">
        <f t="shared" si="8"/>
        <v>--</v>
      </c>
      <c r="AS31" s="6" t="str">
        <f t="shared" si="9"/>
        <v/>
      </c>
      <c r="AT31" s="6" t="str">
        <f t="shared" si="10"/>
        <v/>
      </c>
      <c r="AU31" s="6" t="str">
        <f>IFERROR(IF(AR31="--","",IF(HLOOKUP(SMALL($Q$4:$Y$4,3),$Q$4:$Y$501,ROW(AP31)-3,FALSE)=0,"",IF(HLOOKUP(SMALL($Q$4:$Y$4,3),$Q$4:$Y$501,ROW(AP31)-3,FALSE)="nee",VLOOKUP("De kwaliteitseis emissiearme grond (maximale concentratie) wordt overschreden.",H!$O$10:'H'!$P$59,2,FALSE),""))),"")</f>
        <v/>
      </c>
      <c r="AV31" s="6" t="str">
        <f t="shared" si="0"/>
        <v>--</v>
      </c>
      <c r="AW31" s="6" t="str">
        <f t="shared" si="1"/>
        <v/>
      </c>
      <c r="AX31" s="6" t="str">
        <f t="shared" si="2"/>
        <v>--</v>
      </c>
      <c r="AY31" s="6" t="str">
        <f t="shared" si="11"/>
        <v/>
      </c>
      <c r="AZ31" s="6" t="str">
        <f t="shared" si="12"/>
        <v/>
      </c>
      <c r="BA31" s="6" t="str">
        <f>IFERROR(IF(AR31="--","",IF(HLOOKUP(SMALL($Q$4:$Y$4,6),$Q$4:$Y$501,ROW(AP31)-3,FALSE)=0,"",IF(HLOOKUP(SMALL($Q$4:$Y$4,6),$Q$4:$Y$501,ROW(AP31)-3,FALSE)="nee",VLOOKUP("De kwaliteitseis emissiearme grond (maximale concentratie) wordt overschreden.",H!$O$10:'H'!$P$59,2,FALSE),""))),"")</f>
        <v/>
      </c>
      <c r="BB31" s="6" t="str">
        <f t="shared" si="3"/>
        <v>--</v>
      </c>
      <c r="BC31" s="6" t="str">
        <f t="shared" si="4"/>
        <v/>
      </c>
      <c r="BD31" s="6" t="str">
        <f t="shared" si="5"/>
        <v>--</v>
      </c>
      <c r="BE31" s="6" t="str">
        <f t="shared" si="13"/>
        <v/>
      </c>
      <c r="BF31" s="6"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6">
        <f>IF(ISNUMBER(F!E32)=FALSE,"--",IF(F!E32=0,"--",F!E32))</f>
        <v>20</v>
      </c>
      <c r="C32" s="6" t="str">
        <f>IF(B32="--","",F!F32)</f>
        <v>&lt;</v>
      </c>
      <c r="D32" s="6">
        <f>IF(ISNUMBER(F!G32)=FALSE,"--",IF(F!G32=0,"--",F!G32))</f>
        <v>21</v>
      </c>
      <c r="E32" s="6" t="str">
        <f>IF(D32="--","",F!H32)</f>
        <v/>
      </c>
      <c r="F32" s="6">
        <f>IF(ISNUMBER(F!I32)=FALSE,"--",IF(F!I32=0,"--",F!I32))</f>
        <v>20</v>
      </c>
      <c r="G32" s="6" t="str">
        <f>IF(F32="--","",F!J32)</f>
        <v/>
      </c>
      <c r="H32" s="6"/>
      <c r="I32" s="6">
        <f>IF(F!Z32=-1,-1,F!AV32)</f>
        <v>-1</v>
      </c>
      <c r="J32" s="6"/>
      <c r="K32" s="6">
        <f>IF(F!AC32=-1,-1,F!AX32)</f>
        <v>34.186046511627907</v>
      </c>
      <c r="L32" s="6"/>
      <c r="M32" s="6">
        <f>IF(F!AF32=-1,-1,F!AZ32)</f>
        <v>39.772727272727273</v>
      </c>
      <c r="N32" s="6"/>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6">
        <f t="shared" si="20"/>
        <v>-1</v>
      </c>
      <c r="R32" s="5" t="str">
        <f>IF($B32="--","",IF($P32="toetsen",toetsen(F!$B32,Q32),IF($P32="toetsen alleen IW",toetsen_alleen_IW(F!$B32,Q32),IF($P32="toetsen alleen LN",toetsen_alleen_LN(F!$B32,Q32),IF($P32="toetsen geen MV en SV",toetsen_geen_MV_en_SV(F!$B32,Q32),IF($P32="toetsen alleen MV en SV",toetsen_alleen_MV_en_SV(F!$B32,Q32),""))))))</f>
        <v>-</v>
      </c>
      <c r="S32" s="5" t="str">
        <f>IF($P32="toetsen",IF(OR(Q32="",VLOOKUP(F!$B32,E!$B$1:$AK$300,10,FALSE)=1000000000),"",IF(Q32&lt;=VLOOKUP(F!$B32,E!$B$1:$AK$300,10,FALSE),"ja","nee")),"")</f>
        <v>ja</v>
      </c>
      <c r="T32" s="87">
        <f t="shared" si="21"/>
        <v>34.186046511627907</v>
      </c>
      <c r="U32" s="5" t="str">
        <f>IF($D32="--","",IF($P32="toetsen",toetsen(F!$B32,T32),IF($P32="toetsen alleen IW",toetsen_alleen_IW(F!$B32,T32),IF($P32="toetsen alleen LN",toetsen_alleen_LN(F!$B32,T32),IF($P32="toetsen geen MV en SV",toetsen_geen_MV_en_SV(F!$B32,T32),IF($P32="toetsen alleen MV en SV",toetsen_alleen_MV_en_SV(F!$B32,T32),""))))))</f>
        <v>-</v>
      </c>
      <c r="V32" s="5" t="str">
        <f>IF($P32="toetsen",IF(OR(T32="",VLOOKUP(F!$B32,E!$B$1:$AK$300,10,FALSE)=1000000000),"",IF(T32&lt;=VLOOKUP(F!$B32,E!$B$1:$AK$300,10,FALSE),"ja","nee")),"")</f>
        <v>ja</v>
      </c>
      <c r="W32" s="6">
        <f t="shared" si="22"/>
        <v>39.772727272727273</v>
      </c>
      <c r="X32" s="5" t="str">
        <f>IF($F32="--","",IF($P32="toetsen",toetsen(F!$B32,W32),IF($P32="toetsen alleen IW",toetsen_alleen_IW(F!$B32,W32),IF($P32="toetsen alleen LN",toetsen_alleen_LN(F!$B32,W32),IF($P32="toetsen geen MV en SV",toetsen_geen_MV_en_SV(F!$B32,W32),IF($P32="toetsen alleen MV en SV",toetsen_alleen_MV_en_SV(F!$B32,W32),""))))))</f>
        <v>-</v>
      </c>
      <c r="Y32" s="5" t="str">
        <f>IF($P32="toetsen",IF(OR(W32="",VLOOKUP(F!$B32,E!$B$1:$AK$300,10,FALSE)=1000000000),"",IF(W32&lt;=VLOOKUP(F!$B32,E!$B$1:$AK$300,10,FALSE),"ja","nee")),"")</f>
        <v>ja</v>
      </c>
      <c r="AA32" s="4">
        <f>IFERROR(IF(Q32="","",(IF(Q32&gt;2*VLOOKUP(F!$B32,E!$B$1:$AK$300,5,FALSE),1,0))),"")</f>
        <v>0</v>
      </c>
      <c r="AB32" s="4">
        <f>IFERROR(IF(T32="","",(IF(T32&gt;2*VLOOKUP(F!$B32,E!$B$1:$AK$300,5,FALSE),1,0))),"")</f>
        <v>0</v>
      </c>
      <c r="AC32" s="4">
        <f>IFERROR(IF(W32="","",(IF(W32&gt;2*VLOOKUP(F!$B32,E!$B$1:$AK$300,5,FALSE),1,0))),"")</f>
        <v>0</v>
      </c>
      <c r="AE32" s="4">
        <f>IFERROR(IF(Q32="","",(IF(Q32&gt;VLOOKUP(F!$B32,E!$B$1:$AK$300,6,FALSE)+VLOOKUP(F!$B32,E!$B$1:$AK$300,5,FALSE),1,0))),"")</f>
        <v>0</v>
      </c>
      <c r="AF32" s="4">
        <f>IFERROR(IF(T32="","",(IF(T32&gt;VLOOKUP(F!$B32,E!$B$1:$AK$300,6,FALSE)+VLOOKUP(F!$B32,E!$B$1:$AK$300,5,FALSE),1,0))),"")</f>
        <v>0</v>
      </c>
      <c r="AG32" s="4">
        <f>IFERROR(IF(W32="","",(IF(W32&gt;VLOOKUP(F!$B32,E!$B$1:$AK$300,6,FALSE)+VLOOKUP(F!$B32,E!$B$1:$AK$300,5,FALSE),1,0))),"")</f>
        <v>0</v>
      </c>
      <c r="AI32" s="6" t="str">
        <f t="shared" si="23"/>
        <v>20</v>
      </c>
      <c r="AJ32" s="6" t="str">
        <f>IF(AI32="--","--",IF(F!$D32=131,IF(I32=-1,"rg",IF(I32="","--",IF(I32*1000&lt;1,FIXED(I32*1000,3),IF(I32*1000&lt;10,FIXED(I32*1000,2),(IF(I32*1000&lt;100,FIXED(I32*1000,1),IF(I32*1000&lt;1000,FIXED(I32*1000,0),MROUND(I32*1000,10)))))))),IF(I32=-1,"rg",IF(I32="","--",IF(I32&lt;1,FIXED(I32,3),IF(I32&lt;10,FIXED(I32,2),(IF(I32&lt;100,FIXED(I32,1),IF(I32&lt;1000,FIXED(I32,0),MROUND(I32,10))))))))))</f>
        <v>rg</v>
      </c>
      <c r="AK32" s="6" t="str">
        <f t="shared" si="24"/>
        <v>21</v>
      </c>
      <c r="AL32" s="6" t="str">
        <f>IF(AK32="--","--",IF(F!$D32=131,IF(K32=-1,"rg",IF(K32="","--",IF(K32*1000&lt;1,FIXED(K32*1000,3),IF(K32*1000&lt;10,FIXED(K32*1000,2),(IF(K32*1000&lt;100,FIXED(K32*1000,1),IF(K32*1000&lt;1000,FIXED(K32*1000,0),MROUND(K32*1000,10)))))))),IF(K32=-1,"rg",IF(K32="","--",IF(K32&lt;1,FIXED(K32,3),IF(K32&lt;10,FIXED(K32,2),(IF(K32&lt;100,FIXED(K32,1),IF(K32&lt;1000,FIXED(K32,0),MROUND(K32,10))))))))))</f>
        <v>34,2</v>
      </c>
      <c r="AM32" s="6" t="str">
        <f t="shared" si="25"/>
        <v>20</v>
      </c>
      <c r="AN32" s="6" t="str">
        <f>IF(AM32="--","--",IF(F!$D32=131,IF(M32=-1,"rg",IF(M32="","--",IF(M32*1000&lt;1,FIXED(M32*1000,3),IF(M32*1000&lt;10,FIXED(M32*1000,2),(IF(M32*1000&lt;100,FIXED(M32*1000,1),IF(M32*1000&lt;1000,FIXED(M32*1000,0),MROUND(M32*1000,10)))))))),IF(M32=-1,"rg",IF(M32="","--",IF(M32&lt;1,FIXED(M32,3),IF(M32&lt;10,FIXED(M32,2),(IF(M32&lt;100,FIXED(M32,1),IF(M32&lt;1000,FIXED(M32,0),MROUND(M32,10))))))))))</f>
        <v>39,8</v>
      </c>
      <c r="AP32" s="6" t="str">
        <f t="shared" si="6"/>
        <v>20</v>
      </c>
      <c r="AQ32" s="6" t="str">
        <f t="shared" si="7"/>
        <v>&lt;</v>
      </c>
      <c r="AR32" s="6" t="str">
        <f t="shared" si="8"/>
        <v>rg</v>
      </c>
      <c r="AS32" s="6" t="str">
        <f t="shared" si="9"/>
        <v>&lt;</v>
      </c>
      <c r="AT32" s="6" t="str">
        <f t="shared" si="10"/>
        <v>-</v>
      </c>
      <c r="AU32" s="6" t="str">
        <f>IFERROR(IF(AR32="--","",IF(HLOOKUP(SMALL($Q$4:$Y$4,3),$Q$4:$Y$501,ROW(AP32)-3,FALSE)=0,"",IF(HLOOKUP(SMALL($Q$4:$Y$4,3),$Q$4:$Y$501,ROW(AP32)-3,FALSE)="nee",VLOOKUP("De kwaliteitseis emissiearme grond (maximale concentratie) wordt overschreden.",H!$O$10:'H'!$P$59,2,FALSE),""))),"")</f>
        <v/>
      </c>
      <c r="AV32" s="6" t="str">
        <f t="shared" si="0"/>
        <v>21</v>
      </c>
      <c r="AW32" s="6" t="str">
        <f t="shared" si="1"/>
        <v/>
      </c>
      <c r="AX32" s="6" t="str">
        <f t="shared" si="2"/>
        <v>34,2</v>
      </c>
      <c r="AY32" s="6" t="str">
        <f t="shared" si="11"/>
        <v/>
      </c>
      <c r="AZ32" s="6" t="str">
        <f t="shared" si="12"/>
        <v>-</v>
      </c>
      <c r="BA32" s="6" t="str">
        <f>IFERROR(IF(AR32="--","",IF(HLOOKUP(SMALL($Q$4:$Y$4,6),$Q$4:$Y$501,ROW(AP32)-3,FALSE)=0,"",IF(HLOOKUP(SMALL($Q$4:$Y$4,6),$Q$4:$Y$501,ROW(AP32)-3,FALSE)="nee",VLOOKUP("De kwaliteitseis emissiearme grond (maximale concentratie) wordt overschreden.",H!$O$10:'H'!$P$59,2,FALSE),""))),"")</f>
        <v/>
      </c>
      <c r="BB32" s="6" t="str">
        <f t="shared" si="3"/>
        <v>20</v>
      </c>
      <c r="BC32" s="6" t="str">
        <f t="shared" si="4"/>
        <v/>
      </c>
      <c r="BD32" s="6" t="str">
        <f t="shared" si="5"/>
        <v>39,8</v>
      </c>
      <c r="BE32" s="6" t="str">
        <f t="shared" si="13"/>
        <v/>
      </c>
      <c r="BF32" s="6" t="str">
        <f t="shared" si="14"/>
        <v>-</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6">
        <f>IF(ISNUMBER(F!E33)=FALSE,"--",IF(F!E33=0,"--",F!E33))</f>
        <v>0.01</v>
      </c>
      <c r="C33" s="6" t="str">
        <f>IF(B33="--","",F!F33)</f>
        <v>&lt;</v>
      </c>
      <c r="D33" s="6">
        <f>IF(ISNUMBER(F!G33)=FALSE,"--",IF(F!G33=0,"--",F!G33))</f>
        <v>0.01</v>
      </c>
      <c r="E33" s="6" t="str">
        <f>IF(D33="--","",F!H33)</f>
        <v>&lt;</v>
      </c>
      <c r="F33" s="6">
        <f>IF(ISNUMBER(F!I33)=FALSE,"--",IF(F!I33=0,"--",F!I33))</f>
        <v>0.01</v>
      </c>
      <c r="G33" s="6" t="str">
        <f>IF(F33="--","",F!J33)</f>
        <v>&lt;</v>
      </c>
      <c r="H33" s="6"/>
      <c r="I33" s="16">
        <f>IF(F!AA33=-1,-1,F!AV33)</f>
        <v>-1</v>
      </c>
      <c r="J33" s="6"/>
      <c r="K33" s="16">
        <f>IF(F!AD33=-1,-1,F!AX33)</f>
        <v>-1</v>
      </c>
      <c r="L33" s="6"/>
      <c r="M33" s="16">
        <f>IF(F!AG33=-1,-1,F!AZ33)</f>
        <v>-1</v>
      </c>
      <c r="N33" s="6"/>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6">
        <f t="shared" si="20"/>
        <v>-1</v>
      </c>
      <c r="R33" s="5" t="str">
        <f>IF($B33="--","",IF($P33="toetsen",toetsen(F!$B33,Q33),IF($P33="toetsen alleen IW",toetsen_alleen_IW(F!$B33,Q33),IF($P33="toetsen alleen LN",toetsen_alleen_LN(F!$B33,Q33),IF($P33="toetsen geen MV en SV",toetsen_geen_MV_en_SV(F!$B33,Q33),IF($P33="toetsen alleen MV en SV",toetsen_alleen_MV_en_SV(F!$B33,Q33),""))))))</f>
        <v/>
      </c>
      <c r="S33" s="5" t="str">
        <f>IF($P33="toetsen",IF(OR(Q33="",VLOOKUP(F!$B33,E!$B$1:$AK$300,10,FALSE)=1000000000),"",IF(Q33&lt;=VLOOKUP(F!$B33,E!$B$1:$AK$300,10,FALSE),"ja","nee")),"")</f>
        <v/>
      </c>
      <c r="T33" s="87">
        <f t="shared" si="21"/>
        <v>-1</v>
      </c>
      <c r="U33" s="5" t="str">
        <f>IF($D33="--","",IF($P33="toetsen",toetsen(F!$B33,T33),IF($P33="toetsen alleen IW",toetsen_alleen_IW(F!$B33,T33),IF($P33="toetsen alleen LN",toetsen_alleen_LN(F!$B33,T33),IF($P33="toetsen geen MV en SV",toetsen_geen_MV_en_SV(F!$B33,T33),IF($P33="toetsen alleen MV en SV",toetsen_alleen_MV_en_SV(F!$B33,T33),""))))))</f>
        <v/>
      </c>
      <c r="V33" s="5" t="str">
        <f>IF($P33="toetsen",IF(OR(T33="",VLOOKUP(F!$B33,E!$B$1:$AK$300,10,FALSE)=1000000000),"",IF(T33&lt;=VLOOKUP(F!$B33,E!$B$1:$AK$300,10,FALSE),"ja","nee")),"")</f>
        <v/>
      </c>
      <c r="W33" s="6">
        <f t="shared" si="22"/>
        <v>-1</v>
      </c>
      <c r="X33" s="5" t="str">
        <f>IF($F33="--","",IF($P33="toetsen",toetsen(F!$B33,W33),IF($P33="toetsen alleen IW",toetsen_alleen_IW(F!$B33,W33),IF($P33="toetsen alleen LN",toetsen_alleen_LN(F!$B33,W33),IF($P33="toetsen geen MV en SV",toetsen_geen_MV_en_SV(F!$B33,W33),IF($P33="toetsen alleen MV en SV",toetsen_alleen_MV_en_SV(F!$B33,W33),""))))))</f>
        <v/>
      </c>
      <c r="Y33" s="5" t="str">
        <f>IF($P33="toetsen",IF(OR(W33="",VLOOKUP(F!$B33,E!$B$1:$AK$300,10,FALSE)=1000000000),"",IF(W33&lt;=VLOOKUP(F!$B33,E!$B$1:$AK$300,10,FALSE),"ja","nee")),"")</f>
        <v/>
      </c>
      <c r="AA33" s="4">
        <f>IFERROR(IF(Q33="","",(IF(Q33&gt;2*VLOOKUP(F!$B33,E!$B$1:$AK$300,5,FALSE),1,0))),"")</f>
        <v>0</v>
      </c>
      <c r="AB33" s="4">
        <f>IFERROR(IF(T33="","",(IF(T33&gt;2*VLOOKUP(F!$B33,E!$B$1:$AK$300,5,FALSE),1,0))),"")</f>
        <v>0</v>
      </c>
      <c r="AC33" s="4">
        <f>IFERROR(IF(W33="","",(IF(W33&gt;2*VLOOKUP(F!$B33,E!$B$1:$AK$300,5,FALSE),1,0))),"")</f>
        <v>0</v>
      </c>
      <c r="AE33" s="4">
        <f>IFERROR(IF(Q33="","",(IF(Q33&gt;VLOOKUP(F!$B33,E!$B$1:$AK$300,6,FALSE)+VLOOKUP(F!$B33,E!$B$1:$AK$300,5,FALSE),1,0))),"")</f>
        <v>0</v>
      </c>
      <c r="AF33" s="4">
        <f>IFERROR(IF(T33="","",(IF(T33&gt;VLOOKUP(F!$B33,E!$B$1:$AK$300,6,FALSE)+VLOOKUP(F!$B33,E!$B$1:$AK$300,5,FALSE),1,0))),"")</f>
        <v>0</v>
      </c>
      <c r="AG33" s="4">
        <f>IFERROR(IF(W33="","",(IF(W33&gt;VLOOKUP(F!$B33,E!$B$1:$AK$300,6,FALSE)+VLOOKUP(F!$B33,E!$B$1:$AK$300,5,FALSE),1,0))),"")</f>
        <v>0</v>
      </c>
      <c r="AI33" s="6" t="str">
        <f t="shared" si="23"/>
        <v>0,01</v>
      </c>
      <c r="AJ33" s="6" t="str">
        <f>IF(AI33="--","--",IF(F!$D33=131,IF(I33=-1,"rg",IF(I33="","--",IF(I33*1000&lt;1,FIXED(I33*1000,3),IF(I33*1000&lt;10,FIXED(I33*1000,2),(IF(I33*1000&lt;100,FIXED(I33*1000,1),IF(I33*1000&lt;1000,FIXED(I33*1000,0),MROUND(I33*1000,10)))))))),IF(I33=-1,"rg",IF(I33="","--",IF(I33&lt;1,FIXED(I33,3),IF(I33&lt;10,FIXED(I33,2),(IF(I33&lt;100,FIXED(I33,1),IF(I33&lt;1000,FIXED(I33,0),MROUND(I33,10))))))))))</f>
        <v>rg</v>
      </c>
      <c r="AK33" s="6" t="str">
        <f t="shared" si="24"/>
        <v>0,01</v>
      </c>
      <c r="AL33" s="6" t="str">
        <f>IF(AK33="--","--",IF(F!$D33=131,IF(K33=-1,"rg",IF(K33="","--",IF(K33*1000&lt;1,FIXED(K33*1000,3),IF(K33*1000&lt;10,FIXED(K33*1000,2),(IF(K33*1000&lt;100,FIXED(K33*1000,1),IF(K33*1000&lt;1000,FIXED(K33*1000,0),MROUND(K33*1000,10)))))))),IF(K33=-1,"rg",IF(K33="","--",IF(K33&lt;1,FIXED(K33,3),IF(K33&lt;10,FIXED(K33,2),(IF(K33&lt;100,FIXED(K33,1),IF(K33&lt;1000,FIXED(K33,0),MROUND(K33,10))))))))))</f>
        <v>rg</v>
      </c>
      <c r="AM33" s="6" t="str">
        <f t="shared" si="25"/>
        <v>0,01</v>
      </c>
      <c r="AN33" s="6" t="str">
        <f>IF(AM33="--","--",IF(F!$D33=131,IF(M33=-1,"rg",IF(M33="","--",IF(M33*1000&lt;1,FIXED(M33*1000,3),IF(M33*1000&lt;10,FIXED(M33*1000,2),(IF(M33*1000&lt;100,FIXED(M33*1000,1),IF(M33*1000&lt;1000,FIXED(M33*1000,0),MROUND(M33*1000,10)))))))),IF(M33=-1,"rg",IF(M33="","--",IF(M33&lt;1,FIXED(M33,3),IF(M33&lt;10,FIXED(M33,2),(IF(M33&lt;100,FIXED(M33,1),IF(M33&lt;1000,FIXED(M33,0),MROUND(M33,10))))))))))</f>
        <v>rg</v>
      </c>
      <c r="AP33" s="6" t="str">
        <f t="shared" si="6"/>
        <v>0,01</v>
      </c>
      <c r="AQ33" s="6" t="str">
        <f t="shared" si="7"/>
        <v>&lt;</v>
      </c>
      <c r="AR33" s="6" t="str">
        <f t="shared" si="8"/>
        <v>rg</v>
      </c>
      <c r="AS33" s="6" t="str">
        <f t="shared" si="9"/>
        <v>&lt;</v>
      </c>
      <c r="AT33" s="6" t="str">
        <f t="shared" si="10"/>
        <v/>
      </c>
      <c r="AU33" s="6" t="str">
        <f>IFERROR(IF(AR33="--","",IF(HLOOKUP(SMALL($Q$4:$Y$4,3),$Q$4:$Y$501,ROW(AP33)-3,FALSE)=0,"",IF(HLOOKUP(SMALL($Q$4:$Y$4,3),$Q$4:$Y$501,ROW(AP33)-3,FALSE)="nee",VLOOKUP("De kwaliteitseis emissiearme grond (maximale concentratie) wordt overschreden.",H!$O$10:'H'!$P$59,2,FALSE),""))),"")</f>
        <v/>
      </c>
      <c r="AV33" s="6" t="str">
        <f t="shared" si="0"/>
        <v>0,01</v>
      </c>
      <c r="AW33" s="6" t="str">
        <f t="shared" si="1"/>
        <v>&lt;</v>
      </c>
      <c r="AX33" s="6" t="str">
        <f t="shared" si="2"/>
        <v>rg</v>
      </c>
      <c r="AY33" s="6" t="str">
        <f t="shared" si="11"/>
        <v>&lt;</v>
      </c>
      <c r="AZ33" s="6" t="str">
        <f t="shared" si="12"/>
        <v/>
      </c>
      <c r="BA33" s="6" t="str">
        <f>IFERROR(IF(AR33="--","",IF(HLOOKUP(SMALL($Q$4:$Y$4,6),$Q$4:$Y$501,ROW(AP33)-3,FALSE)=0,"",IF(HLOOKUP(SMALL($Q$4:$Y$4,6),$Q$4:$Y$501,ROW(AP33)-3,FALSE)="nee",VLOOKUP("De kwaliteitseis emissiearme grond (maximale concentratie) wordt overschreden.",H!$O$10:'H'!$P$59,2,FALSE),""))),"")</f>
        <v/>
      </c>
      <c r="BB33" s="6" t="str">
        <f t="shared" si="3"/>
        <v>0,01</v>
      </c>
      <c r="BC33" s="6" t="str">
        <f t="shared" si="4"/>
        <v>&lt;</v>
      </c>
      <c r="BD33" s="6" t="str">
        <f t="shared" si="5"/>
        <v>rg</v>
      </c>
      <c r="BE33" s="6" t="str">
        <f t="shared" si="13"/>
        <v>&lt;</v>
      </c>
      <c r="BF33" s="6"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6">
        <f>IF(ISNUMBER(F!E34)=FALSE,"--",IF(F!E34=0,"--",F!E34))</f>
        <v>0.01</v>
      </c>
      <c r="C34" s="6" t="str">
        <f>IF(B34="--","",F!F34)</f>
        <v>&lt;</v>
      </c>
      <c r="D34" s="6">
        <f>IF(ISNUMBER(F!G34)=FALSE,"--",IF(F!G34=0,"--",F!G34))</f>
        <v>0.01</v>
      </c>
      <c r="E34" s="6" t="str">
        <f>IF(D34="--","",F!H34)</f>
        <v>&lt;</v>
      </c>
      <c r="F34" s="6">
        <f>IF(ISNUMBER(F!I34)=FALSE,"--",IF(F!I34=0,"--",F!I34))</f>
        <v>0.01</v>
      </c>
      <c r="G34" s="6" t="str">
        <f>IF(F34="--","",F!J34)</f>
        <v>&lt;</v>
      </c>
      <c r="H34" s="6"/>
      <c r="I34" s="16">
        <f>IF(F!AA34=-1,-1,F!AV34)</f>
        <v>-1</v>
      </c>
      <c r="J34" s="6"/>
      <c r="K34" s="16">
        <f>IF(F!AD34=-1,-1,F!AX34)</f>
        <v>-1</v>
      </c>
      <c r="L34" s="6"/>
      <c r="M34" s="16">
        <f>IF(F!AG34=-1,-1,F!AZ34)</f>
        <v>-1</v>
      </c>
      <c r="N34" s="6"/>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6">
        <f t="shared" si="20"/>
        <v>-1</v>
      </c>
      <c r="R34" s="5" t="str">
        <f>IF($B34="--","",IF($P34="toetsen",toetsen(F!$B34,Q34),IF($P34="toetsen alleen IW",toetsen_alleen_IW(F!$B34,Q34),IF($P34="toetsen alleen LN",toetsen_alleen_LN(F!$B34,Q34),IF($P34="toetsen geen MV en SV",toetsen_geen_MV_en_SV(F!$B34,Q34),IF($P34="toetsen alleen MV en SV",toetsen_alleen_MV_en_SV(F!$B34,Q34),""))))))</f>
        <v/>
      </c>
      <c r="S34" s="5" t="str">
        <f>IF($P34="toetsen",IF(OR(Q34="",VLOOKUP(F!$B34,E!$B$1:$AK$300,10,FALSE)=1000000000),"",IF(Q34&lt;=VLOOKUP(F!$B34,E!$B$1:$AK$300,10,FALSE),"ja","nee")),"")</f>
        <v/>
      </c>
      <c r="T34" s="87">
        <f t="shared" si="21"/>
        <v>-1</v>
      </c>
      <c r="U34" s="5" t="str">
        <f>IF($D34="--","",IF($P34="toetsen",toetsen(F!$B34,T34),IF($P34="toetsen alleen IW",toetsen_alleen_IW(F!$B34,T34),IF($P34="toetsen alleen LN",toetsen_alleen_LN(F!$B34,T34),IF($P34="toetsen geen MV en SV",toetsen_geen_MV_en_SV(F!$B34,T34),IF($P34="toetsen alleen MV en SV",toetsen_alleen_MV_en_SV(F!$B34,T34),""))))))</f>
        <v/>
      </c>
      <c r="V34" s="5" t="str">
        <f>IF($P34="toetsen",IF(OR(T34="",VLOOKUP(F!$B34,E!$B$1:$AK$300,10,FALSE)=1000000000),"",IF(T34&lt;=VLOOKUP(F!$B34,E!$B$1:$AK$300,10,FALSE),"ja","nee")),"")</f>
        <v/>
      </c>
      <c r="W34" s="6">
        <f t="shared" si="22"/>
        <v>-1</v>
      </c>
      <c r="X34" s="5" t="str">
        <f>IF($F34="--","",IF($P34="toetsen",toetsen(F!$B34,W34),IF($P34="toetsen alleen IW",toetsen_alleen_IW(F!$B34,W34),IF($P34="toetsen alleen LN",toetsen_alleen_LN(F!$B34,W34),IF($P34="toetsen geen MV en SV",toetsen_geen_MV_en_SV(F!$B34,W34),IF($P34="toetsen alleen MV en SV",toetsen_alleen_MV_en_SV(F!$B34,W34),""))))))</f>
        <v/>
      </c>
      <c r="Y34" s="5" t="str">
        <f>IF($P34="toetsen",IF(OR(W34="",VLOOKUP(F!$B34,E!$B$1:$AK$300,10,FALSE)=1000000000),"",IF(W34&lt;=VLOOKUP(F!$B34,E!$B$1:$AK$300,10,FALSE),"ja","nee")),"")</f>
        <v/>
      </c>
      <c r="AA34" s="4">
        <f>IFERROR(IF(Q34="","",(IF(Q34&gt;2*VLOOKUP(F!$B34,E!$B$1:$AK$300,5,FALSE),1,0))),"")</f>
        <v>0</v>
      </c>
      <c r="AB34" s="4">
        <f>IFERROR(IF(T34="","",(IF(T34&gt;2*VLOOKUP(F!$B34,E!$B$1:$AK$300,5,FALSE),1,0))),"")</f>
        <v>0</v>
      </c>
      <c r="AC34" s="4">
        <f>IFERROR(IF(W34="","",(IF(W34&gt;2*VLOOKUP(F!$B34,E!$B$1:$AK$300,5,FALSE),1,0))),"")</f>
        <v>0</v>
      </c>
      <c r="AE34" s="4">
        <f>IFERROR(IF(Q34="","",(IF(Q34&gt;VLOOKUP(F!$B34,E!$B$1:$AK$300,6,FALSE)+VLOOKUP(F!$B34,E!$B$1:$AK$300,5,FALSE),1,0))),"")</f>
        <v>0</v>
      </c>
      <c r="AF34" s="4">
        <f>IFERROR(IF(T34="","",(IF(T34&gt;VLOOKUP(F!$B34,E!$B$1:$AK$300,6,FALSE)+VLOOKUP(F!$B34,E!$B$1:$AK$300,5,FALSE),1,0))),"")</f>
        <v>0</v>
      </c>
      <c r="AG34" s="4">
        <f>IFERROR(IF(W34="","",(IF(W34&gt;VLOOKUP(F!$B34,E!$B$1:$AK$300,6,FALSE)+VLOOKUP(F!$B34,E!$B$1:$AK$300,5,FALSE),1,0))),"")</f>
        <v>0</v>
      </c>
      <c r="AI34" s="6" t="str">
        <f t="shared" si="23"/>
        <v>0,01</v>
      </c>
      <c r="AJ34" s="6" t="str">
        <f>IF(AI34="--","--",IF(F!$D34=131,IF(I34=-1,"rg",IF(I34="","--",IF(I34*1000&lt;1,FIXED(I34*1000,3),IF(I34*1000&lt;10,FIXED(I34*1000,2),(IF(I34*1000&lt;100,FIXED(I34*1000,1),IF(I34*1000&lt;1000,FIXED(I34*1000,0),MROUND(I34*1000,10)))))))),IF(I34=-1,"rg",IF(I34="","--",IF(I34&lt;1,FIXED(I34,3),IF(I34&lt;10,FIXED(I34,2),(IF(I34&lt;100,FIXED(I34,1),IF(I34&lt;1000,FIXED(I34,0),MROUND(I34,10))))))))))</f>
        <v>rg</v>
      </c>
      <c r="AK34" s="6" t="str">
        <f t="shared" si="24"/>
        <v>0,01</v>
      </c>
      <c r="AL34" s="6" t="str">
        <f>IF(AK34="--","--",IF(F!$D34=131,IF(K34=-1,"rg",IF(K34="","--",IF(K34*1000&lt;1,FIXED(K34*1000,3),IF(K34*1000&lt;10,FIXED(K34*1000,2),(IF(K34*1000&lt;100,FIXED(K34*1000,1),IF(K34*1000&lt;1000,FIXED(K34*1000,0),MROUND(K34*1000,10)))))))),IF(K34=-1,"rg",IF(K34="","--",IF(K34&lt;1,FIXED(K34,3),IF(K34&lt;10,FIXED(K34,2),(IF(K34&lt;100,FIXED(K34,1),IF(K34&lt;1000,FIXED(K34,0),MROUND(K34,10))))))))))</f>
        <v>rg</v>
      </c>
      <c r="AM34" s="6" t="str">
        <f t="shared" si="25"/>
        <v>0,01</v>
      </c>
      <c r="AN34" s="6" t="str">
        <f>IF(AM34="--","--",IF(F!$D34=131,IF(M34=-1,"rg",IF(M34="","--",IF(M34*1000&lt;1,FIXED(M34*1000,3),IF(M34*1000&lt;10,FIXED(M34*1000,2),(IF(M34*1000&lt;100,FIXED(M34*1000,1),IF(M34*1000&lt;1000,FIXED(M34*1000,0),MROUND(M34*1000,10)))))))),IF(M34=-1,"rg",IF(M34="","--",IF(M34&lt;1,FIXED(M34,3),IF(M34&lt;10,FIXED(M34,2),(IF(M34&lt;100,FIXED(M34,1),IF(M34&lt;1000,FIXED(M34,0),MROUND(M34,10))))))))))</f>
        <v>rg</v>
      </c>
      <c r="AP34" s="6" t="str">
        <f t="shared" si="6"/>
        <v>0,01</v>
      </c>
      <c r="AQ34" s="6" t="str">
        <f t="shared" si="7"/>
        <v>&lt;</v>
      </c>
      <c r="AR34" s="6" t="str">
        <f t="shared" si="8"/>
        <v>rg</v>
      </c>
      <c r="AS34" s="6" t="str">
        <f t="shared" si="9"/>
        <v>&lt;</v>
      </c>
      <c r="AT34" s="6" t="str">
        <f t="shared" si="10"/>
        <v/>
      </c>
      <c r="AU34" s="6" t="str">
        <f>IFERROR(IF(AR34="--","",IF(HLOOKUP(SMALL($Q$4:$Y$4,3),$Q$4:$Y$501,ROW(AP34)-3,FALSE)=0,"",IF(HLOOKUP(SMALL($Q$4:$Y$4,3),$Q$4:$Y$501,ROW(AP34)-3,FALSE)="nee",VLOOKUP("De kwaliteitseis emissiearme grond (maximale concentratie) wordt overschreden.",H!$O$10:'H'!$P$59,2,FALSE),""))),"")</f>
        <v/>
      </c>
      <c r="AV34" s="6" t="str">
        <f t="shared" si="0"/>
        <v>0,01</v>
      </c>
      <c r="AW34" s="6" t="str">
        <f t="shared" si="1"/>
        <v>&lt;</v>
      </c>
      <c r="AX34" s="6" t="str">
        <f t="shared" si="2"/>
        <v>rg</v>
      </c>
      <c r="AY34" s="6" t="str">
        <f t="shared" si="11"/>
        <v>&lt;</v>
      </c>
      <c r="AZ34" s="6" t="str">
        <f t="shared" si="12"/>
        <v/>
      </c>
      <c r="BA34" s="6" t="str">
        <f>IFERROR(IF(AR34="--","",IF(HLOOKUP(SMALL($Q$4:$Y$4,6),$Q$4:$Y$501,ROW(AP34)-3,FALSE)=0,"",IF(HLOOKUP(SMALL($Q$4:$Y$4,6),$Q$4:$Y$501,ROW(AP34)-3,FALSE)="nee",VLOOKUP("De kwaliteitseis emissiearme grond (maximale concentratie) wordt overschreden.",H!$O$10:'H'!$P$59,2,FALSE),""))),"")</f>
        <v/>
      </c>
      <c r="BB34" s="6" t="str">
        <f t="shared" si="3"/>
        <v>0,01</v>
      </c>
      <c r="BC34" s="6" t="str">
        <f t="shared" si="4"/>
        <v>&lt;</v>
      </c>
      <c r="BD34" s="6" t="str">
        <f t="shared" si="5"/>
        <v>rg</v>
      </c>
      <c r="BE34" s="6" t="str">
        <f t="shared" si="13"/>
        <v>&lt;</v>
      </c>
      <c r="BF34" s="6"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6">
        <f>IF(ISNUMBER(F!E35)=FALSE,"--",IF(F!E35=0,"--",F!E35))</f>
        <v>0.01</v>
      </c>
      <c r="C35" s="6" t="str">
        <f>IF(B35="--","",F!F35)</f>
        <v>&lt;</v>
      </c>
      <c r="D35" s="6">
        <f>IF(ISNUMBER(F!G35)=FALSE,"--",IF(F!G35=0,"--",F!G35))</f>
        <v>0.01</v>
      </c>
      <c r="E35" s="6" t="str">
        <f>IF(D35="--","",F!H35)</f>
        <v>&lt;</v>
      </c>
      <c r="F35" s="6">
        <f>IF(ISNUMBER(F!I35)=FALSE,"--",IF(F!I35=0,"--",F!I35))</f>
        <v>0.01</v>
      </c>
      <c r="G35" s="6" t="str">
        <f>IF(F35="--","",F!J35)</f>
        <v>&lt;</v>
      </c>
      <c r="H35" s="6"/>
      <c r="I35" s="16">
        <f>IF(F!AA35=-1,-1,F!AV35)</f>
        <v>-1</v>
      </c>
      <c r="J35" s="6"/>
      <c r="K35" s="16">
        <f>IF(F!AD35=-1,-1,F!AX35)</f>
        <v>-1</v>
      </c>
      <c r="L35" s="6"/>
      <c r="M35" s="16">
        <f>IF(F!AG35=-1,-1,F!AZ35)</f>
        <v>-1</v>
      </c>
      <c r="N35" s="6"/>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6">
        <f t="shared" si="20"/>
        <v>-1</v>
      </c>
      <c r="R35" s="5" t="str">
        <f>IF($B35="--","",IF($P35="toetsen",toetsen(F!$B35,Q35),IF($P35="toetsen alleen IW",toetsen_alleen_IW(F!$B35,Q35),IF($P35="toetsen alleen LN",toetsen_alleen_LN(F!$B35,Q35),IF($P35="toetsen geen MV en SV",toetsen_geen_MV_en_SV(F!$B35,Q35),IF($P35="toetsen alleen MV en SV",toetsen_alleen_MV_en_SV(F!$B35,Q35),""))))))</f>
        <v/>
      </c>
      <c r="S35" s="5" t="str">
        <f>IF($P35="toetsen",IF(OR(Q35="",VLOOKUP(F!$B35,E!$B$1:$AK$300,10,FALSE)=1000000000),"",IF(Q35&lt;=VLOOKUP(F!$B35,E!$B$1:$AK$300,10,FALSE),"ja","nee")),"")</f>
        <v/>
      </c>
      <c r="T35" s="87">
        <f t="shared" si="21"/>
        <v>-1</v>
      </c>
      <c r="U35" s="5" t="str">
        <f>IF($D35="--","",IF($P35="toetsen",toetsen(F!$B35,T35),IF($P35="toetsen alleen IW",toetsen_alleen_IW(F!$B35,T35),IF($P35="toetsen alleen LN",toetsen_alleen_LN(F!$B35,T35),IF($P35="toetsen geen MV en SV",toetsen_geen_MV_en_SV(F!$B35,T35),IF($P35="toetsen alleen MV en SV",toetsen_alleen_MV_en_SV(F!$B35,T35),""))))))</f>
        <v/>
      </c>
      <c r="V35" s="5" t="str">
        <f>IF($P35="toetsen",IF(OR(T35="",VLOOKUP(F!$B35,E!$B$1:$AK$300,10,FALSE)=1000000000),"",IF(T35&lt;=VLOOKUP(F!$B35,E!$B$1:$AK$300,10,FALSE),"ja","nee")),"")</f>
        <v/>
      </c>
      <c r="W35" s="6">
        <f t="shared" si="22"/>
        <v>-1</v>
      </c>
      <c r="X35" s="5" t="str">
        <f>IF($F35="--","",IF($P35="toetsen",toetsen(F!$B35,W35),IF($P35="toetsen alleen IW",toetsen_alleen_IW(F!$B35,W35),IF($P35="toetsen alleen LN",toetsen_alleen_LN(F!$B35,W35),IF($P35="toetsen geen MV en SV",toetsen_geen_MV_en_SV(F!$B35,W35),IF($P35="toetsen alleen MV en SV",toetsen_alleen_MV_en_SV(F!$B35,W35),""))))))</f>
        <v/>
      </c>
      <c r="Y35" s="5" t="str">
        <f>IF($P35="toetsen",IF(OR(W35="",VLOOKUP(F!$B35,E!$B$1:$AK$300,10,FALSE)=1000000000),"",IF(W35&lt;=VLOOKUP(F!$B35,E!$B$1:$AK$300,10,FALSE),"ja","nee")),"")</f>
        <v/>
      </c>
      <c r="AA35" s="4">
        <f>IFERROR(IF(Q35="","",(IF(Q35&gt;2*VLOOKUP(F!$B35,E!$B$1:$AK$300,5,FALSE),1,0))),"")</f>
        <v>0</v>
      </c>
      <c r="AB35" s="4">
        <f>IFERROR(IF(T35="","",(IF(T35&gt;2*VLOOKUP(F!$B35,E!$B$1:$AK$300,5,FALSE),1,0))),"")</f>
        <v>0</v>
      </c>
      <c r="AC35" s="4">
        <f>IFERROR(IF(W35="","",(IF(W35&gt;2*VLOOKUP(F!$B35,E!$B$1:$AK$300,5,FALSE),1,0))),"")</f>
        <v>0</v>
      </c>
      <c r="AE35" s="4">
        <f>IFERROR(IF(Q35="","",(IF(Q35&gt;VLOOKUP(F!$B35,E!$B$1:$AK$300,6,FALSE)+VLOOKUP(F!$B35,E!$B$1:$AK$300,5,FALSE),1,0))),"")</f>
        <v>0</v>
      </c>
      <c r="AF35" s="4">
        <f>IFERROR(IF(T35="","",(IF(T35&gt;VLOOKUP(F!$B35,E!$B$1:$AK$300,6,FALSE)+VLOOKUP(F!$B35,E!$B$1:$AK$300,5,FALSE),1,0))),"")</f>
        <v>0</v>
      </c>
      <c r="AG35" s="4">
        <f>IFERROR(IF(W35="","",(IF(W35&gt;VLOOKUP(F!$B35,E!$B$1:$AK$300,6,FALSE)+VLOOKUP(F!$B35,E!$B$1:$AK$300,5,FALSE),1,0))),"")</f>
        <v>0</v>
      </c>
      <c r="AI35" s="6" t="str">
        <f t="shared" si="23"/>
        <v>0,01</v>
      </c>
      <c r="AJ35" s="6" t="str">
        <f>IF(AI35="--","--",IF(F!$D35=131,IF(I35=-1,"rg",IF(I35="","--",IF(I35*1000&lt;1,FIXED(I35*1000,3),IF(I35*1000&lt;10,FIXED(I35*1000,2),(IF(I35*1000&lt;100,FIXED(I35*1000,1),IF(I35*1000&lt;1000,FIXED(I35*1000,0),MROUND(I35*1000,10)))))))),IF(I35=-1,"rg",IF(I35="","--",IF(I35&lt;1,FIXED(I35,3),IF(I35&lt;10,FIXED(I35,2),(IF(I35&lt;100,FIXED(I35,1),IF(I35&lt;1000,FIXED(I35,0),MROUND(I35,10))))))))))</f>
        <v>rg</v>
      </c>
      <c r="AK35" s="6" t="str">
        <f t="shared" si="24"/>
        <v>0,01</v>
      </c>
      <c r="AL35" s="6" t="str">
        <f>IF(AK35="--","--",IF(F!$D35=131,IF(K35=-1,"rg",IF(K35="","--",IF(K35*1000&lt;1,FIXED(K35*1000,3),IF(K35*1000&lt;10,FIXED(K35*1000,2),(IF(K35*1000&lt;100,FIXED(K35*1000,1),IF(K35*1000&lt;1000,FIXED(K35*1000,0),MROUND(K35*1000,10)))))))),IF(K35=-1,"rg",IF(K35="","--",IF(K35&lt;1,FIXED(K35,3),IF(K35&lt;10,FIXED(K35,2),(IF(K35&lt;100,FIXED(K35,1),IF(K35&lt;1000,FIXED(K35,0),MROUND(K35,10))))))))))</f>
        <v>rg</v>
      </c>
      <c r="AM35" s="6" t="str">
        <f t="shared" si="25"/>
        <v>0,01</v>
      </c>
      <c r="AN35" s="6" t="str">
        <f>IF(AM35="--","--",IF(F!$D35=131,IF(M35=-1,"rg",IF(M35="","--",IF(M35*1000&lt;1,FIXED(M35*1000,3),IF(M35*1000&lt;10,FIXED(M35*1000,2),(IF(M35*1000&lt;100,FIXED(M35*1000,1),IF(M35*1000&lt;1000,FIXED(M35*1000,0),MROUND(M35*1000,10)))))))),IF(M35=-1,"rg",IF(M35="","--",IF(M35&lt;1,FIXED(M35,3),IF(M35&lt;10,FIXED(M35,2),(IF(M35&lt;100,FIXED(M35,1),IF(M35&lt;1000,FIXED(M35,0),MROUND(M35,10))))))))))</f>
        <v>rg</v>
      </c>
      <c r="AP35" s="6" t="str">
        <f t="shared" si="6"/>
        <v>0,01</v>
      </c>
      <c r="AQ35" s="6" t="str">
        <f t="shared" si="7"/>
        <v>&lt;</v>
      </c>
      <c r="AR35" s="6" t="str">
        <f t="shared" si="8"/>
        <v>rg</v>
      </c>
      <c r="AS35" s="6" t="str">
        <f t="shared" si="9"/>
        <v>&lt;</v>
      </c>
      <c r="AT35" s="6" t="str">
        <f t="shared" si="10"/>
        <v/>
      </c>
      <c r="AU35" s="6" t="str">
        <f>IFERROR(IF(AR35="--","",IF(HLOOKUP(SMALL($Q$4:$Y$4,3),$Q$4:$Y$501,ROW(AP35)-3,FALSE)=0,"",IF(HLOOKUP(SMALL($Q$4:$Y$4,3),$Q$4:$Y$501,ROW(AP35)-3,FALSE)="nee",VLOOKUP("De kwaliteitseis emissiearme grond (maximale concentratie) wordt overschreden.",H!$O$10:'H'!$P$59,2,FALSE),""))),"")</f>
        <v/>
      </c>
      <c r="AV35" s="6" t="str">
        <f t="shared" si="0"/>
        <v>0,01</v>
      </c>
      <c r="AW35" s="6" t="str">
        <f t="shared" si="1"/>
        <v>&lt;</v>
      </c>
      <c r="AX35" s="6" t="str">
        <f t="shared" si="2"/>
        <v>rg</v>
      </c>
      <c r="AY35" s="6" t="str">
        <f t="shared" si="11"/>
        <v>&lt;</v>
      </c>
      <c r="AZ35" s="6" t="str">
        <f t="shared" si="12"/>
        <v/>
      </c>
      <c r="BA35" s="6" t="str">
        <f>IFERROR(IF(AR35="--","",IF(HLOOKUP(SMALL($Q$4:$Y$4,6),$Q$4:$Y$501,ROW(AP35)-3,FALSE)=0,"",IF(HLOOKUP(SMALL($Q$4:$Y$4,6),$Q$4:$Y$501,ROW(AP35)-3,FALSE)="nee",VLOOKUP("De kwaliteitseis emissiearme grond (maximale concentratie) wordt overschreden.",H!$O$10:'H'!$P$59,2,FALSE),""))),"")</f>
        <v/>
      </c>
      <c r="BB35" s="6" t="str">
        <f t="shared" si="3"/>
        <v>0,01</v>
      </c>
      <c r="BC35" s="6" t="str">
        <f t="shared" si="4"/>
        <v>&lt;</v>
      </c>
      <c r="BD35" s="6" t="str">
        <f t="shared" si="5"/>
        <v>rg</v>
      </c>
      <c r="BE35" s="6" t="str">
        <f t="shared" si="13"/>
        <v>&lt;</v>
      </c>
      <c r="BF35" s="6"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6">
        <f>IF(ISNUMBER(F!E36)=FALSE,"--",IF(F!E36=0,"--",F!E36))</f>
        <v>0.01</v>
      </c>
      <c r="C36" s="6" t="str">
        <f>IF(B36="--","",F!F36)</f>
        <v>&lt;</v>
      </c>
      <c r="D36" s="6">
        <f>IF(ISNUMBER(F!G36)=FALSE,"--",IF(F!G36=0,"--",F!G36))</f>
        <v>0.01</v>
      </c>
      <c r="E36" s="6" t="str">
        <f>IF(D36="--","",F!H36)</f>
        <v>&lt;</v>
      </c>
      <c r="F36" s="6">
        <f>IF(ISNUMBER(F!I36)=FALSE,"--",IF(F!I36=0,"--",F!I36))</f>
        <v>0.01</v>
      </c>
      <c r="G36" s="6" t="str">
        <f>IF(F36="--","",F!J36)</f>
        <v>&lt;</v>
      </c>
      <c r="H36" s="6"/>
      <c r="I36" s="16">
        <f>IF(F!AA36=-1,-1,F!AV36)</f>
        <v>-1</v>
      </c>
      <c r="J36" s="6"/>
      <c r="K36" s="16">
        <f>IF(F!AD36=-1,-1,F!AX36)</f>
        <v>-1</v>
      </c>
      <c r="L36" s="6"/>
      <c r="M36" s="16">
        <f>IF(F!AG36=-1,-1,F!AZ36)</f>
        <v>-1</v>
      </c>
      <c r="N36" s="6"/>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6">
        <f t="shared" si="20"/>
        <v>-1</v>
      </c>
      <c r="R36" s="5" t="str">
        <f>IF($B36="--","",IF($P36="toetsen",toetsen(F!$B36,Q36),IF($P36="toetsen alleen IW",toetsen_alleen_IW(F!$B36,Q36),IF($P36="toetsen alleen LN",toetsen_alleen_LN(F!$B36,Q36),IF($P36="toetsen geen MV en SV",toetsen_geen_MV_en_SV(F!$B36,Q36),IF($P36="toetsen alleen MV en SV",toetsen_alleen_MV_en_SV(F!$B36,Q36),""))))))</f>
        <v/>
      </c>
      <c r="S36" s="5" t="str">
        <f>IF($P36="toetsen",IF(OR(Q36="",VLOOKUP(F!$B36,E!$B$1:$AK$300,10,FALSE)=1000000000),"",IF(Q36&lt;=VLOOKUP(F!$B36,E!$B$1:$AK$300,10,FALSE),"ja","nee")),"")</f>
        <v/>
      </c>
      <c r="T36" s="87">
        <f t="shared" si="21"/>
        <v>-1</v>
      </c>
      <c r="U36" s="5" t="str">
        <f>IF($D36="--","",IF($P36="toetsen",toetsen(F!$B36,T36),IF($P36="toetsen alleen IW",toetsen_alleen_IW(F!$B36,T36),IF($P36="toetsen alleen LN",toetsen_alleen_LN(F!$B36,T36),IF($P36="toetsen geen MV en SV",toetsen_geen_MV_en_SV(F!$B36,T36),IF($P36="toetsen alleen MV en SV",toetsen_alleen_MV_en_SV(F!$B36,T36),""))))))</f>
        <v/>
      </c>
      <c r="V36" s="5" t="str">
        <f>IF($P36="toetsen",IF(OR(T36="",VLOOKUP(F!$B36,E!$B$1:$AK$300,10,FALSE)=1000000000),"",IF(T36&lt;=VLOOKUP(F!$B36,E!$B$1:$AK$300,10,FALSE),"ja","nee")),"")</f>
        <v/>
      </c>
      <c r="W36" s="6">
        <f t="shared" si="22"/>
        <v>-1</v>
      </c>
      <c r="X36" s="5" t="str">
        <f>IF($F36="--","",IF($P36="toetsen",toetsen(F!$B36,W36),IF($P36="toetsen alleen IW",toetsen_alleen_IW(F!$B36,W36),IF($P36="toetsen alleen LN",toetsen_alleen_LN(F!$B36,W36),IF($P36="toetsen geen MV en SV",toetsen_geen_MV_en_SV(F!$B36,W36),IF($P36="toetsen alleen MV en SV",toetsen_alleen_MV_en_SV(F!$B36,W36),""))))))</f>
        <v/>
      </c>
      <c r="Y36" s="5" t="str">
        <f>IF($P36="toetsen",IF(OR(W36="",VLOOKUP(F!$B36,E!$B$1:$AK$300,10,FALSE)=1000000000),"",IF(W36&lt;=VLOOKUP(F!$B36,E!$B$1:$AK$300,10,FALSE),"ja","nee")),"")</f>
        <v/>
      </c>
      <c r="AA36" s="4">
        <f>IFERROR(IF(Q36="","",(IF(Q36&gt;2*VLOOKUP(F!$B36,E!$B$1:$AK$300,5,FALSE),1,0))),"")</f>
        <v>0</v>
      </c>
      <c r="AB36" s="4">
        <f>IFERROR(IF(T36="","",(IF(T36&gt;2*VLOOKUP(F!$B36,E!$B$1:$AK$300,5,FALSE),1,0))),"")</f>
        <v>0</v>
      </c>
      <c r="AC36" s="4">
        <f>IFERROR(IF(W36="","",(IF(W36&gt;2*VLOOKUP(F!$B36,E!$B$1:$AK$300,5,FALSE),1,0))),"")</f>
        <v>0</v>
      </c>
      <c r="AE36" s="4">
        <f>IFERROR(IF(Q36="","",(IF(Q36&gt;VLOOKUP(F!$B36,E!$B$1:$AK$300,6,FALSE)+VLOOKUP(F!$B36,E!$B$1:$AK$300,5,FALSE),1,0))),"")</f>
        <v>0</v>
      </c>
      <c r="AF36" s="4">
        <f>IFERROR(IF(T36="","",(IF(T36&gt;VLOOKUP(F!$B36,E!$B$1:$AK$300,6,FALSE)+VLOOKUP(F!$B36,E!$B$1:$AK$300,5,FALSE),1,0))),"")</f>
        <v>0</v>
      </c>
      <c r="AG36" s="4">
        <f>IFERROR(IF(W36="","",(IF(W36&gt;VLOOKUP(F!$B36,E!$B$1:$AK$300,6,FALSE)+VLOOKUP(F!$B36,E!$B$1:$AK$300,5,FALSE),1,0))),"")</f>
        <v>0</v>
      </c>
      <c r="AI36" s="6" t="str">
        <f t="shared" si="23"/>
        <v>0,01</v>
      </c>
      <c r="AJ36" s="6" t="str">
        <f>IF(AI36="--","--",IF(F!$D36=131,IF(I36=-1,"rg",IF(I36="","--",IF(I36*1000&lt;1,FIXED(I36*1000,3),IF(I36*1000&lt;10,FIXED(I36*1000,2),(IF(I36*1000&lt;100,FIXED(I36*1000,1),IF(I36*1000&lt;1000,FIXED(I36*1000,0),MROUND(I36*1000,10)))))))),IF(I36=-1,"rg",IF(I36="","--",IF(I36&lt;1,FIXED(I36,3),IF(I36&lt;10,FIXED(I36,2),(IF(I36&lt;100,FIXED(I36,1),IF(I36&lt;1000,FIXED(I36,0),MROUND(I36,10))))))))))</f>
        <v>rg</v>
      </c>
      <c r="AK36" s="6" t="str">
        <f t="shared" si="24"/>
        <v>0,01</v>
      </c>
      <c r="AL36" s="6" t="str">
        <f>IF(AK36="--","--",IF(F!$D36=131,IF(K36=-1,"rg",IF(K36="","--",IF(K36*1000&lt;1,FIXED(K36*1000,3),IF(K36*1000&lt;10,FIXED(K36*1000,2),(IF(K36*1000&lt;100,FIXED(K36*1000,1),IF(K36*1000&lt;1000,FIXED(K36*1000,0),MROUND(K36*1000,10)))))))),IF(K36=-1,"rg",IF(K36="","--",IF(K36&lt;1,FIXED(K36,3),IF(K36&lt;10,FIXED(K36,2),(IF(K36&lt;100,FIXED(K36,1),IF(K36&lt;1000,FIXED(K36,0),MROUND(K36,10))))))))))</f>
        <v>rg</v>
      </c>
      <c r="AM36" s="6" t="str">
        <f t="shared" si="25"/>
        <v>0,01</v>
      </c>
      <c r="AN36" s="6" t="str">
        <f>IF(AM36="--","--",IF(F!$D36=131,IF(M36=-1,"rg",IF(M36="","--",IF(M36*1000&lt;1,FIXED(M36*1000,3),IF(M36*1000&lt;10,FIXED(M36*1000,2),(IF(M36*1000&lt;100,FIXED(M36*1000,1),IF(M36*1000&lt;1000,FIXED(M36*1000,0),MROUND(M36*1000,10)))))))),IF(M36=-1,"rg",IF(M36="","--",IF(M36&lt;1,FIXED(M36,3),IF(M36&lt;10,FIXED(M36,2),(IF(M36&lt;100,FIXED(M36,1),IF(M36&lt;1000,FIXED(M36,0),MROUND(M36,10))))))))))</f>
        <v>rg</v>
      </c>
      <c r="AP36" s="6" t="str">
        <f t="shared" si="6"/>
        <v>0,01</v>
      </c>
      <c r="AQ36" s="6" t="str">
        <f t="shared" si="7"/>
        <v>&lt;</v>
      </c>
      <c r="AR36" s="6" t="str">
        <f t="shared" si="8"/>
        <v>rg</v>
      </c>
      <c r="AS36" s="6" t="str">
        <f t="shared" si="9"/>
        <v>&lt;</v>
      </c>
      <c r="AT36" s="6" t="str">
        <f t="shared" si="10"/>
        <v/>
      </c>
      <c r="AU36" s="6" t="str">
        <f>IFERROR(IF(AR36="--","",IF(HLOOKUP(SMALL($Q$4:$Y$4,3),$Q$4:$Y$501,ROW(AP36)-3,FALSE)=0,"",IF(HLOOKUP(SMALL($Q$4:$Y$4,3),$Q$4:$Y$501,ROW(AP36)-3,FALSE)="nee",VLOOKUP("De kwaliteitseis emissiearme grond (maximale concentratie) wordt overschreden.",H!$O$10:'H'!$P$59,2,FALSE),""))),"")</f>
        <v/>
      </c>
      <c r="AV36" s="6" t="str">
        <f t="shared" si="0"/>
        <v>0,01</v>
      </c>
      <c r="AW36" s="6" t="str">
        <f t="shared" si="1"/>
        <v>&lt;</v>
      </c>
      <c r="AX36" s="6" t="str">
        <f t="shared" si="2"/>
        <v>rg</v>
      </c>
      <c r="AY36" s="6" t="str">
        <f t="shared" si="11"/>
        <v>&lt;</v>
      </c>
      <c r="AZ36" s="6" t="str">
        <f t="shared" si="12"/>
        <v/>
      </c>
      <c r="BA36" s="6" t="str">
        <f>IFERROR(IF(AR36="--","",IF(HLOOKUP(SMALL($Q$4:$Y$4,6),$Q$4:$Y$501,ROW(AP36)-3,FALSE)=0,"",IF(HLOOKUP(SMALL($Q$4:$Y$4,6),$Q$4:$Y$501,ROW(AP36)-3,FALSE)="nee",VLOOKUP("De kwaliteitseis emissiearme grond (maximale concentratie) wordt overschreden.",H!$O$10:'H'!$P$59,2,FALSE),""))),"")</f>
        <v/>
      </c>
      <c r="BB36" s="6" t="str">
        <f t="shared" si="3"/>
        <v>0,01</v>
      </c>
      <c r="BC36" s="6" t="str">
        <f t="shared" si="4"/>
        <v>&lt;</v>
      </c>
      <c r="BD36" s="6" t="str">
        <f t="shared" si="5"/>
        <v>rg</v>
      </c>
      <c r="BE36" s="6" t="str">
        <f t="shared" si="13"/>
        <v>&lt;</v>
      </c>
      <c r="BF36" s="6"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6">
        <f>IF(ISNUMBER(F!E37)=FALSE,"--",IF(F!E37=0,"--",F!E37))</f>
        <v>0.01</v>
      </c>
      <c r="C37" s="6" t="str">
        <f>IF(B37="--","",F!F37)</f>
        <v>&lt;</v>
      </c>
      <c r="D37" s="6">
        <f>IF(ISNUMBER(F!G37)=FALSE,"--",IF(F!G37=0,"--",F!G37))</f>
        <v>0.01</v>
      </c>
      <c r="E37" s="6" t="str">
        <f>IF(D37="--","",F!H37)</f>
        <v>&lt;</v>
      </c>
      <c r="F37" s="6">
        <f>IF(ISNUMBER(F!I37)=FALSE,"--",IF(F!I37=0,"--",F!I37))</f>
        <v>0.01</v>
      </c>
      <c r="G37" s="6" t="str">
        <f>IF(F37="--","",F!J37)</f>
        <v>&lt;</v>
      </c>
      <c r="H37" s="6"/>
      <c r="I37" s="16">
        <f>IF(F!AA37=-1,-1,F!AV37)</f>
        <v>-1</v>
      </c>
      <c r="J37" s="6"/>
      <c r="K37" s="16">
        <f>IF(F!AD37=-1,-1,F!AX37)</f>
        <v>-1</v>
      </c>
      <c r="L37" s="6"/>
      <c r="M37" s="16">
        <f>IF(F!AG37=-1,-1,F!AZ37)</f>
        <v>-1</v>
      </c>
      <c r="N37" s="6"/>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6">
        <f t="shared" si="20"/>
        <v>-1</v>
      </c>
      <c r="R37" s="5" t="str">
        <f>IF($B37="--","",IF($P37="toetsen",toetsen(F!$B37,Q37),IF($P37="toetsen alleen IW",toetsen_alleen_IW(F!$B37,Q37),IF($P37="toetsen alleen LN",toetsen_alleen_LN(F!$B37,Q37),IF($P37="toetsen geen MV en SV",toetsen_geen_MV_en_SV(F!$B37,Q37),IF($P37="toetsen alleen MV en SV",toetsen_alleen_MV_en_SV(F!$B37,Q37),""))))))</f>
        <v/>
      </c>
      <c r="S37" s="5" t="str">
        <f>IF($P37="toetsen",IF(OR(Q37="",VLOOKUP(F!$B37,E!$B$1:$AK$300,10,FALSE)=1000000000),"",IF(Q37&lt;=VLOOKUP(F!$B37,E!$B$1:$AK$300,10,FALSE),"ja","nee")),"")</f>
        <v/>
      </c>
      <c r="T37" s="87">
        <f t="shared" si="21"/>
        <v>-1</v>
      </c>
      <c r="U37" s="5" t="str">
        <f>IF($D37="--","",IF($P37="toetsen",toetsen(F!$B37,T37),IF($P37="toetsen alleen IW",toetsen_alleen_IW(F!$B37,T37),IF($P37="toetsen alleen LN",toetsen_alleen_LN(F!$B37,T37),IF($P37="toetsen geen MV en SV",toetsen_geen_MV_en_SV(F!$B37,T37),IF($P37="toetsen alleen MV en SV",toetsen_alleen_MV_en_SV(F!$B37,T37),""))))))</f>
        <v/>
      </c>
      <c r="V37" s="5" t="str">
        <f>IF($P37="toetsen",IF(OR(T37="",VLOOKUP(F!$B37,E!$B$1:$AK$300,10,FALSE)=1000000000),"",IF(T37&lt;=VLOOKUP(F!$B37,E!$B$1:$AK$300,10,FALSE),"ja","nee")),"")</f>
        <v/>
      </c>
      <c r="W37" s="6">
        <f t="shared" si="22"/>
        <v>-1</v>
      </c>
      <c r="X37" s="5" t="str">
        <f>IF($F37="--","",IF($P37="toetsen",toetsen(F!$B37,W37),IF($P37="toetsen alleen IW",toetsen_alleen_IW(F!$B37,W37),IF($P37="toetsen alleen LN",toetsen_alleen_LN(F!$B37,W37),IF($P37="toetsen geen MV en SV",toetsen_geen_MV_en_SV(F!$B37,W37),IF($P37="toetsen alleen MV en SV",toetsen_alleen_MV_en_SV(F!$B37,W37),""))))))</f>
        <v/>
      </c>
      <c r="Y37" s="5" t="str">
        <f>IF($P37="toetsen",IF(OR(W37="",VLOOKUP(F!$B37,E!$B$1:$AK$300,10,FALSE)=1000000000),"",IF(W37&lt;=VLOOKUP(F!$B37,E!$B$1:$AK$300,10,FALSE),"ja","nee")),"")</f>
        <v/>
      </c>
      <c r="AA37" s="4">
        <f>IFERROR(IF(Q37="","",(IF(Q37&gt;2*VLOOKUP(F!$B37,E!$B$1:$AK$300,5,FALSE),1,0))),"")</f>
        <v>0</v>
      </c>
      <c r="AB37" s="4">
        <f>IFERROR(IF(T37="","",(IF(T37&gt;2*VLOOKUP(F!$B37,E!$B$1:$AK$300,5,FALSE),1,0))),"")</f>
        <v>0</v>
      </c>
      <c r="AC37" s="4">
        <f>IFERROR(IF(W37="","",(IF(W37&gt;2*VLOOKUP(F!$B37,E!$B$1:$AK$300,5,FALSE),1,0))),"")</f>
        <v>0</v>
      </c>
      <c r="AE37" s="4">
        <f>IFERROR(IF(Q37="","",(IF(Q37&gt;VLOOKUP(F!$B37,E!$B$1:$AK$300,6,FALSE)+VLOOKUP(F!$B37,E!$B$1:$AK$300,5,FALSE),1,0))),"")</f>
        <v>0</v>
      </c>
      <c r="AF37" s="4">
        <f>IFERROR(IF(T37="","",(IF(T37&gt;VLOOKUP(F!$B37,E!$B$1:$AK$300,6,FALSE)+VLOOKUP(F!$B37,E!$B$1:$AK$300,5,FALSE),1,0))),"")</f>
        <v>0</v>
      </c>
      <c r="AG37" s="4">
        <f>IFERROR(IF(W37="","",(IF(W37&gt;VLOOKUP(F!$B37,E!$B$1:$AK$300,6,FALSE)+VLOOKUP(F!$B37,E!$B$1:$AK$300,5,FALSE),1,0))),"")</f>
        <v>0</v>
      </c>
      <c r="AI37" s="6" t="str">
        <f t="shared" si="23"/>
        <v>0,01</v>
      </c>
      <c r="AJ37" s="6" t="str">
        <f>IF(AI37="--","--",IF(F!$D37=131,IF(I37=-1,"rg",IF(I37="","--",IF(I37*1000&lt;1,FIXED(I37*1000,3),IF(I37*1000&lt;10,FIXED(I37*1000,2),(IF(I37*1000&lt;100,FIXED(I37*1000,1),IF(I37*1000&lt;1000,FIXED(I37*1000,0),MROUND(I37*1000,10)))))))),IF(I37=-1,"rg",IF(I37="","--",IF(I37&lt;1,FIXED(I37,3),IF(I37&lt;10,FIXED(I37,2),(IF(I37&lt;100,FIXED(I37,1),IF(I37&lt;1000,FIXED(I37,0),MROUND(I37,10))))))))))</f>
        <v>rg</v>
      </c>
      <c r="AK37" s="6" t="str">
        <f t="shared" si="24"/>
        <v>0,01</v>
      </c>
      <c r="AL37" s="6" t="str">
        <f>IF(AK37="--","--",IF(F!$D37=131,IF(K37=-1,"rg",IF(K37="","--",IF(K37*1000&lt;1,FIXED(K37*1000,3),IF(K37*1000&lt;10,FIXED(K37*1000,2),(IF(K37*1000&lt;100,FIXED(K37*1000,1),IF(K37*1000&lt;1000,FIXED(K37*1000,0),MROUND(K37*1000,10)))))))),IF(K37=-1,"rg",IF(K37="","--",IF(K37&lt;1,FIXED(K37,3),IF(K37&lt;10,FIXED(K37,2),(IF(K37&lt;100,FIXED(K37,1),IF(K37&lt;1000,FIXED(K37,0),MROUND(K37,10))))))))))</f>
        <v>rg</v>
      </c>
      <c r="AM37" s="6" t="str">
        <f t="shared" si="25"/>
        <v>0,01</v>
      </c>
      <c r="AN37" s="6" t="str">
        <f>IF(AM37="--","--",IF(F!$D37=131,IF(M37=-1,"rg",IF(M37="","--",IF(M37*1000&lt;1,FIXED(M37*1000,3),IF(M37*1000&lt;10,FIXED(M37*1000,2),(IF(M37*1000&lt;100,FIXED(M37*1000,1),IF(M37*1000&lt;1000,FIXED(M37*1000,0),MROUND(M37*1000,10)))))))),IF(M37=-1,"rg",IF(M37="","--",IF(M37&lt;1,FIXED(M37,3),IF(M37&lt;10,FIXED(M37,2),(IF(M37&lt;100,FIXED(M37,1),IF(M37&lt;1000,FIXED(M37,0),MROUND(M37,10))))))))))</f>
        <v>rg</v>
      </c>
      <c r="AP37" s="6" t="str">
        <f t="shared" si="6"/>
        <v>0,01</v>
      </c>
      <c r="AQ37" s="6" t="str">
        <f t="shared" si="7"/>
        <v>&lt;</v>
      </c>
      <c r="AR37" s="6" t="str">
        <f t="shared" si="8"/>
        <v>rg</v>
      </c>
      <c r="AS37" s="6" t="str">
        <f t="shared" si="9"/>
        <v>&lt;</v>
      </c>
      <c r="AT37" s="6" t="str">
        <f t="shared" si="10"/>
        <v/>
      </c>
      <c r="AU37" s="6" t="str">
        <f>IFERROR(IF(AR37="--","",IF(HLOOKUP(SMALL($Q$4:$Y$4,3),$Q$4:$Y$501,ROW(AP37)-3,FALSE)=0,"",IF(HLOOKUP(SMALL($Q$4:$Y$4,3),$Q$4:$Y$501,ROW(AP37)-3,FALSE)="nee",VLOOKUP("De kwaliteitseis emissiearme grond (maximale concentratie) wordt overschreden.",H!$O$10:'H'!$P$59,2,FALSE),""))),"")</f>
        <v/>
      </c>
      <c r="AV37" s="6" t="str">
        <f t="shared" si="0"/>
        <v>0,01</v>
      </c>
      <c r="AW37" s="6" t="str">
        <f t="shared" si="1"/>
        <v>&lt;</v>
      </c>
      <c r="AX37" s="6" t="str">
        <f t="shared" si="2"/>
        <v>rg</v>
      </c>
      <c r="AY37" s="6" t="str">
        <f t="shared" si="11"/>
        <v>&lt;</v>
      </c>
      <c r="AZ37" s="6" t="str">
        <f t="shared" si="12"/>
        <v/>
      </c>
      <c r="BA37" s="6" t="str">
        <f>IFERROR(IF(AR37="--","",IF(HLOOKUP(SMALL($Q$4:$Y$4,6),$Q$4:$Y$501,ROW(AP37)-3,FALSE)=0,"",IF(HLOOKUP(SMALL($Q$4:$Y$4,6),$Q$4:$Y$501,ROW(AP37)-3,FALSE)="nee",VLOOKUP("De kwaliteitseis emissiearme grond (maximale concentratie) wordt overschreden.",H!$O$10:'H'!$P$59,2,FALSE),""))),"")</f>
        <v/>
      </c>
      <c r="BB37" s="6" t="str">
        <f t="shared" si="3"/>
        <v>0,01</v>
      </c>
      <c r="BC37" s="6" t="str">
        <f t="shared" si="4"/>
        <v>&lt;</v>
      </c>
      <c r="BD37" s="6" t="str">
        <f t="shared" si="5"/>
        <v>rg</v>
      </c>
      <c r="BE37" s="6" t="str">
        <f t="shared" si="13"/>
        <v>&lt;</v>
      </c>
      <c r="BF37" s="6"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6">
        <f>IF(ISNUMBER(F!E38)=FALSE,"--",IF(F!E38=0,"--",F!E38))</f>
        <v>0.01</v>
      </c>
      <c r="C38" s="6" t="str">
        <f>IF(B38="--","",F!F38)</f>
        <v>&lt;</v>
      </c>
      <c r="D38" s="6">
        <f>IF(ISNUMBER(F!G38)=FALSE,"--",IF(F!G38=0,"--",F!G38))</f>
        <v>0.01</v>
      </c>
      <c r="E38" s="6" t="str">
        <f>IF(D38="--","",F!H38)</f>
        <v>&lt;</v>
      </c>
      <c r="F38" s="6">
        <f>IF(ISNUMBER(F!I38)=FALSE,"--",IF(F!I38=0,"--",F!I38))</f>
        <v>0.01</v>
      </c>
      <c r="G38" s="6" t="str">
        <f>IF(F38="--","",F!J38)</f>
        <v>&lt;</v>
      </c>
      <c r="H38" s="6"/>
      <c r="I38" s="16">
        <f>IF(F!AA38=-1,-1,F!AV38)</f>
        <v>-1</v>
      </c>
      <c r="J38" s="6"/>
      <c r="K38" s="16">
        <f>IF(F!AD38=-1,-1,F!AX38)</f>
        <v>-1</v>
      </c>
      <c r="L38" s="6"/>
      <c r="M38" s="16">
        <f>IF(F!AG38=-1,-1,F!AZ38)</f>
        <v>-1</v>
      </c>
      <c r="N38" s="6"/>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6">
        <f t="shared" si="20"/>
        <v>-1</v>
      </c>
      <c r="R38" s="5" t="str">
        <f>IF($B38="--","",IF($P38="toetsen",toetsen(F!$B38,Q38),IF($P38="toetsen alleen IW",toetsen_alleen_IW(F!$B38,Q38),IF($P38="toetsen alleen LN",toetsen_alleen_LN(F!$B38,Q38),IF($P38="toetsen geen MV en SV",toetsen_geen_MV_en_SV(F!$B38,Q38),IF($P38="toetsen alleen MV en SV",toetsen_alleen_MV_en_SV(F!$B38,Q38),""))))))</f>
        <v/>
      </c>
      <c r="S38" s="5" t="str">
        <f>IF($P38="toetsen",IF(OR(Q38="",VLOOKUP(F!$B38,E!$B$1:$AK$300,10,FALSE)=1000000000),"",IF(Q38&lt;=VLOOKUP(F!$B38,E!$B$1:$AK$300,10,FALSE),"ja","nee")),"")</f>
        <v/>
      </c>
      <c r="T38" s="87">
        <f t="shared" si="21"/>
        <v>-1</v>
      </c>
      <c r="U38" s="5" t="str">
        <f>IF($D38="--","",IF($P38="toetsen",toetsen(F!$B38,T38),IF($P38="toetsen alleen IW",toetsen_alleen_IW(F!$B38,T38),IF($P38="toetsen alleen LN",toetsen_alleen_LN(F!$B38,T38),IF($P38="toetsen geen MV en SV",toetsen_geen_MV_en_SV(F!$B38,T38),IF($P38="toetsen alleen MV en SV",toetsen_alleen_MV_en_SV(F!$B38,T38),""))))))</f>
        <v/>
      </c>
      <c r="V38" s="5" t="str">
        <f>IF($P38="toetsen",IF(OR(T38="",VLOOKUP(F!$B38,E!$B$1:$AK$300,10,FALSE)=1000000000),"",IF(T38&lt;=VLOOKUP(F!$B38,E!$B$1:$AK$300,10,FALSE),"ja","nee")),"")</f>
        <v/>
      </c>
      <c r="W38" s="6">
        <f t="shared" si="22"/>
        <v>-1</v>
      </c>
      <c r="X38" s="5" t="str">
        <f>IF($F38="--","",IF($P38="toetsen",toetsen(F!$B38,W38),IF($P38="toetsen alleen IW",toetsen_alleen_IW(F!$B38,W38),IF($P38="toetsen alleen LN",toetsen_alleen_LN(F!$B38,W38),IF($P38="toetsen geen MV en SV",toetsen_geen_MV_en_SV(F!$B38,W38),IF($P38="toetsen alleen MV en SV",toetsen_alleen_MV_en_SV(F!$B38,W38),""))))))</f>
        <v/>
      </c>
      <c r="Y38" s="5" t="str">
        <f>IF($P38="toetsen",IF(OR(W38="",VLOOKUP(F!$B38,E!$B$1:$AK$300,10,FALSE)=1000000000),"",IF(W38&lt;=VLOOKUP(F!$B38,E!$B$1:$AK$300,10,FALSE),"ja","nee")),"")</f>
        <v/>
      </c>
      <c r="AA38" s="4">
        <f>IFERROR(IF(Q38="","",(IF(Q38&gt;2*VLOOKUP(F!$B38,E!$B$1:$AK$300,5,FALSE),1,0))),"")</f>
        <v>0</v>
      </c>
      <c r="AB38" s="4">
        <f>IFERROR(IF(T38="","",(IF(T38&gt;2*VLOOKUP(F!$B38,E!$B$1:$AK$300,5,FALSE),1,0))),"")</f>
        <v>0</v>
      </c>
      <c r="AC38" s="4">
        <f>IFERROR(IF(W38="","",(IF(W38&gt;2*VLOOKUP(F!$B38,E!$B$1:$AK$300,5,FALSE),1,0))),"")</f>
        <v>0</v>
      </c>
      <c r="AE38" s="4">
        <f>IFERROR(IF(Q38="","",(IF(Q38&gt;VLOOKUP(F!$B38,E!$B$1:$AK$300,6,FALSE)+VLOOKUP(F!$B38,E!$B$1:$AK$300,5,FALSE),1,0))),"")</f>
        <v>0</v>
      </c>
      <c r="AF38" s="4">
        <f>IFERROR(IF(T38="","",(IF(T38&gt;VLOOKUP(F!$B38,E!$B$1:$AK$300,6,FALSE)+VLOOKUP(F!$B38,E!$B$1:$AK$300,5,FALSE),1,0))),"")</f>
        <v>0</v>
      </c>
      <c r="AG38" s="4">
        <f>IFERROR(IF(W38="","",(IF(W38&gt;VLOOKUP(F!$B38,E!$B$1:$AK$300,6,FALSE)+VLOOKUP(F!$B38,E!$B$1:$AK$300,5,FALSE),1,0))),"")</f>
        <v>0</v>
      </c>
      <c r="AI38" s="6" t="str">
        <f t="shared" si="23"/>
        <v>0,01</v>
      </c>
      <c r="AJ38" s="6" t="str">
        <f>IF(AI38="--","--",IF(F!$D38=131,IF(I38=-1,"rg",IF(I38="","--",IF(I38*1000&lt;1,FIXED(I38*1000,3),IF(I38*1000&lt;10,FIXED(I38*1000,2),(IF(I38*1000&lt;100,FIXED(I38*1000,1),IF(I38*1000&lt;1000,FIXED(I38*1000,0),MROUND(I38*1000,10)))))))),IF(I38=-1,"rg",IF(I38="","--",IF(I38&lt;1,FIXED(I38,3),IF(I38&lt;10,FIXED(I38,2),(IF(I38&lt;100,FIXED(I38,1),IF(I38&lt;1000,FIXED(I38,0),MROUND(I38,10))))))))))</f>
        <v>rg</v>
      </c>
      <c r="AK38" s="6" t="str">
        <f t="shared" si="24"/>
        <v>0,01</v>
      </c>
      <c r="AL38" s="6" t="str">
        <f>IF(AK38="--","--",IF(F!$D38=131,IF(K38=-1,"rg",IF(K38="","--",IF(K38*1000&lt;1,FIXED(K38*1000,3),IF(K38*1000&lt;10,FIXED(K38*1000,2),(IF(K38*1000&lt;100,FIXED(K38*1000,1),IF(K38*1000&lt;1000,FIXED(K38*1000,0),MROUND(K38*1000,10)))))))),IF(K38=-1,"rg",IF(K38="","--",IF(K38&lt;1,FIXED(K38,3),IF(K38&lt;10,FIXED(K38,2),(IF(K38&lt;100,FIXED(K38,1),IF(K38&lt;1000,FIXED(K38,0),MROUND(K38,10))))))))))</f>
        <v>rg</v>
      </c>
      <c r="AM38" s="6" t="str">
        <f t="shared" si="25"/>
        <v>0,01</v>
      </c>
      <c r="AN38" s="6" t="str">
        <f>IF(AM38="--","--",IF(F!$D38=131,IF(M38=-1,"rg",IF(M38="","--",IF(M38*1000&lt;1,FIXED(M38*1000,3),IF(M38*1000&lt;10,FIXED(M38*1000,2),(IF(M38*1000&lt;100,FIXED(M38*1000,1),IF(M38*1000&lt;1000,FIXED(M38*1000,0),MROUND(M38*1000,10)))))))),IF(M38=-1,"rg",IF(M38="","--",IF(M38&lt;1,FIXED(M38,3),IF(M38&lt;10,FIXED(M38,2),(IF(M38&lt;100,FIXED(M38,1),IF(M38&lt;1000,FIXED(M38,0),MROUND(M38,10))))))))))</f>
        <v>rg</v>
      </c>
      <c r="AP38" s="6" t="str">
        <f t="shared" si="6"/>
        <v>0,01</v>
      </c>
      <c r="AQ38" s="6" t="str">
        <f t="shared" si="7"/>
        <v>&lt;</v>
      </c>
      <c r="AR38" s="6" t="str">
        <f t="shared" si="8"/>
        <v>rg</v>
      </c>
      <c r="AS38" s="6" t="str">
        <f t="shared" si="9"/>
        <v>&lt;</v>
      </c>
      <c r="AT38" s="6" t="str">
        <f t="shared" si="10"/>
        <v/>
      </c>
      <c r="AU38" s="6" t="str">
        <f>IFERROR(IF(AR38="--","",IF(HLOOKUP(SMALL($Q$4:$Y$4,3),$Q$4:$Y$501,ROW(AP38)-3,FALSE)=0,"",IF(HLOOKUP(SMALL($Q$4:$Y$4,3),$Q$4:$Y$501,ROW(AP38)-3,FALSE)="nee",VLOOKUP("De kwaliteitseis emissiearme grond (maximale concentratie) wordt overschreden.",H!$O$10:'H'!$P$59,2,FALSE),""))),"")</f>
        <v/>
      </c>
      <c r="AV38" s="6" t="str">
        <f t="shared" si="0"/>
        <v>0,01</v>
      </c>
      <c r="AW38" s="6" t="str">
        <f t="shared" si="1"/>
        <v>&lt;</v>
      </c>
      <c r="AX38" s="6" t="str">
        <f t="shared" si="2"/>
        <v>rg</v>
      </c>
      <c r="AY38" s="6" t="str">
        <f t="shared" si="11"/>
        <v>&lt;</v>
      </c>
      <c r="AZ38" s="6" t="str">
        <f t="shared" si="12"/>
        <v/>
      </c>
      <c r="BA38" s="6" t="str">
        <f>IFERROR(IF(AR38="--","",IF(HLOOKUP(SMALL($Q$4:$Y$4,6),$Q$4:$Y$501,ROW(AP38)-3,FALSE)=0,"",IF(HLOOKUP(SMALL($Q$4:$Y$4,6),$Q$4:$Y$501,ROW(AP38)-3,FALSE)="nee",VLOOKUP("De kwaliteitseis emissiearme grond (maximale concentratie) wordt overschreden.",H!$O$10:'H'!$P$59,2,FALSE),""))),"")</f>
        <v/>
      </c>
      <c r="BB38" s="6" t="str">
        <f t="shared" si="3"/>
        <v>0,01</v>
      </c>
      <c r="BC38" s="6" t="str">
        <f t="shared" si="4"/>
        <v>&lt;</v>
      </c>
      <c r="BD38" s="6" t="str">
        <f t="shared" si="5"/>
        <v>rg</v>
      </c>
      <c r="BE38" s="6" t="str">
        <f t="shared" si="13"/>
        <v>&lt;</v>
      </c>
      <c r="BF38" s="6"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6">
        <f>IF(ISNUMBER(F!E39)=FALSE,"--",IF(F!E39=0,"--",F!E39))</f>
        <v>0.01</v>
      </c>
      <c r="C39" s="6" t="str">
        <f>IF(B39="--","",F!F39)</f>
        <v>&lt;</v>
      </c>
      <c r="D39" s="6">
        <f>IF(ISNUMBER(F!G39)=FALSE,"--",IF(F!G39=0,"--",F!G39))</f>
        <v>0.01</v>
      </c>
      <c r="E39" s="6" t="str">
        <f>IF(D39="--","",F!H39)</f>
        <v>&lt;</v>
      </c>
      <c r="F39" s="6">
        <f>IF(ISNUMBER(F!I39)=FALSE,"--",IF(F!I39=0,"--",F!I39))</f>
        <v>0.01</v>
      </c>
      <c r="G39" s="6" t="str">
        <f>IF(F39="--","",F!J39)</f>
        <v>&lt;</v>
      </c>
      <c r="H39" s="6"/>
      <c r="I39" s="16">
        <f>IF(F!AA39=-1,-1,F!AV39)</f>
        <v>-1</v>
      </c>
      <c r="J39" s="6"/>
      <c r="K39" s="16">
        <f>IF(F!AD39=-1,-1,F!AX39)</f>
        <v>-1</v>
      </c>
      <c r="L39" s="6"/>
      <c r="M39" s="16">
        <f>IF(F!AG39=-1,-1,F!AZ39)</f>
        <v>-1</v>
      </c>
      <c r="N39" s="6"/>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6">
        <f t="shared" si="20"/>
        <v>-1</v>
      </c>
      <c r="R39" s="5" t="str">
        <f>IF($B39="--","",IF($P39="toetsen",toetsen(F!$B39,Q39),IF($P39="toetsen alleen IW",toetsen_alleen_IW(F!$B39,Q39),IF($P39="toetsen alleen LN",toetsen_alleen_LN(F!$B39,Q39),IF($P39="toetsen geen MV en SV",toetsen_geen_MV_en_SV(F!$B39,Q39),IF($P39="toetsen alleen MV en SV",toetsen_alleen_MV_en_SV(F!$B39,Q39),""))))))</f>
        <v/>
      </c>
      <c r="S39" s="5" t="str">
        <f>IF($P39="toetsen",IF(OR(Q39="",VLOOKUP(F!$B39,E!$B$1:$AK$300,10,FALSE)=1000000000),"",IF(Q39&lt;=VLOOKUP(F!$B39,E!$B$1:$AK$300,10,FALSE),"ja","nee")),"")</f>
        <v/>
      </c>
      <c r="T39" s="87">
        <f t="shared" si="21"/>
        <v>-1</v>
      </c>
      <c r="U39" s="5" t="str">
        <f>IF($D39="--","",IF($P39="toetsen",toetsen(F!$B39,T39),IF($P39="toetsen alleen IW",toetsen_alleen_IW(F!$B39,T39),IF($P39="toetsen alleen LN",toetsen_alleen_LN(F!$B39,T39),IF($P39="toetsen geen MV en SV",toetsen_geen_MV_en_SV(F!$B39,T39),IF($P39="toetsen alleen MV en SV",toetsen_alleen_MV_en_SV(F!$B39,T39),""))))))</f>
        <v/>
      </c>
      <c r="V39" s="5" t="str">
        <f>IF($P39="toetsen",IF(OR(T39="",VLOOKUP(F!$B39,E!$B$1:$AK$300,10,FALSE)=1000000000),"",IF(T39&lt;=VLOOKUP(F!$B39,E!$B$1:$AK$300,10,FALSE),"ja","nee")),"")</f>
        <v/>
      </c>
      <c r="W39" s="6">
        <f t="shared" si="22"/>
        <v>-1</v>
      </c>
      <c r="X39" s="5" t="str">
        <f>IF($F39="--","",IF($P39="toetsen",toetsen(F!$B39,W39),IF($P39="toetsen alleen IW",toetsen_alleen_IW(F!$B39,W39),IF($P39="toetsen alleen LN",toetsen_alleen_LN(F!$B39,W39),IF($P39="toetsen geen MV en SV",toetsen_geen_MV_en_SV(F!$B39,W39),IF($P39="toetsen alleen MV en SV",toetsen_alleen_MV_en_SV(F!$B39,W39),""))))))</f>
        <v/>
      </c>
      <c r="Y39" s="5" t="str">
        <f>IF($P39="toetsen",IF(OR(W39="",VLOOKUP(F!$B39,E!$B$1:$AK$300,10,FALSE)=1000000000),"",IF(W39&lt;=VLOOKUP(F!$B39,E!$B$1:$AK$300,10,FALSE),"ja","nee")),"")</f>
        <v/>
      </c>
      <c r="AA39" s="4">
        <f>IFERROR(IF(Q39="","",(IF(Q39&gt;2*VLOOKUP(F!$B39,E!$B$1:$AK$300,5,FALSE),1,0))),"")</f>
        <v>0</v>
      </c>
      <c r="AB39" s="4">
        <f>IFERROR(IF(T39="","",(IF(T39&gt;2*VLOOKUP(F!$B39,E!$B$1:$AK$300,5,FALSE),1,0))),"")</f>
        <v>0</v>
      </c>
      <c r="AC39" s="4">
        <f>IFERROR(IF(W39="","",(IF(W39&gt;2*VLOOKUP(F!$B39,E!$B$1:$AK$300,5,FALSE),1,0))),"")</f>
        <v>0</v>
      </c>
      <c r="AE39" s="4">
        <f>IFERROR(IF(Q39="","",(IF(Q39&gt;VLOOKUP(F!$B39,E!$B$1:$AK$300,6,FALSE)+VLOOKUP(F!$B39,E!$B$1:$AK$300,5,FALSE),1,0))),"")</f>
        <v>0</v>
      </c>
      <c r="AF39" s="4">
        <f>IFERROR(IF(T39="","",(IF(T39&gt;VLOOKUP(F!$B39,E!$B$1:$AK$300,6,FALSE)+VLOOKUP(F!$B39,E!$B$1:$AK$300,5,FALSE),1,0))),"")</f>
        <v>0</v>
      </c>
      <c r="AG39" s="4">
        <f>IFERROR(IF(W39="","",(IF(W39&gt;VLOOKUP(F!$B39,E!$B$1:$AK$300,6,FALSE)+VLOOKUP(F!$B39,E!$B$1:$AK$300,5,FALSE),1,0))),"")</f>
        <v>0</v>
      </c>
      <c r="AI39" s="6" t="str">
        <f t="shared" si="23"/>
        <v>0,01</v>
      </c>
      <c r="AJ39" s="6" t="str">
        <f>IF(AI39="--","--",IF(F!$D39=131,IF(I39=-1,"rg",IF(I39="","--",IF(I39*1000&lt;1,FIXED(I39*1000,3),IF(I39*1000&lt;10,FIXED(I39*1000,2),(IF(I39*1000&lt;100,FIXED(I39*1000,1),IF(I39*1000&lt;1000,FIXED(I39*1000,0),MROUND(I39*1000,10)))))))),IF(I39=-1,"rg",IF(I39="","--",IF(I39&lt;1,FIXED(I39,3),IF(I39&lt;10,FIXED(I39,2),(IF(I39&lt;100,FIXED(I39,1),IF(I39&lt;1000,FIXED(I39,0),MROUND(I39,10))))))))))</f>
        <v>rg</v>
      </c>
      <c r="AK39" s="6" t="str">
        <f t="shared" si="24"/>
        <v>0,01</v>
      </c>
      <c r="AL39" s="6" t="str">
        <f>IF(AK39="--","--",IF(F!$D39=131,IF(K39=-1,"rg",IF(K39="","--",IF(K39*1000&lt;1,FIXED(K39*1000,3),IF(K39*1000&lt;10,FIXED(K39*1000,2),(IF(K39*1000&lt;100,FIXED(K39*1000,1),IF(K39*1000&lt;1000,FIXED(K39*1000,0),MROUND(K39*1000,10)))))))),IF(K39=-1,"rg",IF(K39="","--",IF(K39&lt;1,FIXED(K39,3),IF(K39&lt;10,FIXED(K39,2),(IF(K39&lt;100,FIXED(K39,1),IF(K39&lt;1000,FIXED(K39,0),MROUND(K39,10))))))))))</f>
        <v>rg</v>
      </c>
      <c r="AM39" s="6" t="str">
        <f t="shared" si="25"/>
        <v>0,01</v>
      </c>
      <c r="AN39" s="6" t="str">
        <f>IF(AM39="--","--",IF(F!$D39=131,IF(M39=-1,"rg",IF(M39="","--",IF(M39*1000&lt;1,FIXED(M39*1000,3),IF(M39*1000&lt;10,FIXED(M39*1000,2),(IF(M39*1000&lt;100,FIXED(M39*1000,1),IF(M39*1000&lt;1000,FIXED(M39*1000,0),MROUND(M39*1000,10)))))))),IF(M39=-1,"rg",IF(M39="","--",IF(M39&lt;1,FIXED(M39,3),IF(M39&lt;10,FIXED(M39,2),(IF(M39&lt;100,FIXED(M39,1),IF(M39&lt;1000,FIXED(M39,0),MROUND(M39,10))))))))))</f>
        <v>rg</v>
      </c>
      <c r="AP39" s="6" t="str">
        <f t="shared" si="6"/>
        <v>0,01</v>
      </c>
      <c r="AQ39" s="6" t="str">
        <f t="shared" si="7"/>
        <v>&lt;</v>
      </c>
      <c r="AR39" s="6" t="str">
        <f t="shared" si="8"/>
        <v>rg</v>
      </c>
      <c r="AS39" s="6" t="str">
        <f t="shared" si="9"/>
        <v>&lt;</v>
      </c>
      <c r="AT39" s="6" t="str">
        <f t="shared" si="10"/>
        <v/>
      </c>
      <c r="AU39" s="6" t="str">
        <f>IFERROR(IF(AR39="--","",IF(HLOOKUP(SMALL($Q$4:$Y$4,3),$Q$4:$Y$501,ROW(AP39)-3,FALSE)=0,"",IF(HLOOKUP(SMALL($Q$4:$Y$4,3),$Q$4:$Y$501,ROW(AP39)-3,FALSE)="nee",VLOOKUP("De kwaliteitseis emissiearme grond (maximale concentratie) wordt overschreden.",H!$O$10:'H'!$P$59,2,FALSE),""))),"")</f>
        <v/>
      </c>
      <c r="AV39" s="6" t="str">
        <f t="shared" si="0"/>
        <v>0,01</v>
      </c>
      <c r="AW39" s="6" t="str">
        <f t="shared" si="1"/>
        <v>&lt;</v>
      </c>
      <c r="AX39" s="6" t="str">
        <f t="shared" si="2"/>
        <v>rg</v>
      </c>
      <c r="AY39" s="6" t="str">
        <f t="shared" si="11"/>
        <v>&lt;</v>
      </c>
      <c r="AZ39" s="6" t="str">
        <f t="shared" si="12"/>
        <v/>
      </c>
      <c r="BA39" s="6" t="str">
        <f>IFERROR(IF(AR39="--","",IF(HLOOKUP(SMALL($Q$4:$Y$4,6),$Q$4:$Y$501,ROW(AP39)-3,FALSE)=0,"",IF(HLOOKUP(SMALL($Q$4:$Y$4,6),$Q$4:$Y$501,ROW(AP39)-3,FALSE)="nee",VLOOKUP("De kwaliteitseis emissiearme grond (maximale concentratie) wordt overschreden.",H!$O$10:'H'!$P$59,2,FALSE),""))),"")</f>
        <v/>
      </c>
      <c r="BB39" s="6" t="str">
        <f t="shared" si="3"/>
        <v>0,01</v>
      </c>
      <c r="BC39" s="6" t="str">
        <f t="shared" si="4"/>
        <v>&lt;</v>
      </c>
      <c r="BD39" s="6" t="str">
        <f t="shared" si="5"/>
        <v>rg</v>
      </c>
      <c r="BE39" s="6" t="str">
        <f t="shared" si="13"/>
        <v>&lt;</v>
      </c>
      <c r="BF39" s="6"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6">
        <f>IF(ISNUMBER(F!E40)=FALSE,"--",IF(F!E40=0,"--",F!E40))</f>
        <v>0.01</v>
      </c>
      <c r="C40" s="6" t="str">
        <f>IF(B40="--","",F!F40)</f>
        <v>&lt;</v>
      </c>
      <c r="D40" s="6">
        <f>IF(ISNUMBER(F!G40)=FALSE,"--",IF(F!G40=0,"--",F!G40))</f>
        <v>0.01</v>
      </c>
      <c r="E40" s="6" t="str">
        <f>IF(D40="--","",F!H40)</f>
        <v>&lt;</v>
      </c>
      <c r="F40" s="6">
        <f>IF(ISNUMBER(F!I40)=FALSE,"--",IF(F!I40=0,"--",F!I40))</f>
        <v>0.01</v>
      </c>
      <c r="G40" s="6" t="str">
        <f>IF(F40="--","",F!J40)</f>
        <v>&lt;</v>
      </c>
      <c r="H40" s="6"/>
      <c r="I40" s="16">
        <f>IF(F!AA40=-1,-1,F!AV40)</f>
        <v>-1</v>
      </c>
      <c r="J40" s="6"/>
      <c r="K40" s="16">
        <f>IF(F!AD40=-1,-1,F!AX40)</f>
        <v>-1</v>
      </c>
      <c r="L40" s="6"/>
      <c r="M40" s="16">
        <f>IF(F!AG40=-1,-1,F!AZ40)</f>
        <v>-1</v>
      </c>
      <c r="N40" s="6"/>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6">
        <f t="shared" si="20"/>
        <v>-1</v>
      </c>
      <c r="R40" s="5" t="str">
        <f>IF($B40="--","",IF($P40="toetsen",toetsen(F!$B40,Q40),IF($P40="toetsen alleen IW",toetsen_alleen_IW(F!$B40,Q40),IF($P40="toetsen alleen LN",toetsen_alleen_LN(F!$B40,Q40),IF($P40="toetsen geen MV en SV",toetsen_geen_MV_en_SV(F!$B40,Q40),IF($P40="toetsen alleen MV en SV",toetsen_alleen_MV_en_SV(F!$B40,Q40),""))))))</f>
        <v/>
      </c>
      <c r="S40" s="5" t="str">
        <f>IF($P40="toetsen",IF(OR(Q40="",VLOOKUP(F!$B40,E!$B$1:$AK$300,10,FALSE)=1000000000),"",IF(Q40&lt;=VLOOKUP(F!$B40,E!$B$1:$AK$300,10,FALSE),"ja","nee")),"")</f>
        <v/>
      </c>
      <c r="T40" s="87">
        <f t="shared" si="21"/>
        <v>-1</v>
      </c>
      <c r="U40" s="5" t="str">
        <f>IF($D40="--","",IF($P40="toetsen",toetsen(F!$B40,T40),IF($P40="toetsen alleen IW",toetsen_alleen_IW(F!$B40,T40),IF($P40="toetsen alleen LN",toetsen_alleen_LN(F!$B40,T40),IF($P40="toetsen geen MV en SV",toetsen_geen_MV_en_SV(F!$B40,T40),IF($P40="toetsen alleen MV en SV",toetsen_alleen_MV_en_SV(F!$B40,T40),""))))))</f>
        <v/>
      </c>
      <c r="V40" s="5" t="str">
        <f>IF($P40="toetsen",IF(OR(T40="",VLOOKUP(F!$B40,E!$B$1:$AK$300,10,FALSE)=1000000000),"",IF(T40&lt;=VLOOKUP(F!$B40,E!$B$1:$AK$300,10,FALSE),"ja","nee")),"")</f>
        <v/>
      </c>
      <c r="W40" s="6">
        <f t="shared" si="22"/>
        <v>-1</v>
      </c>
      <c r="X40" s="5" t="str">
        <f>IF($F40="--","",IF($P40="toetsen",toetsen(F!$B40,W40),IF($P40="toetsen alleen IW",toetsen_alleen_IW(F!$B40,W40),IF($P40="toetsen alleen LN",toetsen_alleen_LN(F!$B40,W40),IF($P40="toetsen geen MV en SV",toetsen_geen_MV_en_SV(F!$B40,W40),IF($P40="toetsen alleen MV en SV",toetsen_alleen_MV_en_SV(F!$B40,W40),""))))))</f>
        <v/>
      </c>
      <c r="Y40" s="5" t="str">
        <f>IF($P40="toetsen",IF(OR(W40="",VLOOKUP(F!$B40,E!$B$1:$AK$300,10,FALSE)=1000000000),"",IF(W40&lt;=VLOOKUP(F!$B40,E!$B$1:$AK$300,10,FALSE),"ja","nee")),"")</f>
        <v/>
      </c>
      <c r="AA40" s="4">
        <f>IFERROR(IF(Q40="","",(IF(Q40&gt;2*VLOOKUP(F!$B40,E!$B$1:$AK$300,5,FALSE),1,0))),"")</f>
        <v>0</v>
      </c>
      <c r="AB40" s="4">
        <f>IFERROR(IF(T40="","",(IF(T40&gt;2*VLOOKUP(F!$B40,E!$B$1:$AK$300,5,FALSE),1,0))),"")</f>
        <v>0</v>
      </c>
      <c r="AC40" s="4">
        <f>IFERROR(IF(W40="","",(IF(W40&gt;2*VLOOKUP(F!$B40,E!$B$1:$AK$300,5,FALSE),1,0))),"")</f>
        <v>0</v>
      </c>
      <c r="AE40" s="4">
        <f>IFERROR(IF(Q40="","",(IF(Q40&gt;VLOOKUP(F!$B40,E!$B$1:$AK$300,6,FALSE)+VLOOKUP(F!$B40,E!$B$1:$AK$300,5,FALSE),1,0))),"")</f>
        <v>0</v>
      </c>
      <c r="AF40" s="4">
        <f>IFERROR(IF(T40="","",(IF(T40&gt;VLOOKUP(F!$B40,E!$B$1:$AK$300,6,FALSE)+VLOOKUP(F!$B40,E!$B$1:$AK$300,5,FALSE),1,0))),"")</f>
        <v>0</v>
      </c>
      <c r="AG40" s="4">
        <f>IFERROR(IF(W40="","",(IF(W40&gt;VLOOKUP(F!$B40,E!$B$1:$AK$300,6,FALSE)+VLOOKUP(F!$B40,E!$B$1:$AK$300,5,FALSE),1,0))),"")</f>
        <v>0</v>
      </c>
      <c r="AI40" s="6" t="str">
        <f t="shared" si="23"/>
        <v>0,01</v>
      </c>
      <c r="AJ40" s="6" t="str">
        <f>IF(AI40="--","--",IF(F!$D40=131,IF(I40=-1,"rg",IF(I40="","--",IF(I40*1000&lt;1,FIXED(I40*1000,3),IF(I40*1000&lt;10,FIXED(I40*1000,2),(IF(I40*1000&lt;100,FIXED(I40*1000,1),IF(I40*1000&lt;1000,FIXED(I40*1000,0),MROUND(I40*1000,10)))))))),IF(I40=-1,"rg",IF(I40="","--",IF(I40&lt;1,FIXED(I40,3),IF(I40&lt;10,FIXED(I40,2),(IF(I40&lt;100,FIXED(I40,1),IF(I40&lt;1000,FIXED(I40,0),MROUND(I40,10))))))))))</f>
        <v>rg</v>
      </c>
      <c r="AK40" s="6" t="str">
        <f t="shared" si="24"/>
        <v>0,01</v>
      </c>
      <c r="AL40" s="6" t="str">
        <f>IF(AK40="--","--",IF(F!$D40=131,IF(K40=-1,"rg",IF(K40="","--",IF(K40*1000&lt;1,FIXED(K40*1000,3),IF(K40*1000&lt;10,FIXED(K40*1000,2),(IF(K40*1000&lt;100,FIXED(K40*1000,1),IF(K40*1000&lt;1000,FIXED(K40*1000,0),MROUND(K40*1000,10)))))))),IF(K40=-1,"rg",IF(K40="","--",IF(K40&lt;1,FIXED(K40,3),IF(K40&lt;10,FIXED(K40,2),(IF(K40&lt;100,FIXED(K40,1),IF(K40&lt;1000,FIXED(K40,0),MROUND(K40,10))))))))))</f>
        <v>rg</v>
      </c>
      <c r="AM40" s="6" t="str">
        <f t="shared" si="25"/>
        <v>0,01</v>
      </c>
      <c r="AN40" s="6" t="str">
        <f>IF(AM40="--","--",IF(F!$D40=131,IF(M40=-1,"rg",IF(M40="","--",IF(M40*1000&lt;1,FIXED(M40*1000,3),IF(M40*1000&lt;10,FIXED(M40*1000,2),(IF(M40*1000&lt;100,FIXED(M40*1000,1),IF(M40*1000&lt;1000,FIXED(M40*1000,0),MROUND(M40*1000,10)))))))),IF(M40=-1,"rg",IF(M40="","--",IF(M40&lt;1,FIXED(M40,3),IF(M40&lt;10,FIXED(M40,2),(IF(M40&lt;100,FIXED(M40,1),IF(M40&lt;1000,FIXED(M40,0),MROUND(M40,10))))))))))</f>
        <v>rg</v>
      </c>
      <c r="AP40" s="6" t="str">
        <f t="shared" si="6"/>
        <v>0,01</v>
      </c>
      <c r="AQ40" s="6" t="str">
        <f t="shared" si="7"/>
        <v>&lt;</v>
      </c>
      <c r="AR40" s="6" t="str">
        <f t="shared" si="8"/>
        <v>rg</v>
      </c>
      <c r="AS40" s="6" t="str">
        <f t="shared" si="9"/>
        <v>&lt;</v>
      </c>
      <c r="AT40" s="6" t="str">
        <f t="shared" si="10"/>
        <v/>
      </c>
      <c r="AU40" s="6" t="str">
        <f>IFERROR(IF(AR40="--","",IF(HLOOKUP(SMALL($Q$4:$Y$4,3),$Q$4:$Y$501,ROW(AP40)-3,FALSE)=0,"",IF(HLOOKUP(SMALL($Q$4:$Y$4,3),$Q$4:$Y$501,ROW(AP40)-3,FALSE)="nee",VLOOKUP("De kwaliteitseis emissiearme grond (maximale concentratie) wordt overschreden.",H!$O$10:'H'!$P$59,2,FALSE),""))),"")</f>
        <v/>
      </c>
      <c r="AV40" s="6" t="str">
        <f t="shared" si="0"/>
        <v>0,01</v>
      </c>
      <c r="AW40" s="6" t="str">
        <f t="shared" si="1"/>
        <v>&lt;</v>
      </c>
      <c r="AX40" s="6" t="str">
        <f t="shared" si="2"/>
        <v>rg</v>
      </c>
      <c r="AY40" s="6" t="str">
        <f t="shared" si="11"/>
        <v>&lt;</v>
      </c>
      <c r="AZ40" s="6" t="str">
        <f t="shared" si="12"/>
        <v/>
      </c>
      <c r="BA40" s="6" t="str">
        <f>IFERROR(IF(AR40="--","",IF(HLOOKUP(SMALL($Q$4:$Y$4,6),$Q$4:$Y$501,ROW(AP40)-3,FALSE)=0,"",IF(HLOOKUP(SMALL($Q$4:$Y$4,6),$Q$4:$Y$501,ROW(AP40)-3,FALSE)="nee",VLOOKUP("De kwaliteitseis emissiearme grond (maximale concentratie) wordt overschreden.",H!$O$10:'H'!$P$59,2,FALSE),""))),"")</f>
        <v/>
      </c>
      <c r="BB40" s="6" t="str">
        <f t="shared" si="3"/>
        <v>0,01</v>
      </c>
      <c r="BC40" s="6" t="str">
        <f t="shared" si="4"/>
        <v>&lt;</v>
      </c>
      <c r="BD40" s="6" t="str">
        <f t="shared" si="5"/>
        <v>rg</v>
      </c>
      <c r="BE40" s="6" t="str">
        <f t="shared" si="13"/>
        <v>&lt;</v>
      </c>
      <c r="BF40" s="6"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6">
        <f>IF(ISNUMBER(F!E41)=FALSE,"--",IF(F!E41=0,"--",F!E41))</f>
        <v>0.01</v>
      </c>
      <c r="C41" s="6" t="str">
        <f>IF(B41="--","",F!F41)</f>
        <v>&lt;</v>
      </c>
      <c r="D41" s="6">
        <f>IF(ISNUMBER(F!G41)=FALSE,"--",IF(F!G41=0,"--",F!G41))</f>
        <v>0.01</v>
      </c>
      <c r="E41" s="6" t="str">
        <f>IF(D41="--","",F!H41)</f>
        <v>&lt;</v>
      </c>
      <c r="F41" s="6">
        <f>IF(ISNUMBER(F!I41)=FALSE,"--",IF(F!I41=0,"--",F!I41))</f>
        <v>0.01</v>
      </c>
      <c r="G41" s="6" t="str">
        <f>IF(F41="--","",F!J41)</f>
        <v>&lt;</v>
      </c>
      <c r="H41" s="6"/>
      <c r="I41" s="16">
        <f>IF(F!AA41=-1,-1,F!AV41)</f>
        <v>-1</v>
      </c>
      <c r="J41" s="6"/>
      <c r="K41" s="16">
        <f>IF(F!AD41=-1,-1,F!AX41)</f>
        <v>-1</v>
      </c>
      <c r="L41" s="6"/>
      <c r="M41" s="16">
        <f>IF(F!AG41=-1,-1,F!AZ41)</f>
        <v>-1</v>
      </c>
      <c r="N41" s="6"/>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6">
        <f t="shared" si="20"/>
        <v>-1</v>
      </c>
      <c r="R41" s="5" t="str">
        <f>IF($B41="--","",IF($P41="toetsen",toetsen(F!$B41,Q41),IF($P41="toetsen alleen IW",toetsen_alleen_IW(F!$B41,Q41),IF($P41="toetsen alleen LN",toetsen_alleen_LN(F!$B41,Q41),IF($P41="toetsen geen MV en SV",toetsen_geen_MV_en_SV(F!$B41,Q41),IF($P41="toetsen alleen MV en SV",toetsen_alleen_MV_en_SV(F!$B41,Q41),""))))))</f>
        <v/>
      </c>
      <c r="S41" s="5" t="str">
        <f>IF($P41="toetsen",IF(OR(Q41="",VLOOKUP(F!$B41,E!$B$1:$AK$300,10,FALSE)=1000000000),"",IF(Q41&lt;=VLOOKUP(F!$B41,E!$B$1:$AK$300,10,FALSE),"ja","nee")),"")</f>
        <v/>
      </c>
      <c r="T41" s="87">
        <f t="shared" si="21"/>
        <v>-1</v>
      </c>
      <c r="U41" s="5" t="str">
        <f>IF($D41="--","",IF($P41="toetsen",toetsen(F!$B41,T41),IF($P41="toetsen alleen IW",toetsen_alleen_IW(F!$B41,T41),IF($P41="toetsen alleen LN",toetsen_alleen_LN(F!$B41,T41),IF($P41="toetsen geen MV en SV",toetsen_geen_MV_en_SV(F!$B41,T41),IF($P41="toetsen alleen MV en SV",toetsen_alleen_MV_en_SV(F!$B41,T41),""))))))</f>
        <v/>
      </c>
      <c r="V41" s="5" t="str">
        <f>IF($P41="toetsen",IF(OR(T41="",VLOOKUP(F!$B41,E!$B$1:$AK$300,10,FALSE)=1000000000),"",IF(T41&lt;=VLOOKUP(F!$B41,E!$B$1:$AK$300,10,FALSE),"ja","nee")),"")</f>
        <v/>
      </c>
      <c r="W41" s="6">
        <f t="shared" si="22"/>
        <v>-1</v>
      </c>
      <c r="X41" s="5" t="str">
        <f>IF($F41="--","",IF($P41="toetsen",toetsen(F!$B41,W41),IF($P41="toetsen alleen IW",toetsen_alleen_IW(F!$B41,W41),IF($P41="toetsen alleen LN",toetsen_alleen_LN(F!$B41,W41),IF($P41="toetsen geen MV en SV",toetsen_geen_MV_en_SV(F!$B41,W41),IF($P41="toetsen alleen MV en SV",toetsen_alleen_MV_en_SV(F!$B41,W41),""))))))</f>
        <v/>
      </c>
      <c r="Y41" s="5" t="str">
        <f>IF($P41="toetsen",IF(OR(W41="",VLOOKUP(F!$B41,E!$B$1:$AK$300,10,FALSE)=1000000000),"",IF(W41&lt;=VLOOKUP(F!$B41,E!$B$1:$AK$300,10,FALSE),"ja","nee")),"")</f>
        <v/>
      </c>
      <c r="AA41" s="4">
        <f>IFERROR(IF(Q41="","",(IF(Q41&gt;2*VLOOKUP(F!$B41,E!$B$1:$AK$300,5,FALSE),1,0))),"")</f>
        <v>0</v>
      </c>
      <c r="AB41" s="4">
        <f>IFERROR(IF(T41="","",(IF(T41&gt;2*VLOOKUP(F!$B41,E!$B$1:$AK$300,5,FALSE),1,0))),"")</f>
        <v>0</v>
      </c>
      <c r="AC41" s="4">
        <f>IFERROR(IF(W41="","",(IF(W41&gt;2*VLOOKUP(F!$B41,E!$B$1:$AK$300,5,FALSE),1,0))),"")</f>
        <v>0</v>
      </c>
      <c r="AE41" s="4">
        <f>IFERROR(IF(Q41="","",(IF(Q41&gt;VLOOKUP(F!$B41,E!$B$1:$AK$300,6,FALSE)+VLOOKUP(F!$B41,E!$B$1:$AK$300,5,FALSE),1,0))),"")</f>
        <v>0</v>
      </c>
      <c r="AF41" s="4">
        <f>IFERROR(IF(T41="","",(IF(T41&gt;VLOOKUP(F!$B41,E!$B$1:$AK$300,6,FALSE)+VLOOKUP(F!$B41,E!$B$1:$AK$300,5,FALSE),1,0))),"")</f>
        <v>0</v>
      </c>
      <c r="AG41" s="4">
        <f>IFERROR(IF(W41="","",(IF(W41&gt;VLOOKUP(F!$B41,E!$B$1:$AK$300,6,FALSE)+VLOOKUP(F!$B41,E!$B$1:$AK$300,5,FALSE),1,0))),"")</f>
        <v>0</v>
      </c>
      <c r="AI41" s="6" t="str">
        <f t="shared" si="23"/>
        <v>0,01</v>
      </c>
      <c r="AJ41" s="6" t="str">
        <f>IF(AI41="--","--",IF(F!$D41=131,IF(I41=-1,"rg",IF(I41="","--",IF(I41*1000&lt;1,FIXED(I41*1000,3),IF(I41*1000&lt;10,FIXED(I41*1000,2),(IF(I41*1000&lt;100,FIXED(I41*1000,1),IF(I41*1000&lt;1000,FIXED(I41*1000,0),MROUND(I41*1000,10)))))))),IF(I41=-1,"rg",IF(I41="","--",IF(I41&lt;1,FIXED(I41,3),IF(I41&lt;10,FIXED(I41,2),(IF(I41&lt;100,FIXED(I41,1),IF(I41&lt;1000,FIXED(I41,0),MROUND(I41,10))))))))))</f>
        <v>rg</v>
      </c>
      <c r="AK41" s="6" t="str">
        <f t="shared" si="24"/>
        <v>0,01</v>
      </c>
      <c r="AL41" s="6" t="str">
        <f>IF(AK41="--","--",IF(F!$D41=131,IF(K41=-1,"rg",IF(K41="","--",IF(K41*1000&lt;1,FIXED(K41*1000,3),IF(K41*1000&lt;10,FIXED(K41*1000,2),(IF(K41*1000&lt;100,FIXED(K41*1000,1),IF(K41*1000&lt;1000,FIXED(K41*1000,0),MROUND(K41*1000,10)))))))),IF(K41=-1,"rg",IF(K41="","--",IF(K41&lt;1,FIXED(K41,3),IF(K41&lt;10,FIXED(K41,2),(IF(K41&lt;100,FIXED(K41,1),IF(K41&lt;1000,FIXED(K41,0),MROUND(K41,10))))))))))</f>
        <v>rg</v>
      </c>
      <c r="AM41" s="6" t="str">
        <f t="shared" si="25"/>
        <v>0,01</v>
      </c>
      <c r="AN41" s="6" t="str">
        <f>IF(AM41="--","--",IF(F!$D41=131,IF(M41=-1,"rg",IF(M41="","--",IF(M41*1000&lt;1,FIXED(M41*1000,3),IF(M41*1000&lt;10,FIXED(M41*1000,2),(IF(M41*1000&lt;100,FIXED(M41*1000,1),IF(M41*1000&lt;1000,FIXED(M41*1000,0),MROUND(M41*1000,10)))))))),IF(M41=-1,"rg",IF(M41="","--",IF(M41&lt;1,FIXED(M41,3),IF(M41&lt;10,FIXED(M41,2),(IF(M41&lt;100,FIXED(M41,1),IF(M41&lt;1000,FIXED(M41,0),MROUND(M41,10))))))))))</f>
        <v>rg</v>
      </c>
      <c r="AP41" s="6" t="str">
        <f t="shared" si="6"/>
        <v>0,01</v>
      </c>
      <c r="AQ41" s="6" t="str">
        <f t="shared" si="7"/>
        <v>&lt;</v>
      </c>
      <c r="AR41" s="6" t="str">
        <f t="shared" si="8"/>
        <v>rg</v>
      </c>
      <c r="AS41" s="6" t="str">
        <f t="shared" si="9"/>
        <v>&lt;</v>
      </c>
      <c r="AT41" s="6" t="str">
        <f t="shared" si="10"/>
        <v/>
      </c>
      <c r="AU41" s="6" t="str">
        <f>IFERROR(IF(AR41="--","",IF(HLOOKUP(SMALL($Q$4:$Y$4,3),$Q$4:$Y$501,ROW(AP41)-3,FALSE)=0,"",IF(HLOOKUP(SMALL($Q$4:$Y$4,3),$Q$4:$Y$501,ROW(AP41)-3,FALSE)="nee",VLOOKUP("De kwaliteitseis emissiearme grond (maximale concentratie) wordt overschreden.",H!$O$10:'H'!$P$59,2,FALSE),""))),"")</f>
        <v/>
      </c>
      <c r="AV41" s="6" t="str">
        <f t="shared" si="0"/>
        <v>0,01</v>
      </c>
      <c r="AW41" s="6" t="str">
        <f t="shared" si="1"/>
        <v>&lt;</v>
      </c>
      <c r="AX41" s="6" t="str">
        <f t="shared" si="2"/>
        <v>rg</v>
      </c>
      <c r="AY41" s="6" t="str">
        <f t="shared" si="11"/>
        <v>&lt;</v>
      </c>
      <c r="AZ41" s="6" t="str">
        <f t="shared" si="12"/>
        <v/>
      </c>
      <c r="BA41" s="6" t="str">
        <f>IFERROR(IF(AR41="--","",IF(HLOOKUP(SMALL($Q$4:$Y$4,6),$Q$4:$Y$501,ROW(AP41)-3,FALSE)=0,"",IF(HLOOKUP(SMALL($Q$4:$Y$4,6),$Q$4:$Y$501,ROW(AP41)-3,FALSE)="nee",VLOOKUP("De kwaliteitseis emissiearme grond (maximale concentratie) wordt overschreden.",H!$O$10:'H'!$P$59,2,FALSE),""))),"")</f>
        <v/>
      </c>
      <c r="BB41" s="6" t="str">
        <f t="shared" si="3"/>
        <v>0,01</v>
      </c>
      <c r="BC41" s="6" t="str">
        <f t="shared" si="4"/>
        <v>&lt;</v>
      </c>
      <c r="BD41" s="6" t="str">
        <f t="shared" si="5"/>
        <v>rg</v>
      </c>
      <c r="BE41" s="6" t="str">
        <f t="shared" si="13"/>
        <v>&lt;</v>
      </c>
      <c r="BF41" s="6"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6">
        <f>IF(ISNUMBER(F!E42)=FALSE,"--",IF(F!E42=0,"--",F!E42))</f>
        <v>0.01</v>
      </c>
      <c r="C42" s="6" t="str">
        <f>IF(B42="--","",F!F42)</f>
        <v>&lt;</v>
      </c>
      <c r="D42" s="6">
        <f>IF(ISNUMBER(F!G42)=FALSE,"--",IF(F!G42=0,"--",F!G42))</f>
        <v>0.01</v>
      </c>
      <c r="E42" s="6" t="str">
        <f>IF(D42="--","",F!H42)</f>
        <v>&lt;</v>
      </c>
      <c r="F42" s="6">
        <f>IF(ISNUMBER(F!I42)=FALSE,"--",IF(F!I42=0,"--",F!I42))</f>
        <v>0.01</v>
      </c>
      <c r="G42" s="6" t="str">
        <f>IF(F42="--","",F!J42)</f>
        <v>&lt;</v>
      </c>
      <c r="H42" s="6"/>
      <c r="I42" s="16">
        <f>IF(F!AA42=-1,-1,F!AV42)</f>
        <v>-1</v>
      </c>
      <c r="J42" s="6"/>
      <c r="K42" s="16">
        <f>IF(F!AD42=-1,-1,F!AX42)</f>
        <v>-1</v>
      </c>
      <c r="L42" s="6"/>
      <c r="M42" s="16">
        <f>IF(F!AG42=-1,-1,F!AZ42)</f>
        <v>-1</v>
      </c>
      <c r="N42" s="6"/>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6">
        <f t="shared" si="20"/>
        <v>-1</v>
      </c>
      <c r="R42" s="5" t="str">
        <f>IF($B42="--","",IF($P42="toetsen",toetsen(F!$B42,Q42),IF($P42="toetsen alleen IW",toetsen_alleen_IW(F!$B42,Q42),IF($P42="toetsen alleen LN",toetsen_alleen_LN(F!$B42,Q42),IF($P42="toetsen geen MV en SV",toetsen_geen_MV_en_SV(F!$B42,Q42),IF($P42="toetsen alleen MV en SV",toetsen_alleen_MV_en_SV(F!$B42,Q42),""))))))</f>
        <v/>
      </c>
      <c r="S42" s="5" t="str">
        <f>IF($P42="toetsen",IF(OR(Q42="",VLOOKUP(F!$B42,E!$B$1:$AK$300,10,FALSE)=1000000000),"",IF(Q42&lt;=VLOOKUP(F!$B42,E!$B$1:$AK$300,10,FALSE),"ja","nee")),"")</f>
        <v/>
      </c>
      <c r="T42" s="87">
        <f t="shared" si="21"/>
        <v>-1</v>
      </c>
      <c r="U42" s="5" t="str">
        <f>IF($D42="--","",IF($P42="toetsen",toetsen(F!$B42,T42),IF($P42="toetsen alleen IW",toetsen_alleen_IW(F!$B42,T42),IF($P42="toetsen alleen LN",toetsen_alleen_LN(F!$B42,T42),IF($P42="toetsen geen MV en SV",toetsen_geen_MV_en_SV(F!$B42,T42),IF($P42="toetsen alleen MV en SV",toetsen_alleen_MV_en_SV(F!$B42,T42),""))))))</f>
        <v/>
      </c>
      <c r="V42" s="5" t="str">
        <f>IF($P42="toetsen",IF(OR(T42="",VLOOKUP(F!$B42,E!$B$1:$AK$300,10,FALSE)=1000000000),"",IF(T42&lt;=VLOOKUP(F!$B42,E!$B$1:$AK$300,10,FALSE),"ja","nee")),"")</f>
        <v/>
      </c>
      <c r="W42" s="6">
        <f t="shared" si="22"/>
        <v>-1</v>
      </c>
      <c r="X42" s="5" t="str">
        <f>IF($F42="--","",IF($P42="toetsen",toetsen(F!$B42,W42),IF($P42="toetsen alleen IW",toetsen_alleen_IW(F!$B42,W42),IF($P42="toetsen alleen LN",toetsen_alleen_LN(F!$B42,W42),IF($P42="toetsen geen MV en SV",toetsen_geen_MV_en_SV(F!$B42,W42),IF($P42="toetsen alleen MV en SV",toetsen_alleen_MV_en_SV(F!$B42,W42),""))))))</f>
        <v/>
      </c>
      <c r="Y42" s="5" t="str">
        <f>IF($P42="toetsen",IF(OR(W42="",VLOOKUP(F!$B42,E!$B$1:$AK$300,10,FALSE)=1000000000),"",IF(W42&lt;=VLOOKUP(F!$B42,E!$B$1:$AK$300,10,FALSE),"ja","nee")),"")</f>
        <v/>
      </c>
      <c r="AA42" s="4">
        <f>IFERROR(IF(Q42="","",(IF(Q42&gt;2*VLOOKUP(F!$B42,E!$B$1:$AK$300,5,FALSE),1,0))),"")</f>
        <v>0</v>
      </c>
      <c r="AB42" s="4">
        <f>IFERROR(IF(T42="","",(IF(T42&gt;2*VLOOKUP(F!$B42,E!$B$1:$AK$300,5,FALSE),1,0))),"")</f>
        <v>0</v>
      </c>
      <c r="AC42" s="4">
        <f>IFERROR(IF(W42="","",(IF(W42&gt;2*VLOOKUP(F!$B42,E!$B$1:$AK$300,5,FALSE),1,0))),"")</f>
        <v>0</v>
      </c>
      <c r="AE42" s="4">
        <f>IFERROR(IF(Q42="","",(IF(Q42&gt;VLOOKUP(F!$B42,E!$B$1:$AK$300,6,FALSE)+VLOOKUP(F!$B42,E!$B$1:$AK$300,5,FALSE),1,0))),"")</f>
        <v>0</v>
      </c>
      <c r="AF42" s="4">
        <f>IFERROR(IF(T42="","",(IF(T42&gt;VLOOKUP(F!$B42,E!$B$1:$AK$300,6,FALSE)+VLOOKUP(F!$B42,E!$B$1:$AK$300,5,FALSE),1,0))),"")</f>
        <v>0</v>
      </c>
      <c r="AG42" s="4">
        <f>IFERROR(IF(W42="","",(IF(W42&gt;VLOOKUP(F!$B42,E!$B$1:$AK$300,6,FALSE)+VLOOKUP(F!$B42,E!$B$1:$AK$300,5,FALSE),1,0))),"")</f>
        <v>0</v>
      </c>
      <c r="AI42" s="6" t="str">
        <f t="shared" si="23"/>
        <v>0,01</v>
      </c>
      <c r="AJ42" s="6" t="str">
        <f>IF(AI42="--","--",IF(F!$D42=131,IF(I42=-1,"rg",IF(I42="","--",IF(I42*1000&lt;1,FIXED(I42*1000,3),IF(I42*1000&lt;10,FIXED(I42*1000,2),(IF(I42*1000&lt;100,FIXED(I42*1000,1),IF(I42*1000&lt;1000,FIXED(I42*1000,0),MROUND(I42*1000,10)))))))),IF(I42=-1,"rg",IF(I42="","--",IF(I42&lt;1,FIXED(I42,3),IF(I42&lt;10,FIXED(I42,2),(IF(I42&lt;100,FIXED(I42,1),IF(I42&lt;1000,FIXED(I42,0),MROUND(I42,10))))))))))</f>
        <v>rg</v>
      </c>
      <c r="AK42" s="6" t="str">
        <f t="shared" si="24"/>
        <v>0,01</v>
      </c>
      <c r="AL42" s="6" t="str">
        <f>IF(AK42="--","--",IF(F!$D42=131,IF(K42=-1,"rg",IF(K42="","--",IF(K42*1000&lt;1,FIXED(K42*1000,3),IF(K42*1000&lt;10,FIXED(K42*1000,2),(IF(K42*1000&lt;100,FIXED(K42*1000,1),IF(K42*1000&lt;1000,FIXED(K42*1000,0),MROUND(K42*1000,10)))))))),IF(K42=-1,"rg",IF(K42="","--",IF(K42&lt;1,FIXED(K42,3),IF(K42&lt;10,FIXED(K42,2),(IF(K42&lt;100,FIXED(K42,1),IF(K42&lt;1000,FIXED(K42,0),MROUND(K42,10))))))))))</f>
        <v>rg</v>
      </c>
      <c r="AM42" s="6" t="str">
        <f t="shared" si="25"/>
        <v>0,01</v>
      </c>
      <c r="AN42" s="6" t="str">
        <f>IF(AM42="--","--",IF(F!$D42=131,IF(M42=-1,"rg",IF(M42="","--",IF(M42*1000&lt;1,FIXED(M42*1000,3),IF(M42*1000&lt;10,FIXED(M42*1000,2),(IF(M42*1000&lt;100,FIXED(M42*1000,1),IF(M42*1000&lt;1000,FIXED(M42*1000,0),MROUND(M42*1000,10)))))))),IF(M42=-1,"rg",IF(M42="","--",IF(M42&lt;1,FIXED(M42,3),IF(M42&lt;10,FIXED(M42,2),(IF(M42&lt;100,FIXED(M42,1),IF(M42&lt;1000,FIXED(M42,0),MROUND(M42,10))))))))))</f>
        <v>rg</v>
      </c>
      <c r="AP42" s="6" t="str">
        <f t="shared" si="6"/>
        <v>0,01</v>
      </c>
      <c r="AQ42" s="6" t="str">
        <f t="shared" si="7"/>
        <v>&lt;</v>
      </c>
      <c r="AR42" s="6" t="str">
        <f t="shared" si="8"/>
        <v>rg</v>
      </c>
      <c r="AS42" s="6" t="str">
        <f t="shared" si="9"/>
        <v>&lt;</v>
      </c>
      <c r="AT42" s="6" t="str">
        <f t="shared" si="10"/>
        <v/>
      </c>
      <c r="AU42" s="6" t="str">
        <f>IFERROR(IF(AR42="--","",IF(HLOOKUP(SMALL($Q$4:$Y$4,3),$Q$4:$Y$501,ROW(AP42)-3,FALSE)=0,"",IF(HLOOKUP(SMALL($Q$4:$Y$4,3),$Q$4:$Y$501,ROW(AP42)-3,FALSE)="nee",VLOOKUP("De kwaliteitseis emissiearme grond (maximale concentratie) wordt overschreden.",H!$O$10:'H'!$P$59,2,FALSE),""))),"")</f>
        <v/>
      </c>
      <c r="AV42" s="6" t="str">
        <f t="shared" si="0"/>
        <v>0,01</v>
      </c>
      <c r="AW42" s="6" t="str">
        <f t="shared" si="1"/>
        <v>&lt;</v>
      </c>
      <c r="AX42" s="6" t="str">
        <f t="shared" si="2"/>
        <v>rg</v>
      </c>
      <c r="AY42" s="6" t="str">
        <f t="shared" si="11"/>
        <v>&lt;</v>
      </c>
      <c r="AZ42" s="6" t="str">
        <f t="shared" si="12"/>
        <v/>
      </c>
      <c r="BA42" s="6" t="str">
        <f>IFERROR(IF(AR42="--","",IF(HLOOKUP(SMALL($Q$4:$Y$4,6),$Q$4:$Y$501,ROW(AP42)-3,FALSE)=0,"",IF(HLOOKUP(SMALL($Q$4:$Y$4,6),$Q$4:$Y$501,ROW(AP42)-3,FALSE)="nee",VLOOKUP("De kwaliteitseis emissiearme grond (maximale concentratie) wordt overschreden.",H!$O$10:'H'!$P$59,2,FALSE),""))),"")</f>
        <v/>
      </c>
      <c r="BB42" s="6" t="str">
        <f t="shared" si="3"/>
        <v>0,01</v>
      </c>
      <c r="BC42" s="6" t="str">
        <f t="shared" si="4"/>
        <v>&lt;</v>
      </c>
      <c r="BD42" s="6" t="str">
        <f t="shared" si="5"/>
        <v>rg</v>
      </c>
      <c r="BE42" s="6" t="str">
        <f t="shared" si="13"/>
        <v>&lt;</v>
      </c>
      <c r="BF42" s="6"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6" t="str">
        <f>IF(ISNUMBER(F!E43)=FALSE,"--",IF(F!E43=0,"--",F!E43))</f>
        <v>--</v>
      </c>
      <c r="C43" s="6" t="str">
        <f>IF(B43="--","",F!F43)</f>
        <v/>
      </c>
      <c r="D43" s="6" t="str">
        <f>IF(ISNUMBER(F!G43)=FALSE,"--",IF(F!G43=0,"--",F!G43))</f>
        <v>--</v>
      </c>
      <c r="E43" s="6" t="str">
        <f>IF(D43="--","",F!H43)</f>
        <v/>
      </c>
      <c r="F43" s="6" t="str">
        <f>IF(ISNUMBER(F!I43)=FALSE,"--",IF(F!I43=0,"--",F!I43))</f>
        <v>--</v>
      </c>
      <c r="G43" s="6" t="str">
        <f>IF(F43="--","",F!J43)</f>
        <v/>
      </c>
      <c r="H43" s="6"/>
      <c r="I43" s="6" t="str">
        <f>IF(F!Z43=-1,-1,F!AV43)</f>
        <v/>
      </c>
      <c r="J43" s="6"/>
      <c r="K43" s="6" t="str">
        <f>IF(F!AC43=-1,-1,F!AX43)</f>
        <v/>
      </c>
      <c r="L43" s="6"/>
      <c r="M43" s="6" t="str">
        <f>IF(F!AF43=-1,-1,F!AZ43)</f>
        <v/>
      </c>
      <c r="N43" s="6"/>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6" t="str">
        <f t="shared" si="20"/>
        <v/>
      </c>
      <c r="R43" s="5" t="str">
        <f>IF($B43="--","",IF($P43="toetsen",toetsen(F!$B43,Q43),IF($P43="toetsen alleen IW",toetsen_alleen_IW(F!$B43,Q43),IF($P43="toetsen alleen LN",toetsen_alleen_LN(F!$B43,Q43),IF($P43="toetsen geen MV en SV",toetsen_geen_MV_en_SV(F!$B43,Q43),IF($P43="toetsen alleen MV en SV",toetsen_alleen_MV_en_SV(F!$B43,Q43),""))))))</f>
        <v/>
      </c>
      <c r="S43" s="5" t="str">
        <f>IF($P43="toetsen",IF(OR(Q43="",VLOOKUP(F!$B43,E!$B$1:$AK$300,10,FALSE)=1000000000),"",IF(Q43&lt;=VLOOKUP(F!$B43,E!$B$1:$AK$300,10,FALSE),"ja","nee")),"")</f>
        <v/>
      </c>
      <c r="T43" s="87" t="str">
        <f t="shared" si="21"/>
        <v/>
      </c>
      <c r="U43" s="5" t="str">
        <f>IF($D43="--","",IF($P43="toetsen",toetsen(F!$B43,T43),IF($P43="toetsen alleen IW",toetsen_alleen_IW(F!$B43,T43),IF($P43="toetsen alleen LN",toetsen_alleen_LN(F!$B43,T43),IF($P43="toetsen geen MV en SV",toetsen_geen_MV_en_SV(F!$B43,T43),IF($P43="toetsen alleen MV en SV",toetsen_alleen_MV_en_SV(F!$B43,T43),""))))))</f>
        <v/>
      </c>
      <c r="V43" s="5" t="str">
        <f>IF($P43="toetsen",IF(OR(T43="",VLOOKUP(F!$B43,E!$B$1:$AK$300,10,FALSE)=1000000000),"",IF(T43&lt;=VLOOKUP(F!$B43,E!$B$1:$AK$300,10,FALSE),"ja","nee")),"")</f>
        <v/>
      </c>
      <c r="W43" s="6" t="str">
        <f t="shared" si="22"/>
        <v/>
      </c>
      <c r="X43" s="5" t="str">
        <f>IF($F43="--","",IF($P43="toetsen",toetsen(F!$B43,W43),IF($P43="toetsen alleen IW",toetsen_alleen_IW(F!$B43,W43),IF($P43="toetsen alleen LN",toetsen_alleen_LN(F!$B43,W43),IF($P43="toetsen geen MV en SV",toetsen_geen_MV_en_SV(F!$B43,W43),IF($P43="toetsen alleen MV en SV",toetsen_alleen_MV_en_SV(F!$B43,W43),""))))))</f>
        <v/>
      </c>
      <c r="Y43" s="5" t="str">
        <f>IF($P43="toetsen",IF(OR(W43="",VLOOKUP(F!$B43,E!$B$1:$AK$300,10,FALSE)=1000000000),"",IF(W43&lt;=VLOOKUP(F!$B43,E!$B$1:$AK$300,10,FALSE),"ja","nee")),"")</f>
        <v/>
      </c>
      <c r="AA43" s="4"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6" t="str">
        <f t="shared" si="23"/>
        <v>--</v>
      </c>
      <c r="AJ43" s="6" t="str">
        <f>IF(AI43="--","--",IF(F!$D43=131,IF(I43=-1,"rg",IF(I43="","--",IF(I43*1000&lt;1,FIXED(I43*1000,3),IF(I43*1000&lt;10,FIXED(I43*1000,2),(IF(I43*1000&lt;100,FIXED(I43*1000,1),IF(I43*1000&lt;1000,FIXED(I43*1000,0),MROUND(I43*1000,10)))))))),IF(I43=-1,"rg",IF(I43="","--",IF(I43&lt;1,FIXED(I43,3),IF(I43&lt;10,FIXED(I43,2),(IF(I43&lt;100,FIXED(I43,1),IF(I43&lt;1000,FIXED(I43,0),MROUND(I43,10))))))))))</f>
        <v>--</v>
      </c>
      <c r="AK43" s="6" t="str">
        <f t="shared" si="24"/>
        <v>--</v>
      </c>
      <c r="AL43" s="6" t="str">
        <f>IF(AK43="--","--",IF(F!$D43=131,IF(K43=-1,"rg",IF(K43="","--",IF(K43*1000&lt;1,FIXED(K43*1000,3),IF(K43*1000&lt;10,FIXED(K43*1000,2),(IF(K43*1000&lt;100,FIXED(K43*1000,1),IF(K43*1000&lt;1000,FIXED(K43*1000,0),MROUND(K43*1000,10)))))))),IF(K43=-1,"rg",IF(K43="","--",IF(K43&lt;1,FIXED(K43,3),IF(K43&lt;10,FIXED(K43,2),(IF(K43&lt;100,FIXED(K43,1),IF(K43&lt;1000,FIXED(K43,0),MROUND(K43,10))))))))))</f>
        <v>--</v>
      </c>
      <c r="AM43" s="6" t="str">
        <f t="shared" si="25"/>
        <v>--</v>
      </c>
      <c r="AN43" s="6" t="str">
        <f>IF(AM43="--","--",IF(F!$D43=131,IF(M43=-1,"rg",IF(M43="","--",IF(M43*1000&lt;1,FIXED(M43*1000,3),IF(M43*1000&lt;10,FIXED(M43*1000,2),(IF(M43*1000&lt;100,FIXED(M43*1000,1),IF(M43*1000&lt;1000,FIXED(M43*1000,0),MROUND(M43*1000,10)))))))),IF(M43=-1,"rg",IF(M43="","--",IF(M43&lt;1,FIXED(M43,3),IF(M43&lt;10,FIXED(M43,2),(IF(M43&lt;100,FIXED(M43,1),IF(M43&lt;1000,FIXED(M43,0),MROUND(M43,10))))))))))</f>
        <v>--</v>
      </c>
      <c r="AP43" s="6" t="str">
        <f t="shared" si="6"/>
        <v>--</v>
      </c>
      <c r="AQ43" s="6" t="str">
        <f t="shared" si="7"/>
        <v/>
      </c>
      <c r="AR43" s="6" t="str">
        <f t="shared" si="8"/>
        <v>--</v>
      </c>
      <c r="AS43" s="6" t="str">
        <f t="shared" si="9"/>
        <v/>
      </c>
      <c r="AT43" s="6" t="str">
        <f t="shared" si="10"/>
        <v/>
      </c>
      <c r="AU43" s="6" t="str">
        <f>IFERROR(IF(AR43="--","",IF(HLOOKUP(SMALL($Q$4:$Y$4,3),$Q$4:$Y$501,ROW(AP43)-3,FALSE)=0,"",IF(HLOOKUP(SMALL($Q$4:$Y$4,3),$Q$4:$Y$501,ROW(AP43)-3,FALSE)="nee",VLOOKUP("De kwaliteitseis emissiearme grond (maximale concentratie) wordt overschreden.",H!$O$10:'H'!$P$59,2,FALSE),""))),"")</f>
        <v/>
      </c>
      <c r="AV43" s="6" t="str">
        <f t="shared" si="0"/>
        <v>--</v>
      </c>
      <c r="AW43" s="6" t="str">
        <f t="shared" si="1"/>
        <v/>
      </c>
      <c r="AX43" s="6" t="str">
        <f t="shared" si="2"/>
        <v>--</v>
      </c>
      <c r="AY43" s="6" t="str">
        <f t="shared" si="11"/>
        <v/>
      </c>
      <c r="AZ43" s="6" t="str">
        <f t="shared" si="12"/>
        <v/>
      </c>
      <c r="BA43" s="6" t="str">
        <f>IFERROR(IF(AR43="--","",IF(HLOOKUP(SMALL($Q$4:$Y$4,6),$Q$4:$Y$501,ROW(AP43)-3,FALSE)=0,"",IF(HLOOKUP(SMALL($Q$4:$Y$4,6),$Q$4:$Y$501,ROW(AP43)-3,FALSE)="nee",VLOOKUP("De kwaliteitseis emissiearme grond (maximale concentratie) wordt overschreden.",H!$O$10:'H'!$P$59,2,FALSE),""))),"")</f>
        <v/>
      </c>
      <c r="BB43" s="6" t="str">
        <f t="shared" si="3"/>
        <v>--</v>
      </c>
      <c r="BC43" s="6" t="str">
        <f t="shared" si="4"/>
        <v/>
      </c>
      <c r="BD43" s="6" t="str">
        <f t="shared" si="5"/>
        <v>--</v>
      </c>
      <c r="BE43" s="6" t="str">
        <f t="shared" si="13"/>
        <v/>
      </c>
      <c r="BF43" s="6"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6" t="str">
        <f>IF(ISNUMBER(F!E44)=FALSE,"--",IF(F!E44=0,"--",F!E44))</f>
        <v>--</v>
      </c>
      <c r="C44" s="6" t="str">
        <f>IF(B44="--","",F!F44)</f>
        <v/>
      </c>
      <c r="D44" s="6" t="str">
        <f>IF(ISNUMBER(F!G44)=FALSE,"--",IF(F!G44=0,"--",F!G44))</f>
        <v>--</v>
      </c>
      <c r="E44" s="6" t="str">
        <f>IF(D44="--","",F!H44)</f>
        <v/>
      </c>
      <c r="F44" s="6" t="str">
        <f>IF(ISNUMBER(F!I44)=FALSE,"--",IF(F!I44=0,"--",F!I44))</f>
        <v>--</v>
      </c>
      <c r="G44" s="6" t="str">
        <f>IF(F44="--","",F!J44)</f>
        <v/>
      </c>
      <c r="H44" s="6"/>
      <c r="I44" s="6" t="str">
        <f>IF(F!Z44=-1,-1,F!AV44)</f>
        <v/>
      </c>
      <c r="J44" s="6"/>
      <c r="K44" s="6" t="str">
        <f>IF(F!AC44=-1,-1,F!AX44)</f>
        <v/>
      </c>
      <c r="L44" s="6"/>
      <c r="M44" s="6" t="str">
        <f>IF(F!AF44=-1,-1,F!AZ44)</f>
        <v/>
      </c>
      <c r="N44" s="6"/>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6" t="str">
        <f t="shared" si="20"/>
        <v/>
      </c>
      <c r="R44" s="5" t="str">
        <f>IF($B44="--","",IF($P44="toetsen",toetsen(F!$B44,Q44),IF($P44="toetsen alleen IW",toetsen_alleen_IW(F!$B44,Q44),IF($P44="toetsen alleen LN",toetsen_alleen_LN(F!$B44,Q44),IF($P44="toetsen geen MV en SV",toetsen_geen_MV_en_SV(F!$B44,Q44),IF($P44="toetsen alleen MV en SV",toetsen_alleen_MV_en_SV(F!$B44,Q44),""))))))</f>
        <v/>
      </c>
      <c r="S44" s="5" t="str">
        <f>IF($P44="toetsen",IF(OR(Q44="",VLOOKUP(F!$B44,E!$B$1:$AK$300,10,FALSE)=1000000000),"",IF(Q44&lt;=VLOOKUP(F!$B44,E!$B$1:$AK$300,10,FALSE),"ja","nee")),"")</f>
        <v/>
      </c>
      <c r="T44" s="87" t="str">
        <f t="shared" si="21"/>
        <v/>
      </c>
      <c r="U44" s="5" t="str">
        <f>IF($D44="--","",IF($P44="toetsen",toetsen(F!$B44,T44),IF($P44="toetsen alleen IW",toetsen_alleen_IW(F!$B44,T44),IF($P44="toetsen alleen LN",toetsen_alleen_LN(F!$B44,T44),IF($P44="toetsen geen MV en SV",toetsen_geen_MV_en_SV(F!$B44,T44),IF($P44="toetsen alleen MV en SV",toetsen_alleen_MV_en_SV(F!$B44,T44),""))))))</f>
        <v/>
      </c>
      <c r="V44" s="5" t="str">
        <f>IF($P44="toetsen",IF(OR(T44="",VLOOKUP(F!$B44,E!$B$1:$AK$300,10,FALSE)=1000000000),"",IF(T44&lt;=VLOOKUP(F!$B44,E!$B$1:$AK$300,10,FALSE),"ja","nee")),"")</f>
        <v/>
      </c>
      <c r="W44" s="6" t="str">
        <f t="shared" si="22"/>
        <v/>
      </c>
      <c r="X44" s="5" t="str">
        <f>IF($F44="--","",IF($P44="toetsen",toetsen(F!$B44,W44),IF($P44="toetsen alleen IW",toetsen_alleen_IW(F!$B44,W44),IF($P44="toetsen alleen LN",toetsen_alleen_LN(F!$B44,W44),IF($P44="toetsen geen MV en SV",toetsen_geen_MV_en_SV(F!$B44,W44),IF($P44="toetsen alleen MV en SV",toetsen_alleen_MV_en_SV(F!$B44,W44),""))))))</f>
        <v/>
      </c>
      <c r="Y44" s="5" t="str">
        <f>IF($P44="toetsen",IF(OR(W44="",VLOOKUP(F!$B44,E!$B$1:$AK$300,10,FALSE)=1000000000),"",IF(W44&lt;=VLOOKUP(F!$B44,E!$B$1:$AK$300,10,FALSE),"ja","nee")),"")</f>
        <v/>
      </c>
      <c r="AA44" s="4"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6" t="str">
        <f t="shared" si="23"/>
        <v>--</v>
      </c>
      <c r="AJ44" s="6" t="str">
        <f>IF(AI44="--","--",IF(F!$D44=131,IF(I44=-1,"rg",IF(I44="","--",IF(I44*1000&lt;1,FIXED(I44*1000,3),IF(I44*1000&lt;10,FIXED(I44*1000,2),(IF(I44*1000&lt;100,FIXED(I44*1000,1),IF(I44*1000&lt;1000,FIXED(I44*1000,0),MROUND(I44*1000,10)))))))),IF(I44=-1,"rg",IF(I44="","--",IF(I44&lt;1,FIXED(I44,3),IF(I44&lt;10,FIXED(I44,2),(IF(I44&lt;100,FIXED(I44,1),IF(I44&lt;1000,FIXED(I44,0),MROUND(I44,10))))))))))</f>
        <v>--</v>
      </c>
      <c r="AK44" s="6" t="str">
        <f t="shared" si="24"/>
        <v>--</v>
      </c>
      <c r="AL44" s="6" t="str">
        <f>IF(AK44="--","--",IF(F!$D44=131,IF(K44=-1,"rg",IF(K44="","--",IF(K44*1000&lt;1,FIXED(K44*1000,3),IF(K44*1000&lt;10,FIXED(K44*1000,2),(IF(K44*1000&lt;100,FIXED(K44*1000,1),IF(K44*1000&lt;1000,FIXED(K44*1000,0),MROUND(K44*1000,10)))))))),IF(K44=-1,"rg",IF(K44="","--",IF(K44&lt;1,FIXED(K44,3),IF(K44&lt;10,FIXED(K44,2),(IF(K44&lt;100,FIXED(K44,1),IF(K44&lt;1000,FIXED(K44,0),MROUND(K44,10))))))))))</f>
        <v>--</v>
      </c>
      <c r="AM44" s="6" t="str">
        <f t="shared" si="25"/>
        <v>--</v>
      </c>
      <c r="AN44" s="6" t="str">
        <f>IF(AM44="--","--",IF(F!$D44=131,IF(M44=-1,"rg",IF(M44="","--",IF(M44*1000&lt;1,FIXED(M44*1000,3),IF(M44*1000&lt;10,FIXED(M44*1000,2),(IF(M44*1000&lt;100,FIXED(M44*1000,1),IF(M44*1000&lt;1000,FIXED(M44*1000,0),MROUND(M44*1000,10)))))))),IF(M44=-1,"rg",IF(M44="","--",IF(M44&lt;1,FIXED(M44,3),IF(M44&lt;10,FIXED(M44,2),(IF(M44&lt;100,FIXED(M44,1),IF(M44&lt;1000,FIXED(M44,0),MROUND(M44,10))))))))))</f>
        <v>--</v>
      </c>
      <c r="AP44" s="6" t="str">
        <f t="shared" si="6"/>
        <v>--</v>
      </c>
      <c r="AQ44" s="6" t="str">
        <f t="shared" si="7"/>
        <v/>
      </c>
      <c r="AR44" s="6" t="str">
        <f t="shared" si="8"/>
        <v>--</v>
      </c>
      <c r="AS44" s="6" t="str">
        <f t="shared" si="9"/>
        <v/>
      </c>
      <c r="AT44" s="6" t="str">
        <f t="shared" si="10"/>
        <v/>
      </c>
      <c r="AU44" s="6" t="str">
        <f>IFERROR(IF(AR44="--","",IF(HLOOKUP(SMALL($Q$4:$Y$4,3),$Q$4:$Y$501,ROW(AP44)-3,FALSE)=0,"",IF(HLOOKUP(SMALL($Q$4:$Y$4,3),$Q$4:$Y$501,ROW(AP44)-3,FALSE)="nee",VLOOKUP("De kwaliteitseis emissiearme grond (maximale concentratie) wordt overschreden.",H!$O$10:'H'!$P$59,2,FALSE),""))),"")</f>
        <v/>
      </c>
      <c r="AV44" s="6" t="str">
        <f t="shared" si="0"/>
        <v>--</v>
      </c>
      <c r="AW44" s="6" t="str">
        <f t="shared" si="1"/>
        <v/>
      </c>
      <c r="AX44" s="6" t="str">
        <f t="shared" si="2"/>
        <v>--</v>
      </c>
      <c r="AY44" s="6" t="str">
        <f t="shared" si="11"/>
        <v/>
      </c>
      <c r="AZ44" s="6" t="str">
        <f t="shared" si="12"/>
        <v/>
      </c>
      <c r="BA44" s="6" t="str">
        <f>IFERROR(IF(AR44="--","",IF(HLOOKUP(SMALL($Q$4:$Y$4,6),$Q$4:$Y$501,ROW(AP44)-3,FALSE)=0,"",IF(HLOOKUP(SMALL($Q$4:$Y$4,6),$Q$4:$Y$501,ROW(AP44)-3,FALSE)="nee",VLOOKUP("De kwaliteitseis emissiearme grond (maximale concentratie) wordt overschreden.",H!$O$10:'H'!$P$59,2,FALSE),""))),"")</f>
        <v/>
      </c>
      <c r="BB44" s="6" t="str">
        <f t="shared" si="3"/>
        <v>--</v>
      </c>
      <c r="BC44" s="6" t="str">
        <f t="shared" si="4"/>
        <v/>
      </c>
      <c r="BD44" s="6" t="str">
        <f t="shared" si="5"/>
        <v>--</v>
      </c>
      <c r="BE44" s="6" t="str">
        <f t="shared" si="13"/>
        <v/>
      </c>
      <c r="BF44" s="6"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6" t="str">
        <f>IF(ISNUMBER(F!E45)=FALSE,"--",IF(F!E45=0,"--",F!E45))</f>
        <v>--</v>
      </c>
      <c r="C45" s="6" t="str">
        <f>IF(B45="--","",F!F45)</f>
        <v/>
      </c>
      <c r="D45" s="6" t="str">
        <f>IF(ISNUMBER(F!G45)=FALSE,"--",IF(F!G45=0,"--",F!G45))</f>
        <v>--</v>
      </c>
      <c r="E45" s="6" t="str">
        <f>IF(D45="--","",F!H45)</f>
        <v/>
      </c>
      <c r="F45" s="6" t="str">
        <f>IF(ISNUMBER(F!I45)=FALSE,"--",IF(F!I45=0,"--",F!I45))</f>
        <v>--</v>
      </c>
      <c r="G45" s="6" t="str">
        <f>IF(F45="--","",F!J45)</f>
        <v/>
      </c>
      <c r="H45" s="6"/>
      <c r="I45" s="6" t="str">
        <f>IF(F!Z45=-1,-1,F!AV45)</f>
        <v/>
      </c>
      <c r="J45" s="6"/>
      <c r="K45" s="6" t="str">
        <f>IF(F!AC45=-1,-1,F!AX45)</f>
        <v/>
      </c>
      <c r="L45" s="6"/>
      <c r="M45" s="6" t="str">
        <f>IF(F!AF45=-1,-1,F!AZ45)</f>
        <v/>
      </c>
      <c r="N45" s="6"/>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6" t="str">
        <f t="shared" si="20"/>
        <v/>
      </c>
      <c r="R45" s="5" t="str">
        <f>IF($B45="--","",IF($P45="toetsen",toetsen(F!$B45,Q45),IF($P45="toetsen alleen IW",toetsen_alleen_IW(F!$B45,Q45),IF($P45="toetsen alleen LN",toetsen_alleen_LN(F!$B45,Q45),IF($P45="toetsen geen MV en SV",toetsen_geen_MV_en_SV(F!$B45,Q45),IF($P45="toetsen alleen MV en SV",toetsen_alleen_MV_en_SV(F!$B45,Q45),""))))))</f>
        <v/>
      </c>
      <c r="S45" s="5" t="str">
        <f>IF($P45="toetsen",IF(OR(Q45="",VLOOKUP(F!$B45,E!$B$1:$AK$300,10,FALSE)=1000000000),"",IF(Q45&lt;=VLOOKUP(F!$B45,E!$B$1:$AK$300,10,FALSE),"ja","nee")),"")</f>
        <v/>
      </c>
      <c r="T45" s="87" t="str">
        <f t="shared" si="21"/>
        <v/>
      </c>
      <c r="U45" s="5" t="str">
        <f>IF($D45="--","",IF($P45="toetsen",toetsen(F!$B45,T45),IF($P45="toetsen alleen IW",toetsen_alleen_IW(F!$B45,T45),IF($P45="toetsen alleen LN",toetsen_alleen_LN(F!$B45,T45),IF($P45="toetsen geen MV en SV",toetsen_geen_MV_en_SV(F!$B45,T45),IF($P45="toetsen alleen MV en SV",toetsen_alleen_MV_en_SV(F!$B45,T45),""))))))</f>
        <v/>
      </c>
      <c r="V45" s="5" t="str">
        <f>IF($P45="toetsen",IF(OR(T45="",VLOOKUP(F!$B45,E!$B$1:$AK$300,10,FALSE)=1000000000),"",IF(T45&lt;=VLOOKUP(F!$B45,E!$B$1:$AK$300,10,FALSE),"ja","nee")),"")</f>
        <v/>
      </c>
      <c r="W45" s="6" t="str">
        <f t="shared" si="22"/>
        <v/>
      </c>
      <c r="X45" s="5" t="str">
        <f>IF($F45="--","",IF($P45="toetsen",toetsen(F!$B45,W45),IF($P45="toetsen alleen IW",toetsen_alleen_IW(F!$B45,W45),IF($P45="toetsen alleen LN",toetsen_alleen_LN(F!$B45,W45),IF($P45="toetsen geen MV en SV",toetsen_geen_MV_en_SV(F!$B45,W45),IF($P45="toetsen alleen MV en SV",toetsen_alleen_MV_en_SV(F!$B45,W45),""))))))</f>
        <v/>
      </c>
      <c r="Y45" s="5" t="str">
        <f>IF($P45="toetsen",IF(OR(W45="",VLOOKUP(F!$B45,E!$B$1:$AK$300,10,FALSE)=1000000000),"",IF(W45&lt;=VLOOKUP(F!$B45,E!$B$1:$AK$300,10,FALSE),"ja","nee")),"")</f>
        <v/>
      </c>
      <c r="AA45" s="4"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6" t="str">
        <f t="shared" si="23"/>
        <v>--</v>
      </c>
      <c r="AJ45" s="6" t="str">
        <f>IF(AI45="--","--",IF(F!$D45=131,IF(I45=-1,"rg",IF(I45="","--",IF(I45*1000&lt;1,FIXED(I45*1000,3),IF(I45*1000&lt;10,FIXED(I45*1000,2),(IF(I45*1000&lt;100,FIXED(I45*1000,1),IF(I45*1000&lt;1000,FIXED(I45*1000,0),MROUND(I45*1000,10)))))))),IF(I45=-1,"rg",IF(I45="","--",IF(I45&lt;1,FIXED(I45,3),IF(I45&lt;10,FIXED(I45,2),(IF(I45&lt;100,FIXED(I45,1),IF(I45&lt;1000,FIXED(I45,0),MROUND(I45,10))))))))))</f>
        <v>--</v>
      </c>
      <c r="AK45" s="6" t="str">
        <f t="shared" si="24"/>
        <v>--</v>
      </c>
      <c r="AL45" s="6" t="str">
        <f>IF(AK45="--","--",IF(F!$D45=131,IF(K45=-1,"rg",IF(K45="","--",IF(K45*1000&lt;1,FIXED(K45*1000,3),IF(K45*1000&lt;10,FIXED(K45*1000,2),(IF(K45*1000&lt;100,FIXED(K45*1000,1),IF(K45*1000&lt;1000,FIXED(K45*1000,0),MROUND(K45*1000,10)))))))),IF(K45=-1,"rg",IF(K45="","--",IF(K45&lt;1,FIXED(K45,3),IF(K45&lt;10,FIXED(K45,2),(IF(K45&lt;100,FIXED(K45,1),IF(K45&lt;1000,FIXED(K45,0),MROUND(K45,10))))))))))</f>
        <v>--</v>
      </c>
      <c r="AM45" s="6" t="str">
        <f t="shared" si="25"/>
        <v>--</v>
      </c>
      <c r="AN45" s="6" t="str">
        <f>IF(AM45="--","--",IF(F!$D45=131,IF(M45=-1,"rg",IF(M45="","--",IF(M45*1000&lt;1,FIXED(M45*1000,3),IF(M45*1000&lt;10,FIXED(M45*1000,2),(IF(M45*1000&lt;100,FIXED(M45*1000,1),IF(M45*1000&lt;1000,FIXED(M45*1000,0),MROUND(M45*1000,10)))))))),IF(M45=-1,"rg",IF(M45="","--",IF(M45&lt;1,FIXED(M45,3),IF(M45&lt;10,FIXED(M45,2),(IF(M45&lt;100,FIXED(M45,1),IF(M45&lt;1000,FIXED(M45,0),MROUND(M45,10))))))))))</f>
        <v>--</v>
      </c>
      <c r="AP45" s="6" t="str">
        <f t="shared" si="6"/>
        <v>--</v>
      </c>
      <c r="AQ45" s="6" t="str">
        <f t="shared" si="7"/>
        <v/>
      </c>
      <c r="AR45" s="6" t="str">
        <f t="shared" si="8"/>
        <v>--</v>
      </c>
      <c r="AS45" s="6" t="str">
        <f t="shared" si="9"/>
        <v/>
      </c>
      <c r="AT45" s="6" t="str">
        <f t="shared" si="10"/>
        <v/>
      </c>
      <c r="AU45" s="6" t="str">
        <f>IFERROR(IF(AR45="--","",IF(HLOOKUP(SMALL($Q$4:$Y$4,3),$Q$4:$Y$501,ROW(AP45)-3,FALSE)=0,"",IF(HLOOKUP(SMALL($Q$4:$Y$4,3),$Q$4:$Y$501,ROW(AP45)-3,FALSE)="nee",VLOOKUP("De kwaliteitseis emissiearme grond (maximale concentratie) wordt overschreden.",H!$O$10:'H'!$P$59,2,FALSE),""))),"")</f>
        <v/>
      </c>
      <c r="AV45" s="6" t="str">
        <f t="shared" si="0"/>
        <v>--</v>
      </c>
      <c r="AW45" s="6" t="str">
        <f t="shared" si="1"/>
        <v/>
      </c>
      <c r="AX45" s="6" t="str">
        <f t="shared" si="2"/>
        <v>--</v>
      </c>
      <c r="AY45" s="6" t="str">
        <f t="shared" si="11"/>
        <v/>
      </c>
      <c r="AZ45" s="6" t="str">
        <f t="shared" si="12"/>
        <v/>
      </c>
      <c r="BA45" s="6" t="str">
        <f>IFERROR(IF(AR45="--","",IF(HLOOKUP(SMALL($Q$4:$Y$4,6),$Q$4:$Y$501,ROW(AP45)-3,FALSE)=0,"",IF(HLOOKUP(SMALL($Q$4:$Y$4,6),$Q$4:$Y$501,ROW(AP45)-3,FALSE)="nee",VLOOKUP("De kwaliteitseis emissiearme grond (maximale concentratie) wordt overschreden.",H!$O$10:'H'!$P$59,2,FALSE),""))),"")</f>
        <v/>
      </c>
      <c r="BB45" s="6" t="str">
        <f t="shared" si="3"/>
        <v>--</v>
      </c>
      <c r="BC45" s="6" t="str">
        <f t="shared" si="4"/>
        <v/>
      </c>
      <c r="BD45" s="6" t="str">
        <f t="shared" si="5"/>
        <v>--</v>
      </c>
      <c r="BE45" s="6" t="str">
        <f t="shared" si="13"/>
        <v/>
      </c>
      <c r="BF45" s="6"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6" t="str">
        <f>IF(ISNUMBER(F!E46)=FALSE,"--",IF(F!E46=0,"--",F!E46))</f>
        <v>--</v>
      </c>
      <c r="C46" s="6" t="str">
        <f>IF(B46="--","",F!F46)</f>
        <v/>
      </c>
      <c r="D46" s="6" t="str">
        <f>IF(ISNUMBER(F!G46)=FALSE,"--",IF(F!G46=0,"--",F!G46))</f>
        <v>--</v>
      </c>
      <c r="E46" s="6" t="str">
        <f>IF(D46="--","",F!H46)</f>
        <v/>
      </c>
      <c r="F46" s="6" t="str">
        <f>IF(ISNUMBER(F!I46)=FALSE,"--",IF(F!I46=0,"--",F!I46))</f>
        <v>--</v>
      </c>
      <c r="G46" s="6" t="str">
        <f>IF(F46="--","",F!J46)</f>
        <v/>
      </c>
      <c r="H46" s="6"/>
      <c r="I46" s="6" t="str">
        <f>IF(F!Z46=-1,-1,F!AV46)</f>
        <v/>
      </c>
      <c r="J46" s="6"/>
      <c r="K46" s="6" t="str">
        <f>IF(F!AC46=-1,-1,F!AX46)</f>
        <v/>
      </c>
      <c r="L46" s="6"/>
      <c r="M46" s="6" t="str">
        <f>IF(F!AF46=-1,-1,F!AZ46)</f>
        <v/>
      </c>
      <c r="N46" s="6"/>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6" t="str">
        <f t="shared" si="20"/>
        <v/>
      </c>
      <c r="R46" s="5" t="str">
        <f>IF($B46="--","",IF($P46="toetsen",toetsen(F!$B46,Q46),IF($P46="toetsen alleen IW",toetsen_alleen_IW(F!$B46,Q46),IF($P46="toetsen alleen LN",toetsen_alleen_LN(F!$B46,Q46),IF($P46="toetsen geen MV en SV",toetsen_geen_MV_en_SV(F!$B46,Q46),IF($P46="toetsen alleen MV en SV",toetsen_alleen_MV_en_SV(F!$B46,Q46),""))))))</f>
        <v/>
      </c>
      <c r="S46" s="5" t="str">
        <f>IF($P46="toetsen",IF(OR(Q46="",VLOOKUP(F!$B46,E!$B$1:$AK$300,10,FALSE)=1000000000),"",IF(Q46&lt;=VLOOKUP(F!$B46,E!$B$1:$AK$300,10,FALSE),"ja","nee")),"")</f>
        <v/>
      </c>
      <c r="T46" s="87" t="str">
        <f t="shared" si="21"/>
        <v/>
      </c>
      <c r="U46" s="5" t="str">
        <f>IF($D46="--","",IF($P46="toetsen",toetsen(F!$B46,T46),IF($P46="toetsen alleen IW",toetsen_alleen_IW(F!$B46,T46),IF($P46="toetsen alleen LN",toetsen_alleen_LN(F!$B46,T46),IF($P46="toetsen geen MV en SV",toetsen_geen_MV_en_SV(F!$B46,T46),IF($P46="toetsen alleen MV en SV",toetsen_alleen_MV_en_SV(F!$B46,T46),""))))))</f>
        <v/>
      </c>
      <c r="V46" s="5" t="str">
        <f>IF($P46="toetsen",IF(OR(T46="",VLOOKUP(F!$B46,E!$B$1:$AK$300,10,FALSE)=1000000000),"",IF(T46&lt;=VLOOKUP(F!$B46,E!$B$1:$AK$300,10,FALSE),"ja","nee")),"")</f>
        <v/>
      </c>
      <c r="W46" s="6" t="str">
        <f t="shared" si="22"/>
        <v/>
      </c>
      <c r="X46" s="5" t="str">
        <f>IF($F46="--","",IF($P46="toetsen",toetsen(F!$B46,W46),IF($P46="toetsen alleen IW",toetsen_alleen_IW(F!$B46,W46),IF($P46="toetsen alleen LN",toetsen_alleen_LN(F!$B46,W46),IF($P46="toetsen geen MV en SV",toetsen_geen_MV_en_SV(F!$B46,W46),IF($P46="toetsen alleen MV en SV",toetsen_alleen_MV_en_SV(F!$B46,W46),""))))))</f>
        <v/>
      </c>
      <c r="Y46" s="5" t="str">
        <f>IF($P46="toetsen",IF(OR(W46="",VLOOKUP(F!$B46,E!$B$1:$AK$300,10,FALSE)=1000000000),"",IF(W46&lt;=VLOOKUP(F!$B46,E!$B$1:$AK$300,10,FALSE),"ja","nee")),"")</f>
        <v/>
      </c>
      <c r="AA46" s="4"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6" t="str">
        <f t="shared" si="23"/>
        <v>--</v>
      </c>
      <c r="AJ46" s="6" t="str">
        <f>IF(AI46="--","--",IF(F!$D46=131,IF(I46=-1,"rg",IF(I46="","--",IF(I46*1000&lt;1,FIXED(I46*1000,3),IF(I46*1000&lt;10,FIXED(I46*1000,2),(IF(I46*1000&lt;100,FIXED(I46*1000,1),IF(I46*1000&lt;1000,FIXED(I46*1000,0),MROUND(I46*1000,10)))))))),IF(I46=-1,"rg",IF(I46="","--",IF(I46&lt;1,FIXED(I46,3),IF(I46&lt;10,FIXED(I46,2),(IF(I46&lt;100,FIXED(I46,1),IF(I46&lt;1000,FIXED(I46,0),MROUND(I46,10))))))))))</f>
        <v>--</v>
      </c>
      <c r="AK46" s="6" t="str">
        <f t="shared" si="24"/>
        <v>--</v>
      </c>
      <c r="AL46" s="6" t="str">
        <f>IF(AK46="--","--",IF(F!$D46=131,IF(K46=-1,"rg",IF(K46="","--",IF(K46*1000&lt;1,FIXED(K46*1000,3),IF(K46*1000&lt;10,FIXED(K46*1000,2),(IF(K46*1000&lt;100,FIXED(K46*1000,1),IF(K46*1000&lt;1000,FIXED(K46*1000,0),MROUND(K46*1000,10)))))))),IF(K46=-1,"rg",IF(K46="","--",IF(K46&lt;1,FIXED(K46,3),IF(K46&lt;10,FIXED(K46,2),(IF(K46&lt;100,FIXED(K46,1),IF(K46&lt;1000,FIXED(K46,0),MROUND(K46,10))))))))))</f>
        <v>--</v>
      </c>
      <c r="AM46" s="6" t="str">
        <f t="shared" si="25"/>
        <v>--</v>
      </c>
      <c r="AN46" s="6" t="str">
        <f>IF(AM46="--","--",IF(F!$D46=131,IF(M46=-1,"rg",IF(M46="","--",IF(M46*1000&lt;1,FIXED(M46*1000,3),IF(M46*1000&lt;10,FIXED(M46*1000,2),(IF(M46*1000&lt;100,FIXED(M46*1000,1),IF(M46*1000&lt;1000,FIXED(M46*1000,0),MROUND(M46*1000,10)))))))),IF(M46=-1,"rg",IF(M46="","--",IF(M46&lt;1,FIXED(M46,3),IF(M46&lt;10,FIXED(M46,2),(IF(M46&lt;100,FIXED(M46,1),IF(M46&lt;1000,FIXED(M46,0),MROUND(M46,10))))))))))</f>
        <v>--</v>
      </c>
      <c r="AP46" s="6" t="str">
        <f t="shared" si="6"/>
        <v>--</v>
      </c>
      <c r="AQ46" s="6" t="str">
        <f t="shared" si="7"/>
        <v/>
      </c>
      <c r="AR46" s="6" t="str">
        <f t="shared" si="8"/>
        <v>--</v>
      </c>
      <c r="AS46" s="6" t="str">
        <f t="shared" si="9"/>
        <v/>
      </c>
      <c r="AT46" s="6" t="str">
        <f t="shared" si="10"/>
        <v/>
      </c>
      <c r="AU46" s="6" t="str">
        <f>IFERROR(IF(AR46="--","",IF(HLOOKUP(SMALL($Q$4:$Y$4,3),$Q$4:$Y$501,ROW(AP46)-3,FALSE)=0,"",IF(HLOOKUP(SMALL($Q$4:$Y$4,3),$Q$4:$Y$501,ROW(AP46)-3,FALSE)="nee",VLOOKUP("De kwaliteitseis emissiearme grond (maximale concentratie) wordt overschreden.",H!$O$10:'H'!$P$59,2,FALSE),""))),"")</f>
        <v/>
      </c>
      <c r="AV46" s="6" t="str">
        <f t="shared" si="0"/>
        <v>--</v>
      </c>
      <c r="AW46" s="6" t="str">
        <f t="shared" si="1"/>
        <v/>
      </c>
      <c r="AX46" s="6" t="str">
        <f t="shared" si="2"/>
        <v>--</v>
      </c>
      <c r="AY46" s="6" t="str">
        <f t="shared" si="11"/>
        <v/>
      </c>
      <c r="AZ46" s="6" t="str">
        <f t="shared" si="12"/>
        <v/>
      </c>
      <c r="BA46" s="6" t="str">
        <f>IFERROR(IF(AR46="--","",IF(HLOOKUP(SMALL($Q$4:$Y$4,6),$Q$4:$Y$501,ROW(AP46)-3,FALSE)=0,"",IF(HLOOKUP(SMALL($Q$4:$Y$4,6),$Q$4:$Y$501,ROW(AP46)-3,FALSE)="nee",VLOOKUP("De kwaliteitseis emissiearme grond (maximale concentratie) wordt overschreden.",H!$O$10:'H'!$P$59,2,FALSE),""))),"")</f>
        <v/>
      </c>
      <c r="BB46" s="6" t="str">
        <f t="shared" si="3"/>
        <v>--</v>
      </c>
      <c r="BC46" s="6" t="str">
        <f t="shared" si="4"/>
        <v/>
      </c>
      <c r="BD46" s="6" t="str">
        <f t="shared" si="5"/>
        <v>--</v>
      </c>
      <c r="BE46" s="6" t="str">
        <f t="shared" si="13"/>
        <v/>
      </c>
      <c r="BF46" s="6"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6" t="str">
        <f>IF(ISNUMBER(F!E47)=FALSE,"--",IF(F!E47=0,"--",F!E47))</f>
        <v>--</v>
      </c>
      <c r="C47" s="6" t="str">
        <f>IF(B47="--","",F!F47)</f>
        <v/>
      </c>
      <c r="D47" s="6" t="str">
        <f>IF(ISNUMBER(F!G47)=FALSE,"--",IF(F!G47=0,"--",F!G47))</f>
        <v>--</v>
      </c>
      <c r="E47" s="6" t="str">
        <f>IF(D47="--","",F!H47)</f>
        <v/>
      </c>
      <c r="F47" s="6" t="str">
        <f>IF(ISNUMBER(F!I47)=FALSE,"--",IF(F!I47=0,"--",F!I47))</f>
        <v>--</v>
      </c>
      <c r="G47" s="6" t="str">
        <f>IF(F47="--","",F!J47)</f>
        <v/>
      </c>
      <c r="H47" s="6"/>
      <c r="I47" s="6" t="str">
        <f>IF(F!Z47=-1,-1,F!AV47)</f>
        <v/>
      </c>
      <c r="J47" s="6"/>
      <c r="K47" s="6" t="str">
        <f>IF(F!AC47=-1,-1,F!AX47)</f>
        <v/>
      </c>
      <c r="L47" s="6"/>
      <c r="M47" s="6" t="str">
        <f>IF(F!AF47=-1,-1,F!AZ47)</f>
        <v/>
      </c>
      <c r="N47" s="6"/>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6" t="str">
        <f t="shared" si="20"/>
        <v/>
      </c>
      <c r="R47" s="5" t="str">
        <f>IF($B47="--","",IF($P47="toetsen",toetsen(F!$B47,Q47),IF($P47="toetsen alleen IW",toetsen_alleen_IW(F!$B47,Q47),IF($P47="toetsen alleen LN",toetsen_alleen_LN(F!$B47,Q47),IF($P47="toetsen geen MV en SV",toetsen_geen_MV_en_SV(F!$B47,Q47),IF($P47="toetsen alleen MV en SV",toetsen_alleen_MV_en_SV(F!$B47,Q47),""))))))</f>
        <v/>
      </c>
      <c r="S47" s="5" t="str">
        <f>IF($P47="toetsen",IF(OR(Q47="",VLOOKUP(F!$B47,E!$B$1:$AK$300,10,FALSE)=1000000000),"",IF(Q47&lt;=VLOOKUP(F!$B47,E!$B$1:$AK$300,10,FALSE),"ja","nee")),"")</f>
        <v/>
      </c>
      <c r="T47" s="87" t="str">
        <f t="shared" si="21"/>
        <v/>
      </c>
      <c r="U47" s="5" t="str">
        <f>IF($D47="--","",IF($P47="toetsen",toetsen(F!$B47,T47),IF($P47="toetsen alleen IW",toetsen_alleen_IW(F!$B47,T47),IF($P47="toetsen alleen LN",toetsen_alleen_LN(F!$B47,T47),IF($P47="toetsen geen MV en SV",toetsen_geen_MV_en_SV(F!$B47,T47),IF($P47="toetsen alleen MV en SV",toetsen_alleen_MV_en_SV(F!$B47,T47),""))))))</f>
        <v/>
      </c>
      <c r="V47" s="5" t="str">
        <f>IF($P47="toetsen",IF(OR(T47="",VLOOKUP(F!$B47,E!$B$1:$AK$300,10,FALSE)=1000000000),"",IF(T47&lt;=VLOOKUP(F!$B47,E!$B$1:$AK$300,10,FALSE),"ja","nee")),"")</f>
        <v/>
      </c>
      <c r="W47" s="6" t="str">
        <f t="shared" si="22"/>
        <v/>
      </c>
      <c r="X47" s="5" t="str">
        <f>IF($F47="--","",IF($P47="toetsen",toetsen(F!$B47,W47),IF($P47="toetsen alleen IW",toetsen_alleen_IW(F!$B47,W47),IF($P47="toetsen alleen LN",toetsen_alleen_LN(F!$B47,W47),IF($P47="toetsen geen MV en SV",toetsen_geen_MV_en_SV(F!$B47,W47),IF($P47="toetsen alleen MV en SV",toetsen_alleen_MV_en_SV(F!$B47,W47),""))))))</f>
        <v/>
      </c>
      <c r="Y47" s="5" t="str">
        <f>IF($P47="toetsen",IF(OR(W47="",VLOOKUP(F!$B47,E!$B$1:$AK$300,10,FALSE)=1000000000),"",IF(W47&lt;=VLOOKUP(F!$B47,E!$B$1:$AK$300,10,FALSE),"ja","nee")),"")</f>
        <v/>
      </c>
      <c r="AA47" s="4"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6" t="str">
        <f t="shared" si="23"/>
        <v>--</v>
      </c>
      <c r="AJ47" s="6" t="str">
        <f>IF(AI47="--","--",IF(F!$D47=131,IF(I47=-1,"rg",IF(I47="","--",IF(I47*1000&lt;1,FIXED(I47*1000,3),IF(I47*1000&lt;10,FIXED(I47*1000,2),(IF(I47*1000&lt;100,FIXED(I47*1000,1),IF(I47*1000&lt;1000,FIXED(I47*1000,0),MROUND(I47*1000,10)))))))),IF(I47=-1,"rg",IF(I47="","--",IF(I47&lt;1,FIXED(I47,3),IF(I47&lt;10,FIXED(I47,2),(IF(I47&lt;100,FIXED(I47,1),IF(I47&lt;1000,FIXED(I47,0),MROUND(I47,10))))))))))</f>
        <v>--</v>
      </c>
      <c r="AK47" s="6" t="str">
        <f t="shared" si="24"/>
        <v>--</v>
      </c>
      <c r="AL47" s="6" t="str">
        <f>IF(AK47="--","--",IF(F!$D47=131,IF(K47=-1,"rg",IF(K47="","--",IF(K47*1000&lt;1,FIXED(K47*1000,3),IF(K47*1000&lt;10,FIXED(K47*1000,2),(IF(K47*1000&lt;100,FIXED(K47*1000,1),IF(K47*1000&lt;1000,FIXED(K47*1000,0),MROUND(K47*1000,10)))))))),IF(K47=-1,"rg",IF(K47="","--",IF(K47&lt;1,FIXED(K47,3),IF(K47&lt;10,FIXED(K47,2),(IF(K47&lt;100,FIXED(K47,1),IF(K47&lt;1000,FIXED(K47,0),MROUND(K47,10))))))))))</f>
        <v>--</v>
      </c>
      <c r="AM47" s="6" t="str">
        <f t="shared" si="25"/>
        <v>--</v>
      </c>
      <c r="AN47" s="6" t="str">
        <f>IF(AM47="--","--",IF(F!$D47=131,IF(M47=-1,"rg",IF(M47="","--",IF(M47*1000&lt;1,FIXED(M47*1000,3),IF(M47*1000&lt;10,FIXED(M47*1000,2),(IF(M47*1000&lt;100,FIXED(M47*1000,1),IF(M47*1000&lt;1000,FIXED(M47*1000,0),MROUND(M47*1000,10)))))))),IF(M47=-1,"rg",IF(M47="","--",IF(M47&lt;1,FIXED(M47,3),IF(M47&lt;10,FIXED(M47,2),(IF(M47&lt;100,FIXED(M47,1),IF(M47&lt;1000,FIXED(M47,0),MROUND(M47,10))))))))))</f>
        <v>--</v>
      </c>
      <c r="AP47" s="6" t="str">
        <f t="shared" si="6"/>
        <v>--</v>
      </c>
      <c r="AQ47" s="6" t="str">
        <f t="shared" si="7"/>
        <v/>
      </c>
      <c r="AR47" s="6" t="str">
        <f t="shared" si="8"/>
        <v>--</v>
      </c>
      <c r="AS47" s="6" t="str">
        <f t="shared" si="9"/>
        <v/>
      </c>
      <c r="AT47" s="6" t="str">
        <f t="shared" si="10"/>
        <v/>
      </c>
      <c r="AU47" s="6" t="str">
        <f>IFERROR(IF(AR47="--","",IF(HLOOKUP(SMALL($Q$4:$Y$4,3),$Q$4:$Y$501,ROW(AP47)-3,FALSE)=0,"",IF(HLOOKUP(SMALL($Q$4:$Y$4,3),$Q$4:$Y$501,ROW(AP47)-3,FALSE)="nee",VLOOKUP("De kwaliteitseis emissiearme grond (maximale concentratie) wordt overschreden.",H!$O$10:'H'!$P$59,2,FALSE),""))),"")</f>
        <v/>
      </c>
      <c r="AV47" s="6" t="str">
        <f t="shared" si="0"/>
        <v>--</v>
      </c>
      <c r="AW47" s="6" t="str">
        <f t="shared" si="1"/>
        <v/>
      </c>
      <c r="AX47" s="6" t="str">
        <f t="shared" si="2"/>
        <v>--</v>
      </c>
      <c r="AY47" s="6" t="str">
        <f t="shared" si="11"/>
        <v/>
      </c>
      <c r="AZ47" s="6" t="str">
        <f t="shared" si="12"/>
        <v/>
      </c>
      <c r="BA47" s="6" t="str">
        <f>IFERROR(IF(AR47="--","",IF(HLOOKUP(SMALL($Q$4:$Y$4,6),$Q$4:$Y$501,ROW(AP47)-3,FALSE)=0,"",IF(HLOOKUP(SMALL($Q$4:$Y$4,6),$Q$4:$Y$501,ROW(AP47)-3,FALSE)="nee",VLOOKUP("De kwaliteitseis emissiearme grond (maximale concentratie) wordt overschreden.",H!$O$10:'H'!$P$59,2,FALSE),""))),"")</f>
        <v/>
      </c>
      <c r="BB47" s="6" t="str">
        <f t="shared" si="3"/>
        <v>--</v>
      </c>
      <c r="BC47" s="6" t="str">
        <f t="shared" si="4"/>
        <v/>
      </c>
      <c r="BD47" s="6" t="str">
        <f t="shared" si="5"/>
        <v>--</v>
      </c>
      <c r="BE47" s="6" t="str">
        <f t="shared" si="13"/>
        <v/>
      </c>
      <c r="BF47" s="6"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6" t="str">
        <f>IF(ISNUMBER(F!E48)=FALSE,"--",IF(F!E48=0,"--",F!E48))</f>
        <v>--</v>
      </c>
      <c r="C48" s="6" t="str">
        <f>IF(B48="--","",F!F48)</f>
        <v/>
      </c>
      <c r="D48" s="6" t="str">
        <f>IF(ISNUMBER(F!G48)=FALSE,"--",IF(F!G48=0,"--",F!G48))</f>
        <v>--</v>
      </c>
      <c r="E48" s="6" t="str">
        <f>IF(D48="--","",F!H48)</f>
        <v/>
      </c>
      <c r="F48" s="6" t="str">
        <f>IF(ISNUMBER(F!I48)=FALSE,"--",IF(F!I48=0,"--",F!I48))</f>
        <v>--</v>
      </c>
      <c r="G48" s="6" t="str">
        <f>IF(F48="--","",F!J48)</f>
        <v/>
      </c>
      <c r="H48" s="6"/>
      <c r="I48" s="6" t="str">
        <f>IF(F!Z48=-1,-1,F!AV48)</f>
        <v/>
      </c>
      <c r="J48" s="6"/>
      <c r="K48" s="6" t="str">
        <f>IF(F!AC48=-1,-1,F!AX48)</f>
        <v/>
      </c>
      <c r="L48" s="6"/>
      <c r="M48" s="6" t="str">
        <f>IF(F!AF48=-1,-1,F!AZ48)</f>
        <v/>
      </c>
      <c r="N48" s="6"/>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6" t="str">
        <f t="shared" si="20"/>
        <v/>
      </c>
      <c r="R48" s="5" t="str">
        <f>IF($B48="--","",IF($P48="toetsen",toetsen(F!$B48,Q48),IF($P48="toetsen alleen IW",toetsen_alleen_IW(F!$B48,Q48),IF($P48="toetsen alleen LN",toetsen_alleen_LN(F!$B48,Q48),IF($P48="toetsen geen MV en SV",toetsen_geen_MV_en_SV(F!$B48,Q48),IF($P48="toetsen alleen MV en SV",toetsen_alleen_MV_en_SV(F!$B48,Q48),""))))))</f>
        <v/>
      </c>
      <c r="S48" s="5" t="str">
        <f>IF($P48="toetsen",IF(OR(Q48="",VLOOKUP(F!$B48,E!$B$1:$AK$300,10,FALSE)=1000000000),"",IF(Q48&lt;=VLOOKUP(F!$B48,E!$B$1:$AK$300,10,FALSE),"ja","nee")),"")</f>
        <v/>
      </c>
      <c r="T48" s="87" t="str">
        <f t="shared" si="21"/>
        <v/>
      </c>
      <c r="U48" s="5" t="str">
        <f>IF($D48="--","",IF($P48="toetsen",toetsen(F!$B48,T48),IF($P48="toetsen alleen IW",toetsen_alleen_IW(F!$B48,T48),IF($P48="toetsen alleen LN",toetsen_alleen_LN(F!$B48,T48),IF($P48="toetsen geen MV en SV",toetsen_geen_MV_en_SV(F!$B48,T48),IF($P48="toetsen alleen MV en SV",toetsen_alleen_MV_en_SV(F!$B48,T48),""))))))</f>
        <v/>
      </c>
      <c r="V48" s="5" t="str">
        <f>IF($P48="toetsen",IF(OR(T48="",VLOOKUP(F!$B48,E!$B$1:$AK$300,10,FALSE)=1000000000),"",IF(T48&lt;=VLOOKUP(F!$B48,E!$B$1:$AK$300,10,FALSE),"ja","nee")),"")</f>
        <v/>
      </c>
      <c r="W48" s="6" t="str">
        <f t="shared" si="22"/>
        <v/>
      </c>
      <c r="X48" s="5" t="str">
        <f>IF($F48="--","",IF($P48="toetsen",toetsen(F!$B48,W48),IF($P48="toetsen alleen IW",toetsen_alleen_IW(F!$B48,W48),IF($P48="toetsen alleen LN",toetsen_alleen_LN(F!$B48,W48),IF($P48="toetsen geen MV en SV",toetsen_geen_MV_en_SV(F!$B48,W48),IF($P48="toetsen alleen MV en SV",toetsen_alleen_MV_en_SV(F!$B48,W48),""))))))</f>
        <v/>
      </c>
      <c r="Y48" s="5" t="str">
        <f>IF($P48="toetsen",IF(OR(W48="",VLOOKUP(F!$B48,E!$B$1:$AK$300,10,FALSE)=1000000000),"",IF(W48&lt;=VLOOKUP(F!$B48,E!$B$1:$AK$300,10,FALSE),"ja","nee")),"")</f>
        <v/>
      </c>
      <c r="AA48" s="4"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6" t="str">
        <f t="shared" si="23"/>
        <v>--</v>
      </c>
      <c r="AJ48" s="6" t="str">
        <f>IF(AI48="--","--",IF(F!$D48=131,IF(I48=-1,"rg",IF(I48="","--",IF(I48*1000&lt;1,FIXED(I48*1000,3),IF(I48*1000&lt;10,FIXED(I48*1000,2),(IF(I48*1000&lt;100,FIXED(I48*1000,1),IF(I48*1000&lt;1000,FIXED(I48*1000,0),MROUND(I48*1000,10)))))))),IF(I48=-1,"rg",IF(I48="","--",IF(I48&lt;1,FIXED(I48,3),IF(I48&lt;10,FIXED(I48,2),(IF(I48&lt;100,FIXED(I48,1),IF(I48&lt;1000,FIXED(I48,0),MROUND(I48,10))))))))))</f>
        <v>--</v>
      </c>
      <c r="AK48" s="6" t="str">
        <f t="shared" si="24"/>
        <v>--</v>
      </c>
      <c r="AL48" s="6" t="str">
        <f>IF(AK48="--","--",IF(F!$D48=131,IF(K48=-1,"rg",IF(K48="","--",IF(K48*1000&lt;1,FIXED(K48*1000,3),IF(K48*1000&lt;10,FIXED(K48*1000,2),(IF(K48*1000&lt;100,FIXED(K48*1000,1),IF(K48*1000&lt;1000,FIXED(K48*1000,0),MROUND(K48*1000,10)))))))),IF(K48=-1,"rg",IF(K48="","--",IF(K48&lt;1,FIXED(K48,3),IF(K48&lt;10,FIXED(K48,2),(IF(K48&lt;100,FIXED(K48,1),IF(K48&lt;1000,FIXED(K48,0),MROUND(K48,10))))))))))</f>
        <v>--</v>
      </c>
      <c r="AM48" s="6" t="str">
        <f t="shared" si="25"/>
        <v>--</v>
      </c>
      <c r="AN48" s="6" t="str">
        <f>IF(AM48="--","--",IF(F!$D48=131,IF(M48=-1,"rg",IF(M48="","--",IF(M48*1000&lt;1,FIXED(M48*1000,3),IF(M48*1000&lt;10,FIXED(M48*1000,2),(IF(M48*1000&lt;100,FIXED(M48*1000,1),IF(M48*1000&lt;1000,FIXED(M48*1000,0),MROUND(M48*1000,10)))))))),IF(M48=-1,"rg",IF(M48="","--",IF(M48&lt;1,FIXED(M48,3),IF(M48&lt;10,FIXED(M48,2),(IF(M48&lt;100,FIXED(M48,1),IF(M48&lt;1000,FIXED(M48,0),MROUND(M48,10))))))))))</f>
        <v>--</v>
      </c>
      <c r="AP48" s="6" t="str">
        <f t="shared" si="6"/>
        <v>--</v>
      </c>
      <c r="AQ48" s="6" t="str">
        <f t="shared" si="7"/>
        <v/>
      </c>
      <c r="AR48" s="6" t="str">
        <f t="shared" si="8"/>
        <v>--</v>
      </c>
      <c r="AS48" s="6" t="str">
        <f t="shared" si="9"/>
        <v/>
      </c>
      <c r="AT48" s="6" t="str">
        <f t="shared" si="10"/>
        <v/>
      </c>
      <c r="AU48" s="6" t="str">
        <f>IFERROR(IF(AR48="--","",IF(HLOOKUP(SMALL($Q$4:$Y$4,3),$Q$4:$Y$501,ROW(AP48)-3,FALSE)=0,"",IF(HLOOKUP(SMALL($Q$4:$Y$4,3),$Q$4:$Y$501,ROW(AP48)-3,FALSE)="nee",VLOOKUP("De kwaliteitseis emissiearme grond (maximale concentratie) wordt overschreden.",H!$O$10:'H'!$P$59,2,FALSE),""))),"")</f>
        <v/>
      </c>
      <c r="AV48" s="6" t="str">
        <f t="shared" si="0"/>
        <v>--</v>
      </c>
      <c r="AW48" s="6" t="str">
        <f t="shared" si="1"/>
        <v/>
      </c>
      <c r="AX48" s="6" t="str">
        <f t="shared" si="2"/>
        <v>--</v>
      </c>
      <c r="AY48" s="6" t="str">
        <f t="shared" si="11"/>
        <v/>
      </c>
      <c r="AZ48" s="6" t="str">
        <f t="shared" si="12"/>
        <v/>
      </c>
      <c r="BA48" s="6" t="str">
        <f>IFERROR(IF(AR48="--","",IF(HLOOKUP(SMALL($Q$4:$Y$4,6),$Q$4:$Y$501,ROW(AP48)-3,FALSE)=0,"",IF(HLOOKUP(SMALL($Q$4:$Y$4,6),$Q$4:$Y$501,ROW(AP48)-3,FALSE)="nee",VLOOKUP("De kwaliteitseis emissiearme grond (maximale concentratie) wordt overschreden.",H!$O$10:'H'!$P$59,2,FALSE),""))),"")</f>
        <v/>
      </c>
      <c r="BB48" s="6" t="str">
        <f t="shared" si="3"/>
        <v>--</v>
      </c>
      <c r="BC48" s="6" t="str">
        <f t="shared" si="4"/>
        <v/>
      </c>
      <c r="BD48" s="6" t="str">
        <f t="shared" si="5"/>
        <v>--</v>
      </c>
      <c r="BE48" s="6" t="str">
        <f t="shared" si="13"/>
        <v/>
      </c>
      <c r="BF48" s="6"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6">
        <f>IF(ISNUMBER(F!E49)=FALSE,"--",IF(F!E49=0,"--",F!E49))</f>
        <v>9.9999999999999992E-2</v>
      </c>
      <c r="C49" s="6" t="str">
        <f>IF(B49="--","",F!F49)</f>
        <v>&lt;</v>
      </c>
      <c r="D49" s="6">
        <f>IF(ISNUMBER(F!G49)=FALSE,"--",IF(F!G49=0,"--",F!G49))</f>
        <v>9.9999999999999992E-2</v>
      </c>
      <c r="E49" s="6" t="str">
        <f>IF(D49="--","",F!H49)</f>
        <v>&lt;</v>
      </c>
      <c r="F49" s="6">
        <f>IF(ISNUMBER(F!I49)=FALSE,"--",IF(F!I49=0,"--",F!I49))</f>
        <v>9.9999999999999992E-2</v>
      </c>
      <c r="G49" s="6" t="str">
        <f>IF(F49="--","",F!J49)</f>
        <v>&lt;</v>
      </c>
      <c r="H49" s="6"/>
      <c r="I49" s="101">
        <f>IF(F!Z49=0,-1,F!AV49)</f>
        <v>-1</v>
      </c>
      <c r="J49" s="6"/>
      <c r="K49" s="101">
        <f>IF(F!AC49=0,-1,F!AX49)</f>
        <v>-1</v>
      </c>
      <c r="L49" s="6"/>
      <c r="M49" s="101">
        <f>IF(F!AF49=0,-1,F!AZ49)</f>
        <v>-1</v>
      </c>
      <c r="N49" s="6"/>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6">
        <f t="shared" si="20"/>
        <v>-1</v>
      </c>
      <c r="R49" s="5" t="str">
        <f>IF($B49="--","",IF($P49="toetsen",toetsen(F!$B49,Q49),IF($P49="toetsen alleen IW",toetsen_alleen_IW(F!$B49,Q49),IF($P49="toetsen alleen LN",toetsen_alleen_LN(F!$B49,Q49),IF($P49="toetsen geen MV en SV",toetsen_geen_MV_en_SV(F!$B49,Q49),IF($P49="toetsen alleen MV en SV",toetsen_alleen_MV_en_SV(F!$B49,Q49),""))))))</f>
        <v>-</v>
      </c>
      <c r="S49" s="5" t="str">
        <f>IF($P49="toetsen",IF(OR(Q49="",VLOOKUP(F!$B49,E!$B$1:$AK$300,10,FALSE)=1000000000),"",IF(Q49&lt;=VLOOKUP(F!$B49,E!$B$1:$AK$300,10,FALSE),"ja","nee")),"")</f>
        <v/>
      </c>
      <c r="T49" s="87">
        <f t="shared" si="21"/>
        <v>-1</v>
      </c>
      <c r="U49" s="5" t="str">
        <f>IF($D49="--","",IF($P49="toetsen",toetsen(F!$B49,T49),IF($P49="toetsen alleen IW",toetsen_alleen_IW(F!$B49,T49),IF($P49="toetsen alleen LN",toetsen_alleen_LN(F!$B49,T49),IF($P49="toetsen geen MV en SV",toetsen_geen_MV_en_SV(F!$B49,T49),IF($P49="toetsen alleen MV en SV",toetsen_alleen_MV_en_SV(F!$B49,T49),""))))))</f>
        <v>-</v>
      </c>
      <c r="V49" s="5" t="str">
        <f>IF($P49="toetsen",IF(OR(T49="",VLOOKUP(F!$B49,E!$B$1:$AK$300,10,FALSE)=1000000000),"",IF(T49&lt;=VLOOKUP(F!$B49,E!$B$1:$AK$300,10,FALSE),"ja","nee")),"")</f>
        <v/>
      </c>
      <c r="W49" s="6">
        <f t="shared" si="22"/>
        <v>-1</v>
      </c>
      <c r="X49" s="5" t="str">
        <f>IF($F49="--","",IF($P49="toetsen",toetsen(F!$B49,W49),IF($P49="toetsen alleen IW",toetsen_alleen_IW(F!$B49,W49),IF($P49="toetsen alleen LN",toetsen_alleen_LN(F!$B49,W49),IF($P49="toetsen geen MV en SV",toetsen_geen_MV_en_SV(F!$B49,W49),IF($P49="toetsen alleen MV en SV",toetsen_alleen_MV_en_SV(F!$B49,W49),""))))))</f>
        <v>-</v>
      </c>
      <c r="Y49" s="5" t="str">
        <f>IF($P49="toetsen",IF(OR(W49="",VLOOKUP(F!$B49,E!$B$1:$AK$300,10,FALSE)=1000000000),"",IF(W49&lt;=VLOOKUP(F!$B49,E!$B$1:$AK$300,10,FALSE),"ja","nee")),"")</f>
        <v/>
      </c>
      <c r="AA49" s="4">
        <f>IFERROR(IF(Q49="","",(IF(Q49&gt;2*VLOOKUP(F!$B49,E!$B$1:$AK$300,5,FALSE),1,0))),"")</f>
        <v>0</v>
      </c>
      <c r="AB49" s="4">
        <f>IFERROR(IF(T49="","",(IF(T49&gt;2*VLOOKUP(F!$B49,E!$B$1:$AK$300,5,FALSE),1,0))),"")</f>
        <v>0</v>
      </c>
      <c r="AC49" s="4">
        <f>IFERROR(IF(W49="","",(IF(W49&gt;2*VLOOKUP(F!$B49,E!$B$1:$AK$300,5,FALSE),1,0))),"")</f>
        <v>0</v>
      </c>
      <c r="AE49" s="4">
        <f>IFERROR(IF(Q49="","",(IF(Q49&gt;VLOOKUP(F!$B49,E!$B$1:$AK$300,6,FALSE)+VLOOKUP(F!$B49,E!$B$1:$AK$300,5,FALSE),1,0))),"")</f>
        <v>0</v>
      </c>
      <c r="AF49" s="4">
        <f>IFERROR(IF(T49="","",(IF(T49&gt;VLOOKUP(F!$B49,E!$B$1:$AK$300,6,FALSE)+VLOOKUP(F!$B49,E!$B$1:$AK$300,5,FALSE),1,0))),"")</f>
        <v>0</v>
      </c>
      <c r="AG49" s="4">
        <f>IFERROR(IF(W49="","",(IF(W49&gt;VLOOKUP(F!$B49,E!$B$1:$AK$300,6,FALSE)+VLOOKUP(F!$B49,E!$B$1:$AK$300,5,FALSE),1,0))),"")</f>
        <v>0</v>
      </c>
      <c r="AI49" s="6" t="str">
        <f t="shared" si="23"/>
        <v>0,10</v>
      </c>
      <c r="AJ49" s="6" t="str">
        <f>IF(AI49="--","--",IF(F!$D49=131,IF(I49=-1,"rg",IF(I49="","--",IF(I49*1000&lt;1,FIXED(I49*1000,3),IF(I49*1000&lt;10,FIXED(I49*1000,2),(IF(I49*1000&lt;100,FIXED(I49*1000,1),IF(I49*1000&lt;1000,FIXED(I49*1000,0),MROUND(I49*1000,10)))))))),IF(I49=-1,"rg",IF(I49="","--",IF(I49&lt;1,FIXED(I49,3),IF(I49&lt;10,FIXED(I49,2),(IF(I49&lt;100,FIXED(I49,1),IF(I49&lt;1000,FIXED(I49,0),MROUND(I49,10))))))))))</f>
        <v>rg</v>
      </c>
      <c r="AK49" s="6" t="str">
        <f t="shared" si="24"/>
        <v>0,10</v>
      </c>
      <c r="AL49" s="6" t="str">
        <f>IF(AK49="--","--",IF(F!$D49=131,IF(K49=-1,"rg",IF(K49="","--",IF(K49*1000&lt;1,FIXED(K49*1000,3),IF(K49*1000&lt;10,FIXED(K49*1000,2),(IF(K49*1000&lt;100,FIXED(K49*1000,1),IF(K49*1000&lt;1000,FIXED(K49*1000,0),MROUND(K49*1000,10)))))))),IF(K49=-1,"rg",IF(K49="","--",IF(K49&lt;1,FIXED(K49,3),IF(K49&lt;10,FIXED(K49,2),(IF(K49&lt;100,FIXED(K49,1),IF(K49&lt;1000,FIXED(K49,0),MROUND(K49,10))))))))))</f>
        <v>rg</v>
      </c>
      <c r="AM49" s="6" t="str">
        <f t="shared" si="25"/>
        <v>0,10</v>
      </c>
      <c r="AN49" s="6" t="str">
        <f>IF(AM49="--","--",IF(F!$D49=131,IF(M49=-1,"rg",IF(M49="","--",IF(M49*1000&lt;1,FIXED(M49*1000,3),IF(M49*1000&lt;10,FIXED(M49*1000,2),(IF(M49*1000&lt;100,FIXED(M49*1000,1),IF(M49*1000&lt;1000,FIXED(M49*1000,0),MROUND(M49*1000,10)))))))),IF(M49=-1,"rg",IF(M49="","--",IF(M49&lt;1,FIXED(M49,3),IF(M49&lt;10,FIXED(M49,2),(IF(M49&lt;100,FIXED(M49,1),IF(M49&lt;1000,FIXED(M49,0),MROUND(M49,10))))))))))</f>
        <v>rg</v>
      </c>
      <c r="AP49" s="6" t="str">
        <f t="shared" si="6"/>
        <v>0,10</v>
      </c>
      <c r="AQ49" s="6" t="str">
        <f t="shared" si="7"/>
        <v>&lt;</v>
      </c>
      <c r="AR49" s="6" t="str">
        <f t="shared" si="8"/>
        <v>rg</v>
      </c>
      <c r="AS49" s="6" t="str">
        <f t="shared" si="9"/>
        <v>&lt;</v>
      </c>
      <c r="AT49" s="6" t="str">
        <f t="shared" si="10"/>
        <v>-</v>
      </c>
      <c r="AU49" s="6" t="str">
        <f>IFERROR(IF(AR49="--","",IF(HLOOKUP(SMALL($Q$4:$Y$4,3),$Q$4:$Y$501,ROW(AP49)-3,FALSE)=0,"",IF(HLOOKUP(SMALL($Q$4:$Y$4,3),$Q$4:$Y$501,ROW(AP49)-3,FALSE)="nee",VLOOKUP("De kwaliteitseis emissiearme grond (maximale concentratie) wordt overschreden.",H!$O$10:'H'!$P$59,2,FALSE),""))),"")</f>
        <v/>
      </c>
      <c r="AV49" s="6" t="str">
        <f t="shared" si="0"/>
        <v>0,10</v>
      </c>
      <c r="AW49" s="6" t="str">
        <f t="shared" si="1"/>
        <v>&lt;</v>
      </c>
      <c r="AX49" s="6" t="str">
        <f t="shared" si="2"/>
        <v>rg</v>
      </c>
      <c r="AY49" s="6" t="str">
        <f t="shared" si="11"/>
        <v>&lt;</v>
      </c>
      <c r="AZ49" s="6" t="str">
        <f t="shared" si="12"/>
        <v>-</v>
      </c>
      <c r="BA49" s="6" t="str">
        <f>IFERROR(IF(AR49="--","",IF(HLOOKUP(SMALL($Q$4:$Y$4,6),$Q$4:$Y$501,ROW(AP49)-3,FALSE)=0,"",IF(HLOOKUP(SMALL($Q$4:$Y$4,6),$Q$4:$Y$501,ROW(AP49)-3,FALSE)="nee",VLOOKUP("De kwaliteitseis emissiearme grond (maximale concentratie) wordt overschreden.",H!$O$10:'H'!$P$59,2,FALSE),""))),"")</f>
        <v/>
      </c>
      <c r="BB49" s="6" t="str">
        <f t="shared" si="3"/>
        <v>0,10</v>
      </c>
      <c r="BC49" s="6" t="str">
        <f t="shared" si="4"/>
        <v>&lt;</v>
      </c>
      <c r="BD49" s="6" t="str">
        <f t="shared" si="5"/>
        <v>rg</v>
      </c>
      <c r="BE49" s="6" t="str">
        <f t="shared" si="13"/>
        <v>&lt;</v>
      </c>
      <c r="BF49" s="6" t="str">
        <f t="shared" si="14"/>
        <v>-</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6">
        <f>IF(ISNUMBER(F!E50)=FALSE,"--",IF(F!E50=0,"--",F!E50))</f>
        <v>1</v>
      </c>
      <c r="C50" s="6" t="str">
        <f>IF(B50="--","",F!F50)</f>
        <v>&lt;</v>
      </c>
      <c r="D50" s="6">
        <f>IF(ISNUMBER(F!G50)=FALSE,"--",IF(F!G50=0,"--",F!G50))</f>
        <v>1</v>
      </c>
      <c r="E50" s="6" t="str">
        <f>IF(D50="--","",F!H50)</f>
        <v>&lt;</v>
      </c>
      <c r="F50" s="6">
        <f>IF(ISNUMBER(F!I50)=FALSE,"--",IF(F!I50=0,"--",F!I50))</f>
        <v>1</v>
      </c>
      <c r="G50" s="6" t="str">
        <f>IF(F50="--","",F!J50)</f>
        <v>&lt;</v>
      </c>
      <c r="H50" s="6"/>
      <c r="I50" s="16">
        <f>IF(F!AA50=-1,-1,F!AV50)</f>
        <v>-1</v>
      </c>
      <c r="J50" s="6"/>
      <c r="K50" s="16">
        <f>IF(F!AD50=-1,-1,F!AX50)</f>
        <v>-1</v>
      </c>
      <c r="L50" s="6"/>
      <c r="M50" s="16">
        <f>IF(F!AG50=-1,-1,F!AZ50)</f>
        <v>-1</v>
      </c>
      <c r="N50" s="6"/>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6">
        <f t="shared" si="20"/>
        <v>-1</v>
      </c>
      <c r="R50" s="5" t="str">
        <f>IF($B50="--","",IF($P50="toetsen",toetsen(F!$B50,Q50),IF($P50="toetsen alleen IW",toetsen_alleen_IW(F!$B50,Q50),IF($P50="toetsen alleen LN",toetsen_alleen_LN(F!$B50,Q50),IF($P50="toetsen geen MV en SV",toetsen_geen_MV_en_SV(F!$B50,Q50),IF($P50="toetsen alleen MV en SV",toetsen_alleen_MV_en_SV(F!$B50,Q50),""))))))</f>
        <v/>
      </c>
      <c r="S50" s="5" t="str">
        <f>IF($P50="toetsen",IF(OR(Q50="",VLOOKUP(F!$B50,E!$B$1:$AK$300,10,FALSE)=1000000000),"",IF(Q50&lt;=VLOOKUP(F!$B50,E!$B$1:$AK$300,10,FALSE),"ja","nee")),"")</f>
        <v/>
      </c>
      <c r="T50" s="87">
        <f t="shared" si="21"/>
        <v>-1</v>
      </c>
      <c r="U50" s="5" t="str">
        <f>IF($D50="--","",IF($P50="toetsen",toetsen(F!$B50,T50),IF($P50="toetsen alleen IW",toetsen_alleen_IW(F!$B50,T50),IF($P50="toetsen alleen LN",toetsen_alleen_LN(F!$B50,T50),IF($P50="toetsen geen MV en SV",toetsen_geen_MV_en_SV(F!$B50,T50),IF($P50="toetsen alleen MV en SV",toetsen_alleen_MV_en_SV(F!$B50,T50),""))))))</f>
        <v/>
      </c>
      <c r="V50" s="5" t="str">
        <f>IF($P50="toetsen",IF(OR(T50="",VLOOKUP(F!$B50,E!$B$1:$AK$300,10,FALSE)=1000000000),"",IF(T50&lt;=VLOOKUP(F!$B50,E!$B$1:$AK$300,10,FALSE),"ja","nee")),"")</f>
        <v/>
      </c>
      <c r="W50" s="6">
        <f t="shared" si="22"/>
        <v>-1</v>
      </c>
      <c r="X50" s="5" t="str">
        <f>IF($F50="--","",IF($P50="toetsen",toetsen(F!$B50,W50),IF($P50="toetsen alleen IW",toetsen_alleen_IW(F!$B50,W50),IF($P50="toetsen alleen LN",toetsen_alleen_LN(F!$B50,W50),IF($P50="toetsen geen MV en SV",toetsen_geen_MV_en_SV(F!$B50,W50),IF($P50="toetsen alleen MV en SV",toetsen_alleen_MV_en_SV(F!$B50,W50),""))))))</f>
        <v/>
      </c>
      <c r="Y50" s="5" t="str">
        <f>IF($P50="toetsen",IF(OR(W50="",VLOOKUP(F!$B50,E!$B$1:$AK$300,10,FALSE)=1000000000),"",IF(W50&lt;=VLOOKUP(F!$B50,E!$B$1:$AK$300,10,FALSE),"ja","nee")),"")</f>
        <v/>
      </c>
      <c r="AA50" s="4">
        <f>IFERROR(IF(Q50="","",(IF(Q50&gt;2*VLOOKUP(F!$B50,E!$B$1:$AK$300,5,FALSE),1,0))),"")</f>
        <v>0</v>
      </c>
      <c r="AB50" s="4">
        <f>IFERROR(IF(T50="","",(IF(T50&gt;2*VLOOKUP(F!$B50,E!$B$1:$AK$300,5,FALSE),1,0))),"")</f>
        <v>0</v>
      </c>
      <c r="AC50" s="4">
        <f>IFERROR(IF(W50="","",(IF(W50&gt;2*VLOOKUP(F!$B50,E!$B$1:$AK$300,5,FALSE),1,0))),"")</f>
        <v>0</v>
      </c>
      <c r="AE50" s="4">
        <f>IFERROR(IF(Q50="","",(IF(Q50&gt;VLOOKUP(F!$B50,E!$B$1:$AK$300,6,FALSE)+VLOOKUP(F!$B50,E!$B$1:$AK$300,5,FALSE),1,0))),"")</f>
        <v>0</v>
      </c>
      <c r="AF50" s="4">
        <f>IFERROR(IF(T50="","",(IF(T50&gt;VLOOKUP(F!$B50,E!$B$1:$AK$300,6,FALSE)+VLOOKUP(F!$B50,E!$B$1:$AK$300,5,FALSE),1,0))),"")</f>
        <v>0</v>
      </c>
      <c r="AG50" s="4">
        <f>IFERROR(IF(W50="","",(IF(W50&gt;VLOOKUP(F!$B50,E!$B$1:$AK$300,6,FALSE)+VLOOKUP(F!$B50,E!$B$1:$AK$300,5,FALSE),1,0))),"")</f>
        <v>0</v>
      </c>
      <c r="AI50" s="6" t="str">
        <f t="shared" si="23"/>
        <v>1,0</v>
      </c>
      <c r="AJ50" s="6" t="str">
        <f>IF(AI50="--","--",IF(F!$D50=131,IF(I50=-1,"rg",IF(I50="","--",IF(I50*1000&lt;1,FIXED(I50*1000,3),IF(I50*1000&lt;10,FIXED(I50*1000,2),(IF(I50*1000&lt;100,FIXED(I50*1000,1),IF(I50*1000&lt;1000,FIXED(I50*1000,0),MROUND(I50*1000,10)))))))),IF(I50=-1,"rg",IF(I50="","--",IF(I50&lt;1,FIXED(I50,3),IF(I50&lt;10,FIXED(I50,2),(IF(I50&lt;100,FIXED(I50,1),IF(I50&lt;1000,FIXED(I50,0),MROUND(I50,10))))))))))</f>
        <v>rg</v>
      </c>
      <c r="AK50" s="6" t="str">
        <f t="shared" si="24"/>
        <v>1,0</v>
      </c>
      <c r="AL50" s="6" t="str">
        <f>IF(AK50="--","--",IF(F!$D50=131,IF(K50=-1,"rg",IF(K50="","--",IF(K50*1000&lt;1,FIXED(K50*1000,3),IF(K50*1000&lt;10,FIXED(K50*1000,2),(IF(K50*1000&lt;100,FIXED(K50*1000,1),IF(K50*1000&lt;1000,FIXED(K50*1000,0),MROUND(K50*1000,10)))))))),IF(K50=-1,"rg",IF(K50="","--",IF(K50&lt;1,FIXED(K50,3),IF(K50&lt;10,FIXED(K50,2),(IF(K50&lt;100,FIXED(K50,1),IF(K50&lt;1000,FIXED(K50,0),MROUND(K50,10))))))))))</f>
        <v>rg</v>
      </c>
      <c r="AM50" s="6" t="str">
        <f t="shared" si="25"/>
        <v>1,0</v>
      </c>
      <c r="AN50" s="6" t="str">
        <f>IF(AM50="--","--",IF(F!$D50=131,IF(M50=-1,"rg",IF(M50="","--",IF(M50*1000&lt;1,FIXED(M50*1000,3),IF(M50*1000&lt;10,FIXED(M50*1000,2),(IF(M50*1000&lt;100,FIXED(M50*1000,1),IF(M50*1000&lt;1000,FIXED(M50*1000,0),MROUND(M50*1000,10)))))))),IF(M50=-1,"rg",IF(M50="","--",IF(M50&lt;1,FIXED(M50,3),IF(M50&lt;10,FIXED(M50,2),(IF(M50&lt;100,FIXED(M50,1),IF(M50&lt;1000,FIXED(M50,0),MROUND(M50,10))))))))))</f>
        <v>rg</v>
      </c>
      <c r="AP50" s="6" t="str">
        <f t="shared" si="6"/>
        <v>1,0</v>
      </c>
      <c r="AQ50" s="6" t="str">
        <f t="shared" si="7"/>
        <v>&lt;</v>
      </c>
      <c r="AR50" s="6" t="str">
        <f t="shared" si="8"/>
        <v>rg</v>
      </c>
      <c r="AS50" s="6" t="str">
        <f t="shared" si="9"/>
        <v>&lt;</v>
      </c>
      <c r="AT50" s="6" t="str">
        <f t="shared" si="10"/>
        <v/>
      </c>
      <c r="AU50" s="6" t="str">
        <f>IFERROR(IF(AR50="--","",IF(HLOOKUP(SMALL($Q$4:$Y$4,3),$Q$4:$Y$501,ROW(AP50)-3,FALSE)=0,"",IF(HLOOKUP(SMALL($Q$4:$Y$4,3),$Q$4:$Y$501,ROW(AP50)-3,FALSE)="nee",VLOOKUP("De kwaliteitseis emissiearme grond (maximale concentratie) wordt overschreden.",H!$O$10:'H'!$P$59,2,FALSE),""))),"")</f>
        <v/>
      </c>
      <c r="AV50" s="6" t="str">
        <f t="shared" si="0"/>
        <v>1,0</v>
      </c>
      <c r="AW50" s="6" t="str">
        <f t="shared" si="1"/>
        <v>&lt;</v>
      </c>
      <c r="AX50" s="6" t="str">
        <f t="shared" si="2"/>
        <v>rg</v>
      </c>
      <c r="AY50" s="6" t="str">
        <f t="shared" si="11"/>
        <v>&lt;</v>
      </c>
      <c r="AZ50" s="6" t="str">
        <f t="shared" si="12"/>
        <v/>
      </c>
      <c r="BA50" s="6" t="str">
        <f>IFERROR(IF(AR50="--","",IF(HLOOKUP(SMALL($Q$4:$Y$4,6),$Q$4:$Y$501,ROW(AP50)-3,FALSE)=0,"",IF(HLOOKUP(SMALL($Q$4:$Y$4,6),$Q$4:$Y$501,ROW(AP50)-3,FALSE)="nee",VLOOKUP("De kwaliteitseis emissiearme grond (maximale concentratie) wordt overschreden.",H!$O$10:'H'!$P$59,2,FALSE),""))),"")</f>
        <v/>
      </c>
      <c r="BB50" s="6" t="str">
        <f t="shared" si="3"/>
        <v>1,0</v>
      </c>
      <c r="BC50" s="6" t="str">
        <f t="shared" si="4"/>
        <v>&lt;</v>
      </c>
      <c r="BD50" s="6" t="str">
        <f t="shared" si="5"/>
        <v>rg</v>
      </c>
      <c r="BE50" s="6" t="str">
        <f t="shared" si="13"/>
        <v>&lt;</v>
      </c>
      <c r="BF50" s="6"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6">
        <f>IF(ISNUMBER(F!E51)=FALSE,"--",IF(F!E51=0,"--",F!E51))</f>
        <v>1</v>
      </c>
      <c r="C51" s="6" t="str">
        <f>IF(B51="--","",F!F51)</f>
        <v>&lt;</v>
      </c>
      <c r="D51" s="6">
        <f>IF(ISNUMBER(F!G51)=FALSE,"--",IF(F!G51=0,"--",F!G51))</f>
        <v>1</v>
      </c>
      <c r="E51" s="6" t="str">
        <f>IF(D51="--","",F!H51)</f>
        <v>&lt;</v>
      </c>
      <c r="F51" s="6">
        <f>IF(ISNUMBER(F!I51)=FALSE,"--",IF(F!I51=0,"--",F!I51))</f>
        <v>1</v>
      </c>
      <c r="G51" s="6" t="str">
        <f>IF(F51="--","",F!J51)</f>
        <v>&lt;</v>
      </c>
      <c r="H51" s="6"/>
      <c r="I51" s="16">
        <f>IF(F!AA51=-1,-1,F!AV51)</f>
        <v>-1</v>
      </c>
      <c r="J51" s="6"/>
      <c r="K51" s="16">
        <f>IF(F!AD51=-1,-1,F!AX51)</f>
        <v>-1</v>
      </c>
      <c r="L51" s="6"/>
      <c r="M51" s="16">
        <f>IF(F!AG51=-1,-1,F!AZ51)</f>
        <v>-1</v>
      </c>
      <c r="N51" s="6"/>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6">
        <f t="shared" si="20"/>
        <v>-1</v>
      </c>
      <c r="R51" s="5" t="str">
        <f>IF($B51="--","",IF($P51="toetsen",toetsen(F!$B51,Q51),IF($P51="toetsen alleen IW",toetsen_alleen_IW(F!$B51,Q51),IF($P51="toetsen alleen LN",toetsen_alleen_LN(F!$B51,Q51),IF($P51="toetsen geen MV en SV",toetsen_geen_MV_en_SV(F!$B51,Q51),IF($P51="toetsen alleen MV en SV",toetsen_alleen_MV_en_SV(F!$B51,Q51),""))))))</f>
        <v/>
      </c>
      <c r="S51" s="5" t="str">
        <f>IF($P51="toetsen",IF(OR(Q51="",VLOOKUP(F!$B51,E!$B$1:$AK$300,10,FALSE)=1000000000),"",IF(Q51&lt;=VLOOKUP(F!$B51,E!$B$1:$AK$300,10,FALSE),"ja","nee")),"")</f>
        <v/>
      </c>
      <c r="T51" s="87">
        <f t="shared" si="21"/>
        <v>-1</v>
      </c>
      <c r="U51" s="5" t="str">
        <f>IF($D51="--","",IF($P51="toetsen",toetsen(F!$B51,T51),IF($P51="toetsen alleen IW",toetsen_alleen_IW(F!$B51,T51),IF($P51="toetsen alleen LN",toetsen_alleen_LN(F!$B51,T51),IF($P51="toetsen geen MV en SV",toetsen_geen_MV_en_SV(F!$B51,T51),IF($P51="toetsen alleen MV en SV",toetsen_alleen_MV_en_SV(F!$B51,T51),""))))))</f>
        <v/>
      </c>
      <c r="V51" s="5" t="str">
        <f>IF($P51="toetsen",IF(OR(T51="",VLOOKUP(F!$B51,E!$B$1:$AK$300,10,FALSE)=1000000000),"",IF(T51&lt;=VLOOKUP(F!$B51,E!$B$1:$AK$300,10,FALSE),"ja","nee")),"")</f>
        <v/>
      </c>
      <c r="W51" s="6">
        <f t="shared" si="22"/>
        <v>-1</v>
      </c>
      <c r="X51" s="5" t="str">
        <f>IF($F51="--","",IF($P51="toetsen",toetsen(F!$B51,W51),IF($P51="toetsen alleen IW",toetsen_alleen_IW(F!$B51,W51),IF($P51="toetsen alleen LN",toetsen_alleen_LN(F!$B51,W51),IF($P51="toetsen geen MV en SV",toetsen_geen_MV_en_SV(F!$B51,W51),IF($P51="toetsen alleen MV en SV",toetsen_alleen_MV_en_SV(F!$B51,W51),""))))))</f>
        <v/>
      </c>
      <c r="Y51" s="5" t="str">
        <f>IF($P51="toetsen",IF(OR(W51="",VLOOKUP(F!$B51,E!$B$1:$AK$300,10,FALSE)=1000000000),"",IF(W51&lt;=VLOOKUP(F!$B51,E!$B$1:$AK$300,10,FALSE),"ja","nee")),"")</f>
        <v/>
      </c>
      <c r="AA51" s="4">
        <f>IFERROR(IF(Q51="","",(IF(Q51&gt;2*VLOOKUP(F!$B51,E!$B$1:$AK$300,5,FALSE),1,0))),"")</f>
        <v>0</v>
      </c>
      <c r="AB51" s="4">
        <f>IFERROR(IF(T51="","",(IF(T51&gt;2*VLOOKUP(F!$B51,E!$B$1:$AK$300,5,FALSE),1,0))),"")</f>
        <v>0</v>
      </c>
      <c r="AC51" s="4">
        <f>IFERROR(IF(W51="","",(IF(W51&gt;2*VLOOKUP(F!$B51,E!$B$1:$AK$300,5,FALSE),1,0))),"")</f>
        <v>0</v>
      </c>
      <c r="AE51" s="4">
        <f>IFERROR(IF(Q51="","",(IF(Q51&gt;VLOOKUP(F!$B51,E!$B$1:$AK$300,6,FALSE)+VLOOKUP(F!$B51,E!$B$1:$AK$300,5,FALSE),1,0))),"")</f>
        <v>0</v>
      </c>
      <c r="AF51" s="4">
        <f>IFERROR(IF(T51="","",(IF(T51&gt;VLOOKUP(F!$B51,E!$B$1:$AK$300,6,FALSE)+VLOOKUP(F!$B51,E!$B$1:$AK$300,5,FALSE),1,0))),"")</f>
        <v>0</v>
      </c>
      <c r="AG51" s="4">
        <f>IFERROR(IF(W51="","",(IF(W51&gt;VLOOKUP(F!$B51,E!$B$1:$AK$300,6,FALSE)+VLOOKUP(F!$B51,E!$B$1:$AK$300,5,FALSE),1,0))),"")</f>
        <v>0</v>
      </c>
      <c r="AI51" s="6" t="str">
        <f t="shared" si="23"/>
        <v>1,0</v>
      </c>
      <c r="AJ51" s="6" t="str">
        <f>IF(AI51="--","--",IF(F!$D51=131,IF(I51=-1,"rg",IF(I51="","--",IF(I51*1000&lt;1,FIXED(I51*1000,3),IF(I51*1000&lt;10,FIXED(I51*1000,2),(IF(I51*1000&lt;100,FIXED(I51*1000,1),IF(I51*1000&lt;1000,FIXED(I51*1000,0),MROUND(I51*1000,10)))))))),IF(I51=-1,"rg",IF(I51="","--",IF(I51&lt;1,FIXED(I51,3),IF(I51&lt;10,FIXED(I51,2),(IF(I51&lt;100,FIXED(I51,1),IF(I51&lt;1000,FIXED(I51,0),MROUND(I51,10))))))))))</f>
        <v>rg</v>
      </c>
      <c r="AK51" s="6" t="str">
        <f t="shared" si="24"/>
        <v>1,0</v>
      </c>
      <c r="AL51" s="6" t="str">
        <f>IF(AK51="--","--",IF(F!$D51=131,IF(K51=-1,"rg",IF(K51="","--",IF(K51*1000&lt;1,FIXED(K51*1000,3),IF(K51*1000&lt;10,FIXED(K51*1000,2),(IF(K51*1000&lt;100,FIXED(K51*1000,1),IF(K51*1000&lt;1000,FIXED(K51*1000,0),MROUND(K51*1000,10)))))))),IF(K51=-1,"rg",IF(K51="","--",IF(K51&lt;1,FIXED(K51,3),IF(K51&lt;10,FIXED(K51,2),(IF(K51&lt;100,FIXED(K51,1),IF(K51&lt;1000,FIXED(K51,0),MROUND(K51,10))))))))))</f>
        <v>rg</v>
      </c>
      <c r="AM51" s="6" t="str">
        <f t="shared" si="25"/>
        <v>1,0</v>
      </c>
      <c r="AN51" s="6" t="str">
        <f>IF(AM51="--","--",IF(F!$D51=131,IF(M51=-1,"rg",IF(M51="","--",IF(M51*1000&lt;1,FIXED(M51*1000,3),IF(M51*1000&lt;10,FIXED(M51*1000,2),(IF(M51*1000&lt;100,FIXED(M51*1000,1),IF(M51*1000&lt;1000,FIXED(M51*1000,0),MROUND(M51*1000,10)))))))),IF(M51=-1,"rg",IF(M51="","--",IF(M51&lt;1,FIXED(M51,3),IF(M51&lt;10,FIXED(M51,2),(IF(M51&lt;100,FIXED(M51,1),IF(M51&lt;1000,FIXED(M51,0),MROUND(M51,10))))))))))</f>
        <v>rg</v>
      </c>
      <c r="AP51" s="6" t="str">
        <f t="shared" si="6"/>
        <v>1,0</v>
      </c>
      <c r="AQ51" s="6" t="str">
        <f t="shared" si="7"/>
        <v>&lt;</v>
      </c>
      <c r="AR51" s="6" t="str">
        <f t="shared" si="8"/>
        <v>rg</v>
      </c>
      <c r="AS51" s="6" t="str">
        <f t="shared" si="9"/>
        <v>&lt;</v>
      </c>
      <c r="AT51" s="6" t="str">
        <f t="shared" si="10"/>
        <v/>
      </c>
      <c r="AU51" s="6" t="str">
        <f>IFERROR(IF(AR51="--","",IF(HLOOKUP(SMALL($Q$4:$Y$4,3),$Q$4:$Y$501,ROW(AP51)-3,FALSE)=0,"",IF(HLOOKUP(SMALL($Q$4:$Y$4,3),$Q$4:$Y$501,ROW(AP51)-3,FALSE)="nee",VLOOKUP("De kwaliteitseis emissiearme grond (maximale concentratie) wordt overschreden.",H!$O$10:'H'!$P$59,2,FALSE),""))),"")</f>
        <v/>
      </c>
      <c r="AV51" s="6" t="str">
        <f t="shared" si="0"/>
        <v>1,0</v>
      </c>
      <c r="AW51" s="6" t="str">
        <f t="shared" si="1"/>
        <v>&lt;</v>
      </c>
      <c r="AX51" s="6" t="str">
        <f t="shared" si="2"/>
        <v>rg</v>
      </c>
      <c r="AY51" s="6" t="str">
        <f t="shared" si="11"/>
        <v>&lt;</v>
      </c>
      <c r="AZ51" s="6" t="str">
        <f t="shared" si="12"/>
        <v/>
      </c>
      <c r="BA51" s="6" t="str">
        <f>IFERROR(IF(AR51="--","",IF(HLOOKUP(SMALL($Q$4:$Y$4,6),$Q$4:$Y$501,ROW(AP51)-3,FALSE)=0,"",IF(HLOOKUP(SMALL($Q$4:$Y$4,6),$Q$4:$Y$501,ROW(AP51)-3,FALSE)="nee",VLOOKUP("De kwaliteitseis emissiearme grond (maximale concentratie) wordt overschreden.",H!$O$10:'H'!$P$59,2,FALSE),""))),"")</f>
        <v/>
      </c>
      <c r="BB51" s="6" t="str">
        <f t="shared" si="3"/>
        <v>1,0</v>
      </c>
      <c r="BC51" s="6" t="str">
        <f t="shared" si="4"/>
        <v>&lt;</v>
      </c>
      <c r="BD51" s="6" t="str">
        <f t="shared" si="5"/>
        <v>rg</v>
      </c>
      <c r="BE51" s="6" t="str">
        <f t="shared" si="13"/>
        <v>&lt;</v>
      </c>
      <c r="BF51" s="6"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6">
        <f>IF(ISNUMBER(F!E52)=FALSE,"--",IF(F!E52=0,"--",F!E52))</f>
        <v>1</v>
      </c>
      <c r="C52" s="6" t="str">
        <f>IF(B52="--","",F!F52)</f>
        <v>&lt;</v>
      </c>
      <c r="D52" s="6">
        <f>IF(ISNUMBER(F!G52)=FALSE,"--",IF(F!G52=0,"--",F!G52))</f>
        <v>1</v>
      </c>
      <c r="E52" s="6" t="str">
        <f>IF(D52="--","",F!H52)</f>
        <v>&lt;</v>
      </c>
      <c r="F52" s="6">
        <f>IF(ISNUMBER(F!I52)=FALSE,"--",IF(F!I52=0,"--",F!I52))</f>
        <v>1</v>
      </c>
      <c r="G52" s="6" t="str">
        <f>IF(F52="--","",F!J52)</f>
        <v>&lt;</v>
      </c>
      <c r="H52" s="6"/>
      <c r="I52" s="16">
        <f>IF(F!AA52=-1,-1,F!AV52)</f>
        <v>-1</v>
      </c>
      <c r="J52" s="6"/>
      <c r="K52" s="16">
        <f>IF(F!AD52=-1,-1,F!AX52)</f>
        <v>-1</v>
      </c>
      <c r="L52" s="6"/>
      <c r="M52" s="16">
        <f>IF(F!AG52=-1,-1,F!AZ52)</f>
        <v>-1</v>
      </c>
      <c r="N52" s="6"/>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6">
        <f t="shared" si="20"/>
        <v>-1</v>
      </c>
      <c r="R52" s="5" t="str">
        <f>IF($B52="--","",IF($P52="toetsen",toetsen(F!$B52,Q52),IF($P52="toetsen alleen IW",toetsen_alleen_IW(F!$B52,Q52),IF($P52="toetsen alleen LN",toetsen_alleen_LN(F!$B52,Q52),IF($P52="toetsen geen MV en SV",toetsen_geen_MV_en_SV(F!$B52,Q52),IF($P52="toetsen alleen MV en SV",toetsen_alleen_MV_en_SV(F!$B52,Q52),""))))))</f>
        <v/>
      </c>
      <c r="S52" s="5" t="str">
        <f>IF($P52="toetsen",IF(OR(Q52="",VLOOKUP(F!$B52,E!$B$1:$AK$300,10,FALSE)=1000000000),"",IF(Q52&lt;=VLOOKUP(F!$B52,E!$B$1:$AK$300,10,FALSE),"ja","nee")),"")</f>
        <v/>
      </c>
      <c r="T52" s="87">
        <f t="shared" si="21"/>
        <v>-1</v>
      </c>
      <c r="U52" s="5" t="str">
        <f>IF($D52="--","",IF($P52="toetsen",toetsen(F!$B52,T52),IF($P52="toetsen alleen IW",toetsen_alleen_IW(F!$B52,T52),IF($P52="toetsen alleen LN",toetsen_alleen_LN(F!$B52,T52),IF($P52="toetsen geen MV en SV",toetsen_geen_MV_en_SV(F!$B52,T52),IF($P52="toetsen alleen MV en SV",toetsen_alleen_MV_en_SV(F!$B52,T52),""))))))</f>
        <v/>
      </c>
      <c r="V52" s="5" t="str">
        <f>IF($P52="toetsen",IF(OR(T52="",VLOOKUP(F!$B52,E!$B$1:$AK$300,10,FALSE)=1000000000),"",IF(T52&lt;=VLOOKUP(F!$B52,E!$B$1:$AK$300,10,FALSE),"ja","nee")),"")</f>
        <v/>
      </c>
      <c r="W52" s="6">
        <f t="shared" si="22"/>
        <v>-1</v>
      </c>
      <c r="X52" s="5" t="str">
        <f>IF($F52="--","",IF($P52="toetsen",toetsen(F!$B52,W52),IF($P52="toetsen alleen IW",toetsen_alleen_IW(F!$B52,W52),IF($P52="toetsen alleen LN",toetsen_alleen_LN(F!$B52,W52),IF($P52="toetsen geen MV en SV",toetsen_geen_MV_en_SV(F!$B52,W52),IF($P52="toetsen alleen MV en SV",toetsen_alleen_MV_en_SV(F!$B52,W52),""))))))</f>
        <v/>
      </c>
      <c r="Y52" s="5" t="str">
        <f>IF($P52="toetsen",IF(OR(W52="",VLOOKUP(F!$B52,E!$B$1:$AK$300,10,FALSE)=1000000000),"",IF(W52&lt;=VLOOKUP(F!$B52,E!$B$1:$AK$300,10,FALSE),"ja","nee")),"")</f>
        <v/>
      </c>
      <c r="AA52" s="4">
        <f>IFERROR(IF(Q52="","",(IF(Q52&gt;2*VLOOKUP(F!$B52,E!$B$1:$AK$300,5,FALSE),1,0))),"")</f>
        <v>0</v>
      </c>
      <c r="AB52" s="4">
        <f>IFERROR(IF(T52="","",(IF(T52&gt;2*VLOOKUP(F!$B52,E!$B$1:$AK$300,5,FALSE),1,0))),"")</f>
        <v>0</v>
      </c>
      <c r="AC52" s="4">
        <f>IFERROR(IF(W52="","",(IF(W52&gt;2*VLOOKUP(F!$B52,E!$B$1:$AK$300,5,FALSE),1,0))),"")</f>
        <v>0</v>
      </c>
      <c r="AE52" s="4">
        <f>IFERROR(IF(Q52="","",(IF(Q52&gt;VLOOKUP(F!$B52,E!$B$1:$AK$300,6,FALSE)+VLOOKUP(F!$B52,E!$B$1:$AK$300,5,FALSE),1,0))),"")</f>
        <v>0</v>
      </c>
      <c r="AF52" s="4">
        <f>IFERROR(IF(T52="","",(IF(T52&gt;VLOOKUP(F!$B52,E!$B$1:$AK$300,6,FALSE)+VLOOKUP(F!$B52,E!$B$1:$AK$300,5,FALSE),1,0))),"")</f>
        <v>0</v>
      </c>
      <c r="AG52" s="4">
        <f>IFERROR(IF(W52="","",(IF(W52&gt;VLOOKUP(F!$B52,E!$B$1:$AK$300,6,FALSE)+VLOOKUP(F!$B52,E!$B$1:$AK$300,5,FALSE),1,0))),"")</f>
        <v>0</v>
      </c>
      <c r="AI52" s="6" t="str">
        <f t="shared" si="23"/>
        <v>1,0</v>
      </c>
      <c r="AJ52" s="6" t="str">
        <f>IF(AI52="--","--",IF(F!$D52=131,IF(I52=-1,"rg",IF(I52="","--",IF(I52*1000&lt;1,FIXED(I52*1000,3),IF(I52*1000&lt;10,FIXED(I52*1000,2),(IF(I52*1000&lt;100,FIXED(I52*1000,1),IF(I52*1000&lt;1000,FIXED(I52*1000,0),MROUND(I52*1000,10)))))))),IF(I52=-1,"rg",IF(I52="","--",IF(I52&lt;1,FIXED(I52,3),IF(I52&lt;10,FIXED(I52,2),(IF(I52&lt;100,FIXED(I52,1),IF(I52&lt;1000,FIXED(I52,0),MROUND(I52,10))))))))))</f>
        <v>rg</v>
      </c>
      <c r="AK52" s="6" t="str">
        <f t="shared" si="24"/>
        <v>1,0</v>
      </c>
      <c r="AL52" s="6" t="str">
        <f>IF(AK52="--","--",IF(F!$D52=131,IF(K52=-1,"rg",IF(K52="","--",IF(K52*1000&lt;1,FIXED(K52*1000,3),IF(K52*1000&lt;10,FIXED(K52*1000,2),(IF(K52*1000&lt;100,FIXED(K52*1000,1),IF(K52*1000&lt;1000,FIXED(K52*1000,0),MROUND(K52*1000,10)))))))),IF(K52=-1,"rg",IF(K52="","--",IF(K52&lt;1,FIXED(K52,3),IF(K52&lt;10,FIXED(K52,2),(IF(K52&lt;100,FIXED(K52,1),IF(K52&lt;1000,FIXED(K52,0),MROUND(K52,10))))))))))</f>
        <v>rg</v>
      </c>
      <c r="AM52" s="6" t="str">
        <f t="shared" si="25"/>
        <v>1,0</v>
      </c>
      <c r="AN52" s="6" t="str">
        <f>IF(AM52="--","--",IF(F!$D52=131,IF(M52=-1,"rg",IF(M52="","--",IF(M52*1000&lt;1,FIXED(M52*1000,3),IF(M52*1000&lt;10,FIXED(M52*1000,2),(IF(M52*1000&lt;100,FIXED(M52*1000,1),IF(M52*1000&lt;1000,FIXED(M52*1000,0),MROUND(M52*1000,10)))))))),IF(M52=-1,"rg",IF(M52="","--",IF(M52&lt;1,FIXED(M52,3),IF(M52&lt;10,FIXED(M52,2),(IF(M52&lt;100,FIXED(M52,1),IF(M52&lt;1000,FIXED(M52,0),MROUND(M52,10))))))))))</f>
        <v>rg</v>
      </c>
      <c r="AP52" s="6" t="str">
        <f t="shared" si="6"/>
        <v>1,0</v>
      </c>
      <c r="AQ52" s="6" t="str">
        <f t="shared" si="7"/>
        <v>&lt;</v>
      </c>
      <c r="AR52" s="6" t="str">
        <f t="shared" si="8"/>
        <v>rg</v>
      </c>
      <c r="AS52" s="6" t="str">
        <f t="shared" si="9"/>
        <v>&lt;</v>
      </c>
      <c r="AT52" s="6" t="str">
        <f t="shared" si="10"/>
        <v/>
      </c>
      <c r="AU52" s="6" t="str">
        <f>IFERROR(IF(AR52="--","",IF(HLOOKUP(SMALL($Q$4:$Y$4,3),$Q$4:$Y$501,ROW(AP52)-3,FALSE)=0,"",IF(HLOOKUP(SMALL($Q$4:$Y$4,3),$Q$4:$Y$501,ROW(AP52)-3,FALSE)="nee",VLOOKUP("De kwaliteitseis emissiearme grond (maximale concentratie) wordt overschreden.",H!$O$10:'H'!$P$59,2,FALSE),""))),"")</f>
        <v/>
      </c>
      <c r="AV52" s="6" t="str">
        <f t="shared" si="0"/>
        <v>1,0</v>
      </c>
      <c r="AW52" s="6" t="str">
        <f t="shared" si="1"/>
        <v>&lt;</v>
      </c>
      <c r="AX52" s="6" t="str">
        <f t="shared" si="2"/>
        <v>rg</v>
      </c>
      <c r="AY52" s="6" t="str">
        <f t="shared" si="11"/>
        <v>&lt;</v>
      </c>
      <c r="AZ52" s="6" t="str">
        <f t="shared" si="12"/>
        <v/>
      </c>
      <c r="BA52" s="6" t="str">
        <f>IFERROR(IF(AR52="--","",IF(HLOOKUP(SMALL($Q$4:$Y$4,6),$Q$4:$Y$501,ROW(AP52)-3,FALSE)=0,"",IF(HLOOKUP(SMALL($Q$4:$Y$4,6),$Q$4:$Y$501,ROW(AP52)-3,FALSE)="nee",VLOOKUP("De kwaliteitseis emissiearme grond (maximale concentratie) wordt overschreden.",H!$O$10:'H'!$P$59,2,FALSE),""))),"")</f>
        <v/>
      </c>
      <c r="BB52" s="6" t="str">
        <f t="shared" si="3"/>
        <v>1,0</v>
      </c>
      <c r="BC52" s="6" t="str">
        <f t="shared" si="4"/>
        <v>&lt;</v>
      </c>
      <c r="BD52" s="6" t="str">
        <f t="shared" si="5"/>
        <v>rg</v>
      </c>
      <c r="BE52" s="6" t="str">
        <f t="shared" si="13"/>
        <v>&lt;</v>
      </c>
      <c r="BF52" s="6"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6">
        <f>IF(ISNUMBER(F!E53)=FALSE,"--",IF(F!E53=0,"--",F!E53))</f>
        <v>1</v>
      </c>
      <c r="C53" s="6" t="str">
        <f>IF(B53="--","",F!F53)</f>
        <v>&lt;</v>
      </c>
      <c r="D53" s="6">
        <f>IF(ISNUMBER(F!G53)=FALSE,"--",IF(F!G53=0,"--",F!G53))</f>
        <v>1</v>
      </c>
      <c r="E53" s="6" t="str">
        <f>IF(D53="--","",F!H53)</f>
        <v>&lt;</v>
      </c>
      <c r="F53" s="6">
        <f>IF(ISNUMBER(F!I53)=FALSE,"--",IF(F!I53=0,"--",F!I53))</f>
        <v>1</v>
      </c>
      <c r="G53" s="6" t="str">
        <f>IF(F53="--","",F!J53)</f>
        <v>&lt;</v>
      </c>
      <c r="H53" s="6"/>
      <c r="I53" s="16">
        <f>IF(F!AA53=-1,-1,F!AV53)</f>
        <v>-1</v>
      </c>
      <c r="J53" s="6"/>
      <c r="K53" s="16">
        <f>IF(F!AD53=-1,-1,F!AX53)</f>
        <v>-1</v>
      </c>
      <c r="L53" s="6"/>
      <c r="M53" s="16">
        <f>IF(F!AG53=-1,-1,F!AZ53)</f>
        <v>-1</v>
      </c>
      <c r="N53" s="6"/>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6">
        <f t="shared" si="20"/>
        <v>-1</v>
      </c>
      <c r="R53" s="5" t="str">
        <f>IF($B53="--","",IF($P53="toetsen",toetsen(F!$B53,Q53),IF($P53="toetsen alleen IW",toetsen_alleen_IW(F!$B53,Q53),IF($P53="toetsen alleen LN",toetsen_alleen_LN(F!$B53,Q53),IF($P53="toetsen geen MV en SV",toetsen_geen_MV_en_SV(F!$B53,Q53),IF($P53="toetsen alleen MV en SV",toetsen_alleen_MV_en_SV(F!$B53,Q53),""))))))</f>
        <v/>
      </c>
      <c r="S53" s="5" t="str">
        <f>IF($P53="toetsen",IF(OR(Q53="",VLOOKUP(F!$B53,E!$B$1:$AK$300,10,FALSE)=1000000000),"",IF(Q53&lt;=VLOOKUP(F!$B53,E!$B$1:$AK$300,10,FALSE),"ja","nee")),"")</f>
        <v/>
      </c>
      <c r="T53" s="87">
        <f t="shared" si="21"/>
        <v>-1</v>
      </c>
      <c r="U53" s="5" t="str">
        <f>IF($D53="--","",IF($P53="toetsen",toetsen(F!$B53,T53),IF($P53="toetsen alleen IW",toetsen_alleen_IW(F!$B53,T53),IF($P53="toetsen alleen LN",toetsen_alleen_LN(F!$B53,T53),IF($P53="toetsen geen MV en SV",toetsen_geen_MV_en_SV(F!$B53,T53),IF($P53="toetsen alleen MV en SV",toetsen_alleen_MV_en_SV(F!$B53,T53),""))))))</f>
        <v/>
      </c>
      <c r="V53" s="5" t="str">
        <f>IF($P53="toetsen",IF(OR(T53="",VLOOKUP(F!$B53,E!$B$1:$AK$300,10,FALSE)=1000000000),"",IF(T53&lt;=VLOOKUP(F!$B53,E!$B$1:$AK$300,10,FALSE),"ja","nee")),"")</f>
        <v/>
      </c>
      <c r="W53" s="6">
        <f t="shared" si="22"/>
        <v>-1</v>
      </c>
      <c r="X53" s="5" t="str">
        <f>IF($F53="--","",IF($P53="toetsen",toetsen(F!$B53,W53),IF($P53="toetsen alleen IW",toetsen_alleen_IW(F!$B53,W53),IF($P53="toetsen alleen LN",toetsen_alleen_LN(F!$B53,W53),IF($P53="toetsen geen MV en SV",toetsen_geen_MV_en_SV(F!$B53,W53),IF($P53="toetsen alleen MV en SV",toetsen_alleen_MV_en_SV(F!$B53,W53),""))))))</f>
        <v/>
      </c>
      <c r="Y53" s="5" t="str">
        <f>IF($P53="toetsen",IF(OR(W53="",VLOOKUP(F!$B53,E!$B$1:$AK$300,10,FALSE)=1000000000),"",IF(W53&lt;=VLOOKUP(F!$B53,E!$B$1:$AK$300,10,FALSE),"ja","nee")),"")</f>
        <v/>
      </c>
      <c r="AA53" s="4">
        <f>IFERROR(IF(Q53="","",(IF(Q53&gt;2*VLOOKUP(F!$B53,E!$B$1:$AK$300,5,FALSE),1,0))),"")</f>
        <v>0</v>
      </c>
      <c r="AB53" s="4">
        <f>IFERROR(IF(T53="","",(IF(T53&gt;2*VLOOKUP(F!$B53,E!$B$1:$AK$300,5,FALSE),1,0))),"")</f>
        <v>0</v>
      </c>
      <c r="AC53" s="4">
        <f>IFERROR(IF(W53="","",(IF(W53&gt;2*VLOOKUP(F!$B53,E!$B$1:$AK$300,5,FALSE),1,0))),"")</f>
        <v>0</v>
      </c>
      <c r="AE53" s="4">
        <f>IFERROR(IF(Q53="","",(IF(Q53&gt;VLOOKUP(F!$B53,E!$B$1:$AK$300,6,FALSE)+VLOOKUP(F!$B53,E!$B$1:$AK$300,5,FALSE),1,0))),"")</f>
        <v>0</v>
      </c>
      <c r="AF53" s="4">
        <f>IFERROR(IF(T53="","",(IF(T53&gt;VLOOKUP(F!$B53,E!$B$1:$AK$300,6,FALSE)+VLOOKUP(F!$B53,E!$B$1:$AK$300,5,FALSE),1,0))),"")</f>
        <v>0</v>
      </c>
      <c r="AG53" s="4">
        <f>IFERROR(IF(W53="","",(IF(W53&gt;VLOOKUP(F!$B53,E!$B$1:$AK$300,6,FALSE)+VLOOKUP(F!$B53,E!$B$1:$AK$300,5,FALSE),1,0))),"")</f>
        <v>0</v>
      </c>
      <c r="AI53" s="6" t="str">
        <f t="shared" si="23"/>
        <v>1,0</v>
      </c>
      <c r="AJ53" s="6" t="str">
        <f>IF(AI53="--","--",IF(F!$D53=131,IF(I53=-1,"rg",IF(I53="","--",IF(I53*1000&lt;1,FIXED(I53*1000,3),IF(I53*1000&lt;10,FIXED(I53*1000,2),(IF(I53*1000&lt;100,FIXED(I53*1000,1),IF(I53*1000&lt;1000,FIXED(I53*1000,0),MROUND(I53*1000,10)))))))),IF(I53=-1,"rg",IF(I53="","--",IF(I53&lt;1,FIXED(I53,3),IF(I53&lt;10,FIXED(I53,2),(IF(I53&lt;100,FIXED(I53,1),IF(I53&lt;1000,FIXED(I53,0),MROUND(I53,10))))))))))</f>
        <v>rg</v>
      </c>
      <c r="AK53" s="6" t="str">
        <f t="shared" si="24"/>
        <v>1,0</v>
      </c>
      <c r="AL53" s="6" t="str">
        <f>IF(AK53="--","--",IF(F!$D53=131,IF(K53=-1,"rg",IF(K53="","--",IF(K53*1000&lt;1,FIXED(K53*1000,3),IF(K53*1000&lt;10,FIXED(K53*1000,2),(IF(K53*1000&lt;100,FIXED(K53*1000,1),IF(K53*1000&lt;1000,FIXED(K53*1000,0),MROUND(K53*1000,10)))))))),IF(K53=-1,"rg",IF(K53="","--",IF(K53&lt;1,FIXED(K53,3),IF(K53&lt;10,FIXED(K53,2),(IF(K53&lt;100,FIXED(K53,1),IF(K53&lt;1000,FIXED(K53,0),MROUND(K53,10))))))))))</f>
        <v>rg</v>
      </c>
      <c r="AM53" s="6" t="str">
        <f t="shared" si="25"/>
        <v>1,0</v>
      </c>
      <c r="AN53" s="6" t="str">
        <f>IF(AM53="--","--",IF(F!$D53=131,IF(M53=-1,"rg",IF(M53="","--",IF(M53*1000&lt;1,FIXED(M53*1000,3),IF(M53*1000&lt;10,FIXED(M53*1000,2),(IF(M53*1000&lt;100,FIXED(M53*1000,1),IF(M53*1000&lt;1000,FIXED(M53*1000,0),MROUND(M53*1000,10)))))))),IF(M53=-1,"rg",IF(M53="","--",IF(M53&lt;1,FIXED(M53,3),IF(M53&lt;10,FIXED(M53,2),(IF(M53&lt;100,FIXED(M53,1),IF(M53&lt;1000,FIXED(M53,0),MROUND(M53,10))))))))))</f>
        <v>rg</v>
      </c>
      <c r="AP53" s="6" t="str">
        <f t="shared" si="6"/>
        <v>1,0</v>
      </c>
      <c r="AQ53" s="6" t="str">
        <f t="shared" si="7"/>
        <v>&lt;</v>
      </c>
      <c r="AR53" s="6" t="str">
        <f t="shared" si="8"/>
        <v>rg</v>
      </c>
      <c r="AS53" s="6" t="str">
        <f t="shared" si="9"/>
        <v>&lt;</v>
      </c>
      <c r="AT53" s="6" t="str">
        <f t="shared" si="10"/>
        <v/>
      </c>
      <c r="AU53" s="6" t="str">
        <f>IFERROR(IF(AR53="--","",IF(HLOOKUP(SMALL($Q$4:$Y$4,3),$Q$4:$Y$501,ROW(AP53)-3,FALSE)=0,"",IF(HLOOKUP(SMALL($Q$4:$Y$4,3),$Q$4:$Y$501,ROW(AP53)-3,FALSE)="nee",VLOOKUP("De kwaliteitseis emissiearme grond (maximale concentratie) wordt overschreden.",H!$O$10:'H'!$P$59,2,FALSE),""))),"")</f>
        <v/>
      </c>
      <c r="AV53" s="6" t="str">
        <f t="shared" si="0"/>
        <v>1,0</v>
      </c>
      <c r="AW53" s="6" t="str">
        <f t="shared" si="1"/>
        <v>&lt;</v>
      </c>
      <c r="AX53" s="6" t="str">
        <f t="shared" si="2"/>
        <v>rg</v>
      </c>
      <c r="AY53" s="6" t="str">
        <f t="shared" si="11"/>
        <v>&lt;</v>
      </c>
      <c r="AZ53" s="6" t="str">
        <f t="shared" si="12"/>
        <v/>
      </c>
      <c r="BA53" s="6" t="str">
        <f>IFERROR(IF(AR53="--","",IF(HLOOKUP(SMALL($Q$4:$Y$4,6),$Q$4:$Y$501,ROW(AP53)-3,FALSE)=0,"",IF(HLOOKUP(SMALL($Q$4:$Y$4,6),$Q$4:$Y$501,ROW(AP53)-3,FALSE)="nee",VLOOKUP("De kwaliteitseis emissiearme grond (maximale concentratie) wordt overschreden.",H!$O$10:'H'!$P$59,2,FALSE),""))),"")</f>
        <v/>
      </c>
      <c r="BB53" s="6" t="str">
        <f t="shared" si="3"/>
        <v>1,0</v>
      </c>
      <c r="BC53" s="6" t="str">
        <f t="shared" si="4"/>
        <v>&lt;</v>
      </c>
      <c r="BD53" s="6" t="str">
        <f t="shared" si="5"/>
        <v>rg</v>
      </c>
      <c r="BE53" s="6" t="str">
        <f t="shared" si="13"/>
        <v>&lt;</v>
      </c>
      <c r="BF53" s="6"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6">
        <f>IF(ISNUMBER(F!E54)=FALSE,"--",IF(F!E54=0,"--",F!E54))</f>
        <v>1</v>
      </c>
      <c r="C54" s="6" t="str">
        <f>IF(B54="--","",F!F54)</f>
        <v>&lt;</v>
      </c>
      <c r="D54" s="6">
        <f>IF(ISNUMBER(F!G54)=FALSE,"--",IF(F!G54=0,"--",F!G54))</f>
        <v>1</v>
      </c>
      <c r="E54" s="6" t="str">
        <f>IF(D54="--","",F!H54)</f>
        <v>&lt;</v>
      </c>
      <c r="F54" s="6">
        <f>IF(ISNUMBER(F!I54)=FALSE,"--",IF(F!I54=0,"--",F!I54))</f>
        <v>1</v>
      </c>
      <c r="G54" s="6" t="str">
        <f>IF(F54="--","",F!J54)</f>
        <v>&lt;</v>
      </c>
      <c r="H54" s="6"/>
      <c r="I54" s="16">
        <f>IF(F!AA54=-1,-1,F!AV54)</f>
        <v>-1</v>
      </c>
      <c r="J54" s="6"/>
      <c r="K54" s="16">
        <f>IF(F!AD54=-1,-1,F!AX54)</f>
        <v>-1</v>
      </c>
      <c r="L54" s="6"/>
      <c r="M54" s="16">
        <f>IF(F!AG54=-1,-1,F!AZ54)</f>
        <v>-1</v>
      </c>
      <c r="N54" s="6"/>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6">
        <f t="shared" si="20"/>
        <v>-1</v>
      </c>
      <c r="R54" s="5" t="str">
        <f>IF($B54="--","",IF($P54="toetsen",toetsen(F!$B54,Q54),IF($P54="toetsen alleen IW",toetsen_alleen_IW(F!$B54,Q54),IF($P54="toetsen alleen LN",toetsen_alleen_LN(F!$B54,Q54),IF($P54="toetsen geen MV en SV",toetsen_geen_MV_en_SV(F!$B54,Q54),IF($P54="toetsen alleen MV en SV",toetsen_alleen_MV_en_SV(F!$B54,Q54),""))))))</f>
        <v/>
      </c>
      <c r="S54" s="5" t="str">
        <f>IF($P54="toetsen",IF(OR(Q54="",VLOOKUP(F!$B54,E!$B$1:$AK$300,10,FALSE)=1000000000),"",IF(Q54&lt;=VLOOKUP(F!$B54,E!$B$1:$AK$300,10,FALSE),"ja","nee")),"")</f>
        <v/>
      </c>
      <c r="T54" s="87">
        <f t="shared" si="21"/>
        <v>-1</v>
      </c>
      <c r="U54" s="5" t="str">
        <f>IF($D54="--","",IF($P54="toetsen",toetsen(F!$B54,T54),IF($P54="toetsen alleen IW",toetsen_alleen_IW(F!$B54,T54),IF($P54="toetsen alleen LN",toetsen_alleen_LN(F!$B54,T54),IF($P54="toetsen geen MV en SV",toetsen_geen_MV_en_SV(F!$B54,T54),IF($P54="toetsen alleen MV en SV",toetsen_alleen_MV_en_SV(F!$B54,T54),""))))))</f>
        <v/>
      </c>
      <c r="V54" s="5" t="str">
        <f>IF($P54="toetsen",IF(OR(T54="",VLOOKUP(F!$B54,E!$B$1:$AK$300,10,FALSE)=1000000000),"",IF(T54&lt;=VLOOKUP(F!$B54,E!$B$1:$AK$300,10,FALSE),"ja","nee")),"")</f>
        <v/>
      </c>
      <c r="W54" s="6">
        <f t="shared" si="22"/>
        <v>-1</v>
      </c>
      <c r="X54" s="5" t="str">
        <f>IF($F54="--","",IF($P54="toetsen",toetsen(F!$B54,W54),IF($P54="toetsen alleen IW",toetsen_alleen_IW(F!$B54,W54),IF($P54="toetsen alleen LN",toetsen_alleen_LN(F!$B54,W54),IF($P54="toetsen geen MV en SV",toetsen_geen_MV_en_SV(F!$B54,W54),IF($P54="toetsen alleen MV en SV",toetsen_alleen_MV_en_SV(F!$B54,W54),""))))))</f>
        <v/>
      </c>
      <c r="Y54" s="5" t="str">
        <f>IF($P54="toetsen",IF(OR(W54="",VLOOKUP(F!$B54,E!$B$1:$AK$300,10,FALSE)=1000000000),"",IF(W54&lt;=VLOOKUP(F!$B54,E!$B$1:$AK$300,10,FALSE),"ja","nee")),"")</f>
        <v/>
      </c>
      <c r="AA54" s="4">
        <f>IFERROR(IF(Q54="","",(IF(Q54&gt;2*VLOOKUP(F!$B54,E!$B$1:$AK$300,5,FALSE),1,0))),"")</f>
        <v>0</v>
      </c>
      <c r="AB54" s="4">
        <f>IFERROR(IF(T54="","",(IF(T54&gt;2*VLOOKUP(F!$B54,E!$B$1:$AK$300,5,FALSE),1,0))),"")</f>
        <v>0</v>
      </c>
      <c r="AC54" s="4">
        <f>IFERROR(IF(W54="","",(IF(W54&gt;2*VLOOKUP(F!$B54,E!$B$1:$AK$300,5,FALSE),1,0))),"")</f>
        <v>0</v>
      </c>
      <c r="AE54" s="4">
        <f>IFERROR(IF(Q54="","",(IF(Q54&gt;VLOOKUP(F!$B54,E!$B$1:$AK$300,6,FALSE)+VLOOKUP(F!$B54,E!$B$1:$AK$300,5,FALSE),1,0))),"")</f>
        <v>0</v>
      </c>
      <c r="AF54" s="4">
        <f>IFERROR(IF(T54="","",(IF(T54&gt;VLOOKUP(F!$B54,E!$B$1:$AK$300,6,FALSE)+VLOOKUP(F!$B54,E!$B$1:$AK$300,5,FALSE),1,0))),"")</f>
        <v>0</v>
      </c>
      <c r="AG54" s="4">
        <f>IFERROR(IF(W54="","",(IF(W54&gt;VLOOKUP(F!$B54,E!$B$1:$AK$300,6,FALSE)+VLOOKUP(F!$B54,E!$B$1:$AK$300,5,FALSE),1,0))),"")</f>
        <v>0</v>
      </c>
      <c r="AI54" s="6" t="str">
        <f t="shared" si="23"/>
        <v>1,0</v>
      </c>
      <c r="AJ54" s="6" t="str">
        <f>IF(AI54="--","--",IF(F!$D54=131,IF(I54=-1,"rg",IF(I54="","--",IF(I54*1000&lt;1,FIXED(I54*1000,3),IF(I54*1000&lt;10,FIXED(I54*1000,2),(IF(I54*1000&lt;100,FIXED(I54*1000,1),IF(I54*1000&lt;1000,FIXED(I54*1000,0),MROUND(I54*1000,10)))))))),IF(I54=-1,"rg",IF(I54="","--",IF(I54&lt;1,FIXED(I54,3),IF(I54&lt;10,FIXED(I54,2),(IF(I54&lt;100,FIXED(I54,1),IF(I54&lt;1000,FIXED(I54,0),MROUND(I54,10))))))))))</f>
        <v>rg</v>
      </c>
      <c r="AK54" s="6" t="str">
        <f t="shared" si="24"/>
        <v>1,0</v>
      </c>
      <c r="AL54" s="6" t="str">
        <f>IF(AK54="--","--",IF(F!$D54=131,IF(K54=-1,"rg",IF(K54="","--",IF(K54*1000&lt;1,FIXED(K54*1000,3),IF(K54*1000&lt;10,FIXED(K54*1000,2),(IF(K54*1000&lt;100,FIXED(K54*1000,1),IF(K54*1000&lt;1000,FIXED(K54*1000,0),MROUND(K54*1000,10)))))))),IF(K54=-1,"rg",IF(K54="","--",IF(K54&lt;1,FIXED(K54,3),IF(K54&lt;10,FIXED(K54,2),(IF(K54&lt;100,FIXED(K54,1),IF(K54&lt;1000,FIXED(K54,0),MROUND(K54,10))))))))))</f>
        <v>rg</v>
      </c>
      <c r="AM54" s="6" t="str">
        <f t="shared" si="25"/>
        <v>1,0</v>
      </c>
      <c r="AN54" s="6" t="str">
        <f>IF(AM54="--","--",IF(F!$D54=131,IF(M54=-1,"rg",IF(M54="","--",IF(M54*1000&lt;1,FIXED(M54*1000,3),IF(M54*1000&lt;10,FIXED(M54*1000,2),(IF(M54*1000&lt;100,FIXED(M54*1000,1),IF(M54*1000&lt;1000,FIXED(M54*1000,0),MROUND(M54*1000,10)))))))),IF(M54=-1,"rg",IF(M54="","--",IF(M54&lt;1,FIXED(M54,3),IF(M54&lt;10,FIXED(M54,2),(IF(M54&lt;100,FIXED(M54,1),IF(M54&lt;1000,FIXED(M54,0),MROUND(M54,10))))))))))</f>
        <v>rg</v>
      </c>
      <c r="AP54" s="6" t="str">
        <f t="shared" si="6"/>
        <v>1,0</v>
      </c>
      <c r="AQ54" s="6" t="str">
        <f t="shared" si="7"/>
        <v>&lt;</v>
      </c>
      <c r="AR54" s="6" t="str">
        <f t="shared" si="8"/>
        <v>rg</v>
      </c>
      <c r="AS54" s="6" t="str">
        <f t="shared" si="9"/>
        <v>&lt;</v>
      </c>
      <c r="AT54" s="6" t="str">
        <f t="shared" si="10"/>
        <v/>
      </c>
      <c r="AU54" s="6" t="str">
        <f>IFERROR(IF(AR54="--","",IF(HLOOKUP(SMALL($Q$4:$Y$4,3),$Q$4:$Y$501,ROW(AP54)-3,FALSE)=0,"",IF(HLOOKUP(SMALL($Q$4:$Y$4,3),$Q$4:$Y$501,ROW(AP54)-3,FALSE)="nee",VLOOKUP("De kwaliteitseis emissiearme grond (maximale concentratie) wordt overschreden.",H!$O$10:'H'!$P$59,2,FALSE),""))),"")</f>
        <v/>
      </c>
      <c r="AV54" s="6" t="str">
        <f t="shared" si="0"/>
        <v>1,0</v>
      </c>
      <c r="AW54" s="6" t="str">
        <f t="shared" si="1"/>
        <v>&lt;</v>
      </c>
      <c r="AX54" s="6" t="str">
        <f t="shared" si="2"/>
        <v>rg</v>
      </c>
      <c r="AY54" s="6" t="str">
        <f t="shared" si="11"/>
        <v>&lt;</v>
      </c>
      <c r="AZ54" s="6" t="str">
        <f t="shared" si="12"/>
        <v/>
      </c>
      <c r="BA54" s="6" t="str">
        <f>IFERROR(IF(AR54="--","",IF(HLOOKUP(SMALL($Q$4:$Y$4,6),$Q$4:$Y$501,ROW(AP54)-3,FALSE)=0,"",IF(HLOOKUP(SMALL($Q$4:$Y$4,6),$Q$4:$Y$501,ROW(AP54)-3,FALSE)="nee",VLOOKUP("De kwaliteitseis emissiearme grond (maximale concentratie) wordt overschreden.",H!$O$10:'H'!$P$59,2,FALSE),""))),"")</f>
        <v/>
      </c>
      <c r="BB54" s="6" t="str">
        <f t="shared" si="3"/>
        <v>1,0</v>
      </c>
      <c r="BC54" s="6" t="str">
        <f t="shared" si="4"/>
        <v>&lt;</v>
      </c>
      <c r="BD54" s="6" t="str">
        <f t="shared" si="5"/>
        <v>rg</v>
      </c>
      <c r="BE54" s="6" t="str">
        <f t="shared" si="13"/>
        <v>&lt;</v>
      </c>
      <c r="BF54" s="6"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6">
        <f>IF(ISNUMBER(F!E55)=FALSE,"--",IF(F!E55=0,"--",F!E55))</f>
        <v>1</v>
      </c>
      <c r="C55" s="6" t="str">
        <f>IF(B55="--","",F!F55)</f>
        <v>&lt;</v>
      </c>
      <c r="D55" s="6">
        <f>IF(ISNUMBER(F!G55)=FALSE,"--",IF(F!G55=0,"--",F!G55))</f>
        <v>1</v>
      </c>
      <c r="E55" s="6" t="str">
        <f>IF(D55="--","",F!H55)</f>
        <v>&lt;</v>
      </c>
      <c r="F55" s="6">
        <f>IF(ISNUMBER(F!I55)=FALSE,"--",IF(F!I55=0,"--",F!I55))</f>
        <v>1</v>
      </c>
      <c r="G55" s="6" t="str">
        <f>IF(F55="--","",F!J55)</f>
        <v>&lt;</v>
      </c>
      <c r="H55" s="6"/>
      <c r="I55" s="16">
        <f>IF(F!AA55=-1,-1,F!AV55)</f>
        <v>-1</v>
      </c>
      <c r="J55" s="6"/>
      <c r="K55" s="16">
        <f>IF(F!AD55=-1,-1,F!AX55)</f>
        <v>-1</v>
      </c>
      <c r="L55" s="6"/>
      <c r="M55" s="16">
        <f>IF(F!AG55=-1,-1,F!AZ55)</f>
        <v>-1</v>
      </c>
      <c r="N55" s="6"/>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6">
        <f t="shared" si="20"/>
        <v>-1</v>
      </c>
      <c r="R55" s="5" t="str">
        <f>IF($B55="--","",IF($P55="toetsen",toetsen(F!$B55,Q55),IF($P55="toetsen alleen IW",toetsen_alleen_IW(F!$B55,Q55),IF($P55="toetsen alleen LN",toetsen_alleen_LN(F!$B55,Q55),IF($P55="toetsen geen MV en SV",toetsen_geen_MV_en_SV(F!$B55,Q55),IF($P55="toetsen alleen MV en SV",toetsen_alleen_MV_en_SV(F!$B55,Q55),""))))))</f>
        <v/>
      </c>
      <c r="S55" s="5" t="str">
        <f>IF($P55="toetsen",IF(OR(Q55="",VLOOKUP(F!$B55,E!$B$1:$AK$300,10,FALSE)=1000000000),"",IF(Q55&lt;=VLOOKUP(F!$B55,E!$B$1:$AK$300,10,FALSE),"ja","nee")),"")</f>
        <v/>
      </c>
      <c r="T55" s="87">
        <f t="shared" si="21"/>
        <v>-1</v>
      </c>
      <c r="U55" s="5" t="str">
        <f>IF($D55="--","",IF($P55="toetsen",toetsen(F!$B55,T55),IF($P55="toetsen alleen IW",toetsen_alleen_IW(F!$B55,T55),IF($P55="toetsen alleen LN",toetsen_alleen_LN(F!$B55,T55),IF($P55="toetsen geen MV en SV",toetsen_geen_MV_en_SV(F!$B55,T55),IF($P55="toetsen alleen MV en SV",toetsen_alleen_MV_en_SV(F!$B55,T55),""))))))</f>
        <v/>
      </c>
      <c r="V55" s="5" t="str">
        <f>IF($P55="toetsen",IF(OR(T55="",VLOOKUP(F!$B55,E!$B$1:$AK$300,10,FALSE)=1000000000),"",IF(T55&lt;=VLOOKUP(F!$B55,E!$B$1:$AK$300,10,FALSE),"ja","nee")),"")</f>
        <v/>
      </c>
      <c r="W55" s="6">
        <f t="shared" si="22"/>
        <v>-1</v>
      </c>
      <c r="X55" s="5" t="str">
        <f>IF($F55="--","",IF($P55="toetsen",toetsen(F!$B55,W55),IF($P55="toetsen alleen IW",toetsen_alleen_IW(F!$B55,W55),IF($P55="toetsen alleen LN",toetsen_alleen_LN(F!$B55,W55),IF($P55="toetsen geen MV en SV",toetsen_geen_MV_en_SV(F!$B55,W55),IF($P55="toetsen alleen MV en SV",toetsen_alleen_MV_en_SV(F!$B55,W55),""))))))</f>
        <v/>
      </c>
      <c r="Y55" s="5" t="str">
        <f>IF($P55="toetsen",IF(OR(W55="",VLOOKUP(F!$B55,E!$B$1:$AK$300,10,FALSE)=1000000000),"",IF(W55&lt;=VLOOKUP(F!$B55,E!$B$1:$AK$300,10,FALSE),"ja","nee")),"")</f>
        <v/>
      </c>
      <c r="AA55" s="4">
        <f>IFERROR(IF(Q55="","",(IF(Q55&gt;2*VLOOKUP(F!$B55,E!$B$1:$AK$300,5,FALSE),1,0))),"")</f>
        <v>0</v>
      </c>
      <c r="AB55" s="4">
        <f>IFERROR(IF(T55="","",(IF(T55&gt;2*VLOOKUP(F!$B55,E!$B$1:$AK$300,5,FALSE),1,0))),"")</f>
        <v>0</v>
      </c>
      <c r="AC55" s="4">
        <f>IFERROR(IF(W55="","",(IF(W55&gt;2*VLOOKUP(F!$B55,E!$B$1:$AK$300,5,FALSE),1,0))),"")</f>
        <v>0</v>
      </c>
      <c r="AE55" s="4">
        <f>IFERROR(IF(Q55="","",(IF(Q55&gt;VLOOKUP(F!$B55,E!$B$1:$AK$300,6,FALSE)+VLOOKUP(F!$B55,E!$B$1:$AK$300,5,FALSE),1,0))),"")</f>
        <v>0</v>
      </c>
      <c r="AF55" s="4">
        <f>IFERROR(IF(T55="","",(IF(T55&gt;VLOOKUP(F!$B55,E!$B$1:$AK$300,6,FALSE)+VLOOKUP(F!$B55,E!$B$1:$AK$300,5,FALSE),1,0))),"")</f>
        <v>0</v>
      </c>
      <c r="AG55" s="4">
        <f>IFERROR(IF(W55="","",(IF(W55&gt;VLOOKUP(F!$B55,E!$B$1:$AK$300,6,FALSE)+VLOOKUP(F!$B55,E!$B$1:$AK$300,5,FALSE),1,0))),"")</f>
        <v>0</v>
      </c>
      <c r="AI55" s="6" t="str">
        <f t="shared" si="23"/>
        <v>1,0</v>
      </c>
      <c r="AJ55" s="6" t="str">
        <f>IF(AI55="--","--",IF(F!$D55=131,IF(I55=-1,"rg",IF(I55="","--",IF(I55*1000&lt;1,FIXED(I55*1000,3),IF(I55*1000&lt;10,FIXED(I55*1000,2),(IF(I55*1000&lt;100,FIXED(I55*1000,1),IF(I55*1000&lt;1000,FIXED(I55*1000,0),MROUND(I55*1000,10)))))))),IF(I55=-1,"rg",IF(I55="","--",IF(I55&lt;1,FIXED(I55,3),IF(I55&lt;10,FIXED(I55,2),(IF(I55&lt;100,FIXED(I55,1),IF(I55&lt;1000,FIXED(I55,0),MROUND(I55,10))))))))))</f>
        <v>rg</v>
      </c>
      <c r="AK55" s="6" t="str">
        <f t="shared" si="24"/>
        <v>1,0</v>
      </c>
      <c r="AL55" s="6" t="str">
        <f>IF(AK55="--","--",IF(F!$D55=131,IF(K55=-1,"rg",IF(K55="","--",IF(K55*1000&lt;1,FIXED(K55*1000,3),IF(K55*1000&lt;10,FIXED(K55*1000,2),(IF(K55*1000&lt;100,FIXED(K55*1000,1),IF(K55*1000&lt;1000,FIXED(K55*1000,0),MROUND(K55*1000,10)))))))),IF(K55=-1,"rg",IF(K55="","--",IF(K55&lt;1,FIXED(K55,3),IF(K55&lt;10,FIXED(K55,2),(IF(K55&lt;100,FIXED(K55,1),IF(K55&lt;1000,FIXED(K55,0),MROUND(K55,10))))))))))</f>
        <v>rg</v>
      </c>
      <c r="AM55" s="6" t="str">
        <f t="shared" si="25"/>
        <v>1,0</v>
      </c>
      <c r="AN55" s="6" t="str">
        <f>IF(AM55="--","--",IF(F!$D55=131,IF(M55=-1,"rg",IF(M55="","--",IF(M55*1000&lt;1,FIXED(M55*1000,3),IF(M55*1000&lt;10,FIXED(M55*1000,2),(IF(M55*1000&lt;100,FIXED(M55*1000,1),IF(M55*1000&lt;1000,FIXED(M55*1000,0),MROUND(M55*1000,10)))))))),IF(M55=-1,"rg",IF(M55="","--",IF(M55&lt;1,FIXED(M55,3),IF(M55&lt;10,FIXED(M55,2),(IF(M55&lt;100,FIXED(M55,1),IF(M55&lt;1000,FIXED(M55,0),MROUND(M55,10))))))))))</f>
        <v>rg</v>
      </c>
      <c r="AP55" s="6" t="str">
        <f t="shared" si="6"/>
        <v>1,0</v>
      </c>
      <c r="AQ55" s="6" t="str">
        <f t="shared" si="7"/>
        <v>&lt;</v>
      </c>
      <c r="AR55" s="6" t="str">
        <f t="shared" si="8"/>
        <v>rg</v>
      </c>
      <c r="AS55" s="6" t="str">
        <f t="shared" si="9"/>
        <v>&lt;</v>
      </c>
      <c r="AT55" s="6" t="str">
        <f t="shared" si="10"/>
        <v/>
      </c>
      <c r="AU55" s="6" t="str">
        <f>IFERROR(IF(AR55="--","",IF(HLOOKUP(SMALL($Q$4:$Y$4,3),$Q$4:$Y$501,ROW(AP55)-3,FALSE)=0,"",IF(HLOOKUP(SMALL($Q$4:$Y$4,3),$Q$4:$Y$501,ROW(AP55)-3,FALSE)="nee",VLOOKUP("De kwaliteitseis emissiearme grond (maximale concentratie) wordt overschreden.",H!$O$10:'H'!$P$59,2,FALSE),""))),"")</f>
        <v/>
      </c>
      <c r="AV55" s="6" t="str">
        <f t="shared" si="0"/>
        <v>1,0</v>
      </c>
      <c r="AW55" s="6" t="str">
        <f t="shared" si="1"/>
        <v>&lt;</v>
      </c>
      <c r="AX55" s="6" t="str">
        <f t="shared" si="2"/>
        <v>rg</v>
      </c>
      <c r="AY55" s="6" t="str">
        <f t="shared" si="11"/>
        <v>&lt;</v>
      </c>
      <c r="AZ55" s="6" t="str">
        <f t="shared" si="12"/>
        <v/>
      </c>
      <c r="BA55" s="6" t="str">
        <f>IFERROR(IF(AR55="--","",IF(HLOOKUP(SMALL($Q$4:$Y$4,6),$Q$4:$Y$501,ROW(AP55)-3,FALSE)=0,"",IF(HLOOKUP(SMALL($Q$4:$Y$4,6),$Q$4:$Y$501,ROW(AP55)-3,FALSE)="nee",VLOOKUP("De kwaliteitseis emissiearme grond (maximale concentratie) wordt overschreden.",H!$O$10:'H'!$P$59,2,FALSE),""))),"")</f>
        <v/>
      </c>
      <c r="BB55" s="6" t="str">
        <f t="shared" si="3"/>
        <v>1,0</v>
      </c>
      <c r="BC55" s="6" t="str">
        <f t="shared" si="4"/>
        <v>&lt;</v>
      </c>
      <c r="BD55" s="6" t="str">
        <f t="shared" si="5"/>
        <v>rg</v>
      </c>
      <c r="BE55" s="6" t="str">
        <f t="shared" si="13"/>
        <v>&lt;</v>
      </c>
      <c r="BF55" s="6"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6">
        <f>IF(ISNUMBER(F!E56)=FALSE,"--",IF(F!E56=0,"--",F!E56))</f>
        <v>1</v>
      </c>
      <c r="C56" s="6" t="str">
        <f>IF(B56="--","",F!F56)</f>
        <v>&lt;</v>
      </c>
      <c r="D56" s="6">
        <f>IF(ISNUMBER(F!G56)=FALSE,"--",IF(F!G56=0,"--",F!G56))</f>
        <v>1</v>
      </c>
      <c r="E56" s="6" t="str">
        <f>IF(D56="--","",F!H56)</f>
        <v>&lt;</v>
      </c>
      <c r="F56" s="6">
        <f>IF(ISNUMBER(F!I56)=FALSE,"--",IF(F!I56=0,"--",F!I56))</f>
        <v>1</v>
      </c>
      <c r="G56" s="6" t="str">
        <f>IF(F56="--","",F!J56)</f>
        <v>&lt;</v>
      </c>
      <c r="H56" s="6"/>
      <c r="I56" s="16">
        <f>IF(F!AA56=-1,-1,F!AV56)</f>
        <v>-1</v>
      </c>
      <c r="J56" s="6"/>
      <c r="K56" s="16">
        <f>IF(F!AD56=-1,-1,F!AX56)</f>
        <v>-1</v>
      </c>
      <c r="L56" s="6"/>
      <c r="M56" s="16">
        <f>IF(F!AG56=-1,-1,F!AZ56)</f>
        <v>-1</v>
      </c>
      <c r="N56" s="6"/>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6">
        <f t="shared" si="20"/>
        <v>-1</v>
      </c>
      <c r="R56" s="5" t="str">
        <f>IF($B56="--","",IF($P56="toetsen",toetsen(F!$B56,Q56),IF($P56="toetsen alleen IW",toetsen_alleen_IW(F!$B56,Q56),IF($P56="toetsen alleen LN",toetsen_alleen_LN(F!$B56,Q56),IF($P56="toetsen geen MV en SV",toetsen_geen_MV_en_SV(F!$B56,Q56),IF($P56="toetsen alleen MV en SV",toetsen_alleen_MV_en_SV(F!$B56,Q56),""))))))</f>
        <v/>
      </c>
      <c r="S56" s="5" t="str">
        <f>IF($P56="toetsen",IF(OR(Q56="",VLOOKUP(F!$B56,E!$B$1:$AK$300,10,FALSE)=1000000000),"",IF(Q56&lt;=VLOOKUP(F!$B56,E!$B$1:$AK$300,10,FALSE),"ja","nee")),"")</f>
        <v/>
      </c>
      <c r="T56" s="87">
        <f t="shared" si="21"/>
        <v>-1</v>
      </c>
      <c r="U56" s="5" t="str">
        <f>IF($D56="--","",IF($P56="toetsen",toetsen(F!$B56,T56),IF($P56="toetsen alleen IW",toetsen_alleen_IW(F!$B56,T56),IF($P56="toetsen alleen LN",toetsen_alleen_LN(F!$B56,T56),IF($P56="toetsen geen MV en SV",toetsen_geen_MV_en_SV(F!$B56,T56),IF($P56="toetsen alleen MV en SV",toetsen_alleen_MV_en_SV(F!$B56,T56),""))))))</f>
        <v/>
      </c>
      <c r="V56" s="5" t="str">
        <f>IF($P56="toetsen",IF(OR(T56="",VLOOKUP(F!$B56,E!$B$1:$AK$300,10,FALSE)=1000000000),"",IF(T56&lt;=VLOOKUP(F!$B56,E!$B$1:$AK$300,10,FALSE),"ja","nee")),"")</f>
        <v/>
      </c>
      <c r="W56" s="6">
        <f t="shared" si="22"/>
        <v>-1</v>
      </c>
      <c r="X56" s="5" t="str">
        <f>IF($F56="--","",IF($P56="toetsen",toetsen(F!$B56,W56),IF($P56="toetsen alleen IW",toetsen_alleen_IW(F!$B56,W56),IF($P56="toetsen alleen LN",toetsen_alleen_LN(F!$B56,W56),IF($P56="toetsen geen MV en SV",toetsen_geen_MV_en_SV(F!$B56,W56),IF($P56="toetsen alleen MV en SV",toetsen_alleen_MV_en_SV(F!$B56,W56),""))))))</f>
        <v/>
      </c>
      <c r="Y56" s="5" t="str">
        <f>IF($P56="toetsen",IF(OR(W56="",VLOOKUP(F!$B56,E!$B$1:$AK$300,10,FALSE)=1000000000),"",IF(W56&lt;=VLOOKUP(F!$B56,E!$B$1:$AK$300,10,FALSE),"ja","nee")),"")</f>
        <v/>
      </c>
      <c r="AA56" s="4">
        <f>IFERROR(IF(Q56="","",(IF(Q56&gt;2*VLOOKUP(F!$B56,E!$B$1:$AK$300,5,FALSE),1,0))),"")</f>
        <v>0</v>
      </c>
      <c r="AB56" s="4">
        <f>IFERROR(IF(T56="","",(IF(T56&gt;2*VLOOKUP(F!$B56,E!$B$1:$AK$300,5,FALSE),1,0))),"")</f>
        <v>0</v>
      </c>
      <c r="AC56" s="4">
        <f>IFERROR(IF(W56="","",(IF(W56&gt;2*VLOOKUP(F!$B56,E!$B$1:$AK$300,5,FALSE),1,0))),"")</f>
        <v>0</v>
      </c>
      <c r="AE56" s="4">
        <f>IFERROR(IF(Q56="","",(IF(Q56&gt;VLOOKUP(F!$B56,E!$B$1:$AK$300,6,FALSE)+VLOOKUP(F!$B56,E!$B$1:$AK$300,5,FALSE),1,0))),"")</f>
        <v>0</v>
      </c>
      <c r="AF56" s="4">
        <f>IFERROR(IF(T56="","",(IF(T56&gt;VLOOKUP(F!$B56,E!$B$1:$AK$300,6,FALSE)+VLOOKUP(F!$B56,E!$B$1:$AK$300,5,FALSE),1,0))),"")</f>
        <v>0</v>
      </c>
      <c r="AG56" s="4">
        <f>IFERROR(IF(W56="","",(IF(W56&gt;VLOOKUP(F!$B56,E!$B$1:$AK$300,6,FALSE)+VLOOKUP(F!$B56,E!$B$1:$AK$300,5,FALSE),1,0))),"")</f>
        <v>0</v>
      </c>
      <c r="AI56" s="6" t="str">
        <f t="shared" si="23"/>
        <v>1,0</v>
      </c>
      <c r="AJ56" s="6" t="str">
        <f>IF(AI56="--","--",IF(F!$D56=131,IF(I56=-1,"rg",IF(I56="","--",IF(I56*1000&lt;1,FIXED(I56*1000,3),IF(I56*1000&lt;10,FIXED(I56*1000,2),(IF(I56*1000&lt;100,FIXED(I56*1000,1),IF(I56*1000&lt;1000,FIXED(I56*1000,0),MROUND(I56*1000,10)))))))),IF(I56=-1,"rg",IF(I56="","--",IF(I56&lt;1,FIXED(I56,3),IF(I56&lt;10,FIXED(I56,2),(IF(I56&lt;100,FIXED(I56,1),IF(I56&lt;1000,FIXED(I56,0),MROUND(I56,10))))))))))</f>
        <v>rg</v>
      </c>
      <c r="AK56" s="6" t="str">
        <f t="shared" si="24"/>
        <v>1,0</v>
      </c>
      <c r="AL56" s="6" t="str">
        <f>IF(AK56="--","--",IF(F!$D56=131,IF(K56=-1,"rg",IF(K56="","--",IF(K56*1000&lt;1,FIXED(K56*1000,3),IF(K56*1000&lt;10,FIXED(K56*1000,2),(IF(K56*1000&lt;100,FIXED(K56*1000,1),IF(K56*1000&lt;1000,FIXED(K56*1000,0),MROUND(K56*1000,10)))))))),IF(K56=-1,"rg",IF(K56="","--",IF(K56&lt;1,FIXED(K56,3),IF(K56&lt;10,FIXED(K56,2),(IF(K56&lt;100,FIXED(K56,1),IF(K56&lt;1000,FIXED(K56,0),MROUND(K56,10))))))))))</f>
        <v>rg</v>
      </c>
      <c r="AM56" s="6" t="str">
        <f t="shared" si="25"/>
        <v>1,0</v>
      </c>
      <c r="AN56" s="6" t="str">
        <f>IF(AM56="--","--",IF(F!$D56=131,IF(M56=-1,"rg",IF(M56="","--",IF(M56*1000&lt;1,FIXED(M56*1000,3),IF(M56*1000&lt;10,FIXED(M56*1000,2),(IF(M56*1000&lt;100,FIXED(M56*1000,1),IF(M56*1000&lt;1000,FIXED(M56*1000,0),MROUND(M56*1000,10)))))))),IF(M56=-1,"rg",IF(M56="","--",IF(M56&lt;1,FIXED(M56,3),IF(M56&lt;10,FIXED(M56,2),(IF(M56&lt;100,FIXED(M56,1),IF(M56&lt;1000,FIXED(M56,0),MROUND(M56,10))))))))))</f>
        <v>rg</v>
      </c>
      <c r="AP56" s="6" t="str">
        <f t="shared" si="6"/>
        <v>1,0</v>
      </c>
      <c r="AQ56" s="6" t="str">
        <f t="shared" si="7"/>
        <v>&lt;</v>
      </c>
      <c r="AR56" s="6" t="str">
        <f t="shared" si="8"/>
        <v>rg</v>
      </c>
      <c r="AS56" s="6" t="str">
        <f t="shared" si="9"/>
        <v>&lt;</v>
      </c>
      <c r="AT56" s="6" t="str">
        <f t="shared" si="10"/>
        <v/>
      </c>
      <c r="AU56" s="6" t="str">
        <f>IFERROR(IF(AR56="--","",IF(HLOOKUP(SMALL($Q$4:$Y$4,3),$Q$4:$Y$501,ROW(AP56)-3,FALSE)=0,"",IF(HLOOKUP(SMALL($Q$4:$Y$4,3),$Q$4:$Y$501,ROW(AP56)-3,FALSE)="nee",VLOOKUP("De kwaliteitseis emissiearme grond (maximale concentratie) wordt overschreden.",H!$O$10:'H'!$P$59,2,FALSE),""))),"")</f>
        <v/>
      </c>
      <c r="AV56" s="6" t="str">
        <f t="shared" si="0"/>
        <v>1,0</v>
      </c>
      <c r="AW56" s="6" t="str">
        <f t="shared" si="1"/>
        <v>&lt;</v>
      </c>
      <c r="AX56" s="6" t="str">
        <f t="shared" si="2"/>
        <v>rg</v>
      </c>
      <c r="AY56" s="6" t="str">
        <f t="shared" si="11"/>
        <v>&lt;</v>
      </c>
      <c r="AZ56" s="6" t="str">
        <f t="shared" si="12"/>
        <v/>
      </c>
      <c r="BA56" s="6" t="str">
        <f>IFERROR(IF(AR56="--","",IF(HLOOKUP(SMALL($Q$4:$Y$4,6),$Q$4:$Y$501,ROW(AP56)-3,FALSE)=0,"",IF(HLOOKUP(SMALL($Q$4:$Y$4,6),$Q$4:$Y$501,ROW(AP56)-3,FALSE)="nee",VLOOKUP("De kwaliteitseis emissiearme grond (maximale concentratie) wordt overschreden.",H!$O$10:'H'!$P$59,2,FALSE),""))),"")</f>
        <v/>
      </c>
      <c r="BB56" s="6" t="str">
        <f t="shared" si="3"/>
        <v>1,0</v>
      </c>
      <c r="BC56" s="6" t="str">
        <f t="shared" si="4"/>
        <v>&lt;</v>
      </c>
      <c r="BD56" s="6" t="str">
        <f t="shared" si="5"/>
        <v>rg</v>
      </c>
      <c r="BE56" s="6" t="str">
        <f t="shared" si="13"/>
        <v>&lt;</v>
      </c>
      <c r="BF56" s="6"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6">
        <f>IF(ISNUMBER(F!E57)=FALSE,"--",IF(F!E57=0,"--",F!E57))</f>
        <v>7</v>
      </c>
      <c r="C57" s="6" t="str">
        <f>IF(B57="--","",F!F57)</f>
        <v>&lt;</v>
      </c>
      <c r="D57" s="6">
        <f>IF(ISNUMBER(F!G57)=FALSE,"--",IF(F!G57=0,"--",F!G57))</f>
        <v>7</v>
      </c>
      <c r="E57" s="6" t="str">
        <f>IF(D57="--","",F!H57)</f>
        <v>&lt;</v>
      </c>
      <c r="F57" s="6">
        <f>IF(ISNUMBER(F!I57)=FALSE,"--",IF(F!I57=0,"--",F!I57))</f>
        <v>7</v>
      </c>
      <c r="G57" s="6" t="str">
        <f>IF(F57="--","",F!J57)</f>
        <v>&lt;</v>
      </c>
      <c r="H57" s="6"/>
      <c r="I57" s="101">
        <f>IF(F!Z57=0,-1,F!AV57)</f>
        <v>-1</v>
      </c>
      <c r="J57" s="6"/>
      <c r="K57" s="101">
        <f>IF(F!AC57=0,-1,F!AX57)</f>
        <v>-1</v>
      </c>
      <c r="L57" s="6"/>
      <c r="M57" s="101">
        <f>IF(F!AF57=0,-1,F!AZ57)</f>
        <v>-1</v>
      </c>
      <c r="N57" s="6"/>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6">
        <f t="shared" si="20"/>
        <v>-1</v>
      </c>
      <c r="R57" s="5" t="str">
        <f>IF($B57="--","",IF($P57="toetsen",toetsen(F!$B57,Q57),IF($P57="toetsen alleen IW",toetsen_alleen_IW(F!$B57,Q57),IF($P57="toetsen alleen LN",toetsen_alleen_LN(F!$B57,Q57),IF($P57="toetsen geen MV en SV",toetsen_geen_MV_en_SV(F!$B57,Q57),IF($P57="toetsen alleen MV en SV",toetsen_alleen_MV_en_SV(F!$B57,Q57),""))))))</f>
        <v>-</v>
      </c>
      <c r="S57" s="5" t="str">
        <f>IF($P57="toetsen",IF(OR(Q57="",VLOOKUP(F!$B57,E!$B$1:$AK$300,10,FALSE)=1000000000),"",IF(Q57&lt;=VLOOKUP(F!$B57,E!$B$1:$AK$300,10,FALSE),"ja","nee")),"")</f>
        <v/>
      </c>
      <c r="T57" s="87">
        <f t="shared" si="21"/>
        <v>-1</v>
      </c>
      <c r="U57" s="5" t="str">
        <f>IF($D57="--","",IF($P57="toetsen",toetsen(F!$B57,T57),IF($P57="toetsen alleen IW",toetsen_alleen_IW(F!$B57,T57),IF($P57="toetsen alleen LN",toetsen_alleen_LN(F!$B57,T57),IF($P57="toetsen geen MV en SV",toetsen_geen_MV_en_SV(F!$B57,T57),IF($P57="toetsen alleen MV en SV",toetsen_alleen_MV_en_SV(F!$B57,T57),""))))))</f>
        <v>-</v>
      </c>
      <c r="V57" s="5" t="str">
        <f>IF($P57="toetsen",IF(OR(T57="",VLOOKUP(F!$B57,E!$B$1:$AK$300,10,FALSE)=1000000000),"",IF(T57&lt;=VLOOKUP(F!$B57,E!$B$1:$AK$300,10,FALSE),"ja","nee")),"")</f>
        <v/>
      </c>
      <c r="W57" s="6">
        <f t="shared" si="22"/>
        <v>-1</v>
      </c>
      <c r="X57" s="5" t="str">
        <f>IF($F57="--","",IF($P57="toetsen",toetsen(F!$B57,W57),IF($P57="toetsen alleen IW",toetsen_alleen_IW(F!$B57,W57),IF($P57="toetsen alleen LN",toetsen_alleen_LN(F!$B57,W57),IF($P57="toetsen geen MV en SV",toetsen_geen_MV_en_SV(F!$B57,W57),IF($P57="toetsen alleen MV en SV",toetsen_alleen_MV_en_SV(F!$B57,W57),""))))))</f>
        <v>-</v>
      </c>
      <c r="Y57" s="5" t="str">
        <f>IF($P57="toetsen",IF(OR(W57="",VLOOKUP(F!$B57,E!$B$1:$AK$300,10,FALSE)=1000000000),"",IF(W57&lt;=VLOOKUP(F!$B57,E!$B$1:$AK$300,10,FALSE),"ja","nee")),"")</f>
        <v/>
      </c>
      <c r="AA57" s="4">
        <f>IFERROR(IF(Q57="","",(IF(Q57&gt;2*VLOOKUP(F!$B57,E!$B$1:$AK$300,5,FALSE),1,0))),"")</f>
        <v>0</v>
      </c>
      <c r="AB57" s="4">
        <f>IFERROR(IF(T57="","",(IF(T57&gt;2*VLOOKUP(F!$B57,E!$B$1:$AK$300,5,FALSE),1,0))),"")</f>
        <v>0</v>
      </c>
      <c r="AC57" s="4">
        <f>IFERROR(IF(W57="","",(IF(W57&gt;2*VLOOKUP(F!$B57,E!$B$1:$AK$300,5,FALSE),1,0))),"")</f>
        <v>0</v>
      </c>
      <c r="AE57" s="4">
        <f>IFERROR(IF(Q57="","",(IF(Q57&gt;VLOOKUP(F!$B57,E!$B$1:$AK$300,6,FALSE)+VLOOKUP(F!$B57,E!$B$1:$AK$300,5,FALSE),1,0))),"")</f>
        <v>0</v>
      </c>
      <c r="AF57" s="4">
        <f>IFERROR(IF(T57="","",(IF(T57&gt;VLOOKUP(F!$B57,E!$B$1:$AK$300,6,FALSE)+VLOOKUP(F!$B57,E!$B$1:$AK$300,5,FALSE),1,0))),"")</f>
        <v>0</v>
      </c>
      <c r="AG57" s="4">
        <f>IFERROR(IF(W57="","",(IF(W57&gt;VLOOKUP(F!$B57,E!$B$1:$AK$300,6,FALSE)+VLOOKUP(F!$B57,E!$B$1:$AK$300,5,FALSE),1,0))),"")</f>
        <v>0</v>
      </c>
      <c r="AI57" s="6" t="str">
        <f t="shared" si="23"/>
        <v>7,0</v>
      </c>
      <c r="AJ57" s="6" t="str">
        <f>IF(AI57="--","--",IF(F!$D57=131,IF(I57=-1,"rg",IF(I57="","--",IF(I57*1000&lt;1,FIXED(I57*1000,3),IF(I57*1000&lt;10,FIXED(I57*1000,2),(IF(I57*1000&lt;100,FIXED(I57*1000,1),IF(I57*1000&lt;1000,FIXED(I57*1000,0),MROUND(I57*1000,10)))))))),IF(I57=-1,"rg",IF(I57="","--",IF(I57&lt;1,FIXED(I57,3),IF(I57&lt;10,FIXED(I57,2),(IF(I57&lt;100,FIXED(I57,1),IF(I57&lt;1000,FIXED(I57,0),MROUND(I57,10))))))))))</f>
        <v>rg</v>
      </c>
      <c r="AK57" s="6" t="str">
        <f t="shared" si="24"/>
        <v>7,0</v>
      </c>
      <c r="AL57" s="6" t="str">
        <f>IF(AK57="--","--",IF(F!$D57=131,IF(K57=-1,"rg",IF(K57="","--",IF(K57*1000&lt;1,FIXED(K57*1000,3),IF(K57*1000&lt;10,FIXED(K57*1000,2),(IF(K57*1000&lt;100,FIXED(K57*1000,1),IF(K57*1000&lt;1000,FIXED(K57*1000,0),MROUND(K57*1000,10)))))))),IF(K57=-1,"rg",IF(K57="","--",IF(K57&lt;1,FIXED(K57,3),IF(K57&lt;10,FIXED(K57,2),(IF(K57&lt;100,FIXED(K57,1),IF(K57&lt;1000,FIXED(K57,0),MROUND(K57,10))))))))))</f>
        <v>rg</v>
      </c>
      <c r="AM57" s="6" t="str">
        <f t="shared" si="25"/>
        <v>7,0</v>
      </c>
      <c r="AN57" s="6" t="str">
        <f>IF(AM57="--","--",IF(F!$D57=131,IF(M57=-1,"rg",IF(M57="","--",IF(M57*1000&lt;1,FIXED(M57*1000,3),IF(M57*1000&lt;10,FIXED(M57*1000,2),(IF(M57*1000&lt;100,FIXED(M57*1000,1),IF(M57*1000&lt;1000,FIXED(M57*1000,0),MROUND(M57*1000,10)))))))),IF(M57=-1,"rg",IF(M57="","--",IF(M57&lt;1,FIXED(M57,3),IF(M57&lt;10,FIXED(M57,2),(IF(M57&lt;100,FIXED(M57,1),IF(M57&lt;1000,FIXED(M57,0),MROUND(M57,10))))))))))</f>
        <v>rg</v>
      </c>
      <c r="AP57" s="6" t="str">
        <f t="shared" si="6"/>
        <v>7,0</v>
      </c>
      <c r="AQ57" s="6" t="str">
        <f t="shared" si="7"/>
        <v>&lt;</v>
      </c>
      <c r="AR57" s="6" t="str">
        <f t="shared" si="8"/>
        <v>rg</v>
      </c>
      <c r="AS57" s="6" t="str">
        <f t="shared" si="9"/>
        <v>&lt;</v>
      </c>
      <c r="AT57" s="6" t="str">
        <f t="shared" si="10"/>
        <v>-</v>
      </c>
      <c r="AU57" s="6" t="str">
        <f>IFERROR(IF(AR57="--","",IF(HLOOKUP(SMALL($Q$4:$Y$4,3),$Q$4:$Y$501,ROW(AP57)-3,FALSE)=0,"",IF(HLOOKUP(SMALL($Q$4:$Y$4,3),$Q$4:$Y$501,ROW(AP57)-3,FALSE)="nee",VLOOKUP("De kwaliteitseis emissiearme grond (maximale concentratie) wordt overschreden.",H!$O$10:'H'!$P$59,2,FALSE),""))),"")</f>
        <v/>
      </c>
      <c r="AV57" s="6" t="str">
        <f t="shared" si="0"/>
        <v>7,0</v>
      </c>
      <c r="AW57" s="6" t="str">
        <f t="shared" si="1"/>
        <v>&lt;</v>
      </c>
      <c r="AX57" s="6" t="str">
        <f t="shared" si="2"/>
        <v>rg</v>
      </c>
      <c r="AY57" s="6" t="str">
        <f t="shared" si="11"/>
        <v>&lt;</v>
      </c>
      <c r="AZ57" s="6" t="str">
        <f t="shared" si="12"/>
        <v>-</v>
      </c>
      <c r="BA57" s="6" t="str">
        <f>IFERROR(IF(AR57="--","",IF(HLOOKUP(SMALL($Q$4:$Y$4,6),$Q$4:$Y$501,ROW(AP57)-3,FALSE)=0,"",IF(HLOOKUP(SMALL($Q$4:$Y$4,6),$Q$4:$Y$501,ROW(AP57)-3,FALSE)="nee",VLOOKUP("De kwaliteitseis emissiearme grond (maximale concentratie) wordt overschreden.",H!$O$10:'H'!$P$59,2,FALSE),""))),"")</f>
        <v/>
      </c>
      <c r="BB57" s="6" t="str">
        <f t="shared" si="3"/>
        <v>7,0</v>
      </c>
      <c r="BC57" s="6" t="str">
        <f t="shared" si="4"/>
        <v>&lt;</v>
      </c>
      <c r="BD57" s="6" t="str">
        <f t="shared" si="5"/>
        <v>rg</v>
      </c>
      <c r="BE57" s="6" t="str">
        <f t="shared" si="13"/>
        <v>&lt;</v>
      </c>
      <c r="BF57" s="6" t="str">
        <f t="shared" si="14"/>
        <v>-</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6" t="str">
        <f>IF(ISNUMBER(F!E58)=FALSE,"--",IF(F!E58=0,"--",F!E58))</f>
        <v>--</v>
      </c>
      <c r="C58" s="6" t="str">
        <f>IF(B58="--","",F!F58)</f>
        <v/>
      </c>
      <c r="D58" s="6" t="str">
        <f>IF(ISNUMBER(F!G58)=FALSE,"--",IF(F!G58=0,"--",F!G58))</f>
        <v>--</v>
      </c>
      <c r="E58" s="6" t="str">
        <f>IF(D58="--","",F!H58)</f>
        <v/>
      </c>
      <c r="F58" s="6" t="str">
        <f>IF(ISNUMBER(F!I58)=FALSE,"--",IF(F!I58=0,"--",F!I58))</f>
        <v>--</v>
      </c>
      <c r="G58" s="6" t="str">
        <f>IF(F58="--","",F!J58)</f>
        <v/>
      </c>
      <c r="H58" s="6"/>
      <c r="I58" s="6" t="str">
        <f>IF(F!Z58=-1,-1,F!AV58)</f>
        <v/>
      </c>
      <c r="J58" s="6"/>
      <c r="K58" s="6" t="str">
        <f>IF(F!AC58=-1,-1,F!AX58)</f>
        <v/>
      </c>
      <c r="L58" s="6"/>
      <c r="M58" s="6" t="str">
        <f>IF(F!AF58=-1,-1,F!AZ58)</f>
        <v/>
      </c>
      <c r="N58" s="6"/>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6" t="str">
        <f t="shared" si="20"/>
        <v/>
      </c>
      <c r="R58" s="5" t="str">
        <f>IF($B58="--","",IF($P58="toetsen",toetsen(F!$B58,Q58),IF($P58="toetsen alleen IW",toetsen_alleen_IW(F!$B58,Q58),IF($P58="toetsen alleen LN",toetsen_alleen_LN(F!$B58,Q58),IF($P58="toetsen geen MV en SV",toetsen_geen_MV_en_SV(F!$B58,Q58),IF($P58="toetsen alleen MV en SV",toetsen_alleen_MV_en_SV(F!$B58,Q58),""))))))</f>
        <v/>
      </c>
      <c r="S58" s="5" t="str">
        <f>IF($P58="toetsen",IF(OR(Q58="",VLOOKUP(F!$B58,E!$B$1:$AK$300,10,FALSE)=1000000000),"",IF(Q58&lt;=VLOOKUP(F!$B58,E!$B$1:$AK$300,10,FALSE),"ja","nee")),"")</f>
        <v/>
      </c>
      <c r="T58" s="87" t="str">
        <f t="shared" si="21"/>
        <v/>
      </c>
      <c r="U58" s="5" t="str">
        <f>IF($D58="--","",IF($P58="toetsen",toetsen(F!$B58,T58),IF($P58="toetsen alleen IW",toetsen_alleen_IW(F!$B58,T58),IF($P58="toetsen alleen LN",toetsen_alleen_LN(F!$B58,T58),IF($P58="toetsen geen MV en SV",toetsen_geen_MV_en_SV(F!$B58,T58),IF($P58="toetsen alleen MV en SV",toetsen_alleen_MV_en_SV(F!$B58,T58),""))))))</f>
        <v/>
      </c>
      <c r="V58" s="5" t="str">
        <f>IF($P58="toetsen",IF(OR(T58="",VLOOKUP(F!$B58,E!$B$1:$AK$300,10,FALSE)=1000000000),"",IF(T58&lt;=VLOOKUP(F!$B58,E!$B$1:$AK$300,10,FALSE),"ja","nee")),"")</f>
        <v/>
      </c>
      <c r="W58" s="6" t="str">
        <f t="shared" si="22"/>
        <v/>
      </c>
      <c r="X58" s="5" t="str">
        <f>IF($F58="--","",IF($P58="toetsen",toetsen(F!$B58,W58),IF($P58="toetsen alleen IW",toetsen_alleen_IW(F!$B58,W58),IF($P58="toetsen alleen LN",toetsen_alleen_LN(F!$B58,W58),IF($P58="toetsen geen MV en SV",toetsen_geen_MV_en_SV(F!$B58,W58),IF($P58="toetsen alleen MV en SV",toetsen_alleen_MV_en_SV(F!$B58,W58),""))))))</f>
        <v/>
      </c>
      <c r="Y58" s="5" t="str">
        <f>IF($P58="toetsen",IF(OR(W58="",VLOOKUP(F!$B58,E!$B$1:$AK$300,10,FALSE)=1000000000),"",IF(W58&lt;=VLOOKUP(F!$B58,E!$B$1:$AK$300,10,FALSE),"ja","nee")),"")</f>
        <v/>
      </c>
      <c r="AA58" s="4"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6" t="str">
        <f t="shared" si="23"/>
        <v>--</v>
      </c>
      <c r="AJ58" s="6" t="str">
        <f>IF(AI58="--","--",IF(F!$D58=131,IF(I58=-1,"rg",IF(I58="","--",IF(I58*1000&lt;1,FIXED(I58*1000,3),IF(I58*1000&lt;10,FIXED(I58*1000,2),(IF(I58*1000&lt;100,FIXED(I58*1000,1),IF(I58*1000&lt;1000,FIXED(I58*1000,0),MROUND(I58*1000,10)))))))),IF(I58=-1,"rg",IF(I58="","--",IF(I58&lt;1,FIXED(I58,3),IF(I58&lt;10,FIXED(I58,2),(IF(I58&lt;100,FIXED(I58,1),IF(I58&lt;1000,FIXED(I58,0),MROUND(I58,10))))))))))</f>
        <v>--</v>
      </c>
      <c r="AK58" s="6" t="str">
        <f t="shared" si="24"/>
        <v>--</v>
      </c>
      <c r="AL58" s="6" t="str">
        <f>IF(AK58="--","--",IF(F!$D58=131,IF(K58=-1,"rg",IF(K58="","--",IF(K58*1000&lt;1,FIXED(K58*1000,3),IF(K58*1000&lt;10,FIXED(K58*1000,2),(IF(K58*1000&lt;100,FIXED(K58*1000,1),IF(K58*1000&lt;1000,FIXED(K58*1000,0),MROUND(K58*1000,10)))))))),IF(K58=-1,"rg",IF(K58="","--",IF(K58&lt;1,FIXED(K58,3),IF(K58&lt;10,FIXED(K58,2),(IF(K58&lt;100,FIXED(K58,1),IF(K58&lt;1000,FIXED(K58,0),MROUND(K58,10))))))))))</f>
        <v>--</v>
      </c>
      <c r="AM58" s="6" t="str">
        <f t="shared" si="25"/>
        <v>--</v>
      </c>
      <c r="AN58" s="6" t="str">
        <f>IF(AM58="--","--",IF(F!$D58=131,IF(M58=-1,"rg",IF(M58="","--",IF(M58*1000&lt;1,FIXED(M58*1000,3),IF(M58*1000&lt;10,FIXED(M58*1000,2),(IF(M58*1000&lt;100,FIXED(M58*1000,1),IF(M58*1000&lt;1000,FIXED(M58*1000,0),MROUND(M58*1000,10)))))))),IF(M58=-1,"rg",IF(M58="","--",IF(M58&lt;1,FIXED(M58,3),IF(M58&lt;10,FIXED(M58,2),(IF(M58&lt;100,FIXED(M58,1),IF(M58&lt;1000,FIXED(M58,0),MROUND(M58,10))))))))))</f>
        <v>--</v>
      </c>
      <c r="AP58" s="6" t="str">
        <f t="shared" si="6"/>
        <v>--</v>
      </c>
      <c r="AQ58" s="6" t="str">
        <f t="shared" si="7"/>
        <v/>
      </c>
      <c r="AR58" s="6" t="str">
        <f t="shared" si="8"/>
        <v>--</v>
      </c>
      <c r="AS58" s="6" t="str">
        <f t="shared" si="9"/>
        <v/>
      </c>
      <c r="AT58" s="6" t="str">
        <f t="shared" si="10"/>
        <v/>
      </c>
      <c r="AU58" s="6" t="str">
        <f>IFERROR(IF(AR58="--","",IF(HLOOKUP(SMALL($Q$4:$Y$4,3),$Q$4:$Y$501,ROW(AP58)-3,FALSE)=0,"",IF(HLOOKUP(SMALL($Q$4:$Y$4,3),$Q$4:$Y$501,ROW(AP58)-3,FALSE)="nee",VLOOKUP("De kwaliteitseis emissiearme grond (maximale concentratie) wordt overschreden.",H!$O$10:'H'!$P$59,2,FALSE),""))),"")</f>
        <v/>
      </c>
      <c r="AV58" s="6" t="str">
        <f t="shared" si="0"/>
        <v>--</v>
      </c>
      <c r="AW58" s="6" t="str">
        <f t="shared" si="1"/>
        <v/>
      </c>
      <c r="AX58" s="6" t="str">
        <f t="shared" si="2"/>
        <v>--</v>
      </c>
      <c r="AY58" s="6" t="str">
        <f t="shared" si="11"/>
        <v/>
      </c>
      <c r="AZ58" s="6" t="str">
        <f t="shared" si="12"/>
        <v/>
      </c>
      <c r="BA58" s="6" t="str">
        <f>IFERROR(IF(AR58="--","",IF(HLOOKUP(SMALL($Q$4:$Y$4,6),$Q$4:$Y$501,ROW(AP58)-3,FALSE)=0,"",IF(HLOOKUP(SMALL($Q$4:$Y$4,6),$Q$4:$Y$501,ROW(AP58)-3,FALSE)="nee",VLOOKUP("De kwaliteitseis emissiearme grond (maximale concentratie) wordt overschreden.",H!$O$10:'H'!$P$59,2,FALSE),""))),"")</f>
        <v/>
      </c>
      <c r="BB58" s="6" t="str">
        <f t="shared" si="3"/>
        <v>--</v>
      </c>
      <c r="BC58" s="6" t="str">
        <f t="shared" si="4"/>
        <v/>
      </c>
      <c r="BD58" s="6" t="str">
        <f t="shared" si="5"/>
        <v>--</v>
      </c>
      <c r="BE58" s="6" t="str">
        <f t="shared" si="13"/>
        <v/>
      </c>
      <c r="BF58" s="6"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6" t="str">
        <f>IF(ISNUMBER(F!E59)=FALSE,"--",IF(F!E59=0,"--",F!E59))</f>
        <v>--</v>
      </c>
      <c r="C59" s="6" t="str">
        <f>IF(B59="--","",F!F59)</f>
        <v/>
      </c>
      <c r="D59" s="6" t="str">
        <f>IF(ISNUMBER(F!G59)=FALSE,"--",IF(F!G59=0,"--",F!G59))</f>
        <v>--</v>
      </c>
      <c r="E59" s="6" t="str">
        <f>IF(D59="--","",F!H59)</f>
        <v/>
      </c>
      <c r="F59" s="6" t="str">
        <f>IF(ISNUMBER(F!I59)=FALSE,"--",IF(F!I59=0,"--",F!I59))</f>
        <v>--</v>
      </c>
      <c r="G59" s="6" t="str">
        <f>IF(F59="--","",F!J59)</f>
        <v/>
      </c>
      <c r="H59" s="6"/>
      <c r="I59" s="6" t="str">
        <f>IF(F!Z59=-1,-1,F!AV59)</f>
        <v/>
      </c>
      <c r="J59" s="6"/>
      <c r="K59" s="6" t="str">
        <f>IF(F!AC59=-1,-1,F!AX59)</f>
        <v/>
      </c>
      <c r="L59" s="6"/>
      <c r="M59" s="6" t="str">
        <f>IF(F!AF59=-1,-1,F!AZ59)</f>
        <v/>
      </c>
      <c r="N59" s="6"/>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6" t="str">
        <f t="shared" si="20"/>
        <v/>
      </c>
      <c r="R59" s="5" t="str">
        <f>IF($B59="--","",IF($P59="toetsen",toetsen(F!$B59,Q59),IF($P59="toetsen alleen IW",toetsen_alleen_IW(F!$B59,Q59),IF($P59="toetsen alleen LN",toetsen_alleen_LN(F!$B59,Q59),IF($P59="toetsen geen MV en SV",toetsen_geen_MV_en_SV(F!$B59,Q59),IF($P59="toetsen alleen MV en SV",toetsen_alleen_MV_en_SV(F!$B59,Q59),""))))))</f>
        <v/>
      </c>
      <c r="S59" s="5" t="str">
        <f>IF($P59="toetsen",IF(OR(Q59="",VLOOKUP(F!$B59,E!$B$1:$AK$300,10,FALSE)=1000000000),"",IF(Q59&lt;=VLOOKUP(F!$B59,E!$B$1:$AK$300,10,FALSE),"ja","nee")),"")</f>
        <v/>
      </c>
      <c r="T59" s="87" t="str">
        <f t="shared" si="21"/>
        <v/>
      </c>
      <c r="U59" s="5" t="str">
        <f>IF($D59="--","",IF($P59="toetsen",toetsen(F!$B59,T59),IF($P59="toetsen alleen IW",toetsen_alleen_IW(F!$B59,T59),IF($P59="toetsen alleen LN",toetsen_alleen_LN(F!$B59,T59),IF($P59="toetsen geen MV en SV",toetsen_geen_MV_en_SV(F!$B59,T59),IF($P59="toetsen alleen MV en SV",toetsen_alleen_MV_en_SV(F!$B59,T59),""))))))</f>
        <v/>
      </c>
      <c r="V59" s="5" t="str">
        <f>IF($P59="toetsen",IF(OR(T59="",VLOOKUP(F!$B59,E!$B$1:$AK$300,10,FALSE)=1000000000),"",IF(T59&lt;=VLOOKUP(F!$B59,E!$B$1:$AK$300,10,FALSE),"ja","nee")),"")</f>
        <v/>
      </c>
      <c r="W59" s="6" t="str">
        <f t="shared" si="22"/>
        <v/>
      </c>
      <c r="X59" s="5" t="str">
        <f>IF($F59="--","",IF($P59="toetsen",toetsen(F!$B59,W59),IF($P59="toetsen alleen IW",toetsen_alleen_IW(F!$B59,W59),IF($P59="toetsen alleen LN",toetsen_alleen_LN(F!$B59,W59),IF($P59="toetsen geen MV en SV",toetsen_geen_MV_en_SV(F!$B59,W59),IF($P59="toetsen alleen MV en SV",toetsen_alleen_MV_en_SV(F!$B59,W59),""))))))</f>
        <v/>
      </c>
      <c r="Y59" s="5" t="str">
        <f>IF($P59="toetsen",IF(OR(W59="",VLOOKUP(F!$B59,E!$B$1:$AK$300,10,FALSE)=1000000000),"",IF(W59&lt;=VLOOKUP(F!$B59,E!$B$1:$AK$300,10,FALSE),"ja","nee")),"")</f>
        <v/>
      </c>
      <c r="AA59" s="4"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6" t="str">
        <f t="shared" si="23"/>
        <v>--</v>
      </c>
      <c r="AJ59" s="6" t="str">
        <f>IF(AI59="--","--",IF(F!$D59=131,IF(I59=-1,"rg",IF(I59="","--",IF(I59*1000&lt;1,FIXED(I59*1000,3),IF(I59*1000&lt;10,FIXED(I59*1000,2),(IF(I59*1000&lt;100,FIXED(I59*1000,1),IF(I59*1000&lt;1000,FIXED(I59*1000,0),MROUND(I59*1000,10)))))))),IF(I59=-1,"rg",IF(I59="","--",IF(I59&lt;1,FIXED(I59,3),IF(I59&lt;10,FIXED(I59,2),(IF(I59&lt;100,FIXED(I59,1),IF(I59&lt;1000,FIXED(I59,0),MROUND(I59,10))))))))))</f>
        <v>--</v>
      </c>
      <c r="AK59" s="6" t="str">
        <f t="shared" si="24"/>
        <v>--</v>
      </c>
      <c r="AL59" s="6" t="str">
        <f>IF(AK59="--","--",IF(F!$D59=131,IF(K59=-1,"rg",IF(K59="","--",IF(K59*1000&lt;1,FIXED(K59*1000,3),IF(K59*1000&lt;10,FIXED(K59*1000,2),(IF(K59*1000&lt;100,FIXED(K59*1000,1),IF(K59*1000&lt;1000,FIXED(K59*1000,0),MROUND(K59*1000,10)))))))),IF(K59=-1,"rg",IF(K59="","--",IF(K59&lt;1,FIXED(K59,3),IF(K59&lt;10,FIXED(K59,2),(IF(K59&lt;100,FIXED(K59,1),IF(K59&lt;1000,FIXED(K59,0),MROUND(K59,10))))))))))</f>
        <v>--</v>
      </c>
      <c r="AM59" s="6" t="str">
        <f t="shared" si="25"/>
        <v>--</v>
      </c>
      <c r="AN59" s="6" t="str">
        <f>IF(AM59="--","--",IF(F!$D59=131,IF(M59=-1,"rg",IF(M59="","--",IF(M59*1000&lt;1,FIXED(M59*1000,3),IF(M59*1000&lt;10,FIXED(M59*1000,2),(IF(M59*1000&lt;100,FIXED(M59*1000,1),IF(M59*1000&lt;1000,FIXED(M59*1000,0),MROUND(M59*1000,10)))))))),IF(M59=-1,"rg",IF(M59="","--",IF(M59&lt;1,FIXED(M59,3),IF(M59&lt;10,FIXED(M59,2),(IF(M59&lt;100,FIXED(M59,1),IF(M59&lt;1000,FIXED(M59,0),MROUND(M59,10))))))))))</f>
        <v>--</v>
      </c>
      <c r="AP59" s="6" t="str">
        <f t="shared" si="6"/>
        <v>--</v>
      </c>
      <c r="AQ59" s="6" t="str">
        <f t="shared" si="7"/>
        <v/>
      </c>
      <c r="AR59" s="6" t="str">
        <f t="shared" si="8"/>
        <v>--</v>
      </c>
      <c r="AS59" s="6" t="str">
        <f t="shared" si="9"/>
        <v/>
      </c>
      <c r="AT59" s="6" t="str">
        <f t="shared" si="10"/>
        <v/>
      </c>
      <c r="AU59" s="6" t="str">
        <f>IFERROR(IF(AR59="--","",IF(HLOOKUP(SMALL($Q$4:$Y$4,3),$Q$4:$Y$501,ROW(AP59)-3,FALSE)=0,"",IF(HLOOKUP(SMALL($Q$4:$Y$4,3),$Q$4:$Y$501,ROW(AP59)-3,FALSE)="nee",VLOOKUP("De kwaliteitseis emissiearme grond (maximale concentratie) wordt overschreden.",H!$O$10:'H'!$P$59,2,FALSE),""))),"")</f>
        <v/>
      </c>
      <c r="AV59" s="6" t="str">
        <f t="shared" si="0"/>
        <v>--</v>
      </c>
      <c r="AW59" s="6" t="str">
        <f t="shared" si="1"/>
        <v/>
      </c>
      <c r="AX59" s="6" t="str">
        <f t="shared" si="2"/>
        <v>--</v>
      </c>
      <c r="AY59" s="6" t="str">
        <f t="shared" si="11"/>
        <v/>
      </c>
      <c r="AZ59" s="6" t="str">
        <f t="shared" si="12"/>
        <v/>
      </c>
      <c r="BA59" s="6" t="str">
        <f>IFERROR(IF(AR59="--","",IF(HLOOKUP(SMALL($Q$4:$Y$4,6),$Q$4:$Y$501,ROW(AP59)-3,FALSE)=0,"",IF(HLOOKUP(SMALL($Q$4:$Y$4,6),$Q$4:$Y$501,ROW(AP59)-3,FALSE)="nee",VLOOKUP("De kwaliteitseis emissiearme grond (maximale concentratie) wordt overschreden.",H!$O$10:'H'!$P$59,2,FALSE),""))),"")</f>
        <v/>
      </c>
      <c r="BB59" s="6" t="str">
        <f t="shared" si="3"/>
        <v>--</v>
      </c>
      <c r="BC59" s="6" t="str">
        <f t="shared" si="4"/>
        <v/>
      </c>
      <c r="BD59" s="6" t="str">
        <f t="shared" si="5"/>
        <v>--</v>
      </c>
      <c r="BE59" s="6" t="str">
        <f t="shared" si="13"/>
        <v/>
      </c>
      <c r="BF59" s="6"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6" t="str">
        <f>IF(ISNUMBER(F!E60)=FALSE,"--",IF(F!E60=0,"--",F!E60))</f>
        <v>--</v>
      </c>
      <c r="C60" s="6" t="str">
        <f>IF(B60="--","",F!F60)</f>
        <v/>
      </c>
      <c r="D60" s="6" t="str">
        <f>IF(ISNUMBER(F!G60)=FALSE,"--",IF(F!G60=0,"--",F!G60))</f>
        <v>--</v>
      </c>
      <c r="E60" s="6" t="str">
        <f>IF(D60="--","",F!H60)</f>
        <v/>
      </c>
      <c r="F60" s="6" t="str">
        <f>IF(ISNUMBER(F!I60)=FALSE,"--",IF(F!I60=0,"--",F!I60))</f>
        <v>--</v>
      </c>
      <c r="G60" s="6" t="str">
        <f>IF(F60="--","",F!J60)</f>
        <v/>
      </c>
      <c r="H60" s="6"/>
      <c r="I60" s="6" t="str">
        <f>IF(F!Z60=-1,-1,F!AV60)</f>
        <v/>
      </c>
      <c r="J60" s="6"/>
      <c r="K60" s="6" t="str">
        <f>IF(F!AC60=-1,-1,F!AX60)</f>
        <v/>
      </c>
      <c r="L60" s="6"/>
      <c r="M60" s="6" t="str">
        <f>IF(F!AF60=-1,-1,F!AZ60)</f>
        <v/>
      </c>
      <c r="N60" s="6"/>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6" t="str">
        <f t="shared" si="20"/>
        <v/>
      </c>
      <c r="R60" s="5" t="str">
        <f>IF($B60="--","",IF($P60="toetsen",toetsen(F!$B60,Q60),IF($P60="toetsen alleen IW",toetsen_alleen_IW(F!$B60,Q60),IF($P60="toetsen alleen LN",toetsen_alleen_LN(F!$B60,Q60),IF($P60="toetsen geen MV en SV",toetsen_geen_MV_en_SV(F!$B60,Q60),IF($P60="toetsen alleen MV en SV",toetsen_alleen_MV_en_SV(F!$B60,Q60),""))))))</f>
        <v/>
      </c>
      <c r="S60" s="5" t="str">
        <f>IF($P60="toetsen",IF(OR(Q60="",VLOOKUP(F!$B60,E!$B$1:$AK$300,10,FALSE)=1000000000),"",IF(Q60&lt;=VLOOKUP(F!$B60,E!$B$1:$AK$300,10,FALSE),"ja","nee")),"")</f>
        <v/>
      </c>
      <c r="T60" s="87" t="str">
        <f t="shared" si="21"/>
        <v/>
      </c>
      <c r="U60" s="5" t="str">
        <f>IF($D60="--","",IF($P60="toetsen",toetsen(F!$B60,T60),IF($P60="toetsen alleen IW",toetsen_alleen_IW(F!$B60,T60),IF($P60="toetsen alleen LN",toetsen_alleen_LN(F!$B60,T60),IF($P60="toetsen geen MV en SV",toetsen_geen_MV_en_SV(F!$B60,T60),IF($P60="toetsen alleen MV en SV",toetsen_alleen_MV_en_SV(F!$B60,T60),""))))))</f>
        <v/>
      </c>
      <c r="V60" s="5" t="str">
        <f>IF($P60="toetsen",IF(OR(T60="",VLOOKUP(F!$B60,E!$B$1:$AK$300,10,FALSE)=1000000000),"",IF(T60&lt;=VLOOKUP(F!$B60,E!$B$1:$AK$300,10,FALSE),"ja","nee")),"")</f>
        <v/>
      </c>
      <c r="W60" s="6" t="str">
        <f t="shared" si="22"/>
        <v/>
      </c>
      <c r="X60" s="5" t="str">
        <f>IF($F60="--","",IF($P60="toetsen",toetsen(F!$B60,W60),IF($P60="toetsen alleen IW",toetsen_alleen_IW(F!$B60,W60),IF($P60="toetsen alleen LN",toetsen_alleen_LN(F!$B60,W60),IF($P60="toetsen geen MV en SV",toetsen_geen_MV_en_SV(F!$B60,W60),IF($P60="toetsen alleen MV en SV",toetsen_alleen_MV_en_SV(F!$B60,W60),""))))))</f>
        <v/>
      </c>
      <c r="Y60" s="5" t="str">
        <f>IF($P60="toetsen",IF(OR(W60="",VLOOKUP(F!$B60,E!$B$1:$AK$300,10,FALSE)=1000000000),"",IF(W60&lt;=VLOOKUP(F!$B60,E!$B$1:$AK$300,10,FALSE),"ja","nee")),"")</f>
        <v/>
      </c>
      <c r="AA60" s="4"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6" t="str">
        <f t="shared" si="23"/>
        <v>--</v>
      </c>
      <c r="AJ60" s="6" t="str">
        <f>IF(AI60="--","--",IF(F!$D60=131,IF(I60=-1,"rg",IF(I60="","--",IF(I60*1000&lt;1,FIXED(I60*1000,3),IF(I60*1000&lt;10,FIXED(I60*1000,2),(IF(I60*1000&lt;100,FIXED(I60*1000,1),IF(I60*1000&lt;1000,FIXED(I60*1000,0),MROUND(I60*1000,10)))))))),IF(I60=-1,"rg",IF(I60="","--",IF(I60&lt;1,FIXED(I60,3),IF(I60&lt;10,FIXED(I60,2),(IF(I60&lt;100,FIXED(I60,1),IF(I60&lt;1000,FIXED(I60,0),MROUND(I60,10))))))))))</f>
        <v>--</v>
      </c>
      <c r="AK60" s="6" t="str">
        <f t="shared" si="24"/>
        <v>--</v>
      </c>
      <c r="AL60" s="6" t="str">
        <f>IF(AK60="--","--",IF(F!$D60=131,IF(K60=-1,"rg",IF(K60="","--",IF(K60*1000&lt;1,FIXED(K60*1000,3),IF(K60*1000&lt;10,FIXED(K60*1000,2),(IF(K60*1000&lt;100,FIXED(K60*1000,1),IF(K60*1000&lt;1000,FIXED(K60*1000,0),MROUND(K60*1000,10)))))))),IF(K60=-1,"rg",IF(K60="","--",IF(K60&lt;1,FIXED(K60,3),IF(K60&lt;10,FIXED(K60,2),(IF(K60&lt;100,FIXED(K60,1),IF(K60&lt;1000,FIXED(K60,0),MROUND(K60,10))))))))))</f>
        <v>--</v>
      </c>
      <c r="AM60" s="6" t="str">
        <f t="shared" si="25"/>
        <v>--</v>
      </c>
      <c r="AN60" s="6" t="str">
        <f>IF(AM60="--","--",IF(F!$D60=131,IF(M60=-1,"rg",IF(M60="","--",IF(M60*1000&lt;1,FIXED(M60*1000,3),IF(M60*1000&lt;10,FIXED(M60*1000,2),(IF(M60*1000&lt;100,FIXED(M60*1000,1),IF(M60*1000&lt;1000,FIXED(M60*1000,0),MROUND(M60*1000,10)))))))),IF(M60=-1,"rg",IF(M60="","--",IF(M60&lt;1,FIXED(M60,3),IF(M60&lt;10,FIXED(M60,2),(IF(M60&lt;100,FIXED(M60,1),IF(M60&lt;1000,FIXED(M60,0),MROUND(M60,10))))))))))</f>
        <v>--</v>
      </c>
      <c r="AP60" s="6" t="str">
        <f t="shared" si="6"/>
        <v>--</v>
      </c>
      <c r="AQ60" s="6" t="str">
        <f t="shared" si="7"/>
        <v/>
      </c>
      <c r="AR60" s="6" t="str">
        <f t="shared" si="8"/>
        <v>--</v>
      </c>
      <c r="AS60" s="6" t="str">
        <f t="shared" si="9"/>
        <v/>
      </c>
      <c r="AT60" s="6" t="str">
        <f t="shared" si="10"/>
        <v/>
      </c>
      <c r="AU60" s="6" t="str">
        <f>IFERROR(IF(AR60="--","",IF(HLOOKUP(SMALL($Q$4:$Y$4,3),$Q$4:$Y$501,ROW(AP60)-3,FALSE)=0,"",IF(HLOOKUP(SMALL($Q$4:$Y$4,3),$Q$4:$Y$501,ROW(AP60)-3,FALSE)="nee",VLOOKUP("De kwaliteitseis emissiearme grond (maximale concentratie) wordt overschreden.",H!$O$10:'H'!$P$59,2,FALSE),""))),"")</f>
        <v/>
      </c>
      <c r="AV60" s="6" t="str">
        <f t="shared" si="0"/>
        <v>--</v>
      </c>
      <c r="AW60" s="6" t="str">
        <f t="shared" si="1"/>
        <v/>
      </c>
      <c r="AX60" s="6" t="str">
        <f t="shared" si="2"/>
        <v>--</v>
      </c>
      <c r="AY60" s="6" t="str">
        <f t="shared" si="11"/>
        <v/>
      </c>
      <c r="AZ60" s="6" t="str">
        <f t="shared" si="12"/>
        <v/>
      </c>
      <c r="BA60" s="6" t="str">
        <f>IFERROR(IF(AR60="--","",IF(HLOOKUP(SMALL($Q$4:$Y$4,6),$Q$4:$Y$501,ROW(AP60)-3,FALSE)=0,"",IF(HLOOKUP(SMALL($Q$4:$Y$4,6),$Q$4:$Y$501,ROW(AP60)-3,FALSE)="nee",VLOOKUP("De kwaliteitseis emissiearme grond (maximale concentratie) wordt overschreden.",H!$O$10:'H'!$P$59,2,FALSE),""))),"")</f>
        <v/>
      </c>
      <c r="BB60" s="6" t="str">
        <f t="shared" si="3"/>
        <v>--</v>
      </c>
      <c r="BC60" s="6" t="str">
        <f t="shared" si="4"/>
        <v/>
      </c>
      <c r="BD60" s="6" t="str">
        <f t="shared" si="5"/>
        <v>--</v>
      </c>
      <c r="BE60" s="6" t="str">
        <f t="shared" si="13"/>
        <v/>
      </c>
      <c r="BF60" s="6"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6" t="str">
        <f>IF(ISNUMBER(F!E61)=FALSE,"--",IF(F!E61=0,"--",F!E61))</f>
        <v>--</v>
      </c>
      <c r="C61" s="6" t="str">
        <f>IF(B61="--","",F!F61)</f>
        <v/>
      </c>
      <c r="D61" s="6" t="str">
        <f>IF(ISNUMBER(F!G61)=FALSE,"--",IF(F!G61=0,"--",F!G61))</f>
        <v>--</v>
      </c>
      <c r="E61" s="6" t="str">
        <f>IF(D61="--","",F!H61)</f>
        <v/>
      </c>
      <c r="F61" s="6" t="str">
        <f>IF(ISNUMBER(F!I61)=FALSE,"--",IF(F!I61=0,"--",F!I61))</f>
        <v>--</v>
      </c>
      <c r="G61" s="6" t="str">
        <f>IF(F61="--","",F!J61)</f>
        <v/>
      </c>
      <c r="H61" s="6"/>
      <c r="I61" s="16" t="str">
        <f>IF(F!Z61=0,-1,F!AV61)</f>
        <v/>
      </c>
      <c r="J61" s="6"/>
      <c r="K61" s="16" t="str">
        <f>IF(F!AC61=0,-1,F!AX61)</f>
        <v/>
      </c>
      <c r="L61" s="6"/>
      <c r="M61" s="16" t="str">
        <f>IF(F!AF61=0,-1,F!AZ61)</f>
        <v/>
      </c>
      <c r="N61" s="6"/>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6" t="str">
        <f t="shared" si="20"/>
        <v/>
      </c>
      <c r="R61" s="5" t="str">
        <f>IF($B61="--","",IF($P61="toetsen",toetsen(F!$B61,Q61),IF($P61="toetsen alleen IW",toetsen_alleen_IW(F!$B61,Q61),IF($P61="toetsen alleen LN",toetsen_alleen_LN(F!$B61,Q61),IF($P61="toetsen geen MV en SV",toetsen_geen_MV_en_SV(F!$B61,Q61),IF($P61="toetsen alleen MV en SV",toetsen_alleen_MV_en_SV(F!$B61,Q61),""))))))</f>
        <v/>
      </c>
      <c r="S61" s="5" t="str">
        <f>IF($P61="toetsen",IF(OR(Q61="",VLOOKUP(F!$B61,E!$B$1:$AK$300,10,FALSE)=1000000000),"",IF(Q61&lt;=VLOOKUP(F!$B61,E!$B$1:$AK$300,10,FALSE),"ja","nee")),"")</f>
        <v/>
      </c>
      <c r="T61" s="87" t="str">
        <f t="shared" si="21"/>
        <v/>
      </c>
      <c r="U61" s="5" t="str">
        <f>IF($D61="--","",IF($P61="toetsen",toetsen(F!$B61,T61),IF($P61="toetsen alleen IW",toetsen_alleen_IW(F!$B61,T61),IF($P61="toetsen alleen LN",toetsen_alleen_LN(F!$B61,T61),IF($P61="toetsen geen MV en SV",toetsen_geen_MV_en_SV(F!$B61,T61),IF($P61="toetsen alleen MV en SV",toetsen_alleen_MV_en_SV(F!$B61,T61),""))))))</f>
        <v/>
      </c>
      <c r="V61" s="5" t="str">
        <f>IF($P61="toetsen",IF(OR(T61="",VLOOKUP(F!$B61,E!$B$1:$AK$300,10,FALSE)=1000000000),"",IF(T61&lt;=VLOOKUP(F!$B61,E!$B$1:$AK$300,10,FALSE),"ja","nee")),"")</f>
        <v/>
      </c>
      <c r="W61" s="6" t="str">
        <f t="shared" si="22"/>
        <v/>
      </c>
      <c r="X61" s="5" t="str">
        <f>IF($F61="--","",IF($P61="toetsen",toetsen(F!$B61,W61),IF($P61="toetsen alleen IW",toetsen_alleen_IW(F!$B61,W61),IF($P61="toetsen alleen LN",toetsen_alleen_LN(F!$B61,W61),IF($P61="toetsen geen MV en SV",toetsen_geen_MV_en_SV(F!$B61,W61),IF($P61="toetsen alleen MV en SV",toetsen_alleen_MV_en_SV(F!$B61,W61),""))))))</f>
        <v/>
      </c>
      <c r="Y61" s="5" t="str">
        <f>IF($P61="toetsen",IF(OR(W61="",VLOOKUP(F!$B61,E!$B$1:$AK$300,10,FALSE)=1000000000),"",IF(W61&lt;=VLOOKUP(F!$B61,E!$B$1:$AK$300,10,FALSE),"ja","nee")),"")</f>
        <v/>
      </c>
      <c r="AA61" s="4"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6" t="str">
        <f t="shared" si="23"/>
        <v>--</v>
      </c>
      <c r="AJ61" s="6" t="str">
        <f>IF(AI61="--","--",IF(F!$D61=131,IF(I61=-1,"rg",IF(I61="","--",IF(I61*1000&lt;1,FIXED(I61*1000,3),IF(I61*1000&lt;10,FIXED(I61*1000,2),(IF(I61*1000&lt;100,FIXED(I61*1000,1),IF(I61*1000&lt;1000,FIXED(I61*1000,0),MROUND(I61*1000,10)))))))),IF(I61=-1,"rg",IF(I61="","--",IF(I61&lt;1,FIXED(I61,3),IF(I61&lt;10,FIXED(I61,2),(IF(I61&lt;100,FIXED(I61,1),IF(I61&lt;1000,FIXED(I61,0),MROUND(I61,10))))))))))</f>
        <v>--</v>
      </c>
      <c r="AK61" s="6" t="str">
        <f t="shared" si="24"/>
        <v>--</v>
      </c>
      <c r="AL61" s="6" t="str">
        <f>IF(AK61="--","--",IF(F!$D61=131,IF(K61=-1,"rg",IF(K61="","--",IF(K61*1000&lt;1,FIXED(K61*1000,3),IF(K61*1000&lt;10,FIXED(K61*1000,2),(IF(K61*1000&lt;100,FIXED(K61*1000,1),IF(K61*1000&lt;1000,FIXED(K61*1000,0),MROUND(K61*1000,10)))))))),IF(K61=-1,"rg",IF(K61="","--",IF(K61&lt;1,FIXED(K61,3),IF(K61&lt;10,FIXED(K61,2),(IF(K61&lt;100,FIXED(K61,1),IF(K61&lt;1000,FIXED(K61,0),MROUND(K61,10))))))))))</f>
        <v>--</v>
      </c>
      <c r="AM61" s="6" t="str">
        <f t="shared" si="25"/>
        <v>--</v>
      </c>
      <c r="AN61" s="6" t="str">
        <f>IF(AM61="--","--",IF(F!$D61=131,IF(M61=-1,"rg",IF(M61="","--",IF(M61*1000&lt;1,FIXED(M61*1000,3),IF(M61*1000&lt;10,FIXED(M61*1000,2),(IF(M61*1000&lt;100,FIXED(M61*1000,1),IF(M61*1000&lt;1000,FIXED(M61*1000,0),MROUND(M61*1000,10)))))))),IF(M61=-1,"rg",IF(M61="","--",IF(M61&lt;1,FIXED(M61,3),IF(M61&lt;10,FIXED(M61,2),(IF(M61&lt;100,FIXED(M61,1),IF(M61&lt;1000,FIXED(M61,0),MROUND(M61,10))))))))))</f>
        <v>--</v>
      </c>
      <c r="AP61" s="6" t="str">
        <f t="shared" si="6"/>
        <v>--</v>
      </c>
      <c r="AQ61" s="6" t="str">
        <f t="shared" si="7"/>
        <v/>
      </c>
      <c r="AR61" s="6" t="str">
        <f t="shared" si="8"/>
        <v>--</v>
      </c>
      <c r="AS61" s="6" t="str">
        <f t="shared" si="9"/>
        <v/>
      </c>
      <c r="AT61" s="6" t="str">
        <f t="shared" si="10"/>
        <v/>
      </c>
      <c r="AU61" s="6" t="str">
        <f>IFERROR(IF(AR61="--","",IF(HLOOKUP(SMALL($Q$4:$Y$4,3),$Q$4:$Y$501,ROW(AP61)-3,FALSE)=0,"",IF(HLOOKUP(SMALL($Q$4:$Y$4,3),$Q$4:$Y$501,ROW(AP61)-3,FALSE)="nee",VLOOKUP("De kwaliteitseis emissiearme grond (maximale concentratie) wordt overschreden.",H!$O$10:'H'!$P$59,2,FALSE),""))),"")</f>
        <v/>
      </c>
      <c r="AV61" s="6" t="str">
        <f t="shared" si="0"/>
        <v>--</v>
      </c>
      <c r="AW61" s="6" t="str">
        <f t="shared" si="1"/>
        <v/>
      </c>
      <c r="AX61" s="6" t="str">
        <f t="shared" si="2"/>
        <v>--</v>
      </c>
      <c r="AY61" s="6" t="str">
        <f t="shared" si="11"/>
        <v/>
      </c>
      <c r="AZ61" s="6" t="str">
        <f t="shared" si="12"/>
        <v/>
      </c>
      <c r="BA61" s="6" t="str">
        <f>IFERROR(IF(AR61="--","",IF(HLOOKUP(SMALL($Q$4:$Y$4,6),$Q$4:$Y$501,ROW(AP61)-3,FALSE)=0,"",IF(HLOOKUP(SMALL($Q$4:$Y$4,6),$Q$4:$Y$501,ROW(AP61)-3,FALSE)="nee",VLOOKUP("De kwaliteitseis emissiearme grond (maximale concentratie) wordt overschreden.",H!$O$10:'H'!$P$59,2,FALSE),""))),"")</f>
        <v/>
      </c>
      <c r="BB61" s="6" t="str">
        <f t="shared" si="3"/>
        <v>--</v>
      </c>
      <c r="BC61" s="6" t="str">
        <f t="shared" si="4"/>
        <v/>
      </c>
      <c r="BD61" s="6" t="str">
        <f t="shared" si="5"/>
        <v>--</v>
      </c>
      <c r="BE61" s="6" t="str">
        <f t="shared" si="13"/>
        <v/>
      </c>
      <c r="BF61" s="6"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6" t="str">
        <f>IF(ISNUMBER(F!E62)=FALSE,"--",IF(F!E62=0,"--",F!E62))</f>
        <v>--</v>
      </c>
      <c r="C62" s="6" t="str">
        <f>IF(B62="--","",F!F62)</f>
        <v/>
      </c>
      <c r="D62" s="6" t="str">
        <f>IF(ISNUMBER(F!G62)=FALSE,"--",IF(F!G62=0,"--",F!G62))</f>
        <v>--</v>
      </c>
      <c r="E62" s="6" t="str">
        <f>IF(D62="--","",F!H62)</f>
        <v/>
      </c>
      <c r="F62" s="6" t="str">
        <f>IF(ISNUMBER(F!I62)=FALSE,"--",IF(F!I62=0,"--",F!I62))</f>
        <v>--</v>
      </c>
      <c r="G62" s="6" t="str">
        <f>IF(F62="--","",F!J62)</f>
        <v/>
      </c>
      <c r="H62" s="6"/>
      <c r="I62" s="16" t="str">
        <f>IF(F!Z62=0,-1,F!AV62)</f>
        <v/>
      </c>
      <c r="J62" s="6"/>
      <c r="K62" s="16" t="str">
        <f>IF(F!AC62=0,-1,F!AX62)</f>
        <v/>
      </c>
      <c r="L62" s="6"/>
      <c r="M62" s="16" t="str">
        <f>IF(F!AF62=0,-1,F!AZ62)</f>
        <v/>
      </c>
      <c r="N62" s="6"/>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6" t="str">
        <f t="shared" si="20"/>
        <v/>
      </c>
      <c r="R62" s="5" t="str">
        <f>IF($B62="--","",IF($P62="toetsen",toetsen(F!$B62,Q62),IF($P62="toetsen alleen IW",toetsen_alleen_IW(F!$B62,Q62),IF($P62="toetsen alleen LN",toetsen_alleen_LN(F!$B62,Q62),IF($P62="toetsen geen MV en SV",toetsen_geen_MV_en_SV(F!$B62,Q62),IF($P62="toetsen alleen MV en SV",toetsen_alleen_MV_en_SV(F!$B62,Q62),""))))))</f>
        <v/>
      </c>
      <c r="S62" s="5" t="str">
        <f>IF($P62="toetsen",IF(OR(Q62="",VLOOKUP(F!$B62,E!$B$1:$AK$300,10,FALSE)=1000000000),"",IF(Q62&lt;=VLOOKUP(F!$B62,E!$B$1:$AK$300,10,FALSE),"ja","nee")),"")</f>
        <v/>
      </c>
      <c r="T62" s="87" t="str">
        <f t="shared" si="21"/>
        <v/>
      </c>
      <c r="U62" s="5" t="str">
        <f>IF($D62="--","",IF($P62="toetsen",toetsen(F!$B62,T62),IF($P62="toetsen alleen IW",toetsen_alleen_IW(F!$B62,T62),IF($P62="toetsen alleen LN",toetsen_alleen_LN(F!$B62,T62),IF($P62="toetsen geen MV en SV",toetsen_geen_MV_en_SV(F!$B62,T62),IF($P62="toetsen alleen MV en SV",toetsen_alleen_MV_en_SV(F!$B62,T62),""))))))</f>
        <v/>
      </c>
      <c r="V62" s="5" t="str">
        <f>IF($P62="toetsen",IF(OR(T62="",VLOOKUP(F!$B62,E!$B$1:$AK$300,10,FALSE)=1000000000),"",IF(T62&lt;=VLOOKUP(F!$B62,E!$B$1:$AK$300,10,FALSE),"ja","nee")),"")</f>
        <v/>
      </c>
      <c r="W62" s="6" t="str">
        <f t="shared" si="22"/>
        <v/>
      </c>
      <c r="X62" s="5" t="str">
        <f>IF($F62="--","",IF($P62="toetsen",toetsen(F!$B62,W62),IF($P62="toetsen alleen IW",toetsen_alleen_IW(F!$B62,W62),IF($P62="toetsen alleen LN",toetsen_alleen_LN(F!$B62,W62),IF($P62="toetsen geen MV en SV",toetsen_geen_MV_en_SV(F!$B62,W62),IF($P62="toetsen alleen MV en SV",toetsen_alleen_MV_en_SV(F!$B62,W62),""))))))</f>
        <v/>
      </c>
      <c r="Y62" s="5" t="str">
        <f>IF($P62="toetsen",IF(OR(W62="",VLOOKUP(F!$B62,E!$B$1:$AK$300,10,FALSE)=1000000000),"",IF(W62&lt;=VLOOKUP(F!$B62,E!$B$1:$AK$300,10,FALSE),"ja","nee")),"")</f>
        <v/>
      </c>
      <c r="AA62" s="4"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6" t="str">
        <f t="shared" si="23"/>
        <v>--</v>
      </c>
      <c r="AJ62" s="6" t="str">
        <f>IF(AI62="--","--",IF(F!$D62=131,IF(I62=-1,"rg",IF(I62="","--",IF(I62*1000&lt;1,FIXED(I62*1000,3),IF(I62*1000&lt;10,FIXED(I62*1000,2),(IF(I62*1000&lt;100,FIXED(I62*1000,1),IF(I62*1000&lt;1000,FIXED(I62*1000,0),MROUND(I62*1000,10)))))))),IF(I62=-1,"rg",IF(I62="","--",IF(I62&lt;1,FIXED(I62,3),IF(I62&lt;10,FIXED(I62,2),(IF(I62&lt;100,FIXED(I62,1),IF(I62&lt;1000,FIXED(I62,0),MROUND(I62,10))))))))))</f>
        <v>--</v>
      </c>
      <c r="AK62" s="6" t="str">
        <f t="shared" si="24"/>
        <v>--</v>
      </c>
      <c r="AL62" s="6" t="str">
        <f>IF(AK62="--","--",IF(F!$D62=131,IF(K62=-1,"rg",IF(K62="","--",IF(K62*1000&lt;1,FIXED(K62*1000,3),IF(K62*1000&lt;10,FIXED(K62*1000,2),(IF(K62*1000&lt;100,FIXED(K62*1000,1),IF(K62*1000&lt;1000,FIXED(K62*1000,0),MROUND(K62*1000,10)))))))),IF(K62=-1,"rg",IF(K62="","--",IF(K62&lt;1,FIXED(K62,3),IF(K62&lt;10,FIXED(K62,2),(IF(K62&lt;100,FIXED(K62,1),IF(K62&lt;1000,FIXED(K62,0),MROUND(K62,10))))))))))</f>
        <v>--</v>
      </c>
      <c r="AM62" s="6" t="str">
        <f t="shared" si="25"/>
        <v>--</v>
      </c>
      <c r="AN62" s="6" t="str">
        <f>IF(AM62="--","--",IF(F!$D62=131,IF(M62=-1,"rg",IF(M62="","--",IF(M62*1000&lt;1,FIXED(M62*1000,3),IF(M62*1000&lt;10,FIXED(M62*1000,2),(IF(M62*1000&lt;100,FIXED(M62*1000,1),IF(M62*1000&lt;1000,FIXED(M62*1000,0),MROUND(M62*1000,10)))))))),IF(M62=-1,"rg",IF(M62="","--",IF(M62&lt;1,FIXED(M62,3),IF(M62&lt;10,FIXED(M62,2),(IF(M62&lt;100,FIXED(M62,1),IF(M62&lt;1000,FIXED(M62,0),MROUND(M62,10))))))))))</f>
        <v>--</v>
      </c>
      <c r="AP62" s="6" t="str">
        <f t="shared" si="6"/>
        <v>--</v>
      </c>
      <c r="AQ62" s="6" t="str">
        <f t="shared" si="7"/>
        <v/>
      </c>
      <c r="AR62" s="6" t="str">
        <f t="shared" si="8"/>
        <v>--</v>
      </c>
      <c r="AS62" s="6" t="str">
        <f t="shared" si="9"/>
        <v/>
      </c>
      <c r="AT62" s="6" t="str">
        <f t="shared" si="10"/>
        <v/>
      </c>
      <c r="AU62" s="6" t="str">
        <f>IFERROR(IF(AR62="--","",IF(HLOOKUP(SMALL($Q$4:$Y$4,3),$Q$4:$Y$501,ROW(AP62)-3,FALSE)=0,"",IF(HLOOKUP(SMALL($Q$4:$Y$4,3),$Q$4:$Y$501,ROW(AP62)-3,FALSE)="nee",VLOOKUP("De kwaliteitseis emissiearme grond (maximale concentratie) wordt overschreden.",H!$O$10:'H'!$P$59,2,FALSE),""))),"")</f>
        <v/>
      </c>
      <c r="AV62" s="6" t="str">
        <f t="shared" si="0"/>
        <v>--</v>
      </c>
      <c r="AW62" s="6" t="str">
        <f t="shared" si="1"/>
        <v/>
      </c>
      <c r="AX62" s="6" t="str">
        <f t="shared" si="2"/>
        <v>--</v>
      </c>
      <c r="AY62" s="6" t="str">
        <f t="shared" si="11"/>
        <v/>
      </c>
      <c r="AZ62" s="6" t="str">
        <f t="shared" si="12"/>
        <v/>
      </c>
      <c r="BA62" s="6" t="str">
        <f>IFERROR(IF(AR62="--","",IF(HLOOKUP(SMALL($Q$4:$Y$4,6),$Q$4:$Y$501,ROW(AP62)-3,FALSE)=0,"",IF(HLOOKUP(SMALL($Q$4:$Y$4,6),$Q$4:$Y$501,ROW(AP62)-3,FALSE)="nee",VLOOKUP("De kwaliteitseis emissiearme grond (maximale concentratie) wordt overschreden.",H!$O$10:'H'!$P$59,2,FALSE),""))),"")</f>
        <v/>
      </c>
      <c r="BB62" s="6" t="str">
        <f t="shared" si="3"/>
        <v>--</v>
      </c>
      <c r="BC62" s="6" t="str">
        <f t="shared" si="4"/>
        <v/>
      </c>
      <c r="BD62" s="6" t="str">
        <f t="shared" si="5"/>
        <v>--</v>
      </c>
      <c r="BE62" s="6" t="str">
        <f t="shared" si="13"/>
        <v/>
      </c>
      <c r="BF62" s="6"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6" t="str">
        <f>IF(ISNUMBER(F!E63)=FALSE,"--",IF(F!E63=0,"--",F!E63))</f>
        <v>--</v>
      </c>
      <c r="C63" s="6" t="str">
        <f>IF(B63="--","",F!F63)</f>
        <v/>
      </c>
      <c r="D63" s="6" t="str">
        <f>IF(ISNUMBER(F!G63)=FALSE,"--",IF(F!G63=0,"--",F!G63))</f>
        <v>--</v>
      </c>
      <c r="E63" s="6" t="str">
        <f>IF(D63="--","",F!H63)</f>
        <v/>
      </c>
      <c r="F63" s="6" t="str">
        <f>IF(ISNUMBER(F!I63)=FALSE,"--",IF(F!I63=0,"--",F!I63))</f>
        <v>--</v>
      </c>
      <c r="G63" s="6" t="str">
        <f>IF(F63="--","",F!J63)</f>
        <v/>
      </c>
      <c r="H63" s="6"/>
      <c r="I63" s="170" t="str">
        <f>IF(F!Z63=0,-1,F!AV63)</f>
        <v/>
      </c>
      <c r="J63" s="6"/>
      <c r="K63" s="170" t="str">
        <f>IF(F!AC63=0,-1,F!AX63)</f>
        <v/>
      </c>
      <c r="L63" s="6"/>
      <c r="M63" s="170" t="str">
        <f>IF(F!AF63=0,-1,F!AZ63)</f>
        <v/>
      </c>
      <c r="N63" s="6"/>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6" t="str">
        <f t="shared" si="20"/>
        <v/>
      </c>
      <c r="R63" s="5" t="str">
        <f>IF($B63="--","",IF($P63="toetsen",toetsen(F!$B63,Q63),IF($P63="toetsen alleen IW",toetsen_alleen_IW(F!$B63,Q63),IF($P63="toetsen alleen LN",toetsen_alleen_LN(F!$B63,Q63),IF($P63="toetsen geen MV en SV",toetsen_geen_MV_en_SV(F!$B63,Q63),IF($P63="toetsen alleen MV en SV",toetsen_alleen_MV_en_SV(F!$B63,Q63),""))))))</f>
        <v/>
      </c>
      <c r="S63" s="5" t="str">
        <f>IF($P63="toetsen",IF(OR(Q63="",VLOOKUP(F!$B63,E!$B$1:$AK$300,10,FALSE)=1000000000),"",IF(Q63&lt;=VLOOKUP(F!$B63,E!$B$1:$AK$300,10,FALSE),"ja","nee")),"")</f>
        <v/>
      </c>
      <c r="T63" s="87" t="str">
        <f t="shared" si="21"/>
        <v/>
      </c>
      <c r="U63" s="5" t="str">
        <f>IF($D63="--","",IF($P63="toetsen",toetsen(F!$B63,T63),IF($P63="toetsen alleen IW",toetsen_alleen_IW(F!$B63,T63),IF($P63="toetsen alleen LN",toetsen_alleen_LN(F!$B63,T63),IF($P63="toetsen geen MV en SV",toetsen_geen_MV_en_SV(F!$B63,T63),IF($P63="toetsen alleen MV en SV",toetsen_alleen_MV_en_SV(F!$B63,T63),""))))))</f>
        <v/>
      </c>
      <c r="V63" s="5" t="str">
        <f>IF($P63="toetsen",IF(OR(T63="",VLOOKUP(F!$B63,E!$B$1:$AK$300,10,FALSE)=1000000000),"",IF(T63&lt;=VLOOKUP(F!$B63,E!$B$1:$AK$300,10,FALSE),"ja","nee")),"")</f>
        <v/>
      </c>
      <c r="W63" s="6" t="str">
        <f t="shared" si="22"/>
        <v/>
      </c>
      <c r="X63" s="5" t="str">
        <f>IF($F63="--","",IF($P63="toetsen",toetsen(F!$B63,W63),IF($P63="toetsen alleen IW",toetsen_alleen_IW(F!$B63,W63),IF($P63="toetsen alleen LN",toetsen_alleen_LN(F!$B63,W63),IF($P63="toetsen geen MV en SV",toetsen_geen_MV_en_SV(F!$B63,W63),IF($P63="toetsen alleen MV en SV",toetsen_alleen_MV_en_SV(F!$B63,W63),""))))))</f>
        <v/>
      </c>
      <c r="Y63" s="5" t="str">
        <f>IF($P63="toetsen",IF(OR(W63="",VLOOKUP(F!$B63,E!$B$1:$AK$300,10,FALSE)=1000000000),"",IF(W63&lt;=VLOOKUP(F!$B63,E!$B$1:$AK$300,10,FALSE),"ja","nee")),"")</f>
        <v/>
      </c>
      <c r="AA63" s="4"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6" t="str">
        <f t="shared" si="23"/>
        <v>--</v>
      </c>
      <c r="AJ63" s="6" t="str">
        <f>IF(AI63="--","--",IF(F!$D63=131,IF(I63=-1,"rg",IF(I63="","--",IF(I63*1000&lt;1,FIXED(I63*1000,3),IF(I63*1000&lt;10,FIXED(I63*1000,2),(IF(I63*1000&lt;100,FIXED(I63*1000,1),IF(I63*1000&lt;1000,FIXED(I63*1000,0),MROUND(I63*1000,10)))))))),IF(I63=-1,"rg",IF(I63="","--",IF(I63&lt;1,FIXED(I63,3),IF(I63&lt;10,FIXED(I63,2),(IF(I63&lt;100,FIXED(I63,1),IF(I63&lt;1000,FIXED(I63,0),MROUND(I63,10))))))))))</f>
        <v>--</v>
      </c>
      <c r="AK63" s="6" t="str">
        <f t="shared" si="24"/>
        <v>--</v>
      </c>
      <c r="AL63" s="6" t="str">
        <f>IF(AK63="--","--",IF(F!$D63=131,IF(K63=-1,"rg",IF(K63="","--",IF(K63*1000&lt;1,FIXED(K63*1000,3),IF(K63*1000&lt;10,FIXED(K63*1000,2),(IF(K63*1000&lt;100,FIXED(K63*1000,1),IF(K63*1000&lt;1000,FIXED(K63*1000,0),MROUND(K63*1000,10)))))))),IF(K63=-1,"rg",IF(K63="","--",IF(K63&lt;1,FIXED(K63,3),IF(K63&lt;10,FIXED(K63,2),(IF(K63&lt;100,FIXED(K63,1),IF(K63&lt;1000,FIXED(K63,0),MROUND(K63,10))))))))))</f>
        <v>--</v>
      </c>
      <c r="AM63" s="6" t="str">
        <f t="shared" si="25"/>
        <v>--</v>
      </c>
      <c r="AN63" s="6" t="str">
        <f>IF(AM63="--","--",IF(F!$D63=131,IF(M63=-1,"rg",IF(M63="","--",IF(M63*1000&lt;1,FIXED(M63*1000,3),IF(M63*1000&lt;10,FIXED(M63*1000,2),(IF(M63*1000&lt;100,FIXED(M63*1000,1),IF(M63*1000&lt;1000,FIXED(M63*1000,0),MROUND(M63*1000,10)))))))),IF(M63=-1,"rg",IF(M63="","--",IF(M63&lt;1,FIXED(M63,3),IF(M63&lt;10,FIXED(M63,2),(IF(M63&lt;100,FIXED(M63,1),IF(M63&lt;1000,FIXED(M63,0),MROUND(M63,10))))))))))</f>
        <v>--</v>
      </c>
      <c r="AP63" s="6" t="str">
        <f t="shared" si="6"/>
        <v>--</v>
      </c>
      <c r="AQ63" s="6" t="str">
        <f t="shared" si="7"/>
        <v/>
      </c>
      <c r="AR63" s="6" t="str">
        <f t="shared" si="8"/>
        <v>--</v>
      </c>
      <c r="AS63" s="6" t="str">
        <f t="shared" si="9"/>
        <v/>
      </c>
      <c r="AT63" s="6" t="str">
        <f t="shared" si="10"/>
        <v/>
      </c>
      <c r="AU63" s="6" t="str">
        <f>IFERROR(IF(AR63="--","",IF(HLOOKUP(SMALL($Q$4:$Y$4,3),$Q$4:$Y$501,ROW(AP63)-3,FALSE)=0,"",IF(HLOOKUP(SMALL($Q$4:$Y$4,3),$Q$4:$Y$501,ROW(AP63)-3,FALSE)="nee",VLOOKUP("De kwaliteitseis emissiearme grond (maximale concentratie) wordt overschreden.",H!$O$10:'H'!$P$59,2,FALSE),""))),"")</f>
        <v/>
      </c>
      <c r="AV63" s="6" t="str">
        <f t="shared" si="0"/>
        <v>--</v>
      </c>
      <c r="AW63" s="6" t="str">
        <f t="shared" si="1"/>
        <v/>
      </c>
      <c r="AX63" s="6" t="str">
        <f t="shared" si="2"/>
        <v>--</v>
      </c>
      <c r="AY63" s="6" t="str">
        <f t="shared" si="11"/>
        <v/>
      </c>
      <c r="AZ63" s="6" t="str">
        <f t="shared" si="12"/>
        <v/>
      </c>
      <c r="BA63" s="6" t="str">
        <f>IFERROR(IF(AR63="--","",IF(HLOOKUP(SMALL($Q$4:$Y$4,6),$Q$4:$Y$501,ROW(AP63)-3,FALSE)=0,"",IF(HLOOKUP(SMALL($Q$4:$Y$4,6),$Q$4:$Y$501,ROW(AP63)-3,FALSE)="nee",VLOOKUP("De kwaliteitseis emissiearme grond (maximale concentratie) wordt overschreden.",H!$O$10:'H'!$P$59,2,FALSE),""))),"")</f>
        <v/>
      </c>
      <c r="BB63" s="6" t="str">
        <f t="shared" si="3"/>
        <v>--</v>
      </c>
      <c r="BC63" s="6" t="str">
        <f t="shared" si="4"/>
        <v/>
      </c>
      <c r="BD63" s="6" t="str">
        <f t="shared" si="5"/>
        <v>--</v>
      </c>
      <c r="BE63" s="6" t="str">
        <f t="shared" si="13"/>
        <v/>
      </c>
      <c r="BF63" s="6"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6" t="str">
        <f>IF(ISNUMBER(F!E64)=FALSE,"--",IF(F!E64=0,"--",F!E64))</f>
        <v>--</v>
      </c>
      <c r="C64" s="6" t="str">
        <f>IF(B64="--","",F!F64)</f>
        <v/>
      </c>
      <c r="D64" s="6" t="str">
        <f>IF(ISNUMBER(F!G64)=FALSE,"--",IF(F!G64=0,"--",F!G64))</f>
        <v>--</v>
      </c>
      <c r="E64" s="6" t="str">
        <f>IF(D64="--","",F!H64)</f>
        <v/>
      </c>
      <c r="F64" s="6" t="str">
        <f>IF(ISNUMBER(F!I64)=FALSE,"--",IF(F!I64=0,"--",F!I64))</f>
        <v>--</v>
      </c>
      <c r="G64" s="6" t="str">
        <f>IF(F64="--","",F!J64)</f>
        <v/>
      </c>
      <c r="H64" s="6"/>
      <c r="I64" s="6" t="str">
        <f>IF(F!Z64=-1,-1,F!AV64)</f>
        <v/>
      </c>
      <c r="J64" s="6"/>
      <c r="K64" s="6" t="str">
        <f>IF(F!AC64=-1,-1,F!AX64)</f>
        <v/>
      </c>
      <c r="L64" s="6"/>
      <c r="M64" s="6" t="str">
        <f>IF(F!AF64=-1,-1,F!AZ64)</f>
        <v/>
      </c>
      <c r="N64" s="6"/>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6" t="str">
        <f t="shared" si="20"/>
        <v/>
      </c>
      <c r="R64" s="5" t="str">
        <f>IF($B64="--","",IF($P64="toetsen",toetsen(F!$B64,Q64),IF($P64="toetsen alleen IW",toetsen_alleen_IW(F!$B64,Q64),IF($P64="toetsen alleen LN",toetsen_alleen_LN(F!$B64,Q64),IF($P64="toetsen geen MV en SV",toetsen_geen_MV_en_SV(F!$B64,Q64),IF($P64="toetsen alleen MV en SV",toetsen_alleen_MV_en_SV(F!$B64,Q64),""))))))</f>
        <v/>
      </c>
      <c r="S64" s="5" t="str">
        <f>IF($P64="toetsen",IF(OR(Q64="",VLOOKUP(F!$B64,E!$B$1:$AK$300,10,FALSE)=1000000000),"",IF(Q64&lt;=VLOOKUP(F!$B64,E!$B$1:$AK$300,10,FALSE),"ja","nee")),"")</f>
        <v/>
      </c>
      <c r="T64" s="87" t="str">
        <f t="shared" si="21"/>
        <v/>
      </c>
      <c r="U64" s="5" t="str">
        <f>IF($D64="--","",IF($P64="toetsen",toetsen(F!$B64,T64),IF($P64="toetsen alleen IW",toetsen_alleen_IW(F!$B64,T64),IF($P64="toetsen alleen LN",toetsen_alleen_LN(F!$B64,T64),IF($P64="toetsen geen MV en SV",toetsen_geen_MV_en_SV(F!$B64,T64),IF($P64="toetsen alleen MV en SV",toetsen_alleen_MV_en_SV(F!$B64,T64),""))))))</f>
        <v/>
      </c>
      <c r="V64" s="5" t="str">
        <f>IF($P64="toetsen",IF(OR(T64="",VLOOKUP(F!$B64,E!$B$1:$AK$300,10,FALSE)=1000000000),"",IF(T64&lt;=VLOOKUP(F!$B64,E!$B$1:$AK$300,10,FALSE),"ja","nee")),"")</f>
        <v/>
      </c>
      <c r="W64" s="6" t="str">
        <f t="shared" si="22"/>
        <v/>
      </c>
      <c r="X64" s="5" t="str">
        <f>IF($F64="--","",IF($P64="toetsen",toetsen(F!$B64,W64),IF($P64="toetsen alleen IW",toetsen_alleen_IW(F!$B64,W64),IF($P64="toetsen alleen LN",toetsen_alleen_LN(F!$B64,W64),IF($P64="toetsen geen MV en SV",toetsen_geen_MV_en_SV(F!$B64,W64),IF($P64="toetsen alleen MV en SV",toetsen_alleen_MV_en_SV(F!$B64,W64),""))))))</f>
        <v/>
      </c>
      <c r="Y64" s="5" t="str">
        <f>IF($P64="toetsen",IF(OR(W64="",VLOOKUP(F!$B64,E!$B$1:$AK$300,10,FALSE)=1000000000),"",IF(W64&lt;=VLOOKUP(F!$B64,E!$B$1:$AK$300,10,FALSE),"ja","nee")),"")</f>
        <v/>
      </c>
      <c r="AA64" s="4"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6" t="str">
        <f t="shared" si="23"/>
        <v>--</v>
      </c>
      <c r="AJ64" s="6" t="str">
        <f>IF(AI64="--","--",IF(F!$D64=131,IF(I64=-1,"rg",IF(I64="","--",IF(I64*1000&lt;1,FIXED(I64*1000,3),IF(I64*1000&lt;10,FIXED(I64*1000,2),(IF(I64*1000&lt;100,FIXED(I64*1000,1),IF(I64*1000&lt;1000,FIXED(I64*1000,0),MROUND(I64*1000,10)))))))),IF(I64=-1,"rg",IF(I64="","--",IF(I64&lt;1,FIXED(I64,3),IF(I64&lt;10,FIXED(I64,2),(IF(I64&lt;100,FIXED(I64,1),IF(I64&lt;1000,FIXED(I64,0),MROUND(I64,10))))))))))</f>
        <v>--</v>
      </c>
      <c r="AK64" s="6" t="str">
        <f t="shared" si="24"/>
        <v>--</v>
      </c>
      <c r="AL64" s="6" t="str">
        <f>IF(AK64="--","--",IF(F!$D64=131,IF(K64=-1,"rg",IF(K64="","--",IF(K64*1000&lt;1,FIXED(K64*1000,3),IF(K64*1000&lt;10,FIXED(K64*1000,2),(IF(K64*1000&lt;100,FIXED(K64*1000,1),IF(K64*1000&lt;1000,FIXED(K64*1000,0),MROUND(K64*1000,10)))))))),IF(K64=-1,"rg",IF(K64="","--",IF(K64&lt;1,FIXED(K64,3),IF(K64&lt;10,FIXED(K64,2),(IF(K64&lt;100,FIXED(K64,1),IF(K64&lt;1000,FIXED(K64,0),MROUND(K64,10))))))))))</f>
        <v>--</v>
      </c>
      <c r="AM64" s="6" t="str">
        <f t="shared" si="25"/>
        <v>--</v>
      </c>
      <c r="AN64" s="6" t="str">
        <f>IF(AM64="--","--",IF(F!$D64=131,IF(M64=-1,"rg",IF(M64="","--",IF(M64*1000&lt;1,FIXED(M64*1000,3),IF(M64*1000&lt;10,FIXED(M64*1000,2),(IF(M64*1000&lt;100,FIXED(M64*1000,1),IF(M64*1000&lt;1000,FIXED(M64*1000,0),MROUND(M64*1000,10)))))))),IF(M64=-1,"rg",IF(M64="","--",IF(M64&lt;1,FIXED(M64,3),IF(M64&lt;10,FIXED(M64,2),(IF(M64&lt;100,FIXED(M64,1),IF(M64&lt;1000,FIXED(M64,0),MROUND(M64,10))))))))))</f>
        <v>--</v>
      </c>
      <c r="AP64" s="6" t="str">
        <f t="shared" si="6"/>
        <v>--</v>
      </c>
      <c r="AQ64" s="6" t="str">
        <f t="shared" si="7"/>
        <v/>
      </c>
      <c r="AR64" s="6" t="str">
        <f t="shared" si="8"/>
        <v>--</v>
      </c>
      <c r="AS64" s="6" t="str">
        <f t="shared" si="9"/>
        <v/>
      </c>
      <c r="AT64" s="6" t="str">
        <f t="shared" si="10"/>
        <v/>
      </c>
      <c r="AU64" s="6" t="str">
        <f>IFERROR(IF(AR64="--","",IF(HLOOKUP(SMALL($Q$4:$Y$4,3),$Q$4:$Y$501,ROW(AP64)-3,FALSE)=0,"",IF(HLOOKUP(SMALL($Q$4:$Y$4,3),$Q$4:$Y$501,ROW(AP64)-3,FALSE)="nee",VLOOKUP("De kwaliteitseis emissiearme grond (maximale concentratie) wordt overschreden.",H!$O$10:'H'!$P$59,2,FALSE),""))),"")</f>
        <v/>
      </c>
      <c r="AV64" s="6" t="str">
        <f t="shared" si="0"/>
        <v>--</v>
      </c>
      <c r="AW64" s="6" t="str">
        <f t="shared" si="1"/>
        <v/>
      </c>
      <c r="AX64" s="6" t="str">
        <f t="shared" si="2"/>
        <v>--</v>
      </c>
      <c r="AY64" s="6" t="str">
        <f t="shared" si="11"/>
        <v/>
      </c>
      <c r="AZ64" s="6" t="str">
        <f t="shared" si="12"/>
        <v/>
      </c>
      <c r="BA64" s="6" t="str">
        <f>IFERROR(IF(AR64="--","",IF(HLOOKUP(SMALL($Q$4:$Y$4,6),$Q$4:$Y$501,ROW(AP64)-3,FALSE)=0,"",IF(HLOOKUP(SMALL($Q$4:$Y$4,6),$Q$4:$Y$501,ROW(AP64)-3,FALSE)="nee",VLOOKUP("De kwaliteitseis emissiearme grond (maximale concentratie) wordt overschreden.",H!$O$10:'H'!$P$59,2,FALSE),""))),"")</f>
        <v/>
      </c>
      <c r="BB64" s="6" t="str">
        <f t="shared" si="3"/>
        <v>--</v>
      </c>
      <c r="BC64" s="6" t="str">
        <f t="shared" si="4"/>
        <v/>
      </c>
      <c r="BD64" s="6" t="str">
        <f t="shared" si="5"/>
        <v>--</v>
      </c>
      <c r="BE64" s="6" t="str">
        <f t="shared" si="13"/>
        <v/>
      </c>
      <c r="BF64" s="6"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6" t="str">
        <f>IF(ISNUMBER(F!E65)=FALSE,"--",IF(F!E65=0,"--",F!E65))</f>
        <v>--</v>
      </c>
      <c r="C65" s="6" t="str">
        <f>IF(B65="--","",F!F65)</f>
        <v/>
      </c>
      <c r="D65" s="6" t="str">
        <f>IF(ISNUMBER(F!G65)=FALSE,"--",IF(F!G65=0,"--",F!G65))</f>
        <v>--</v>
      </c>
      <c r="E65" s="6" t="str">
        <f>IF(D65="--","",F!H65)</f>
        <v/>
      </c>
      <c r="F65" s="6" t="str">
        <f>IF(ISNUMBER(F!I65)=FALSE,"--",IF(F!I65=0,"--",F!I65))</f>
        <v>--</v>
      </c>
      <c r="G65" s="6" t="str">
        <f>IF(F65="--","",F!J65)</f>
        <v/>
      </c>
      <c r="H65" s="6"/>
      <c r="I65" s="6" t="str">
        <f>IF(F!Z65=-1,-1,F!AV65)</f>
        <v/>
      </c>
      <c r="J65" s="6"/>
      <c r="K65" s="6" t="str">
        <f>IF(F!AC65=-1,-1,F!AX65)</f>
        <v/>
      </c>
      <c r="L65" s="6"/>
      <c r="M65" s="6" t="str">
        <f>IF(F!AF65=-1,-1,F!AZ65)</f>
        <v/>
      </c>
      <c r="N65" s="6"/>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6" t="str">
        <f t="shared" si="20"/>
        <v/>
      </c>
      <c r="R65" s="5" t="str">
        <f>IF($B65="--","",IF($P65="toetsen",toetsen(F!$B65,Q65),IF($P65="toetsen alleen IW",toetsen_alleen_IW(F!$B65,Q65),IF($P65="toetsen alleen LN",toetsen_alleen_LN(F!$B65,Q65),IF($P65="toetsen geen MV en SV",toetsen_geen_MV_en_SV(F!$B65,Q65),IF($P65="toetsen alleen MV en SV",toetsen_alleen_MV_en_SV(F!$B65,Q65),""))))))</f>
        <v/>
      </c>
      <c r="S65" s="5" t="str">
        <f>IF($P65="toetsen",IF(OR(Q65="",VLOOKUP(F!$B65,E!$B$1:$AK$300,10,FALSE)=1000000000),"",IF(Q65&lt;=VLOOKUP(F!$B65,E!$B$1:$AK$300,10,FALSE),"ja","nee")),"")</f>
        <v/>
      </c>
      <c r="T65" s="87" t="str">
        <f t="shared" si="21"/>
        <v/>
      </c>
      <c r="U65" s="5" t="str">
        <f>IF($D65="--","",IF($P65="toetsen",toetsen(F!$B65,T65),IF($P65="toetsen alleen IW",toetsen_alleen_IW(F!$B65,T65),IF($P65="toetsen alleen LN",toetsen_alleen_LN(F!$B65,T65),IF($P65="toetsen geen MV en SV",toetsen_geen_MV_en_SV(F!$B65,T65),IF($P65="toetsen alleen MV en SV",toetsen_alleen_MV_en_SV(F!$B65,T65),""))))))</f>
        <v/>
      </c>
      <c r="V65" s="5" t="str">
        <f>IF($P65="toetsen",IF(OR(T65="",VLOOKUP(F!$B65,E!$B$1:$AK$300,10,FALSE)=1000000000),"",IF(T65&lt;=VLOOKUP(F!$B65,E!$B$1:$AK$300,10,FALSE),"ja","nee")),"")</f>
        <v/>
      </c>
      <c r="W65" s="6" t="str">
        <f t="shared" si="22"/>
        <v/>
      </c>
      <c r="X65" s="5" t="str">
        <f>IF($F65="--","",IF($P65="toetsen",toetsen(F!$B65,W65),IF($P65="toetsen alleen IW",toetsen_alleen_IW(F!$B65,W65),IF($P65="toetsen alleen LN",toetsen_alleen_LN(F!$B65,W65),IF($P65="toetsen geen MV en SV",toetsen_geen_MV_en_SV(F!$B65,W65),IF($P65="toetsen alleen MV en SV",toetsen_alleen_MV_en_SV(F!$B65,W65),""))))))</f>
        <v/>
      </c>
      <c r="Y65" s="5" t="str">
        <f>IF($P65="toetsen",IF(OR(W65="",VLOOKUP(F!$B65,E!$B$1:$AK$300,10,FALSE)=1000000000),"",IF(W65&lt;=VLOOKUP(F!$B65,E!$B$1:$AK$300,10,FALSE),"ja","nee")),"")</f>
        <v/>
      </c>
      <c r="AA65" s="4"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6" t="str">
        <f t="shared" si="23"/>
        <v>--</v>
      </c>
      <c r="AJ65" s="6" t="str">
        <f>IF(AI65="--","--",IF(F!$D65=131,IF(I65=-1,"rg",IF(I65="","--",IF(I65*1000&lt;1,FIXED(I65*1000,3),IF(I65*1000&lt;10,FIXED(I65*1000,2),(IF(I65*1000&lt;100,FIXED(I65*1000,1),IF(I65*1000&lt;1000,FIXED(I65*1000,0),MROUND(I65*1000,10)))))))),IF(I65=-1,"rg",IF(I65="","--",IF(I65&lt;1,FIXED(I65,3),IF(I65&lt;10,FIXED(I65,2),(IF(I65&lt;100,FIXED(I65,1),IF(I65&lt;1000,FIXED(I65,0),MROUND(I65,10))))))))))</f>
        <v>--</v>
      </c>
      <c r="AK65" s="6" t="str">
        <f t="shared" si="24"/>
        <v>--</v>
      </c>
      <c r="AL65" s="6" t="str">
        <f>IF(AK65="--","--",IF(F!$D65=131,IF(K65=-1,"rg",IF(K65="","--",IF(K65*1000&lt;1,FIXED(K65*1000,3),IF(K65*1000&lt;10,FIXED(K65*1000,2),(IF(K65*1000&lt;100,FIXED(K65*1000,1),IF(K65*1000&lt;1000,FIXED(K65*1000,0),MROUND(K65*1000,10)))))))),IF(K65=-1,"rg",IF(K65="","--",IF(K65&lt;1,FIXED(K65,3),IF(K65&lt;10,FIXED(K65,2),(IF(K65&lt;100,FIXED(K65,1),IF(K65&lt;1000,FIXED(K65,0),MROUND(K65,10))))))))))</f>
        <v>--</v>
      </c>
      <c r="AM65" s="6" t="str">
        <f t="shared" si="25"/>
        <v>--</v>
      </c>
      <c r="AN65" s="6" t="str">
        <f>IF(AM65="--","--",IF(F!$D65=131,IF(M65=-1,"rg",IF(M65="","--",IF(M65*1000&lt;1,FIXED(M65*1000,3),IF(M65*1000&lt;10,FIXED(M65*1000,2),(IF(M65*1000&lt;100,FIXED(M65*1000,1),IF(M65*1000&lt;1000,FIXED(M65*1000,0),MROUND(M65*1000,10)))))))),IF(M65=-1,"rg",IF(M65="","--",IF(M65&lt;1,FIXED(M65,3),IF(M65&lt;10,FIXED(M65,2),(IF(M65&lt;100,FIXED(M65,1),IF(M65&lt;1000,FIXED(M65,0),MROUND(M65,10))))))))))</f>
        <v>--</v>
      </c>
      <c r="AP65" s="6" t="str">
        <f t="shared" si="6"/>
        <v>--</v>
      </c>
      <c r="AQ65" s="6" t="str">
        <f t="shared" si="7"/>
        <v/>
      </c>
      <c r="AR65" s="6" t="str">
        <f t="shared" si="8"/>
        <v>--</v>
      </c>
      <c r="AS65" s="6" t="str">
        <f t="shared" si="9"/>
        <v/>
      </c>
      <c r="AT65" s="6" t="str">
        <f t="shared" si="10"/>
        <v/>
      </c>
      <c r="AU65" s="6" t="str">
        <f>IFERROR(IF(AR65="--","",IF(HLOOKUP(SMALL($Q$4:$Y$4,3),$Q$4:$Y$501,ROW(AP65)-3,FALSE)=0,"",IF(HLOOKUP(SMALL($Q$4:$Y$4,3),$Q$4:$Y$501,ROW(AP65)-3,FALSE)="nee",VLOOKUP("De kwaliteitseis emissiearme grond (maximale concentratie) wordt overschreden.",H!$O$10:'H'!$P$59,2,FALSE),""))),"")</f>
        <v/>
      </c>
      <c r="AV65" s="6" t="str">
        <f t="shared" si="0"/>
        <v>--</v>
      </c>
      <c r="AW65" s="6" t="str">
        <f t="shared" si="1"/>
        <v/>
      </c>
      <c r="AX65" s="6" t="str">
        <f t="shared" si="2"/>
        <v>--</v>
      </c>
      <c r="AY65" s="6" t="str">
        <f t="shared" si="11"/>
        <v/>
      </c>
      <c r="AZ65" s="6" t="str">
        <f t="shared" si="12"/>
        <v/>
      </c>
      <c r="BA65" s="6" t="str">
        <f>IFERROR(IF(AR65="--","",IF(HLOOKUP(SMALL($Q$4:$Y$4,6),$Q$4:$Y$501,ROW(AP65)-3,FALSE)=0,"",IF(HLOOKUP(SMALL($Q$4:$Y$4,6),$Q$4:$Y$501,ROW(AP65)-3,FALSE)="nee",VLOOKUP("De kwaliteitseis emissiearme grond (maximale concentratie) wordt overschreden.",H!$O$10:'H'!$P$59,2,FALSE),""))),"")</f>
        <v/>
      </c>
      <c r="BB65" s="6" t="str">
        <f t="shared" si="3"/>
        <v>--</v>
      </c>
      <c r="BC65" s="6" t="str">
        <f t="shared" si="4"/>
        <v/>
      </c>
      <c r="BD65" s="6" t="str">
        <f t="shared" si="5"/>
        <v>--</v>
      </c>
      <c r="BE65" s="6" t="str">
        <f t="shared" si="13"/>
        <v/>
      </c>
      <c r="BF65" s="6"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6" t="str">
        <f>IF(ISNUMBER(F!E66)=FALSE,"--",IF(F!E66=0,"--",F!E66))</f>
        <v>--</v>
      </c>
      <c r="C66" s="6" t="str">
        <f>IF(B66="--","",F!F66)</f>
        <v/>
      </c>
      <c r="D66" s="6" t="str">
        <f>IF(ISNUMBER(F!G66)=FALSE,"--",IF(F!G66=0,"--",F!G66))</f>
        <v>--</v>
      </c>
      <c r="E66" s="6" t="str">
        <f>IF(D66="--","",F!H66)</f>
        <v/>
      </c>
      <c r="F66" s="6" t="str">
        <f>IF(ISNUMBER(F!I66)=FALSE,"--",IF(F!I66=0,"--",F!I66))</f>
        <v>--</v>
      </c>
      <c r="G66" s="6" t="str">
        <f>IF(F66="--","",F!J66)</f>
        <v/>
      </c>
      <c r="H66" s="6"/>
      <c r="I66" s="6" t="str">
        <f>IF(F!Z66=-1,-1,F!AV66)</f>
        <v/>
      </c>
      <c r="J66" s="6"/>
      <c r="K66" s="6" t="str">
        <f>IF(F!AC66=-1,-1,F!AX66)</f>
        <v/>
      </c>
      <c r="L66" s="6"/>
      <c r="M66" s="6" t="str">
        <f>IF(F!AF66=-1,-1,F!AZ66)</f>
        <v/>
      </c>
      <c r="N66" s="6"/>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6" t="str">
        <f t="shared" si="20"/>
        <v/>
      </c>
      <c r="R66" s="5" t="str">
        <f>IF($B66="--","",IF($P66="toetsen",toetsen(F!$B66,Q66),IF($P66="toetsen alleen IW",toetsen_alleen_IW(F!$B66,Q66),IF($P66="toetsen alleen LN",toetsen_alleen_LN(F!$B66,Q66),IF($P66="toetsen geen MV en SV",toetsen_geen_MV_en_SV(F!$B66,Q66),IF($P66="toetsen alleen MV en SV",toetsen_alleen_MV_en_SV(F!$B66,Q66),""))))))</f>
        <v/>
      </c>
      <c r="S66" s="5" t="str">
        <f>IF($P66="toetsen",IF(OR(Q66="",VLOOKUP(F!$B66,E!$B$1:$AK$300,10,FALSE)=1000000000),"",IF(Q66&lt;=VLOOKUP(F!$B66,E!$B$1:$AK$300,10,FALSE),"ja","nee")),"")</f>
        <v/>
      </c>
      <c r="T66" s="87" t="str">
        <f t="shared" si="21"/>
        <v/>
      </c>
      <c r="U66" s="5" t="str">
        <f>IF($D66="--","",IF($P66="toetsen",toetsen(F!$B66,T66),IF($P66="toetsen alleen IW",toetsen_alleen_IW(F!$B66,T66),IF($P66="toetsen alleen LN",toetsen_alleen_LN(F!$B66,T66),IF($P66="toetsen geen MV en SV",toetsen_geen_MV_en_SV(F!$B66,T66),IF($P66="toetsen alleen MV en SV",toetsen_alleen_MV_en_SV(F!$B66,T66),""))))))</f>
        <v/>
      </c>
      <c r="V66" s="5" t="str">
        <f>IF($P66="toetsen",IF(OR(T66="",VLOOKUP(F!$B66,E!$B$1:$AK$300,10,FALSE)=1000000000),"",IF(T66&lt;=VLOOKUP(F!$B66,E!$B$1:$AK$300,10,FALSE),"ja","nee")),"")</f>
        <v/>
      </c>
      <c r="W66" s="6" t="str">
        <f t="shared" si="22"/>
        <v/>
      </c>
      <c r="X66" s="5" t="str">
        <f>IF($F66="--","",IF($P66="toetsen",toetsen(F!$B66,W66),IF($P66="toetsen alleen IW",toetsen_alleen_IW(F!$B66,W66),IF($P66="toetsen alleen LN",toetsen_alleen_LN(F!$B66,W66),IF($P66="toetsen geen MV en SV",toetsen_geen_MV_en_SV(F!$B66,W66),IF($P66="toetsen alleen MV en SV",toetsen_alleen_MV_en_SV(F!$B66,W66),""))))))</f>
        <v/>
      </c>
      <c r="Y66" s="5" t="str">
        <f>IF($P66="toetsen",IF(OR(W66="",VLOOKUP(F!$B66,E!$B$1:$AK$300,10,FALSE)=1000000000),"",IF(W66&lt;=VLOOKUP(F!$B66,E!$B$1:$AK$300,10,FALSE),"ja","nee")),"")</f>
        <v/>
      </c>
      <c r="AA66" s="4"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6" t="str">
        <f t="shared" si="23"/>
        <v>--</v>
      </c>
      <c r="AJ66" s="6" t="str">
        <f>IF(AI66="--","--",IF(F!$D66=131,IF(I66=-1,"rg",IF(I66="","--",IF(I66*1000&lt;1,FIXED(I66*1000,3),IF(I66*1000&lt;10,FIXED(I66*1000,2),(IF(I66*1000&lt;100,FIXED(I66*1000,1),IF(I66*1000&lt;1000,FIXED(I66*1000,0),MROUND(I66*1000,10)))))))),IF(I66=-1,"rg",IF(I66="","--",IF(I66&lt;1,FIXED(I66,3),IF(I66&lt;10,FIXED(I66,2),(IF(I66&lt;100,FIXED(I66,1),IF(I66&lt;1000,FIXED(I66,0),MROUND(I66,10))))))))))</f>
        <v>--</v>
      </c>
      <c r="AK66" s="6" t="str">
        <f t="shared" si="24"/>
        <v>--</v>
      </c>
      <c r="AL66" s="6" t="str">
        <f>IF(AK66="--","--",IF(F!$D66=131,IF(K66=-1,"rg",IF(K66="","--",IF(K66*1000&lt;1,FIXED(K66*1000,3),IF(K66*1000&lt;10,FIXED(K66*1000,2),(IF(K66*1000&lt;100,FIXED(K66*1000,1),IF(K66*1000&lt;1000,FIXED(K66*1000,0),MROUND(K66*1000,10)))))))),IF(K66=-1,"rg",IF(K66="","--",IF(K66&lt;1,FIXED(K66,3),IF(K66&lt;10,FIXED(K66,2),(IF(K66&lt;100,FIXED(K66,1),IF(K66&lt;1000,FIXED(K66,0),MROUND(K66,10))))))))))</f>
        <v>--</v>
      </c>
      <c r="AM66" s="6" t="str">
        <f t="shared" si="25"/>
        <v>--</v>
      </c>
      <c r="AN66" s="6" t="str">
        <f>IF(AM66="--","--",IF(F!$D66=131,IF(M66=-1,"rg",IF(M66="","--",IF(M66*1000&lt;1,FIXED(M66*1000,3),IF(M66*1000&lt;10,FIXED(M66*1000,2),(IF(M66*1000&lt;100,FIXED(M66*1000,1),IF(M66*1000&lt;1000,FIXED(M66*1000,0),MROUND(M66*1000,10)))))))),IF(M66=-1,"rg",IF(M66="","--",IF(M66&lt;1,FIXED(M66,3),IF(M66&lt;10,FIXED(M66,2),(IF(M66&lt;100,FIXED(M66,1),IF(M66&lt;1000,FIXED(M66,0),MROUND(M66,10))))))))))</f>
        <v>--</v>
      </c>
      <c r="AP66" s="6" t="str">
        <f t="shared" si="6"/>
        <v>--</v>
      </c>
      <c r="AQ66" s="6" t="str">
        <f t="shared" si="7"/>
        <v/>
      </c>
      <c r="AR66" s="6" t="str">
        <f t="shared" si="8"/>
        <v>--</v>
      </c>
      <c r="AS66" s="6" t="str">
        <f t="shared" si="9"/>
        <v/>
      </c>
      <c r="AT66" s="6" t="str">
        <f t="shared" si="10"/>
        <v/>
      </c>
      <c r="AU66" s="6" t="str">
        <f>IFERROR(IF(AR66="--","",IF(HLOOKUP(SMALL($Q$4:$Y$4,3),$Q$4:$Y$501,ROW(AP66)-3,FALSE)=0,"",IF(HLOOKUP(SMALL($Q$4:$Y$4,3),$Q$4:$Y$501,ROW(AP66)-3,FALSE)="nee",VLOOKUP("De kwaliteitseis emissiearme grond (maximale concentratie) wordt overschreden.",H!$O$10:'H'!$P$59,2,FALSE),""))),"")</f>
        <v/>
      </c>
      <c r="AV66" s="6" t="str">
        <f t="shared" si="0"/>
        <v>--</v>
      </c>
      <c r="AW66" s="6" t="str">
        <f t="shared" si="1"/>
        <v/>
      </c>
      <c r="AX66" s="6" t="str">
        <f t="shared" si="2"/>
        <v>--</v>
      </c>
      <c r="AY66" s="6" t="str">
        <f t="shared" si="11"/>
        <v/>
      </c>
      <c r="AZ66" s="6" t="str">
        <f t="shared" si="12"/>
        <v/>
      </c>
      <c r="BA66" s="6" t="str">
        <f>IFERROR(IF(AR66="--","",IF(HLOOKUP(SMALL($Q$4:$Y$4,6),$Q$4:$Y$501,ROW(AP66)-3,FALSE)=0,"",IF(HLOOKUP(SMALL($Q$4:$Y$4,6),$Q$4:$Y$501,ROW(AP66)-3,FALSE)="nee",VLOOKUP("De kwaliteitseis emissiearme grond (maximale concentratie) wordt overschreden.",H!$O$10:'H'!$P$59,2,FALSE),""))),"")</f>
        <v/>
      </c>
      <c r="BB66" s="6" t="str">
        <f t="shared" si="3"/>
        <v>--</v>
      </c>
      <c r="BC66" s="6" t="str">
        <f t="shared" si="4"/>
        <v/>
      </c>
      <c r="BD66" s="6" t="str">
        <f t="shared" si="5"/>
        <v>--</v>
      </c>
      <c r="BE66" s="6" t="str">
        <f t="shared" si="13"/>
        <v/>
      </c>
      <c r="BF66" s="6"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6" t="str">
        <f>IF(ISNUMBER(F!E67)=FALSE,"--",IF(F!E67=0,"--",F!E67))</f>
        <v>--</v>
      </c>
      <c r="C67" s="6" t="str">
        <f>IF(B67="--","",F!F67)</f>
        <v/>
      </c>
      <c r="D67" s="6" t="str">
        <f>IF(ISNUMBER(F!G67)=FALSE,"--",IF(F!G67=0,"--",F!G67))</f>
        <v>--</v>
      </c>
      <c r="E67" s="6" t="str">
        <f>IF(D67="--","",F!H67)</f>
        <v/>
      </c>
      <c r="F67" s="6" t="str">
        <f>IF(ISNUMBER(F!I67)=FALSE,"--",IF(F!I67=0,"--",F!I67))</f>
        <v>--</v>
      </c>
      <c r="G67" s="6" t="str">
        <f>IF(F67="--","",F!J67)</f>
        <v/>
      </c>
      <c r="H67" s="6"/>
      <c r="I67" s="6" t="str">
        <f>IF(F!Z67=-1,-1,F!AV67)</f>
        <v/>
      </c>
      <c r="J67" s="6"/>
      <c r="K67" s="6" t="str">
        <f>IF(F!AC67=-1,-1,F!AX67)</f>
        <v/>
      </c>
      <c r="L67" s="6"/>
      <c r="M67" s="6" t="str">
        <f>IF(F!AF67=-1,-1,F!AZ67)</f>
        <v/>
      </c>
      <c r="N67" s="6"/>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6" t="str">
        <f t="shared" si="20"/>
        <v/>
      </c>
      <c r="R67" s="5" t="str">
        <f>IF($B67="--","",IF($P67="toetsen",toetsen(F!$B67,Q67),IF($P67="toetsen alleen IW",toetsen_alleen_IW(F!$B67,Q67),IF($P67="toetsen alleen LN",toetsen_alleen_LN(F!$B67,Q67),IF($P67="toetsen geen MV en SV",toetsen_geen_MV_en_SV(F!$B67,Q67),IF($P67="toetsen alleen MV en SV",toetsen_alleen_MV_en_SV(F!$B67,Q67),""))))))</f>
        <v/>
      </c>
      <c r="S67" s="5" t="str">
        <f>IF($P67="toetsen",IF(OR(Q67="",VLOOKUP(F!$B67,E!$B$1:$AK$300,10,FALSE)=1000000000),"",IF(Q67&lt;=VLOOKUP(F!$B67,E!$B$1:$AK$300,10,FALSE),"ja","nee")),"")</f>
        <v/>
      </c>
      <c r="T67" s="87" t="str">
        <f t="shared" si="21"/>
        <v/>
      </c>
      <c r="U67" s="5" t="str">
        <f>IF($D67="--","",IF($P67="toetsen",toetsen(F!$B67,T67),IF($P67="toetsen alleen IW",toetsen_alleen_IW(F!$B67,T67),IF($P67="toetsen alleen LN",toetsen_alleen_LN(F!$B67,T67),IF($P67="toetsen geen MV en SV",toetsen_geen_MV_en_SV(F!$B67,T67),IF($P67="toetsen alleen MV en SV",toetsen_alleen_MV_en_SV(F!$B67,T67),""))))))</f>
        <v/>
      </c>
      <c r="V67" s="5" t="str">
        <f>IF($P67="toetsen",IF(OR(T67="",VLOOKUP(F!$B67,E!$B$1:$AK$300,10,FALSE)=1000000000),"",IF(T67&lt;=VLOOKUP(F!$B67,E!$B$1:$AK$300,10,FALSE),"ja","nee")),"")</f>
        <v/>
      </c>
      <c r="W67" s="6" t="str">
        <f t="shared" si="22"/>
        <v/>
      </c>
      <c r="X67" s="5" t="str">
        <f>IF($F67="--","",IF($P67="toetsen",toetsen(F!$B67,W67),IF($P67="toetsen alleen IW",toetsen_alleen_IW(F!$B67,W67),IF($P67="toetsen alleen LN",toetsen_alleen_LN(F!$B67,W67),IF($P67="toetsen geen MV en SV",toetsen_geen_MV_en_SV(F!$B67,W67),IF($P67="toetsen alleen MV en SV",toetsen_alleen_MV_en_SV(F!$B67,W67),""))))))</f>
        <v/>
      </c>
      <c r="Y67" s="5" t="str">
        <f>IF($P67="toetsen",IF(OR(W67="",VLOOKUP(F!$B67,E!$B$1:$AK$300,10,FALSE)=1000000000),"",IF(W67&lt;=VLOOKUP(F!$B67,E!$B$1:$AK$300,10,FALSE),"ja","nee")),"")</f>
        <v/>
      </c>
      <c r="AA67" s="4"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6" t="str">
        <f t="shared" si="23"/>
        <v>--</v>
      </c>
      <c r="AJ67" s="6" t="str">
        <f>IF(AI67="--","--",IF(F!$D67=131,IF(I67=-1,"rg",IF(I67="","--",IF(I67*1000&lt;1,FIXED(I67*1000,3),IF(I67*1000&lt;10,FIXED(I67*1000,2),(IF(I67*1000&lt;100,FIXED(I67*1000,1),IF(I67*1000&lt;1000,FIXED(I67*1000,0),MROUND(I67*1000,10)))))))),IF(I67=-1,"rg",IF(I67="","--",IF(I67&lt;1,FIXED(I67,3),IF(I67&lt;10,FIXED(I67,2),(IF(I67&lt;100,FIXED(I67,1),IF(I67&lt;1000,FIXED(I67,0),MROUND(I67,10))))))))))</f>
        <v>--</v>
      </c>
      <c r="AK67" s="6" t="str">
        <f t="shared" si="24"/>
        <v>--</v>
      </c>
      <c r="AL67" s="6" t="str">
        <f>IF(AK67="--","--",IF(F!$D67=131,IF(K67=-1,"rg",IF(K67="","--",IF(K67*1000&lt;1,FIXED(K67*1000,3),IF(K67*1000&lt;10,FIXED(K67*1000,2),(IF(K67*1000&lt;100,FIXED(K67*1000,1),IF(K67*1000&lt;1000,FIXED(K67*1000,0),MROUND(K67*1000,10)))))))),IF(K67=-1,"rg",IF(K67="","--",IF(K67&lt;1,FIXED(K67,3),IF(K67&lt;10,FIXED(K67,2),(IF(K67&lt;100,FIXED(K67,1),IF(K67&lt;1000,FIXED(K67,0),MROUND(K67,10))))))))))</f>
        <v>--</v>
      </c>
      <c r="AM67" s="6" t="str">
        <f t="shared" si="25"/>
        <v>--</v>
      </c>
      <c r="AN67" s="6" t="str">
        <f>IF(AM67="--","--",IF(F!$D67=131,IF(M67=-1,"rg",IF(M67="","--",IF(M67*1000&lt;1,FIXED(M67*1000,3),IF(M67*1000&lt;10,FIXED(M67*1000,2),(IF(M67*1000&lt;100,FIXED(M67*1000,1),IF(M67*1000&lt;1000,FIXED(M67*1000,0),MROUND(M67*1000,10)))))))),IF(M67=-1,"rg",IF(M67="","--",IF(M67&lt;1,FIXED(M67,3),IF(M67&lt;10,FIXED(M67,2),(IF(M67&lt;100,FIXED(M67,1),IF(M67&lt;1000,FIXED(M67,0),MROUND(M67,10))))))))))</f>
        <v>--</v>
      </c>
      <c r="AP67" s="6" t="str">
        <f t="shared" si="6"/>
        <v>--</v>
      </c>
      <c r="AQ67" s="6" t="str">
        <f t="shared" si="7"/>
        <v/>
      </c>
      <c r="AR67" s="6" t="str">
        <f t="shared" si="8"/>
        <v>--</v>
      </c>
      <c r="AS67" s="6" t="str">
        <f t="shared" si="9"/>
        <v/>
      </c>
      <c r="AT67" s="6" t="str">
        <f t="shared" si="10"/>
        <v/>
      </c>
      <c r="AU67" s="6" t="str">
        <f>IFERROR(IF(AR67="--","",IF(HLOOKUP(SMALL($Q$4:$Y$4,3),$Q$4:$Y$501,ROW(AP67)-3,FALSE)=0,"",IF(HLOOKUP(SMALL($Q$4:$Y$4,3),$Q$4:$Y$501,ROW(AP67)-3,FALSE)="nee",VLOOKUP("De kwaliteitseis emissiearme grond (maximale concentratie) wordt overschreden.",H!$O$10:'H'!$P$59,2,FALSE),""))),"")</f>
        <v/>
      </c>
      <c r="AV67" s="6" t="str">
        <f t="shared" si="0"/>
        <v>--</v>
      </c>
      <c r="AW67" s="6" t="str">
        <f t="shared" si="1"/>
        <v/>
      </c>
      <c r="AX67" s="6" t="str">
        <f t="shared" si="2"/>
        <v>--</v>
      </c>
      <c r="AY67" s="6" t="str">
        <f t="shared" si="11"/>
        <v/>
      </c>
      <c r="AZ67" s="6" t="str">
        <f t="shared" si="12"/>
        <v/>
      </c>
      <c r="BA67" s="6" t="str">
        <f>IFERROR(IF(AR67="--","",IF(HLOOKUP(SMALL($Q$4:$Y$4,6),$Q$4:$Y$501,ROW(AP67)-3,FALSE)=0,"",IF(HLOOKUP(SMALL($Q$4:$Y$4,6),$Q$4:$Y$501,ROW(AP67)-3,FALSE)="nee",VLOOKUP("De kwaliteitseis emissiearme grond (maximale concentratie) wordt overschreden.",H!$O$10:'H'!$P$59,2,FALSE),""))),"")</f>
        <v/>
      </c>
      <c r="BB67" s="6" t="str">
        <f t="shared" si="3"/>
        <v>--</v>
      </c>
      <c r="BC67" s="6" t="str">
        <f t="shared" si="4"/>
        <v/>
      </c>
      <c r="BD67" s="6" t="str">
        <f t="shared" si="5"/>
        <v>--</v>
      </c>
      <c r="BE67" s="6" t="str">
        <f t="shared" si="13"/>
        <v/>
      </c>
      <c r="BF67" s="6"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6" t="str">
        <f>IF(ISNUMBER(F!E68)=FALSE,"--",IF(F!E68=0,"--",F!E68))</f>
        <v>--</v>
      </c>
      <c r="C68" s="6" t="str">
        <f>IF(B68="--","",F!F68)</f>
        <v/>
      </c>
      <c r="D68" s="6" t="str">
        <f>IF(ISNUMBER(F!G68)=FALSE,"--",IF(F!G68=0,"--",F!G68))</f>
        <v>--</v>
      </c>
      <c r="E68" s="6" t="str">
        <f>IF(D68="--","",F!H68)</f>
        <v/>
      </c>
      <c r="F68" s="6" t="str">
        <f>IF(ISNUMBER(F!I68)=FALSE,"--",IF(F!I68=0,"--",F!I68))</f>
        <v>--</v>
      </c>
      <c r="G68" s="6" t="str">
        <f>IF(F68="--","",F!J68)</f>
        <v/>
      </c>
      <c r="H68" s="6"/>
      <c r="I68" s="6" t="str">
        <f>IF(F!Z68=-1,-1,F!AV68)</f>
        <v/>
      </c>
      <c r="J68" s="6"/>
      <c r="K68" s="6" t="str">
        <f>IF(F!AC68=-1,-1,F!AX68)</f>
        <v/>
      </c>
      <c r="L68" s="6"/>
      <c r="M68" s="6" t="str">
        <f>IF(F!AF68=-1,-1,F!AZ68)</f>
        <v/>
      </c>
      <c r="N68" s="6"/>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6" t="str">
        <f t="shared" si="20"/>
        <v/>
      </c>
      <c r="R68" s="5" t="str">
        <f>IF($B68="--","",IF($P68="toetsen",toetsen(F!$B68,Q68),IF($P68="toetsen alleen IW",toetsen_alleen_IW(F!$B68,Q68),IF($P68="toetsen alleen LN",toetsen_alleen_LN(F!$B68,Q68),IF($P68="toetsen geen MV en SV",toetsen_geen_MV_en_SV(F!$B68,Q68),IF($P68="toetsen alleen MV en SV",toetsen_alleen_MV_en_SV(F!$B68,Q68),""))))))</f>
        <v/>
      </c>
      <c r="S68" s="5" t="str">
        <f>IF($P68="toetsen",IF(OR(Q68="",VLOOKUP(F!$B68,E!$B$1:$AK$300,10,FALSE)=1000000000),"",IF(Q68&lt;=VLOOKUP(F!$B68,E!$B$1:$AK$300,10,FALSE),"ja","nee")),"")</f>
        <v/>
      </c>
      <c r="T68" s="87" t="str">
        <f t="shared" si="21"/>
        <v/>
      </c>
      <c r="U68" s="5" t="str">
        <f>IF($D68="--","",IF($P68="toetsen",toetsen(F!$B68,T68),IF($P68="toetsen alleen IW",toetsen_alleen_IW(F!$B68,T68),IF($P68="toetsen alleen LN",toetsen_alleen_LN(F!$B68,T68),IF($P68="toetsen geen MV en SV",toetsen_geen_MV_en_SV(F!$B68,T68),IF($P68="toetsen alleen MV en SV",toetsen_alleen_MV_en_SV(F!$B68,T68),""))))))</f>
        <v/>
      </c>
      <c r="V68" s="5" t="str">
        <f>IF($P68="toetsen",IF(OR(T68="",VLOOKUP(F!$B68,E!$B$1:$AK$300,10,FALSE)=1000000000),"",IF(T68&lt;=VLOOKUP(F!$B68,E!$B$1:$AK$300,10,FALSE),"ja","nee")),"")</f>
        <v/>
      </c>
      <c r="W68" s="6" t="str">
        <f t="shared" si="22"/>
        <v/>
      </c>
      <c r="X68" s="5" t="str">
        <f>IF($F68="--","",IF($P68="toetsen",toetsen(F!$B68,W68),IF($P68="toetsen alleen IW",toetsen_alleen_IW(F!$B68,W68),IF($P68="toetsen alleen LN",toetsen_alleen_LN(F!$B68,W68),IF($P68="toetsen geen MV en SV",toetsen_geen_MV_en_SV(F!$B68,W68),IF($P68="toetsen alleen MV en SV",toetsen_alleen_MV_en_SV(F!$B68,W68),""))))))</f>
        <v/>
      </c>
      <c r="Y68" s="5" t="str">
        <f>IF($P68="toetsen",IF(OR(W68="",VLOOKUP(F!$B68,E!$B$1:$AK$300,10,FALSE)=1000000000),"",IF(W68&lt;=VLOOKUP(F!$B68,E!$B$1:$AK$300,10,FALSE),"ja","nee")),"")</f>
        <v/>
      </c>
      <c r="AA68" s="4"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6" t="str">
        <f t="shared" si="23"/>
        <v>--</v>
      </c>
      <c r="AJ68" s="6" t="str">
        <f>IF(AI68="--","--",IF(F!$D68=131,IF(I68=-1,"rg",IF(I68="","--",IF(I68*1000&lt;1,FIXED(I68*1000,3),IF(I68*1000&lt;10,FIXED(I68*1000,2),(IF(I68*1000&lt;100,FIXED(I68*1000,1),IF(I68*1000&lt;1000,FIXED(I68*1000,0),MROUND(I68*1000,10)))))))),IF(I68=-1,"rg",IF(I68="","--",IF(I68&lt;1,FIXED(I68,3),IF(I68&lt;10,FIXED(I68,2),(IF(I68&lt;100,FIXED(I68,1),IF(I68&lt;1000,FIXED(I68,0),MROUND(I68,10))))))))))</f>
        <v>--</v>
      </c>
      <c r="AK68" s="6" t="str">
        <f t="shared" si="24"/>
        <v>--</v>
      </c>
      <c r="AL68" s="6" t="str">
        <f>IF(AK68="--","--",IF(F!$D68=131,IF(K68=-1,"rg",IF(K68="","--",IF(K68*1000&lt;1,FIXED(K68*1000,3),IF(K68*1000&lt;10,FIXED(K68*1000,2),(IF(K68*1000&lt;100,FIXED(K68*1000,1),IF(K68*1000&lt;1000,FIXED(K68*1000,0),MROUND(K68*1000,10)))))))),IF(K68=-1,"rg",IF(K68="","--",IF(K68&lt;1,FIXED(K68,3),IF(K68&lt;10,FIXED(K68,2),(IF(K68&lt;100,FIXED(K68,1),IF(K68&lt;1000,FIXED(K68,0),MROUND(K68,10))))))))))</f>
        <v>--</v>
      </c>
      <c r="AM68" s="6" t="str">
        <f t="shared" si="25"/>
        <v>--</v>
      </c>
      <c r="AN68" s="6" t="str">
        <f>IF(AM68="--","--",IF(F!$D68=131,IF(M68=-1,"rg",IF(M68="","--",IF(M68*1000&lt;1,FIXED(M68*1000,3),IF(M68*1000&lt;10,FIXED(M68*1000,2),(IF(M68*1000&lt;100,FIXED(M68*1000,1),IF(M68*1000&lt;1000,FIXED(M68*1000,0),MROUND(M68*1000,10)))))))),IF(M68=-1,"rg",IF(M68="","--",IF(M68&lt;1,FIXED(M68,3),IF(M68&lt;10,FIXED(M68,2),(IF(M68&lt;100,FIXED(M68,1),IF(M68&lt;1000,FIXED(M68,0),MROUND(M68,10))))))))))</f>
        <v>--</v>
      </c>
      <c r="AP68" s="6" t="str">
        <f t="shared" si="6"/>
        <v>--</v>
      </c>
      <c r="AQ68" s="6" t="str">
        <f t="shared" si="7"/>
        <v/>
      </c>
      <c r="AR68" s="6" t="str">
        <f t="shared" si="8"/>
        <v>--</v>
      </c>
      <c r="AS68" s="6" t="str">
        <f t="shared" si="9"/>
        <v/>
      </c>
      <c r="AT68" s="6" t="str">
        <f t="shared" si="10"/>
        <v/>
      </c>
      <c r="AU68" s="6" t="str">
        <f>IFERROR(IF(AR68="--","",IF(HLOOKUP(SMALL($Q$4:$Y$4,3),$Q$4:$Y$501,ROW(AP68)-3,FALSE)=0,"",IF(HLOOKUP(SMALL($Q$4:$Y$4,3),$Q$4:$Y$501,ROW(AP68)-3,FALSE)="nee",VLOOKUP("De kwaliteitseis emissiearme grond (maximale concentratie) wordt overschreden.",H!$O$10:'H'!$P$59,2,FALSE),""))),"")</f>
        <v/>
      </c>
      <c r="AV68" s="6" t="str">
        <f t="shared" si="0"/>
        <v>--</v>
      </c>
      <c r="AW68" s="6" t="str">
        <f t="shared" si="1"/>
        <v/>
      </c>
      <c r="AX68" s="6" t="str">
        <f t="shared" si="2"/>
        <v>--</v>
      </c>
      <c r="AY68" s="6" t="str">
        <f t="shared" si="11"/>
        <v/>
      </c>
      <c r="AZ68" s="6" t="str">
        <f t="shared" si="12"/>
        <v/>
      </c>
      <c r="BA68" s="6" t="str">
        <f>IFERROR(IF(AR68="--","",IF(HLOOKUP(SMALL($Q$4:$Y$4,6),$Q$4:$Y$501,ROW(AP68)-3,FALSE)=0,"",IF(HLOOKUP(SMALL($Q$4:$Y$4,6),$Q$4:$Y$501,ROW(AP68)-3,FALSE)="nee",VLOOKUP("De kwaliteitseis emissiearme grond (maximale concentratie) wordt overschreden.",H!$O$10:'H'!$P$59,2,FALSE),""))),"")</f>
        <v/>
      </c>
      <c r="BB68" s="6" t="str">
        <f t="shared" si="3"/>
        <v>--</v>
      </c>
      <c r="BC68" s="6" t="str">
        <f t="shared" si="4"/>
        <v/>
      </c>
      <c r="BD68" s="6" t="str">
        <f t="shared" si="5"/>
        <v>--</v>
      </c>
      <c r="BE68" s="6" t="str">
        <f t="shared" si="13"/>
        <v/>
      </c>
      <c r="BF68" s="6"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6" t="str">
        <f>IF(ISNUMBER(F!E69)=FALSE,"--",IF(F!E69=0,"--",F!E69))</f>
        <v>--</v>
      </c>
      <c r="C69" s="6" t="str">
        <f>IF(B69="--","",F!F69)</f>
        <v/>
      </c>
      <c r="D69" s="6" t="str">
        <f>IF(ISNUMBER(F!G69)=FALSE,"--",IF(F!G69=0,"--",F!G69))</f>
        <v>--</v>
      </c>
      <c r="E69" s="6" t="str">
        <f>IF(D69="--","",F!H69)</f>
        <v/>
      </c>
      <c r="F69" s="6" t="str">
        <f>IF(ISNUMBER(F!I69)=FALSE,"--",IF(F!I69=0,"--",F!I69))</f>
        <v>--</v>
      </c>
      <c r="G69" s="6" t="str">
        <f>IF(F69="--","",F!J69)</f>
        <v/>
      </c>
      <c r="H69" s="6"/>
      <c r="I69" s="6" t="str">
        <f>IF(F!Z69=-1,-1,F!AV69)</f>
        <v/>
      </c>
      <c r="J69" s="6"/>
      <c r="K69" s="6" t="str">
        <f>IF(F!AC69=-1,-1,F!AX69)</f>
        <v/>
      </c>
      <c r="L69" s="6"/>
      <c r="M69" s="6" t="str">
        <f>IF(F!AF69=-1,-1,F!AZ69)</f>
        <v/>
      </c>
      <c r="N69" s="6"/>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6" t="str">
        <f t="shared" si="20"/>
        <v/>
      </c>
      <c r="R69" s="5" t="str">
        <f>IF($B69="--","",IF($P69="toetsen",toetsen(F!$B69,Q69),IF($P69="toetsen alleen IW",toetsen_alleen_IW(F!$B69,Q69),IF($P69="toetsen alleen LN",toetsen_alleen_LN(F!$B69,Q69),IF($P69="toetsen geen MV en SV",toetsen_geen_MV_en_SV(F!$B69,Q69),IF($P69="toetsen alleen MV en SV",toetsen_alleen_MV_en_SV(F!$B69,Q69),""))))))</f>
        <v/>
      </c>
      <c r="S69" s="5" t="str">
        <f>IF($P69="toetsen",IF(OR(Q69="",VLOOKUP(F!$B69,E!$B$1:$AK$300,10,FALSE)=1000000000),"",IF(Q69&lt;=VLOOKUP(F!$B69,E!$B$1:$AK$300,10,FALSE),"ja","nee")),"")</f>
        <v/>
      </c>
      <c r="T69" s="87" t="str">
        <f t="shared" si="21"/>
        <v/>
      </c>
      <c r="U69" s="5" t="str">
        <f>IF($D69="--","",IF($P69="toetsen",toetsen(F!$B69,T69),IF($P69="toetsen alleen IW",toetsen_alleen_IW(F!$B69,T69),IF($P69="toetsen alleen LN",toetsen_alleen_LN(F!$B69,T69),IF($P69="toetsen geen MV en SV",toetsen_geen_MV_en_SV(F!$B69,T69),IF($P69="toetsen alleen MV en SV",toetsen_alleen_MV_en_SV(F!$B69,T69),""))))))</f>
        <v/>
      </c>
      <c r="V69" s="5" t="str">
        <f>IF($P69="toetsen",IF(OR(T69="",VLOOKUP(F!$B69,E!$B$1:$AK$300,10,FALSE)=1000000000),"",IF(T69&lt;=VLOOKUP(F!$B69,E!$B$1:$AK$300,10,FALSE),"ja","nee")),"")</f>
        <v/>
      </c>
      <c r="W69" s="6" t="str">
        <f t="shared" si="22"/>
        <v/>
      </c>
      <c r="X69" s="5" t="str">
        <f>IF($F69="--","",IF($P69="toetsen",toetsen(F!$B69,W69),IF($P69="toetsen alleen IW",toetsen_alleen_IW(F!$B69,W69),IF($P69="toetsen alleen LN",toetsen_alleen_LN(F!$B69,W69),IF($P69="toetsen geen MV en SV",toetsen_geen_MV_en_SV(F!$B69,W69),IF($P69="toetsen alleen MV en SV",toetsen_alleen_MV_en_SV(F!$B69,W69),""))))))</f>
        <v/>
      </c>
      <c r="Y69" s="5" t="str">
        <f>IF($P69="toetsen",IF(OR(W69="",VLOOKUP(F!$B69,E!$B$1:$AK$300,10,FALSE)=1000000000),"",IF(W69&lt;=VLOOKUP(F!$B69,E!$B$1:$AK$300,10,FALSE),"ja","nee")),"")</f>
        <v/>
      </c>
      <c r="AA69" s="4"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6" t="str">
        <f t="shared" si="23"/>
        <v>--</v>
      </c>
      <c r="AJ69" s="6" t="str">
        <f>IF(AI69="--","--",IF(F!$D69=131,IF(I69=-1,"rg",IF(I69="","--",IF(I69*1000&lt;1,FIXED(I69*1000,3),IF(I69*1000&lt;10,FIXED(I69*1000,2),(IF(I69*1000&lt;100,FIXED(I69*1000,1),IF(I69*1000&lt;1000,FIXED(I69*1000,0),MROUND(I69*1000,10)))))))),IF(I69=-1,"rg",IF(I69="","--",IF(I69&lt;1,FIXED(I69,3),IF(I69&lt;10,FIXED(I69,2),(IF(I69&lt;100,FIXED(I69,1),IF(I69&lt;1000,FIXED(I69,0),MROUND(I69,10))))))))))</f>
        <v>--</v>
      </c>
      <c r="AK69" s="6" t="str">
        <f t="shared" si="24"/>
        <v>--</v>
      </c>
      <c r="AL69" s="6" t="str">
        <f>IF(AK69="--","--",IF(F!$D69=131,IF(K69=-1,"rg",IF(K69="","--",IF(K69*1000&lt;1,FIXED(K69*1000,3),IF(K69*1000&lt;10,FIXED(K69*1000,2),(IF(K69*1000&lt;100,FIXED(K69*1000,1),IF(K69*1000&lt;1000,FIXED(K69*1000,0),MROUND(K69*1000,10)))))))),IF(K69=-1,"rg",IF(K69="","--",IF(K69&lt;1,FIXED(K69,3),IF(K69&lt;10,FIXED(K69,2),(IF(K69&lt;100,FIXED(K69,1),IF(K69&lt;1000,FIXED(K69,0),MROUND(K69,10))))))))))</f>
        <v>--</v>
      </c>
      <c r="AM69" s="6" t="str">
        <f t="shared" si="25"/>
        <v>--</v>
      </c>
      <c r="AN69" s="6" t="str">
        <f>IF(AM69="--","--",IF(F!$D69=131,IF(M69=-1,"rg",IF(M69="","--",IF(M69*1000&lt;1,FIXED(M69*1000,3),IF(M69*1000&lt;10,FIXED(M69*1000,2),(IF(M69*1000&lt;100,FIXED(M69*1000,1),IF(M69*1000&lt;1000,FIXED(M69*1000,0),MROUND(M69*1000,10)))))))),IF(M69=-1,"rg",IF(M69="","--",IF(M69&lt;1,FIXED(M69,3),IF(M69&lt;10,FIXED(M69,2),(IF(M69&lt;100,FIXED(M69,1),IF(M69&lt;1000,FIXED(M69,0),MROUND(M69,10))))))))))</f>
        <v>--</v>
      </c>
      <c r="AP69" s="6" t="str">
        <f t="shared" si="6"/>
        <v>--</v>
      </c>
      <c r="AQ69" s="6" t="str">
        <f t="shared" si="7"/>
        <v/>
      </c>
      <c r="AR69" s="6" t="str">
        <f t="shared" si="8"/>
        <v>--</v>
      </c>
      <c r="AS69" s="6" t="str">
        <f t="shared" si="9"/>
        <v/>
      </c>
      <c r="AT69" s="6" t="str">
        <f t="shared" si="10"/>
        <v/>
      </c>
      <c r="AU69" s="6" t="str">
        <f>IFERROR(IF(AR69="--","",IF(HLOOKUP(SMALL($Q$4:$Y$4,3),$Q$4:$Y$501,ROW(AP69)-3,FALSE)=0,"",IF(HLOOKUP(SMALL($Q$4:$Y$4,3),$Q$4:$Y$501,ROW(AP69)-3,FALSE)="nee",VLOOKUP("De kwaliteitseis emissiearme grond (maximale concentratie) wordt overschreden.",H!$O$10:'H'!$P$59,2,FALSE),""))),"")</f>
        <v/>
      </c>
      <c r="AV69" s="6" t="str">
        <f t="shared" si="0"/>
        <v>--</v>
      </c>
      <c r="AW69" s="6" t="str">
        <f t="shared" si="1"/>
        <v/>
      </c>
      <c r="AX69" s="6" t="str">
        <f t="shared" si="2"/>
        <v>--</v>
      </c>
      <c r="AY69" s="6" t="str">
        <f t="shared" si="11"/>
        <v/>
      </c>
      <c r="AZ69" s="6" t="str">
        <f t="shared" si="12"/>
        <v/>
      </c>
      <c r="BA69" s="6" t="str">
        <f>IFERROR(IF(AR69="--","",IF(HLOOKUP(SMALL($Q$4:$Y$4,6),$Q$4:$Y$501,ROW(AP69)-3,FALSE)=0,"",IF(HLOOKUP(SMALL($Q$4:$Y$4,6),$Q$4:$Y$501,ROW(AP69)-3,FALSE)="nee",VLOOKUP("De kwaliteitseis emissiearme grond (maximale concentratie) wordt overschreden.",H!$O$10:'H'!$P$59,2,FALSE),""))),"")</f>
        <v/>
      </c>
      <c r="BB69" s="6" t="str">
        <f t="shared" si="3"/>
        <v>--</v>
      </c>
      <c r="BC69" s="6" t="str">
        <f t="shared" si="4"/>
        <v/>
      </c>
      <c r="BD69" s="6" t="str">
        <f t="shared" si="5"/>
        <v>--</v>
      </c>
      <c r="BE69" s="6" t="str">
        <f t="shared" si="13"/>
        <v/>
      </c>
      <c r="BF69" s="6"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6" t="str">
        <f>IF(ISNUMBER(F!E70)=FALSE,"--",IF(F!E70=0,"--",F!E70))</f>
        <v>--</v>
      </c>
      <c r="C70" s="6" t="str">
        <f>IF(B70="--","",F!F70)</f>
        <v/>
      </c>
      <c r="D70" s="6" t="str">
        <f>IF(ISNUMBER(F!G70)=FALSE,"--",IF(F!G70=0,"--",F!G70))</f>
        <v>--</v>
      </c>
      <c r="E70" s="6" t="str">
        <f>IF(D70="--","",F!H70)</f>
        <v/>
      </c>
      <c r="F70" s="6" t="str">
        <f>IF(ISNUMBER(F!I70)=FALSE,"--",IF(F!I70=0,"--",F!I70))</f>
        <v>--</v>
      </c>
      <c r="G70" s="6" t="str">
        <f>IF(F70="--","",F!J70)</f>
        <v/>
      </c>
      <c r="H70" s="6"/>
      <c r="I70" s="6" t="str">
        <f>IF(F!Z70=-1,-1,F!AV70)</f>
        <v/>
      </c>
      <c r="J70" s="6"/>
      <c r="K70" s="6" t="str">
        <f>IF(F!AC70=-1,-1,F!AX70)</f>
        <v/>
      </c>
      <c r="L70" s="6"/>
      <c r="M70" s="6" t="str">
        <f>IF(F!AF70=-1,-1,F!AZ70)</f>
        <v/>
      </c>
      <c r="N70" s="6"/>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6" t="str">
        <f t="shared" si="20"/>
        <v/>
      </c>
      <c r="R70" s="5" t="str">
        <f>IF($B70="--","",IF($P70="toetsen",toetsen(F!$B70,Q70),IF($P70="toetsen alleen IW",toetsen_alleen_IW(F!$B70,Q70),IF($P70="toetsen alleen LN",toetsen_alleen_LN(F!$B70,Q70),IF($P70="toetsen geen MV en SV",toetsen_geen_MV_en_SV(F!$B70,Q70),IF($P70="toetsen alleen MV en SV",toetsen_alleen_MV_en_SV(F!$B70,Q70),""))))))</f>
        <v/>
      </c>
      <c r="S70" s="5" t="str">
        <f>IF($P70="toetsen",IF(OR(Q70="",VLOOKUP(F!$B70,E!$B$1:$AK$300,10,FALSE)=1000000000),"",IF(Q70&lt;=VLOOKUP(F!$B70,E!$B$1:$AK$300,10,FALSE),"ja","nee")),"")</f>
        <v/>
      </c>
      <c r="T70" s="87" t="str">
        <f t="shared" si="21"/>
        <v/>
      </c>
      <c r="U70" s="5" t="str">
        <f>IF($D70="--","",IF($P70="toetsen",toetsen(F!$B70,T70),IF($P70="toetsen alleen IW",toetsen_alleen_IW(F!$B70,T70),IF($P70="toetsen alleen LN",toetsen_alleen_LN(F!$B70,T70),IF($P70="toetsen geen MV en SV",toetsen_geen_MV_en_SV(F!$B70,T70),IF($P70="toetsen alleen MV en SV",toetsen_alleen_MV_en_SV(F!$B70,T70),""))))))</f>
        <v/>
      </c>
      <c r="V70" s="5" t="str">
        <f>IF($P70="toetsen",IF(OR(T70="",VLOOKUP(F!$B70,E!$B$1:$AK$300,10,FALSE)=1000000000),"",IF(T70&lt;=VLOOKUP(F!$B70,E!$B$1:$AK$300,10,FALSE),"ja","nee")),"")</f>
        <v/>
      </c>
      <c r="W70" s="6" t="str">
        <f t="shared" si="22"/>
        <v/>
      </c>
      <c r="X70" s="5" t="str">
        <f>IF($F70="--","",IF($P70="toetsen",toetsen(F!$B70,W70),IF($P70="toetsen alleen IW",toetsen_alleen_IW(F!$B70,W70),IF($P70="toetsen alleen LN",toetsen_alleen_LN(F!$B70,W70),IF($P70="toetsen geen MV en SV",toetsen_geen_MV_en_SV(F!$B70,W70),IF($P70="toetsen alleen MV en SV",toetsen_alleen_MV_en_SV(F!$B70,W70),""))))))</f>
        <v/>
      </c>
      <c r="Y70" s="5" t="str">
        <f>IF($P70="toetsen",IF(OR(W70="",VLOOKUP(F!$B70,E!$B$1:$AK$300,10,FALSE)=1000000000),"",IF(W70&lt;=VLOOKUP(F!$B70,E!$B$1:$AK$300,10,FALSE),"ja","nee")),"")</f>
        <v/>
      </c>
      <c r="AA70" s="4"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6" t="str">
        <f t="shared" si="23"/>
        <v>--</v>
      </c>
      <c r="AJ70" s="6" t="str">
        <f>IF(AI70="--","--",IF(F!$D70=131,IF(I70=-1,"rg",IF(I70="","--",IF(I70*1000&lt;1,FIXED(I70*1000,3),IF(I70*1000&lt;10,FIXED(I70*1000,2),(IF(I70*1000&lt;100,FIXED(I70*1000,1),IF(I70*1000&lt;1000,FIXED(I70*1000,0),MROUND(I70*1000,10)))))))),IF(I70=-1,"rg",IF(I70="","--",IF(I70&lt;1,FIXED(I70,3),IF(I70&lt;10,FIXED(I70,2),(IF(I70&lt;100,FIXED(I70,1),IF(I70&lt;1000,FIXED(I70,0),MROUND(I70,10))))))))))</f>
        <v>--</v>
      </c>
      <c r="AK70" s="6" t="str">
        <f t="shared" si="24"/>
        <v>--</v>
      </c>
      <c r="AL70" s="6" t="str">
        <f>IF(AK70="--","--",IF(F!$D70=131,IF(K70=-1,"rg",IF(K70="","--",IF(K70*1000&lt;1,FIXED(K70*1000,3),IF(K70*1000&lt;10,FIXED(K70*1000,2),(IF(K70*1000&lt;100,FIXED(K70*1000,1),IF(K70*1000&lt;1000,FIXED(K70*1000,0),MROUND(K70*1000,10)))))))),IF(K70=-1,"rg",IF(K70="","--",IF(K70&lt;1,FIXED(K70,3),IF(K70&lt;10,FIXED(K70,2),(IF(K70&lt;100,FIXED(K70,1),IF(K70&lt;1000,FIXED(K70,0),MROUND(K70,10))))))))))</f>
        <v>--</v>
      </c>
      <c r="AM70" s="6" t="str">
        <f t="shared" si="25"/>
        <v>--</v>
      </c>
      <c r="AN70" s="6" t="str">
        <f>IF(AM70="--","--",IF(F!$D70=131,IF(M70=-1,"rg",IF(M70="","--",IF(M70*1000&lt;1,FIXED(M70*1000,3),IF(M70*1000&lt;10,FIXED(M70*1000,2),(IF(M70*1000&lt;100,FIXED(M70*1000,1),IF(M70*1000&lt;1000,FIXED(M70*1000,0),MROUND(M70*1000,10)))))))),IF(M70=-1,"rg",IF(M70="","--",IF(M70&lt;1,FIXED(M70,3),IF(M70&lt;10,FIXED(M70,2),(IF(M70&lt;100,FIXED(M70,1),IF(M70&lt;1000,FIXED(M70,0),MROUND(M70,10))))))))))</f>
        <v>--</v>
      </c>
      <c r="AP70" s="6" t="str">
        <f t="shared" si="6"/>
        <v>--</v>
      </c>
      <c r="AQ70" s="6" t="str">
        <f t="shared" si="7"/>
        <v/>
      </c>
      <c r="AR70" s="6" t="str">
        <f t="shared" si="8"/>
        <v>--</v>
      </c>
      <c r="AS70" s="6" t="str">
        <f t="shared" si="9"/>
        <v/>
      </c>
      <c r="AT70" s="6" t="str">
        <f t="shared" si="10"/>
        <v/>
      </c>
      <c r="AU70" s="6" t="str">
        <f>IFERROR(IF(AR70="--","",IF(HLOOKUP(SMALL($Q$4:$Y$4,3),$Q$4:$Y$501,ROW(AP70)-3,FALSE)=0,"",IF(HLOOKUP(SMALL($Q$4:$Y$4,3),$Q$4:$Y$501,ROW(AP70)-3,FALSE)="nee",VLOOKUP("De kwaliteitseis emissiearme grond (maximale concentratie) wordt overschreden.",H!$O$10:'H'!$P$59,2,FALSE),""))),"")</f>
        <v/>
      </c>
      <c r="AV70" s="6" t="str">
        <f t="shared" si="0"/>
        <v>--</v>
      </c>
      <c r="AW70" s="6" t="str">
        <f t="shared" si="1"/>
        <v/>
      </c>
      <c r="AX70" s="6" t="str">
        <f t="shared" si="2"/>
        <v>--</v>
      </c>
      <c r="AY70" s="6" t="str">
        <f t="shared" si="11"/>
        <v/>
      </c>
      <c r="AZ70" s="6" t="str">
        <f t="shared" si="12"/>
        <v/>
      </c>
      <c r="BA70" s="6" t="str">
        <f>IFERROR(IF(AR70="--","",IF(HLOOKUP(SMALL($Q$4:$Y$4,6),$Q$4:$Y$501,ROW(AP70)-3,FALSE)=0,"",IF(HLOOKUP(SMALL($Q$4:$Y$4,6),$Q$4:$Y$501,ROW(AP70)-3,FALSE)="nee",VLOOKUP("De kwaliteitseis emissiearme grond (maximale concentratie) wordt overschreden.",H!$O$10:'H'!$P$59,2,FALSE),""))),"")</f>
        <v/>
      </c>
      <c r="BB70" s="6" t="str">
        <f t="shared" si="3"/>
        <v>--</v>
      </c>
      <c r="BC70" s="6" t="str">
        <f t="shared" si="4"/>
        <v/>
      </c>
      <c r="BD70" s="6" t="str">
        <f t="shared" si="5"/>
        <v>--</v>
      </c>
      <c r="BE70" s="6" t="str">
        <f t="shared" si="13"/>
        <v/>
      </c>
      <c r="BF70" s="6"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6" t="str">
        <f>IF(ISNUMBER(F!E71)=FALSE,"--",IF(F!E71=0,"--",F!E71))</f>
        <v>--</v>
      </c>
      <c r="C71" s="6" t="str">
        <f>IF(B71="--","",F!F71)</f>
        <v/>
      </c>
      <c r="D71" s="6" t="str">
        <f>IF(ISNUMBER(F!G71)=FALSE,"--",IF(F!G71=0,"--",F!G71))</f>
        <v>--</v>
      </c>
      <c r="E71" s="6" t="str">
        <f>IF(D71="--","",F!H71)</f>
        <v/>
      </c>
      <c r="F71" s="6" t="str">
        <f>IF(ISNUMBER(F!I71)=FALSE,"--",IF(F!I71=0,"--",F!I71))</f>
        <v>--</v>
      </c>
      <c r="G71" s="6" t="str">
        <f>IF(F71="--","",F!J71)</f>
        <v/>
      </c>
      <c r="H71" s="6"/>
      <c r="I71" s="6" t="str">
        <f>IF(F!Z71=-1,-1,F!AV71)</f>
        <v/>
      </c>
      <c r="J71" s="6"/>
      <c r="K71" s="6" t="str">
        <f>IF(F!AC71=-1,-1,F!AX71)</f>
        <v/>
      </c>
      <c r="L71" s="6"/>
      <c r="M71" s="6" t="str">
        <f>IF(F!AF71=-1,-1,F!AZ71)</f>
        <v/>
      </c>
      <c r="N71" s="6"/>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6" t="str">
        <f t="shared" si="20"/>
        <v/>
      </c>
      <c r="R71" s="5" t="str">
        <f>IF($B71="--","",IF($P71="toetsen",toetsen(F!$B71,Q71),IF($P71="toetsen alleen IW",toetsen_alleen_IW(F!$B71,Q71),IF($P71="toetsen alleen LN",toetsen_alleen_LN(F!$B71,Q71),IF($P71="toetsen geen MV en SV",toetsen_geen_MV_en_SV(F!$B71,Q71),IF($P71="toetsen alleen MV en SV",toetsen_alleen_MV_en_SV(F!$B71,Q71),""))))))</f>
        <v/>
      </c>
      <c r="S71" s="5" t="str">
        <f>IF($P71="toetsen",IF(OR(Q71="",VLOOKUP(F!$B71,E!$B$1:$AK$300,10,FALSE)=1000000000),"",IF(Q71&lt;=VLOOKUP(F!$B71,E!$B$1:$AK$300,10,FALSE),"ja","nee")),"")</f>
        <v/>
      </c>
      <c r="T71" s="87" t="str">
        <f t="shared" si="21"/>
        <v/>
      </c>
      <c r="U71" s="5" t="str">
        <f>IF($D71="--","",IF($P71="toetsen",toetsen(F!$B71,T71),IF($P71="toetsen alleen IW",toetsen_alleen_IW(F!$B71,T71),IF($P71="toetsen alleen LN",toetsen_alleen_LN(F!$B71,T71),IF($P71="toetsen geen MV en SV",toetsen_geen_MV_en_SV(F!$B71,T71),IF($P71="toetsen alleen MV en SV",toetsen_alleen_MV_en_SV(F!$B71,T71),""))))))</f>
        <v/>
      </c>
      <c r="V71" s="5" t="str">
        <f>IF($P71="toetsen",IF(OR(T71="",VLOOKUP(F!$B71,E!$B$1:$AK$300,10,FALSE)=1000000000),"",IF(T71&lt;=VLOOKUP(F!$B71,E!$B$1:$AK$300,10,FALSE),"ja","nee")),"")</f>
        <v/>
      </c>
      <c r="W71" s="6" t="str">
        <f t="shared" si="22"/>
        <v/>
      </c>
      <c r="X71" s="5" t="str">
        <f>IF($F71="--","",IF($P71="toetsen",toetsen(F!$B71,W71),IF($P71="toetsen alleen IW",toetsen_alleen_IW(F!$B71,W71),IF($P71="toetsen alleen LN",toetsen_alleen_LN(F!$B71,W71),IF($P71="toetsen geen MV en SV",toetsen_geen_MV_en_SV(F!$B71,W71),IF($P71="toetsen alleen MV en SV",toetsen_alleen_MV_en_SV(F!$B71,W71),""))))))</f>
        <v/>
      </c>
      <c r="Y71" s="5" t="str">
        <f>IF($P71="toetsen",IF(OR(W71="",VLOOKUP(F!$B71,E!$B$1:$AK$300,10,FALSE)=1000000000),"",IF(W71&lt;=VLOOKUP(F!$B71,E!$B$1:$AK$300,10,FALSE),"ja","nee")),"")</f>
        <v/>
      </c>
      <c r="AA71" s="4"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6" t="str">
        <f t="shared" si="23"/>
        <v>--</v>
      </c>
      <c r="AJ71" s="6" t="str">
        <f>IF(AI71="--","--",IF(F!$D71=131,IF(I71=-1,"rg",IF(I71="","--",IF(I71*1000&lt;1,FIXED(I71*1000,3),IF(I71*1000&lt;10,FIXED(I71*1000,2),(IF(I71*1000&lt;100,FIXED(I71*1000,1),IF(I71*1000&lt;1000,FIXED(I71*1000,0),MROUND(I71*1000,10)))))))),IF(I71=-1,"rg",IF(I71="","--",IF(I71&lt;1,FIXED(I71,3),IF(I71&lt;10,FIXED(I71,2),(IF(I71&lt;100,FIXED(I71,1),IF(I71&lt;1000,FIXED(I71,0),MROUND(I71,10))))))))))</f>
        <v>--</v>
      </c>
      <c r="AK71" s="6" t="str">
        <f t="shared" si="24"/>
        <v>--</v>
      </c>
      <c r="AL71" s="6" t="str">
        <f>IF(AK71="--","--",IF(F!$D71=131,IF(K71=-1,"rg",IF(K71="","--",IF(K71*1000&lt;1,FIXED(K71*1000,3),IF(K71*1000&lt;10,FIXED(K71*1000,2),(IF(K71*1000&lt;100,FIXED(K71*1000,1),IF(K71*1000&lt;1000,FIXED(K71*1000,0),MROUND(K71*1000,10)))))))),IF(K71=-1,"rg",IF(K71="","--",IF(K71&lt;1,FIXED(K71,3),IF(K71&lt;10,FIXED(K71,2),(IF(K71&lt;100,FIXED(K71,1),IF(K71&lt;1000,FIXED(K71,0),MROUND(K71,10))))))))))</f>
        <v>--</v>
      </c>
      <c r="AM71" s="6" t="str">
        <f t="shared" si="25"/>
        <v>--</v>
      </c>
      <c r="AN71" s="6" t="str">
        <f>IF(AM71="--","--",IF(F!$D71=131,IF(M71=-1,"rg",IF(M71="","--",IF(M71*1000&lt;1,FIXED(M71*1000,3),IF(M71*1000&lt;10,FIXED(M71*1000,2),(IF(M71*1000&lt;100,FIXED(M71*1000,1),IF(M71*1000&lt;1000,FIXED(M71*1000,0),MROUND(M71*1000,10)))))))),IF(M71=-1,"rg",IF(M71="","--",IF(M71&lt;1,FIXED(M71,3),IF(M71&lt;10,FIXED(M71,2),(IF(M71&lt;100,FIXED(M71,1),IF(M71&lt;1000,FIXED(M71,0),MROUND(M71,10))))))))))</f>
        <v>--</v>
      </c>
      <c r="AP71" s="6" t="str">
        <f t="shared" si="6"/>
        <v>--</v>
      </c>
      <c r="AQ71" s="6" t="str">
        <f t="shared" si="7"/>
        <v/>
      </c>
      <c r="AR71" s="6" t="str">
        <f t="shared" si="8"/>
        <v>--</v>
      </c>
      <c r="AS71" s="6" t="str">
        <f t="shared" si="9"/>
        <v/>
      </c>
      <c r="AT71" s="6" t="str">
        <f t="shared" si="10"/>
        <v/>
      </c>
      <c r="AU71" s="6" t="str">
        <f>IFERROR(IF(AR71="--","",IF(HLOOKUP(SMALL($Q$4:$Y$4,3),$Q$4:$Y$501,ROW(AP71)-3,FALSE)=0,"",IF(HLOOKUP(SMALL($Q$4:$Y$4,3),$Q$4:$Y$501,ROW(AP71)-3,FALSE)="nee",VLOOKUP("De kwaliteitseis emissiearme grond (maximale concentratie) wordt overschreden.",H!$O$10:'H'!$P$59,2,FALSE),""))),"")</f>
        <v/>
      </c>
      <c r="AV71" s="6" t="str">
        <f t="shared" ref="AV71:AV134" si="26">HLOOKUP(SMALL($AI$4:$AN$4,3),$AI$4:$AN$501,ROW(AP71)-3,FALSE)</f>
        <v>--</v>
      </c>
      <c r="AW71" s="6" t="str">
        <f t="shared" ref="AW71:AW134" si="27">IF(HLOOKUP(SMALL($C$4:$G$4,2),$C$4:$G$501,ROW(AP71)-3,FALSE)="&lt;","&lt;","")</f>
        <v/>
      </c>
      <c r="AX71" s="6" t="str">
        <f t="shared" ref="AX71:AX134" si="28">HLOOKUP(SMALL($AI$4:$AN$4,4),$AI$4:$AN$501,ROW(AP71)-3,FALSE)</f>
        <v>--</v>
      </c>
      <c r="AY71" s="6" t="str">
        <f t="shared" si="11"/>
        <v/>
      </c>
      <c r="AZ71" s="6" t="str">
        <f t="shared" si="12"/>
        <v/>
      </c>
      <c r="BA71" s="6" t="str">
        <f>IFERROR(IF(AR71="--","",IF(HLOOKUP(SMALL($Q$4:$Y$4,6),$Q$4:$Y$501,ROW(AP71)-3,FALSE)=0,"",IF(HLOOKUP(SMALL($Q$4:$Y$4,6),$Q$4:$Y$501,ROW(AP71)-3,FALSE)="nee",VLOOKUP("De kwaliteitseis emissiearme grond (maximale concentratie) wordt overschreden.",H!$O$10:'H'!$P$59,2,FALSE),""))),"")</f>
        <v/>
      </c>
      <c r="BB71" s="6" t="str">
        <f t="shared" ref="BB71:BB134" si="29">HLOOKUP(SMALL($AI$4:$AN$4,5),$AI$4:$AN$501,ROW(AP71)-3,FALSE)</f>
        <v>--</v>
      </c>
      <c r="BC71" s="6" t="str">
        <f t="shared" ref="BC71:BC134" si="30">IF(HLOOKUP(SMALL($C$4:$G$4,3),$C$4:$G$501,ROW(AP71)-3,FALSE)="&lt;","&lt;","")</f>
        <v/>
      </c>
      <c r="BD71" s="6" t="str">
        <f t="shared" ref="BD71:BD134" si="31">HLOOKUP(SMALL($AI$4:$AN$4,6),$AI$4:$AN$501,ROW(AP71)-3,FALSE)</f>
        <v>--</v>
      </c>
      <c r="BE71" s="6" t="str">
        <f t="shared" si="13"/>
        <v/>
      </c>
      <c r="BF71" s="6"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6" t="str">
        <f>IF(ISNUMBER(F!E72)=FALSE,"--",IF(F!E72=0,"--",F!E72))</f>
        <v>--</v>
      </c>
      <c r="C72" s="6" t="str">
        <f>IF(B72="--","",F!F72)</f>
        <v/>
      </c>
      <c r="D72" s="6" t="str">
        <f>IF(ISNUMBER(F!G72)=FALSE,"--",IF(F!G72=0,"--",F!G72))</f>
        <v>--</v>
      </c>
      <c r="E72" s="6" t="str">
        <f>IF(D72="--","",F!H72)</f>
        <v/>
      </c>
      <c r="F72" s="6" t="str">
        <f>IF(ISNUMBER(F!I72)=FALSE,"--",IF(F!I72=0,"--",F!I72))</f>
        <v>--</v>
      </c>
      <c r="G72" s="6" t="str">
        <f>IF(F72="--","",F!J72)</f>
        <v/>
      </c>
      <c r="H72" s="6"/>
      <c r="I72" s="16" t="str">
        <f>IF(F!AA72=-1,-1,F!AV72)</f>
        <v/>
      </c>
      <c r="J72" s="6"/>
      <c r="K72" s="16" t="str">
        <f>IF(F!AD72=-1,-1,F!AX72)</f>
        <v/>
      </c>
      <c r="L72" s="6"/>
      <c r="M72" s="16" t="str">
        <f>IF(F!AG72=-1,-1,F!AZ72)</f>
        <v/>
      </c>
      <c r="N72" s="6"/>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6" t="str">
        <f t="shared" si="20"/>
        <v/>
      </c>
      <c r="R72" s="5" t="str">
        <f>IF($B72="--","",IF($P72="toetsen",toetsen(F!$B72,Q72),IF($P72="toetsen alleen IW",toetsen_alleen_IW(F!$B72,Q72),IF($P72="toetsen alleen LN",toetsen_alleen_LN(F!$B72,Q72),IF($P72="toetsen geen MV en SV",toetsen_geen_MV_en_SV(F!$B72,Q72),IF($P72="toetsen alleen MV en SV",toetsen_alleen_MV_en_SV(F!$B72,Q72),""))))))</f>
        <v/>
      </c>
      <c r="S72" s="5" t="str">
        <f>IF($P72="toetsen",IF(OR(Q72="",VLOOKUP(F!$B72,E!$B$1:$AK$300,10,FALSE)=1000000000),"",IF(Q72&lt;=VLOOKUP(F!$B72,E!$B$1:$AK$300,10,FALSE),"ja","nee")),"")</f>
        <v/>
      </c>
      <c r="T72" s="87" t="str">
        <f t="shared" si="21"/>
        <v/>
      </c>
      <c r="U72" s="5" t="str">
        <f>IF($D72="--","",IF($P72="toetsen",toetsen(F!$B72,T72),IF($P72="toetsen alleen IW",toetsen_alleen_IW(F!$B72,T72),IF($P72="toetsen alleen LN",toetsen_alleen_LN(F!$B72,T72),IF($P72="toetsen geen MV en SV",toetsen_geen_MV_en_SV(F!$B72,T72),IF($P72="toetsen alleen MV en SV",toetsen_alleen_MV_en_SV(F!$B72,T72),""))))))</f>
        <v/>
      </c>
      <c r="V72" s="5" t="str">
        <f>IF($P72="toetsen",IF(OR(T72="",VLOOKUP(F!$B72,E!$B$1:$AK$300,10,FALSE)=1000000000),"",IF(T72&lt;=VLOOKUP(F!$B72,E!$B$1:$AK$300,10,FALSE),"ja","nee")),"")</f>
        <v/>
      </c>
      <c r="W72" s="6" t="str">
        <f t="shared" si="22"/>
        <v/>
      </c>
      <c r="X72" s="5" t="str">
        <f>IF($F72="--","",IF($P72="toetsen",toetsen(F!$B72,W72),IF($P72="toetsen alleen IW",toetsen_alleen_IW(F!$B72,W72),IF($P72="toetsen alleen LN",toetsen_alleen_LN(F!$B72,W72),IF($P72="toetsen geen MV en SV",toetsen_geen_MV_en_SV(F!$B72,W72),IF($P72="toetsen alleen MV en SV",toetsen_alleen_MV_en_SV(F!$B72,W72),""))))))</f>
        <v/>
      </c>
      <c r="Y72" s="5" t="str">
        <f>IF($P72="toetsen",IF(OR(W72="",VLOOKUP(F!$B72,E!$B$1:$AK$300,10,FALSE)=1000000000),"",IF(W72&lt;=VLOOKUP(F!$B72,E!$B$1:$AK$300,10,FALSE),"ja","nee")),"")</f>
        <v/>
      </c>
      <c r="AA72" s="4"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6" t="str">
        <f t="shared" si="23"/>
        <v>--</v>
      </c>
      <c r="AJ72" s="6" t="str">
        <f>IF(AI72="--","--",IF(F!$D72=131,IF(I72=-1,"rg",IF(I72="","--",IF(I72*1000&lt;1,FIXED(I72*1000,3),IF(I72*1000&lt;10,FIXED(I72*1000,2),(IF(I72*1000&lt;100,FIXED(I72*1000,1),IF(I72*1000&lt;1000,FIXED(I72*1000,0),MROUND(I72*1000,10)))))))),IF(I72=-1,"rg",IF(I72="","--",IF(I72&lt;1,FIXED(I72,3),IF(I72&lt;10,FIXED(I72,2),(IF(I72&lt;100,FIXED(I72,1),IF(I72&lt;1000,FIXED(I72,0),MROUND(I72,10))))))))))</f>
        <v>--</v>
      </c>
      <c r="AK72" s="6" t="str">
        <f t="shared" si="24"/>
        <v>--</v>
      </c>
      <c r="AL72" s="6" t="str">
        <f>IF(AK72="--","--",IF(F!$D72=131,IF(K72=-1,"rg",IF(K72="","--",IF(K72*1000&lt;1,FIXED(K72*1000,3),IF(K72*1000&lt;10,FIXED(K72*1000,2),(IF(K72*1000&lt;100,FIXED(K72*1000,1),IF(K72*1000&lt;1000,FIXED(K72*1000,0),MROUND(K72*1000,10)))))))),IF(K72=-1,"rg",IF(K72="","--",IF(K72&lt;1,FIXED(K72,3),IF(K72&lt;10,FIXED(K72,2),(IF(K72&lt;100,FIXED(K72,1),IF(K72&lt;1000,FIXED(K72,0),MROUND(K72,10))))))))))</f>
        <v>--</v>
      </c>
      <c r="AM72" s="6" t="str">
        <f t="shared" si="25"/>
        <v>--</v>
      </c>
      <c r="AN72" s="6" t="str">
        <f>IF(AM72="--","--",IF(F!$D72=131,IF(M72=-1,"rg",IF(M72="","--",IF(M72*1000&lt;1,FIXED(M72*1000,3),IF(M72*1000&lt;10,FIXED(M72*1000,2),(IF(M72*1000&lt;100,FIXED(M72*1000,1),IF(M72*1000&lt;1000,FIXED(M72*1000,0),MROUND(M72*1000,10)))))))),IF(M72=-1,"rg",IF(M72="","--",IF(M72&lt;1,FIXED(M72,3),IF(M72&lt;10,FIXED(M72,2),(IF(M72&lt;100,FIXED(M72,1),IF(M72&lt;1000,FIXED(M72,0),MROUND(M72,10))))))))))</f>
        <v>--</v>
      </c>
      <c r="AP72" s="6" t="str">
        <f t="shared" ref="AP72:AP135" si="32">HLOOKUP(SMALL($AI$4:$AN$4,1),$AI$4:$AN$501,ROW(AP72)-3,FALSE)</f>
        <v>--</v>
      </c>
      <c r="AQ72" s="6" t="str">
        <f t="shared" ref="AQ72:AQ135" si="33">IF(HLOOKUP(SMALL($C$4:$G$4,1),$C$4:$G$501,ROW(AP72)-3,FALSE)="&lt;","&lt;","")</f>
        <v/>
      </c>
      <c r="AR72" s="6" t="str">
        <f t="shared" ref="AR72:AR135" si="34">HLOOKUP(SMALL($AI$4:$AN$4,2),$AI$4:$AN$501,ROW(AP72)-3,FALSE)</f>
        <v>--</v>
      </c>
      <c r="AS72" s="6" t="str">
        <f t="shared" ref="AS72:AS135" si="35">IF(AR72="rg","&lt;","")</f>
        <v/>
      </c>
      <c r="AT72" s="6" t="str">
        <f t="shared" ref="AT72:AT135" si="36">IF(AR72="--","",IF(HLOOKUP(SMALL($Q$4:$Y$4,2),$Q$4:$Y$501,ROW(AP72)-3,FALSE)=0,"",HLOOKUP(SMALL($Q$4:$Y$4,2),$Q$4:$Y$501,ROW(AP72)-3,FALSE)))</f>
        <v/>
      </c>
      <c r="AU72" s="6" t="str">
        <f>IFERROR(IF(AR72="--","",IF(HLOOKUP(SMALL($Q$4:$Y$4,3),$Q$4:$Y$501,ROW(AP72)-3,FALSE)=0,"",IF(HLOOKUP(SMALL($Q$4:$Y$4,3),$Q$4:$Y$501,ROW(AP72)-3,FALSE)="nee",VLOOKUP("De kwaliteitseis emissiearme grond (maximale concentratie) wordt overschreden.",H!$O$10:'H'!$P$59,2,FALSE),""))),"")</f>
        <v/>
      </c>
      <c r="AV72" s="6" t="str">
        <f t="shared" si="26"/>
        <v>--</v>
      </c>
      <c r="AW72" s="6" t="str">
        <f t="shared" si="27"/>
        <v/>
      </c>
      <c r="AX72" s="6" t="str">
        <f t="shared" si="28"/>
        <v>--</v>
      </c>
      <c r="AY72" s="6" t="str">
        <f t="shared" ref="AY72:AY135" si="37">IF(AX72="rg","&lt;","")</f>
        <v/>
      </c>
      <c r="AZ72" s="6" t="str">
        <f t="shared" ref="AZ72:AZ135" si="38">IF(AX72="--","",IF(HLOOKUP(SMALL($Q$4:$Y$4,5),$Q$4:$Y$501,ROW(AP72)-3,FALSE)=0,"",HLOOKUP(SMALL($Q$4:$Y$4,5),$Q$4:$Y$501,ROW(AP72)-3,FALSE)))</f>
        <v/>
      </c>
      <c r="BA72" s="6" t="str">
        <f>IFERROR(IF(AR72="--","",IF(HLOOKUP(SMALL($Q$4:$Y$4,6),$Q$4:$Y$501,ROW(AP72)-3,FALSE)=0,"",IF(HLOOKUP(SMALL($Q$4:$Y$4,6),$Q$4:$Y$501,ROW(AP72)-3,FALSE)="nee",VLOOKUP("De kwaliteitseis emissiearme grond (maximale concentratie) wordt overschreden.",H!$O$10:'H'!$P$59,2,FALSE),""))),"")</f>
        <v/>
      </c>
      <c r="BB72" s="6" t="str">
        <f t="shared" si="29"/>
        <v>--</v>
      </c>
      <c r="BC72" s="6" t="str">
        <f t="shared" si="30"/>
        <v/>
      </c>
      <c r="BD72" s="6" t="str">
        <f t="shared" si="31"/>
        <v>--</v>
      </c>
      <c r="BE72" s="6" t="str">
        <f t="shared" ref="BE72:BE135" si="39">IF(BD72="rg","&lt;","")</f>
        <v/>
      </c>
      <c r="BF72" s="6"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6" t="str">
        <f>IF(ISNUMBER(F!E73)=FALSE,"--",IF(F!E73=0,"--",F!E73))</f>
        <v>--</v>
      </c>
      <c r="C73" s="6" t="str">
        <f>IF(B73="--","",F!F73)</f>
        <v/>
      </c>
      <c r="D73" s="6" t="str">
        <f>IF(ISNUMBER(F!G73)=FALSE,"--",IF(F!G73=0,"--",F!G73))</f>
        <v>--</v>
      </c>
      <c r="E73" s="6" t="str">
        <f>IF(D73="--","",F!H73)</f>
        <v/>
      </c>
      <c r="F73" s="6" t="str">
        <f>IF(ISNUMBER(F!I73)=FALSE,"--",IF(F!I73=0,"--",F!I73))</f>
        <v>--</v>
      </c>
      <c r="G73" s="6" t="str">
        <f>IF(F73="--","",F!J73)</f>
        <v/>
      </c>
      <c r="H73" s="6"/>
      <c r="I73" s="16" t="str">
        <f>IF(F!AA73=-1,-1,F!AV73)</f>
        <v/>
      </c>
      <c r="J73" s="6"/>
      <c r="K73" s="16" t="str">
        <f>IF(F!AD73=-1,-1,F!AX73)</f>
        <v/>
      </c>
      <c r="L73" s="6"/>
      <c r="M73" s="16" t="str">
        <f>IF(F!AG73=-1,-1,F!AZ73)</f>
        <v/>
      </c>
      <c r="N73" s="6"/>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6" t="str">
        <f t="shared" si="20"/>
        <v/>
      </c>
      <c r="R73" s="5" t="str">
        <f>IF($B73="--","",IF($P73="toetsen",toetsen(F!$B73,Q73),IF($P73="toetsen alleen IW",toetsen_alleen_IW(F!$B73,Q73),IF($P73="toetsen alleen LN",toetsen_alleen_LN(F!$B73,Q73),IF($P73="toetsen geen MV en SV",toetsen_geen_MV_en_SV(F!$B73,Q73),IF($P73="toetsen alleen MV en SV",toetsen_alleen_MV_en_SV(F!$B73,Q73),""))))))</f>
        <v/>
      </c>
      <c r="S73" s="5" t="str">
        <f>IF($P73="toetsen",IF(OR(Q73="",VLOOKUP(F!$B73,E!$B$1:$AK$300,10,FALSE)=1000000000),"",IF(Q73&lt;=VLOOKUP(F!$B73,E!$B$1:$AK$300,10,FALSE),"ja","nee")),"")</f>
        <v/>
      </c>
      <c r="T73" s="87" t="str">
        <f t="shared" si="21"/>
        <v/>
      </c>
      <c r="U73" s="5" t="str">
        <f>IF($D73="--","",IF($P73="toetsen",toetsen(F!$B73,T73),IF($P73="toetsen alleen IW",toetsen_alleen_IW(F!$B73,T73),IF($P73="toetsen alleen LN",toetsen_alleen_LN(F!$B73,T73),IF($P73="toetsen geen MV en SV",toetsen_geen_MV_en_SV(F!$B73,T73),IF($P73="toetsen alleen MV en SV",toetsen_alleen_MV_en_SV(F!$B73,T73),""))))))</f>
        <v/>
      </c>
      <c r="V73" s="5" t="str">
        <f>IF($P73="toetsen",IF(OR(T73="",VLOOKUP(F!$B73,E!$B$1:$AK$300,10,FALSE)=1000000000),"",IF(T73&lt;=VLOOKUP(F!$B73,E!$B$1:$AK$300,10,FALSE),"ja","nee")),"")</f>
        <v/>
      </c>
      <c r="W73" s="6" t="str">
        <f t="shared" si="22"/>
        <v/>
      </c>
      <c r="X73" s="5" t="str">
        <f>IF($F73="--","",IF($P73="toetsen",toetsen(F!$B73,W73),IF($P73="toetsen alleen IW",toetsen_alleen_IW(F!$B73,W73),IF($P73="toetsen alleen LN",toetsen_alleen_LN(F!$B73,W73),IF($P73="toetsen geen MV en SV",toetsen_geen_MV_en_SV(F!$B73,W73),IF($P73="toetsen alleen MV en SV",toetsen_alleen_MV_en_SV(F!$B73,W73),""))))))</f>
        <v/>
      </c>
      <c r="Y73" s="5" t="str">
        <f>IF($P73="toetsen",IF(OR(W73="",VLOOKUP(F!$B73,E!$B$1:$AK$300,10,FALSE)=1000000000),"",IF(W73&lt;=VLOOKUP(F!$B73,E!$B$1:$AK$300,10,FALSE),"ja","nee")),"")</f>
        <v/>
      </c>
      <c r="AA73" s="4"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6" t="str">
        <f t="shared" si="23"/>
        <v>--</v>
      </c>
      <c r="AJ73" s="6" t="str">
        <f>IF(AI73="--","--",IF(F!$D73=131,IF(I73=-1,"rg",IF(I73="","--",IF(I73*1000&lt;1,FIXED(I73*1000,3),IF(I73*1000&lt;10,FIXED(I73*1000,2),(IF(I73*1000&lt;100,FIXED(I73*1000,1),IF(I73*1000&lt;1000,FIXED(I73*1000,0),MROUND(I73*1000,10)))))))),IF(I73=-1,"rg",IF(I73="","--",IF(I73&lt;1,FIXED(I73,3),IF(I73&lt;10,FIXED(I73,2),(IF(I73&lt;100,FIXED(I73,1),IF(I73&lt;1000,FIXED(I73,0),MROUND(I73,10))))))))))</f>
        <v>--</v>
      </c>
      <c r="AK73" s="6" t="str">
        <f t="shared" si="24"/>
        <v>--</v>
      </c>
      <c r="AL73" s="6" t="str">
        <f>IF(AK73="--","--",IF(F!$D73=131,IF(K73=-1,"rg",IF(K73="","--",IF(K73*1000&lt;1,FIXED(K73*1000,3),IF(K73*1000&lt;10,FIXED(K73*1000,2),(IF(K73*1000&lt;100,FIXED(K73*1000,1),IF(K73*1000&lt;1000,FIXED(K73*1000,0),MROUND(K73*1000,10)))))))),IF(K73=-1,"rg",IF(K73="","--",IF(K73&lt;1,FIXED(K73,3),IF(K73&lt;10,FIXED(K73,2),(IF(K73&lt;100,FIXED(K73,1),IF(K73&lt;1000,FIXED(K73,0),MROUND(K73,10))))))))))</f>
        <v>--</v>
      </c>
      <c r="AM73" s="6" t="str">
        <f t="shared" si="25"/>
        <v>--</v>
      </c>
      <c r="AN73" s="6" t="str">
        <f>IF(AM73="--","--",IF(F!$D73=131,IF(M73=-1,"rg",IF(M73="","--",IF(M73*1000&lt;1,FIXED(M73*1000,3),IF(M73*1000&lt;10,FIXED(M73*1000,2),(IF(M73*1000&lt;100,FIXED(M73*1000,1),IF(M73*1000&lt;1000,FIXED(M73*1000,0),MROUND(M73*1000,10)))))))),IF(M73=-1,"rg",IF(M73="","--",IF(M73&lt;1,FIXED(M73,3),IF(M73&lt;10,FIXED(M73,2),(IF(M73&lt;100,FIXED(M73,1),IF(M73&lt;1000,FIXED(M73,0),MROUND(M73,10))))))))))</f>
        <v>--</v>
      </c>
      <c r="AP73" s="6" t="str">
        <f t="shared" si="32"/>
        <v>--</v>
      </c>
      <c r="AQ73" s="6" t="str">
        <f t="shared" si="33"/>
        <v/>
      </c>
      <c r="AR73" s="6" t="str">
        <f t="shared" si="34"/>
        <v>--</v>
      </c>
      <c r="AS73" s="6" t="str">
        <f t="shared" si="35"/>
        <v/>
      </c>
      <c r="AT73" s="6" t="str">
        <f t="shared" si="36"/>
        <v/>
      </c>
      <c r="AU73" s="6" t="str">
        <f>IFERROR(IF(AR73="--","",IF(HLOOKUP(SMALL($Q$4:$Y$4,3),$Q$4:$Y$501,ROW(AP73)-3,FALSE)=0,"",IF(HLOOKUP(SMALL($Q$4:$Y$4,3),$Q$4:$Y$501,ROW(AP73)-3,FALSE)="nee",VLOOKUP("De kwaliteitseis emissiearme grond (maximale concentratie) wordt overschreden.",H!$O$10:'H'!$P$59,2,FALSE),""))),"")</f>
        <v/>
      </c>
      <c r="AV73" s="6" t="str">
        <f t="shared" si="26"/>
        <v>--</v>
      </c>
      <c r="AW73" s="6" t="str">
        <f t="shared" si="27"/>
        <v/>
      </c>
      <c r="AX73" s="6" t="str">
        <f t="shared" si="28"/>
        <v>--</v>
      </c>
      <c r="AY73" s="6" t="str">
        <f t="shared" si="37"/>
        <v/>
      </c>
      <c r="AZ73" s="6" t="str">
        <f t="shared" si="38"/>
        <v/>
      </c>
      <c r="BA73" s="6" t="str">
        <f>IFERROR(IF(AR73="--","",IF(HLOOKUP(SMALL($Q$4:$Y$4,6),$Q$4:$Y$501,ROW(AP73)-3,FALSE)=0,"",IF(HLOOKUP(SMALL($Q$4:$Y$4,6),$Q$4:$Y$501,ROW(AP73)-3,FALSE)="nee",VLOOKUP("De kwaliteitseis emissiearme grond (maximale concentratie) wordt overschreden.",H!$O$10:'H'!$P$59,2,FALSE),""))),"")</f>
        <v/>
      </c>
      <c r="BB73" s="6" t="str">
        <f t="shared" si="29"/>
        <v>--</v>
      </c>
      <c r="BC73" s="6" t="str">
        <f t="shared" si="30"/>
        <v/>
      </c>
      <c r="BD73" s="6" t="str">
        <f t="shared" si="31"/>
        <v>--</v>
      </c>
      <c r="BE73" s="6" t="str">
        <f t="shared" si="39"/>
        <v/>
      </c>
      <c r="BF73" s="6"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6" t="str">
        <f>IF(ISNUMBER(F!E74)=FALSE,"--",IF(F!E74=0,"--",F!E74))</f>
        <v>--</v>
      </c>
      <c r="C74" s="6" t="str">
        <f>IF(B74="--","",F!F74)</f>
        <v/>
      </c>
      <c r="D74" s="6" t="str">
        <f>IF(ISNUMBER(F!G74)=FALSE,"--",IF(F!G74=0,"--",F!G74))</f>
        <v>--</v>
      </c>
      <c r="E74" s="6" t="str">
        <f>IF(D74="--","",F!H74)</f>
        <v/>
      </c>
      <c r="F74" s="6" t="str">
        <f>IF(ISNUMBER(F!I74)=FALSE,"--",IF(F!I74=0,"--",F!I74))</f>
        <v>--</v>
      </c>
      <c r="G74" s="6" t="str">
        <f>IF(F74="--","",F!J74)</f>
        <v/>
      </c>
      <c r="H74" s="6"/>
      <c r="I74" s="101">
        <f>IF(F!Z74=0,-1,F!AV74)</f>
        <v>-1</v>
      </c>
      <c r="J74" s="6"/>
      <c r="K74" s="101">
        <f>IF(F!AC74=0,-1,F!AX74)</f>
        <v>-1</v>
      </c>
      <c r="L74" s="6"/>
      <c r="M74" s="101">
        <f>IF(F!AF74=0,-1,F!AZ74)</f>
        <v>-1</v>
      </c>
      <c r="N74" s="6"/>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6">
        <f t="shared" si="20"/>
        <v>-1</v>
      </c>
      <c r="R74" s="5" t="str">
        <f>IF($B74="--","",IF($P74="toetsen",toetsen(F!$B74,Q74),IF($P74="toetsen alleen IW",toetsen_alleen_IW(F!$B74,Q74),IF($P74="toetsen alleen LN",toetsen_alleen_LN(F!$B74,Q74),IF($P74="toetsen geen MV en SV",toetsen_geen_MV_en_SV(F!$B74,Q74),IF($P74="toetsen alleen MV en SV",toetsen_alleen_MV_en_SV(F!$B74,Q74),""))))))</f>
        <v/>
      </c>
      <c r="S74" s="5" t="str">
        <f>IF($P74="toetsen",IF(OR(Q74="",VLOOKUP(F!$B74,E!$B$1:$AK$300,10,FALSE)=1000000000),"",IF(Q74&lt;=VLOOKUP(F!$B74,E!$B$1:$AK$300,10,FALSE),"ja","nee")),"")</f>
        <v/>
      </c>
      <c r="T74" s="87">
        <f t="shared" si="21"/>
        <v>-1</v>
      </c>
      <c r="U74" s="5" t="str">
        <f>IF($D74="--","",IF($P74="toetsen",toetsen(F!$B74,T74),IF($P74="toetsen alleen IW",toetsen_alleen_IW(F!$B74,T74),IF($P74="toetsen alleen LN",toetsen_alleen_LN(F!$B74,T74),IF($P74="toetsen geen MV en SV",toetsen_geen_MV_en_SV(F!$B74,T74),IF($P74="toetsen alleen MV en SV",toetsen_alleen_MV_en_SV(F!$B74,T74),""))))))</f>
        <v/>
      </c>
      <c r="V74" s="5" t="str">
        <f>IF($P74="toetsen",IF(OR(T74="",VLOOKUP(F!$B74,E!$B$1:$AK$300,10,FALSE)=1000000000),"",IF(T74&lt;=VLOOKUP(F!$B74,E!$B$1:$AK$300,10,FALSE),"ja","nee")),"")</f>
        <v/>
      </c>
      <c r="W74" s="6">
        <f t="shared" si="22"/>
        <v>-1</v>
      </c>
      <c r="X74" s="5" t="str">
        <f>IF($F74="--","",IF($P74="toetsen",toetsen(F!$B74,W74),IF($P74="toetsen alleen IW",toetsen_alleen_IW(F!$B74,W74),IF($P74="toetsen alleen LN",toetsen_alleen_LN(F!$B74,W74),IF($P74="toetsen geen MV en SV",toetsen_geen_MV_en_SV(F!$B74,W74),IF($P74="toetsen alleen MV en SV",toetsen_alleen_MV_en_SV(F!$B74,W74),""))))))</f>
        <v/>
      </c>
      <c r="Y74" s="5" t="str">
        <f>IF($P74="toetsen",IF(OR(W74="",VLOOKUP(F!$B74,E!$B$1:$AK$300,10,FALSE)=1000000000),"",IF(W74&lt;=VLOOKUP(F!$B74,E!$B$1:$AK$300,10,FALSE),"ja","nee")),"")</f>
        <v/>
      </c>
      <c r="AA74" s="4">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6" t="str">
        <f t="shared" si="23"/>
        <v>--</v>
      </c>
      <c r="AJ74" s="6" t="str">
        <f>IF(AI74="--","--",IF(F!$D74=131,IF(I74=-1,"rg",IF(I74="","--",IF(I74*1000&lt;1,FIXED(I74*1000,3),IF(I74*1000&lt;10,FIXED(I74*1000,2),(IF(I74*1000&lt;100,FIXED(I74*1000,1),IF(I74*1000&lt;1000,FIXED(I74*1000,0),MROUND(I74*1000,10)))))))),IF(I74=-1,"rg",IF(I74="","--",IF(I74&lt;1,FIXED(I74,3),IF(I74&lt;10,FIXED(I74,2),(IF(I74&lt;100,FIXED(I74,1),IF(I74&lt;1000,FIXED(I74,0),MROUND(I74,10))))))))))</f>
        <v>--</v>
      </c>
      <c r="AK74" s="6" t="str">
        <f t="shared" si="24"/>
        <v>--</v>
      </c>
      <c r="AL74" s="6" t="str">
        <f>IF(AK74="--","--",IF(F!$D74=131,IF(K74=-1,"rg",IF(K74="","--",IF(K74*1000&lt;1,FIXED(K74*1000,3),IF(K74*1000&lt;10,FIXED(K74*1000,2),(IF(K74*1000&lt;100,FIXED(K74*1000,1),IF(K74*1000&lt;1000,FIXED(K74*1000,0),MROUND(K74*1000,10)))))))),IF(K74=-1,"rg",IF(K74="","--",IF(K74&lt;1,FIXED(K74,3),IF(K74&lt;10,FIXED(K74,2),(IF(K74&lt;100,FIXED(K74,1),IF(K74&lt;1000,FIXED(K74,0),MROUND(K74,10))))))))))</f>
        <v>--</v>
      </c>
      <c r="AM74" s="6" t="str">
        <f t="shared" si="25"/>
        <v>--</v>
      </c>
      <c r="AN74" s="6" t="str">
        <f>IF(AM74="--","--",IF(F!$D74=131,IF(M74=-1,"rg",IF(M74="","--",IF(M74*1000&lt;1,FIXED(M74*1000,3),IF(M74*1000&lt;10,FIXED(M74*1000,2),(IF(M74*1000&lt;100,FIXED(M74*1000,1),IF(M74*1000&lt;1000,FIXED(M74*1000,0),MROUND(M74*1000,10)))))))),IF(M74=-1,"rg",IF(M74="","--",IF(M74&lt;1,FIXED(M74,3),IF(M74&lt;10,FIXED(M74,2),(IF(M74&lt;100,FIXED(M74,1),IF(M74&lt;1000,FIXED(M74,0),MROUND(M74,10))))))))))</f>
        <v>--</v>
      </c>
      <c r="AP74" s="6" t="str">
        <f t="shared" si="32"/>
        <v>--</v>
      </c>
      <c r="AQ74" s="6" t="str">
        <f t="shared" si="33"/>
        <v/>
      </c>
      <c r="AR74" s="6" t="str">
        <f t="shared" si="34"/>
        <v>--</v>
      </c>
      <c r="AS74" s="6" t="str">
        <f t="shared" si="35"/>
        <v/>
      </c>
      <c r="AT74" s="6" t="str">
        <f t="shared" si="36"/>
        <v/>
      </c>
      <c r="AU74" s="6" t="str">
        <f>IFERROR(IF(AR74="--","",IF(HLOOKUP(SMALL($Q$4:$Y$4,3),$Q$4:$Y$501,ROW(AP74)-3,FALSE)=0,"",IF(HLOOKUP(SMALL($Q$4:$Y$4,3),$Q$4:$Y$501,ROW(AP74)-3,FALSE)="nee",VLOOKUP("De kwaliteitseis emissiearme grond (maximale concentratie) wordt overschreden.",H!$O$10:'H'!$P$59,2,FALSE),""))),"")</f>
        <v/>
      </c>
      <c r="AV74" s="6" t="str">
        <f t="shared" si="26"/>
        <v>--</v>
      </c>
      <c r="AW74" s="6" t="str">
        <f t="shared" si="27"/>
        <v/>
      </c>
      <c r="AX74" s="6" t="str">
        <f t="shared" si="28"/>
        <v>--</v>
      </c>
      <c r="AY74" s="6" t="str">
        <f t="shared" si="37"/>
        <v/>
      </c>
      <c r="AZ74" s="6" t="str">
        <f t="shared" si="38"/>
        <v/>
      </c>
      <c r="BA74" s="6" t="str">
        <f>IFERROR(IF(AR74="--","",IF(HLOOKUP(SMALL($Q$4:$Y$4,6),$Q$4:$Y$501,ROW(AP74)-3,FALSE)=0,"",IF(HLOOKUP(SMALL($Q$4:$Y$4,6),$Q$4:$Y$501,ROW(AP74)-3,FALSE)="nee",VLOOKUP("De kwaliteitseis emissiearme grond (maximale concentratie) wordt overschreden.",H!$O$10:'H'!$P$59,2,FALSE),""))),"")</f>
        <v/>
      </c>
      <c r="BB74" s="6" t="str">
        <f t="shared" si="29"/>
        <v>--</v>
      </c>
      <c r="BC74" s="6" t="str">
        <f t="shared" si="30"/>
        <v/>
      </c>
      <c r="BD74" s="6" t="str">
        <f t="shared" si="31"/>
        <v>--</v>
      </c>
      <c r="BE74" s="6" t="str">
        <f t="shared" si="39"/>
        <v/>
      </c>
      <c r="BF74" s="6"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6" t="str">
        <f>IF(ISNUMBER(F!E75)=FALSE,"--",IF(F!E75=0,"--",F!E75))</f>
        <v>--</v>
      </c>
      <c r="C75" s="6" t="str">
        <f>IF(B75="--","",F!F75)</f>
        <v/>
      </c>
      <c r="D75" s="6" t="str">
        <f>IF(ISNUMBER(F!G75)=FALSE,"--",IF(F!G75=0,"--",F!G75))</f>
        <v>--</v>
      </c>
      <c r="E75" s="6" t="str">
        <f>IF(D75="--","",F!H75)</f>
        <v/>
      </c>
      <c r="F75" s="6" t="str">
        <f>IF(ISNUMBER(F!I75)=FALSE,"--",IF(F!I75=0,"--",F!I75))</f>
        <v>--</v>
      </c>
      <c r="G75" s="6" t="str">
        <f>IF(F75="--","",F!J75)</f>
        <v/>
      </c>
      <c r="H75" s="6"/>
      <c r="I75" s="16" t="str">
        <f>IF(F!AA75=-1,-1,F!AV75)</f>
        <v/>
      </c>
      <c r="J75" s="6"/>
      <c r="K75" s="16" t="str">
        <f>IF(F!AD75=-1,-1,F!AX75)</f>
        <v/>
      </c>
      <c r="L75" s="6"/>
      <c r="M75" s="16" t="str">
        <f>IF(F!AG75=-1,-1,F!AZ75)</f>
        <v/>
      </c>
      <c r="N75" s="6"/>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6" t="str">
        <f t="shared" si="20"/>
        <v/>
      </c>
      <c r="R75" s="5" t="str">
        <f>IF($B75="--","",IF($P75="toetsen",toetsen(F!$B75,Q75),IF($P75="toetsen alleen IW",toetsen_alleen_IW(F!$B75,Q75),IF($P75="toetsen alleen LN",toetsen_alleen_LN(F!$B75,Q75),IF($P75="toetsen geen MV en SV",toetsen_geen_MV_en_SV(F!$B75,Q75),IF($P75="toetsen alleen MV en SV",toetsen_alleen_MV_en_SV(F!$B75,Q75),""))))))</f>
        <v/>
      </c>
      <c r="S75" s="5" t="str">
        <f>IF($P75="toetsen",IF(OR(Q75="",VLOOKUP(F!$B75,E!$B$1:$AK$300,10,FALSE)=1000000000),"",IF(Q75&lt;=VLOOKUP(F!$B75,E!$B$1:$AK$300,10,FALSE),"ja","nee")),"")</f>
        <v/>
      </c>
      <c r="T75" s="87" t="str">
        <f t="shared" si="21"/>
        <v/>
      </c>
      <c r="U75" s="5" t="str">
        <f>IF($D75="--","",IF($P75="toetsen",toetsen(F!$B75,T75),IF($P75="toetsen alleen IW",toetsen_alleen_IW(F!$B75,T75),IF($P75="toetsen alleen LN",toetsen_alleen_LN(F!$B75,T75),IF($P75="toetsen geen MV en SV",toetsen_geen_MV_en_SV(F!$B75,T75),IF($P75="toetsen alleen MV en SV",toetsen_alleen_MV_en_SV(F!$B75,T75),""))))))</f>
        <v/>
      </c>
      <c r="V75" s="5" t="str">
        <f>IF($P75="toetsen",IF(OR(T75="",VLOOKUP(F!$B75,E!$B$1:$AK$300,10,FALSE)=1000000000),"",IF(T75&lt;=VLOOKUP(F!$B75,E!$B$1:$AK$300,10,FALSE),"ja","nee")),"")</f>
        <v/>
      </c>
      <c r="W75" s="6" t="str">
        <f t="shared" si="22"/>
        <v/>
      </c>
      <c r="X75" s="5" t="str">
        <f>IF($F75="--","",IF($P75="toetsen",toetsen(F!$B75,W75),IF($P75="toetsen alleen IW",toetsen_alleen_IW(F!$B75,W75),IF($P75="toetsen alleen LN",toetsen_alleen_LN(F!$B75,W75),IF($P75="toetsen geen MV en SV",toetsen_geen_MV_en_SV(F!$B75,W75),IF($P75="toetsen alleen MV en SV",toetsen_alleen_MV_en_SV(F!$B75,W75),""))))))</f>
        <v/>
      </c>
      <c r="Y75" s="5" t="str">
        <f>IF($P75="toetsen",IF(OR(W75="",VLOOKUP(F!$B75,E!$B$1:$AK$300,10,FALSE)=1000000000),"",IF(W75&lt;=VLOOKUP(F!$B75,E!$B$1:$AK$300,10,FALSE),"ja","nee")),"")</f>
        <v/>
      </c>
      <c r="AA75" s="4"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6" t="str">
        <f t="shared" si="23"/>
        <v>--</v>
      </c>
      <c r="AJ75" s="6" t="str">
        <f>IF(AI75="--","--",IF(F!$D75=131,IF(I75=-1,"rg",IF(I75="","--",IF(I75*1000&lt;1,FIXED(I75*1000,3),IF(I75*1000&lt;10,FIXED(I75*1000,2),(IF(I75*1000&lt;100,FIXED(I75*1000,1),IF(I75*1000&lt;1000,FIXED(I75*1000,0),MROUND(I75*1000,10)))))))),IF(I75=-1,"rg",IF(I75="","--",IF(I75&lt;1,FIXED(I75,3),IF(I75&lt;10,FIXED(I75,2),(IF(I75&lt;100,FIXED(I75,1),IF(I75&lt;1000,FIXED(I75,0),MROUND(I75,10))))))))))</f>
        <v>--</v>
      </c>
      <c r="AK75" s="6" t="str">
        <f t="shared" si="24"/>
        <v>--</v>
      </c>
      <c r="AL75" s="6" t="str">
        <f>IF(AK75="--","--",IF(F!$D75=131,IF(K75=-1,"rg",IF(K75="","--",IF(K75*1000&lt;1,FIXED(K75*1000,3),IF(K75*1000&lt;10,FIXED(K75*1000,2),(IF(K75*1000&lt;100,FIXED(K75*1000,1),IF(K75*1000&lt;1000,FIXED(K75*1000,0),MROUND(K75*1000,10)))))))),IF(K75=-1,"rg",IF(K75="","--",IF(K75&lt;1,FIXED(K75,3),IF(K75&lt;10,FIXED(K75,2),(IF(K75&lt;100,FIXED(K75,1),IF(K75&lt;1000,FIXED(K75,0),MROUND(K75,10))))))))))</f>
        <v>--</v>
      </c>
      <c r="AM75" s="6" t="str">
        <f t="shared" si="25"/>
        <v>--</v>
      </c>
      <c r="AN75" s="6" t="str">
        <f>IF(AM75="--","--",IF(F!$D75=131,IF(M75=-1,"rg",IF(M75="","--",IF(M75*1000&lt;1,FIXED(M75*1000,3),IF(M75*1000&lt;10,FIXED(M75*1000,2),(IF(M75*1000&lt;100,FIXED(M75*1000,1),IF(M75*1000&lt;1000,FIXED(M75*1000,0),MROUND(M75*1000,10)))))))),IF(M75=-1,"rg",IF(M75="","--",IF(M75&lt;1,FIXED(M75,3),IF(M75&lt;10,FIXED(M75,2),(IF(M75&lt;100,FIXED(M75,1),IF(M75&lt;1000,FIXED(M75,0),MROUND(M75,10))))))))))</f>
        <v>--</v>
      </c>
      <c r="AP75" s="6" t="str">
        <f t="shared" si="32"/>
        <v>--</v>
      </c>
      <c r="AQ75" s="6" t="str">
        <f t="shared" si="33"/>
        <v/>
      </c>
      <c r="AR75" s="6" t="str">
        <f t="shared" si="34"/>
        <v>--</v>
      </c>
      <c r="AS75" s="6" t="str">
        <f t="shared" si="35"/>
        <v/>
      </c>
      <c r="AT75" s="6" t="str">
        <f t="shared" si="36"/>
        <v/>
      </c>
      <c r="AU75" s="6" t="str">
        <f>IFERROR(IF(AR75="--","",IF(HLOOKUP(SMALL($Q$4:$Y$4,3),$Q$4:$Y$501,ROW(AP75)-3,FALSE)=0,"",IF(HLOOKUP(SMALL($Q$4:$Y$4,3),$Q$4:$Y$501,ROW(AP75)-3,FALSE)="nee",VLOOKUP("De kwaliteitseis emissiearme grond (maximale concentratie) wordt overschreden.",H!$O$10:'H'!$P$59,2,FALSE),""))),"")</f>
        <v/>
      </c>
      <c r="AV75" s="6" t="str">
        <f t="shared" si="26"/>
        <v>--</v>
      </c>
      <c r="AW75" s="6" t="str">
        <f t="shared" si="27"/>
        <v/>
      </c>
      <c r="AX75" s="6" t="str">
        <f t="shared" si="28"/>
        <v>--</v>
      </c>
      <c r="AY75" s="6" t="str">
        <f t="shared" si="37"/>
        <v/>
      </c>
      <c r="AZ75" s="6" t="str">
        <f t="shared" si="38"/>
        <v/>
      </c>
      <c r="BA75" s="6" t="str">
        <f>IFERROR(IF(AR75="--","",IF(HLOOKUP(SMALL($Q$4:$Y$4,6),$Q$4:$Y$501,ROW(AP75)-3,FALSE)=0,"",IF(HLOOKUP(SMALL($Q$4:$Y$4,6),$Q$4:$Y$501,ROW(AP75)-3,FALSE)="nee",VLOOKUP("De kwaliteitseis emissiearme grond (maximale concentratie) wordt overschreden.",H!$O$10:'H'!$P$59,2,FALSE),""))),"")</f>
        <v/>
      </c>
      <c r="BB75" s="6" t="str">
        <f t="shared" si="29"/>
        <v>--</v>
      </c>
      <c r="BC75" s="6" t="str">
        <f t="shared" si="30"/>
        <v/>
      </c>
      <c r="BD75" s="6" t="str">
        <f t="shared" si="31"/>
        <v>--</v>
      </c>
      <c r="BE75" s="6" t="str">
        <f t="shared" si="39"/>
        <v/>
      </c>
      <c r="BF75" s="6"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6" t="str">
        <f>IF(ISNUMBER(F!E76)=FALSE,"--",IF(F!E76=0,"--",F!E76))</f>
        <v>--</v>
      </c>
      <c r="C76" s="6" t="str">
        <f>IF(B76="--","",F!F76)</f>
        <v/>
      </c>
      <c r="D76" s="6" t="str">
        <f>IF(ISNUMBER(F!G76)=FALSE,"--",IF(F!G76=0,"--",F!G76))</f>
        <v>--</v>
      </c>
      <c r="E76" s="6" t="str">
        <f>IF(D76="--","",F!H76)</f>
        <v/>
      </c>
      <c r="F76" s="6" t="str">
        <f>IF(ISNUMBER(F!I76)=FALSE,"--",IF(F!I76=0,"--",F!I76))</f>
        <v>--</v>
      </c>
      <c r="G76" s="6" t="str">
        <f>IF(F76="--","",F!J76)</f>
        <v/>
      </c>
      <c r="H76" s="6"/>
      <c r="I76" s="16" t="str">
        <f>IF(F!AA76=-1,-1,F!AV76)</f>
        <v/>
      </c>
      <c r="J76" s="6"/>
      <c r="K76" s="16" t="str">
        <f>IF(F!AD76=-1,-1,F!AX76)</f>
        <v/>
      </c>
      <c r="L76" s="6"/>
      <c r="M76" s="16" t="str">
        <f>IF(F!AG76=-1,-1,F!AZ76)</f>
        <v/>
      </c>
      <c r="N76" s="6"/>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6" t="str">
        <f t="shared" si="20"/>
        <v/>
      </c>
      <c r="R76" s="5" t="str">
        <f>IF($B76="--","",IF($P76="toetsen",toetsen(F!$B76,Q76),IF($P76="toetsen alleen IW",toetsen_alleen_IW(F!$B76,Q76),IF($P76="toetsen alleen LN",toetsen_alleen_LN(F!$B76,Q76),IF($P76="toetsen geen MV en SV",toetsen_geen_MV_en_SV(F!$B76,Q76),IF($P76="toetsen alleen MV en SV",toetsen_alleen_MV_en_SV(F!$B76,Q76),""))))))</f>
        <v/>
      </c>
      <c r="S76" s="5" t="str">
        <f>IF($P76="toetsen",IF(OR(Q76="",VLOOKUP(F!$B76,E!$B$1:$AK$300,10,FALSE)=1000000000),"",IF(Q76&lt;=VLOOKUP(F!$B76,E!$B$1:$AK$300,10,FALSE),"ja","nee")),"")</f>
        <v/>
      </c>
      <c r="T76" s="87" t="str">
        <f t="shared" ref="T76:T139" si="41">K76</f>
        <v/>
      </c>
      <c r="U76" s="5" t="str">
        <f>IF($D76="--","",IF($P76="toetsen",toetsen(F!$B76,T76),IF($P76="toetsen alleen IW",toetsen_alleen_IW(F!$B76,T76),IF($P76="toetsen alleen LN",toetsen_alleen_LN(F!$B76,T76),IF($P76="toetsen geen MV en SV",toetsen_geen_MV_en_SV(F!$B76,T76),IF($P76="toetsen alleen MV en SV",toetsen_alleen_MV_en_SV(F!$B76,T76),""))))))</f>
        <v/>
      </c>
      <c r="V76" s="5" t="str">
        <f>IF($P76="toetsen",IF(OR(T76="",VLOOKUP(F!$B76,E!$B$1:$AK$300,10,FALSE)=1000000000),"",IF(T76&lt;=VLOOKUP(F!$B76,E!$B$1:$AK$300,10,FALSE),"ja","nee")),"")</f>
        <v/>
      </c>
      <c r="W76" s="6" t="str">
        <f t="shared" ref="W76:W139" si="42">M76</f>
        <v/>
      </c>
      <c r="X76" s="5" t="str">
        <f>IF($F76="--","",IF($P76="toetsen",toetsen(F!$B76,W76),IF($P76="toetsen alleen IW",toetsen_alleen_IW(F!$B76,W76),IF($P76="toetsen alleen LN",toetsen_alleen_LN(F!$B76,W76),IF($P76="toetsen geen MV en SV",toetsen_geen_MV_en_SV(F!$B76,W76),IF($P76="toetsen alleen MV en SV",toetsen_alleen_MV_en_SV(F!$B76,W76),""))))))</f>
        <v/>
      </c>
      <c r="Y76" s="5" t="str">
        <f>IF($P76="toetsen",IF(OR(W76="",VLOOKUP(F!$B76,E!$B$1:$AK$300,10,FALSE)=1000000000),"",IF(W76&lt;=VLOOKUP(F!$B76,E!$B$1:$AK$300,10,FALSE),"ja","nee")),"")</f>
        <v/>
      </c>
      <c r="AA76" s="4"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6" t="str">
        <f t="shared" ref="AI76:AI139" si="43">IF(B76="--",B76,(IF(B76&lt;1,FIXED(B76,2),IF(B76&lt;10,FIXED(B76,1),IF(B76&lt;100,FIXED(B76,0),IF(B76&lt;1000,MROUND(B76,10),MROUND(B76,100)))))))</f>
        <v>--</v>
      </c>
      <c r="AJ76" s="6" t="str">
        <f>IF(AI76="--","--",IF(F!$D76=131,IF(I76=-1,"rg",IF(I76="","--",IF(I76*1000&lt;1,FIXED(I76*1000,3),IF(I76*1000&lt;10,FIXED(I76*1000,2),(IF(I76*1000&lt;100,FIXED(I76*1000,1),IF(I76*1000&lt;1000,FIXED(I76*1000,0),MROUND(I76*1000,10)))))))),IF(I76=-1,"rg",IF(I76="","--",IF(I76&lt;1,FIXED(I76,3),IF(I76&lt;10,FIXED(I76,2),(IF(I76&lt;100,FIXED(I76,1),IF(I76&lt;1000,FIXED(I76,0),MROUND(I76,10))))))))))</f>
        <v>--</v>
      </c>
      <c r="AK76" s="6" t="str">
        <f t="shared" ref="AK76:AK139" si="44">IF(D76="--",D76,(IF(D76&lt;1,FIXED(D76,2),IF(D76&lt;10,FIXED(D76,1),IF(D76&lt;100,FIXED(D76,0),IF(D76&lt;1000,MROUND(D76,10),MROUND(D76,100)))))))</f>
        <v>--</v>
      </c>
      <c r="AL76" s="6" t="str">
        <f>IF(AK76="--","--",IF(F!$D76=131,IF(K76=-1,"rg",IF(K76="","--",IF(K76*1000&lt;1,FIXED(K76*1000,3),IF(K76*1000&lt;10,FIXED(K76*1000,2),(IF(K76*1000&lt;100,FIXED(K76*1000,1),IF(K76*1000&lt;1000,FIXED(K76*1000,0),MROUND(K76*1000,10)))))))),IF(K76=-1,"rg",IF(K76="","--",IF(K76&lt;1,FIXED(K76,3),IF(K76&lt;10,FIXED(K76,2),(IF(K76&lt;100,FIXED(K76,1),IF(K76&lt;1000,FIXED(K76,0),MROUND(K76,10))))))))))</f>
        <v>--</v>
      </c>
      <c r="AM76" s="6" t="str">
        <f t="shared" ref="AM76:AM139" si="45">IF(F76="--",F76,(IF(F76&lt;1,FIXED(F76,2),IF(F76&lt;10,FIXED(F76,1),IF(F76&lt;100,FIXED(F76,0),IF(F76&lt;1000,MROUND(F76,10),MROUND(F76,100)))))))</f>
        <v>--</v>
      </c>
      <c r="AN76" s="6" t="str">
        <f>IF(AM76="--","--",IF(F!$D76=131,IF(M76=-1,"rg",IF(M76="","--",IF(M76*1000&lt;1,FIXED(M76*1000,3),IF(M76*1000&lt;10,FIXED(M76*1000,2),(IF(M76*1000&lt;100,FIXED(M76*1000,1),IF(M76*1000&lt;1000,FIXED(M76*1000,0),MROUND(M76*1000,10)))))))),IF(M76=-1,"rg",IF(M76="","--",IF(M76&lt;1,FIXED(M76,3),IF(M76&lt;10,FIXED(M76,2),(IF(M76&lt;100,FIXED(M76,1),IF(M76&lt;1000,FIXED(M76,0),MROUND(M76,10))))))))))</f>
        <v>--</v>
      </c>
      <c r="AP76" s="6" t="str">
        <f t="shared" si="32"/>
        <v>--</v>
      </c>
      <c r="AQ76" s="6" t="str">
        <f t="shared" si="33"/>
        <v/>
      </c>
      <c r="AR76" s="6" t="str">
        <f t="shared" si="34"/>
        <v>--</v>
      </c>
      <c r="AS76" s="6" t="str">
        <f t="shared" si="35"/>
        <v/>
      </c>
      <c r="AT76" s="6" t="str">
        <f t="shared" si="36"/>
        <v/>
      </c>
      <c r="AU76" s="6" t="str">
        <f>IFERROR(IF(AR76="--","",IF(HLOOKUP(SMALL($Q$4:$Y$4,3),$Q$4:$Y$501,ROW(AP76)-3,FALSE)=0,"",IF(HLOOKUP(SMALL($Q$4:$Y$4,3),$Q$4:$Y$501,ROW(AP76)-3,FALSE)="nee",VLOOKUP("De kwaliteitseis emissiearme grond (maximale concentratie) wordt overschreden.",H!$O$10:'H'!$P$59,2,FALSE),""))),"")</f>
        <v/>
      </c>
      <c r="AV76" s="6" t="str">
        <f t="shared" si="26"/>
        <v>--</v>
      </c>
      <c r="AW76" s="6" t="str">
        <f t="shared" si="27"/>
        <v/>
      </c>
      <c r="AX76" s="6" t="str">
        <f t="shared" si="28"/>
        <v>--</v>
      </c>
      <c r="AY76" s="6" t="str">
        <f t="shared" si="37"/>
        <v/>
      </c>
      <c r="AZ76" s="6" t="str">
        <f t="shared" si="38"/>
        <v/>
      </c>
      <c r="BA76" s="6" t="str">
        <f>IFERROR(IF(AR76="--","",IF(HLOOKUP(SMALL($Q$4:$Y$4,6),$Q$4:$Y$501,ROW(AP76)-3,FALSE)=0,"",IF(HLOOKUP(SMALL($Q$4:$Y$4,6),$Q$4:$Y$501,ROW(AP76)-3,FALSE)="nee",VLOOKUP("De kwaliteitseis emissiearme grond (maximale concentratie) wordt overschreden.",H!$O$10:'H'!$P$59,2,FALSE),""))),"")</f>
        <v/>
      </c>
      <c r="BB76" s="6" t="str">
        <f t="shared" si="29"/>
        <v>--</v>
      </c>
      <c r="BC76" s="6" t="str">
        <f t="shared" si="30"/>
        <v/>
      </c>
      <c r="BD76" s="6" t="str">
        <f t="shared" si="31"/>
        <v>--</v>
      </c>
      <c r="BE76" s="6" t="str">
        <f t="shared" si="39"/>
        <v/>
      </c>
      <c r="BF76" s="6"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6" t="str">
        <f>IF(ISNUMBER(F!E77)=FALSE,"--",IF(F!E77=0,"--",F!E77))</f>
        <v>--</v>
      </c>
      <c r="C77" s="6" t="str">
        <f>IF(B77="--","",F!F77)</f>
        <v/>
      </c>
      <c r="D77" s="6" t="str">
        <f>IF(ISNUMBER(F!G77)=FALSE,"--",IF(F!G77=0,"--",F!G77))</f>
        <v>--</v>
      </c>
      <c r="E77" s="6" t="str">
        <f>IF(D77="--","",F!H77)</f>
        <v/>
      </c>
      <c r="F77" s="6" t="str">
        <f>IF(ISNUMBER(F!I77)=FALSE,"--",IF(F!I77=0,"--",F!I77))</f>
        <v>--</v>
      </c>
      <c r="G77" s="6" t="str">
        <f>IF(F77="--","",F!J77)</f>
        <v/>
      </c>
      <c r="H77" s="6"/>
      <c r="I77" s="16" t="str">
        <f>IF(F!AA77=-1,-1,F!AV77)</f>
        <v/>
      </c>
      <c r="J77" s="6"/>
      <c r="K77" s="16" t="str">
        <f>IF(F!AD77=-1,-1,F!AX77)</f>
        <v/>
      </c>
      <c r="L77" s="6"/>
      <c r="M77" s="16" t="str">
        <f>IF(F!AG77=-1,-1,F!AZ77)</f>
        <v/>
      </c>
      <c r="N77" s="6"/>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6" t="str">
        <f t="shared" ref="Q77:Q140" si="46">I77</f>
        <v/>
      </c>
      <c r="R77" s="5" t="str">
        <f>IF($B77="--","",IF($P77="toetsen",toetsen(F!$B77,Q77),IF($P77="toetsen alleen IW",toetsen_alleen_IW(F!$B77,Q77),IF($P77="toetsen alleen LN",toetsen_alleen_LN(F!$B77,Q77),IF($P77="toetsen geen MV en SV",toetsen_geen_MV_en_SV(F!$B77,Q77),IF($P77="toetsen alleen MV en SV",toetsen_alleen_MV_en_SV(F!$B77,Q77),""))))))</f>
        <v/>
      </c>
      <c r="S77" s="5" t="str">
        <f>IF($P77="toetsen",IF(OR(Q77="",VLOOKUP(F!$B77,E!$B$1:$AK$300,10,FALSE)=1000000000),"",IF(Q77&lt;=VLOOKUP(F!$B77,E!$B$1:$AK$300,10,FALSE),"ja","nee")),"")</f>
        <v/>
      </c>
      <c r="T77" s="87" t="str">
        <f t="shared" si="41"/>
        <v/>
      </c>
      <c r="U77" s="5" t="str">
        <f>IF($D77="--","",IF($P77="toetsen",toetsen(F!$B77,T77),IF($P77="toetsen alleen IW",toetsen_alleen_IW(F!$B77,T77),IF($P77="toetsen alleen LN",toetsen_alleen_LN(F!$B77,T77),IF($P77="toetsen geen MV en SV",toetsen_geen_MV_en_SV(F!$B77,T77),IF($P77="toetsen alleen MV en SV",toetsen_alleen_MV_en_SV(F!$B77,T77),""))))))</f>
        <v/>
      </c>
      <c r="V77" s="5" t="str">
        <f>IF($P77="toetsen",IF(OR(T77="",VLOOKUP(F!$B77,E!$B$1:$AK$300,10,FALSE)=1000000000),"",IF(T77&lt;=VLOOKUP(F!$B77,E!$B$1:$AK$300,10,FALSE),"ja","nee")),"")</f>
        <v/>
      </c>
      <c r="W77" s="6" t="str">
        <f t="shared" si="42"/>
        <v/>
      </c>
      <c r="X77" s="5" t="str">
        <f>IF($F77="--","",IF($P77="toetsen",toetsen(F!$B77,W77),IF($P77="toetsen alleen IW",toetsen_alleen_IW(F!$B77,W77),IF($P77="toetsen alleen LN",toetsen_alleen_LN(F!$B77,W77),IF($P77="toetsen geen MV en SV",toetsen_geen_MV_en_SV(F!$B77,W77),IF($P77="toetsen alleen MV en SV",toetsen_alleen_MV_en_SV(F!$B77,W77),""))))))</f>
        <v/>
      </c>
      <c r="Y77" s="5" t="str">
        <f>IF($P77="toetsen",IF(OR(W77="",VLOOKUP(F!$B77,E!$B$1:$AK$300,10,FALSE)=1000000000),"",IF(W77&lt;=VLOOKUP(F!$B77,E!$B$1:$AK$300,10,FALSE),"ja","nee")),"")</f>
        <v/>
      </c>
      <c r="AA77" s="4"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6" t="str">
        <f t="shared" si="43"/>
        <v>--</v>
      </c>
      <c r="AJ77" s="6" t="str">
        <f>IF(AI77="--","--",IF(F!$D77=131,IF(I77=-1,"rg",IF(I77="","--",IF(I77*1000&lt;1,FIXED(I77*1000,3),IF(I77*1000&lt;10,FIXED(I77*1000,2),(IF(I77*1000&lt;100,FIXED(I77*1000,1),IF(I77*1000&lt;1000,FIXED(I77*1000,0),MROUND(I77*1000,10)))))))),IF(I77=-1,"rg",IF(I77="","--",IF(I77&lt;1,FIXED(I77,3),IF(I77&lt;10,FIXED(I77,2),(IF(I77&lt;100,FIXED(I77,1),IF(I77&lt;1000,FIXED(I77,0),MROUND(I77,10))))))))))</f>
        <v>--</v>
      </c>
      <c r="AK77" s="6" t="str">
        <f t="shared" si="44"/>
        <v>--</v>
      </c>
      <c r="AL77" s="6" t="str">
        <f>IF(AK77="--","--",IF(F!$D77=131,IF(K77=-1,"rg",IF(K77="","--",IF(K77*1000&lt;1,FIXED(K77*1000,3),IF(K77*1000&lt;10,FIXED(K77*1000,2),(IF(K77*1000&lt;100,FIXED(K77*1000,1),IF(K77*1000&lt;1000,FIXED(K77*1000,0),MROUND(K77*1000,10)))))))),IF(K77=-1,"rg",IF(K77="","--",IF(K77&lt;1,FIXED(K77,3),IF(K77&lt;10,FIXED(K77,2),(IF(K77&lt;100,FIXED(K77,1),IF(K77&lt;1000,FIXED(K77,0),MROUND(K77,10))))))))))</f>
        <v>--</v>
      </c>
      <c r="AM77" s="6" t="str">
        <f t="shared" si="45"/>
        <v>--</v>
      </c>
      <c r="AN77" s="6" t="str">
        <f>IF(AM77="--","--",IF(F!$D77=131,IF(M77=-1,"rg",IF(M77="","--",IF(M77*1000&lt;1,FIXED(M77*1000,3),IF(M77*1000&lt;10,FIXED(M77*1000,2),(IF(M77*1000&lt;100,FIXED(M77*1000,1),IF(M77*1000&lt;1000,FIXED(M77*1000,0),MROUND(M77*1000,10)))))))),IF(M77=-1,"rg",IF(M77="","--",IF(M77&lt;1,FIXED(M77,3),IF(M77&lt;10,FIXED(M77,2),(IF(M77&lt;100,FIXED(M77,1),IF(M77&lt;1000,FIXED(M77,0),MROUND(M77,10))))))))))</f>
        <v>--</v>
      </c>
      <c r="AP77" s="6" t="str">
        <f t="shared" si="32"/>
        <v>--</v>
      </c>
      <c r="AQ77" s="6" t="str">
        <f t="shared" si="33"/>
        <v/>
      </c>
      <c r="AR77" s="6" t="str">
        <f t="shared" si="34"/>
        <v>--</v>
      </c>
      <c r="AS77" s="6" t="str">
        <f t="shared" si="35"/>
        <v/>
      </c>
      <c r="AT77" s="6" t="str">
        <f t="shared" si="36"/>
        <v/>
      </c>
      <c r="AU77" s="6" t="str">
        <f>IFERROR(IF(AR77="--","",IF(HLOOKUP(SMALL($Q$4:$Y$4,3),$Q$4:$Y$501,ROW(AP77)-3,FALSE)=0,"",IF(HLOOKUP(SMALL($Q$4:$Y$4,3),$Q$4:$Y$501,ROW(AP77)-3,FALSE)="nee",VLOOKUP("De kwaliteitseis emissiearme grond (maximale concentratie) wordt overschreden.",H!$O$10:'H'!$P$59,2,FALSE),""))),"")</f>
        <v/>
      </c>
      <c r="AV77" s="6" t="str">
        <f t="shared" si="26"/>
        <v>--</v>
      </c>
      <c r="AW77" s="6" t="str">
        <f t="shared" si="27"/>
        <v/>
      </c>
      <c r="AX77" s="6" t="str">
        <f t="shared" si="28"/>
        <v>--</v>
      </c>
      <c r="AY77" s="6" t="str">
        <f t="shared" si="37"/>
        <v/>
      </c>
      <c r="AZ77" s="6" t="str">
        <f t="shared" si="38"/>
        <v/>
      </c>
      <c r="BA77" s="6" t="str">
        <f>IFERROR(IF(AR77="--","",IF(HLOOKUP(SMALL($Q$4:$Y$4,6),$Q$4:$Y$501,ROW(AP77)-3,FALSE)=0,"",IF(HLOOKUP(SMALL($Q$4:$Y$4,6),$Q$4:$Y$501,ROW(AP77)-3,FALSE)="nee",VLOOKUP("De kwaliteitseis emissiearme grond (maximale concentratie) wordt overschreden.",H!$O$10:'H'!$P$59,2,FALSE),""))),"")</f>
        <v/>
      </c>
      <c r="BB77" s="6" t="str">
        <f t="shared" si="29"/>
        <v>--</v>
      </c>
      <c r="BC77" s="6" t="str">
        <f t="shared" si="30"/>
        <v/>
      </c>
      <c r="BD77" s="6" t="str">
        <f t="shared" si="31"/>
        <v>--</v>
      </c>
      <c r="BE77" s="6" t="str">
        <f t="shared" si="39"/>
        <v/>
      </c>
      <c r="BF77" s="6" t="str">
        <f t="shared" si="40"/>
        <v/>
      </c>
      <c r="BG77" s="4" t="str">
        <f>IFERROR(IF(AR77="--","",IF(HLOOKUP(SMALL($Q$4:$Y$4,9),$Q$4:$Y$501,ROW(AP77)-3,FALSE)=0,"",IF(HLOOKUP(SMALL($Q$4:$Y$4,9),$Q$4:$Y$501,ROW(AP77)-3,FALSE)="nee",VLOOKUP("De kwaliteitseis emissiearme grond (maximale concentratie) wordt overschreden.",H!$O$10:'H'!$P$59,2,FALSE),""))),"")</f>
        <v/>
      </c>
    </row>
    <row r="78" spans="1:59" x14ac:dyDescent="0.2">
      <c r="A78" s="4" t="str">
        <f>F!A78</f>
        <v>2,2-Dichloorpropaan</v>
      </c>
      <c r="B78" s="6" t="str">
        <f>IF(ISNUMBER(F!E78)=FALSE,"--",IF(F!E78=0,"--",F!E78))</f>
        <v>--</v>
      </c>
      <c r="C78" s="6" t="str">
        <f>IF(B78="--","",F!F78)</f>
        <v/>
      </c>
      <c r="D78" s="6" t="str">
        <f>IF(ISNUMBER(F!G78)=FALSE,"--",IF(F!G78=0,"--",F!G78))</f>
        <v>--</v>
      </c>
      <c r="E78" s="6" t="str">
        <f>IF(D78="--","",F!H78)</f>
        <v/>
      </c>
      <c r="F78" s="6" t="str">
        <f>IF(ISNUMBER(F!I78)=FALSE,"--",IF(F!I78=0,"--",F!I78))</f>
        <v>--</v>
      </c>
      <c r="G78" s="6" t="str">
        <f>IF(F78="--","",F!J78)</f>
        <v/>
      </c>
      <c r="H78" s="6"/>
      <c r="I78" s="6" t="str">
        <f>IF(F!Z78=-1,-1,F!AV78)</f>
        <v/>
      </c>
      <c r="J78" s="6"/>
      <c r="K78" s="6" t="str">
        <f>IF(F!AC78=-1,-1,F!AX78)</f>
        <v/>
      </c>
      <c r="L78" s="6"/>
      <c r="M78" s="6" t="str">
        <f>IF(F!AF78=-1,-1,F!AZ78)</f>
        <v/>
      </c>
      <c r="N78" s="6"/>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6" t="str">
        <f t="shared" si="46"/>
        <v/>
      </c>
      <c r="R78" s="5" t="str">
        <f>IF($B78="--","",IF($P78="toetsen",toetsen(F!$B78,Q78),IF($P78="toetsen alleen IW",toetsen_alleen_IW(F!$B78,Q78),IF($P78="toetsen alleen LN",toetsen_alleen_LN(F!$B78,Q78),IF($P78="toetsen geen MV en SV",toetsen_geen_MV_en_SV(F!$B78,Q78),IF($P78="toetsen alleen MV en SV",toetsen_alleen_MV_en_SV(F!$B78,Q78),""))))))</f>
        <v/>
      </c>
      <c r="S78" s="5" t="str">
        <f>IF($P78="toetsen",IF(OR(Q78="",VLOOKUP(F!$B78,E!$B$1:$AK$300,10,FALSE)=1000000000),"",IF(Q78&lt;=VLOOKUP(F!$B78,E!$B$1:$AK$300,10,FALSE),"ja","nee")),"")</f>
        <v/>
      </c>
      <c r="T78" s="87" t="str">
        <f t="shared" si="41"/>
        <v/>
      </c>
      <c r="U78" s="5" t="str">
        <f>IF($D78="--","",IF($P78="toetsen",toetsen(F!$B78,T78),IF($P78="toetsen alleen IW",toetsen_alleen_IW(F!$B78,T78),IF($P78="toetsen alleen LN",toetsen_alleen_LN(F!$B78,T78),IF($P78="toetsen geen MV en SV",toetsen_geen_MV_en_SV(F!$B78,T78),IF($P78="toetsen alleen MV en SV",toetsen_alleen_MV_en_SV(F!$B78,T78),""))))))</f>
        <v/>
      </c>
      <c r="V78" s="5" t="str">
        <f>IF($P78="toetsen",IF(OR(T78="",VLOOKUP(F!$B78,E!$B$1:$AK$300,10,FALSE)=1000000000),"",IF(T78&lt;=VLOOKUP(F!$B78,E!$B$1:$AK$300,10,FALSE),"ja","nee")),"")</f>
        <v/>
      </c>
      <c r="W78" s="6" t="str">
        <f t="shared" si="42"/>
        <v/>
      </c>
      <c r="X78" s="5" t="str">
        <f>IF($F78="--","",IF($P78="toetsen",toetsen(F!$B78,W78),IF($P78="toetsen alleen IW",toetsen_alleen_IW(F!$B78,W78),IF($P78="toetsen alleen LN",toetsen_alleen_LN(F!$B78,W78),IF($P78="toetsen geen MV en SV",toetsen_geen_MV_en_SV(F!$B78,W78),IF($P78="toetsen alleen MV en SV",toetsen_alleen_MV_en_SV(F!$B78,W78),""))))))</f>
        <v/>
      </c>
      <c r="Y78" s="5" t="str">
        <f>IF($P78="toetsen",IF(OR(W78="",VLOOKUP(F!$B78,E!$B$1:$AK$300,10,FALSE)=1000000000),"",IF(W78&lt;=VLOOKUP(F!$B78,E!$B$1:$AK$300,10,FALSE),"ja","nee")),"")</f>
        <v/>
      </c>
      <c r="AA78" s="4" t="str">
        <f>IFERROR(IF(Q78="","",(IF(Q78&gt;2*VLOOKUP(F!$B78,E!$B$1:$AK$300,5,FALSE),1,0))),"")</f>
        <v/>
      </c>
      <c r="AB78" s="4" t="str">
        <f>IFERROR(IF(T78="","",(IF(T78&gt;2*VLOOKUP(F!$B78,E!$B$1:$AK$300,5,FALSE),1,0))),"")</f>
        <v/>
      </c>
      <c r="AC78" s="4" t="str">
        <f>IFERROR(IF(W78="","",(IF(W78&gt;2*VLOOKUP(F!$B78,E!$B$1:$AK$300,5,FALSE),1,0))),"")</f>
        <v/>
      </c>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6" t="str">
        <f t="shared" si="43"/>
        <v>--</v>
      </c>
      <c r="AJ78" s="6" t="str">
        <f>IF(AI78="--","--",IF(F!$D78=131,IF(I78=-1,"rg",IF(I78="","--",IF(I78*1000&lt;1,FIXED(I78*1000,3),IF(I78*1000&lt;10,FIXED(I78*1000,2),(IF(I78*1000&lt;100,FIXED(I78*1000,1),IF(I78*1000&lt;1000,FIXED(I78*1000,0),MROUND(I78*1000,10)))))))),IF(I78=-1,"rg",IF(I78="","--",IF(I78&lt;1,FIXED(I78,3),IF(I78&lt;10,FIXED(I78,2),(IF(I78&lt;100,FIXED(I78,1),IF(I78&lt;1000,FIXED(I78,0),MROUND(I78,10))))))))))</f>
        <v>--</v>
      </c>
      <c r="AK78" s="6" t="str">
        <f t="shared" si="44"/>
        <v>--</v>
      </c>
      <c r="AL78" s="6" t="str">
        <f>IF(AK78="--","--",IF(F!$D78=131,IF(K78=-1,"rg",IF(K78="","--",IF(K78*1000&lt;1,FIXED(K78*1000,3),IF(K78*1000&lt;10,FIXED(K78*1000,2),(IF(K78*1000&lt;100,FIXED(K78*1000,1),IF(K78*1000&lt;1000,FIXED(K78*1000,0),MROUND(K78*1000,10)))))))),IF(K78=-1,"rg",IF(K78="","--",IF(K78&lt;1,FIXED(K78,3),IF(K78&lt;10,FIXED(K78,2),(IF(K78&lt;100,FIXED(K78,1),IF(K78&lt;1000,FIXED(K78,0),MROUND(K78,10))))))))))</f>
        <v>--</v>
      </c>
      <c r="AM78" s="6" t="str">
        <f t="shared" si="45"/>
        <v>--</v>
      </c>
      <c r="AN78" s="6" t="str">
        <f>IF(AM78="--","--",IF(F!$D78=131,IF(M78=-1,"rg",IF(M78="","--",IF(M78*1000&lt;1,FIXED(M78*1000,3),IF(M78*1000&lt;10,FIXED(M78*1000,2),(IF(M78*1000&lt;100,FIXED(M78*1000,1),IF(M78*1000&lt;1000,FIXED(M78*1000,0),MROUND(M78*1000,10)))))))),IF(M78=-1,"rg",IF(M78="","--",IF(M78&lt;1,FIXED(M78,3),IF(M78&lt;10,FIXED(M78,2),(IF(M78&lt;100,FIXED(M78,1),IF(M78&lt;1000,FIXED(M78,0),MROUND(M78,10))))))))))</f>
        <v>--</v>
      </c>
      <c r="AP78" s="6" t="str">
        <f t="shared" si="32"/>
        <v>--</v>
      </c>
      <c r="AQ78" s="6" t="str">
        <f t="shared" si="33"/>
        <v/>
      </c>
      <c r="AR78" s="6" t="str">
        <f t="shared" si="34"/>
        <v>--</v>
      </c>
      <c r="AS78" s="6" t="str">
        <f t="shared" si="35"/>
        <v/>
      </c>
      <c r="AT78" s="6" t="str">
        <f t="shared" si="36"/>
        <v/>
      </c>
      <c r="AU78" s="6" t="str">
        <f>IFERROR(IF(AR78="--","",IF(HLOOKUP(SMALL($Q$4:$Y$4,3),$Q$4:$Y$501,ROW(AP78)-3,FALSE)=0,"",IF(HLOOKUP(SMALL($Q$4:$Y$4,3),$Q$4:$Y$501,ROW(AP78)-3,FALSE)="nee",VLOOKUP("De kwaliteitseis emissiearme grond (maximale concentratie) wordt overschreden.",H!$O$10:'H'!$P$59,2,FALSE),""))),"")</f>
        <v/>
      </c>
      <c r="AV78" s="6" t="str">
        <f t="shared" si="26"/>
        <v>--</v>
      </c>
      <c r="AW78" s="6" t="str">
        <f t="shared" si="27"/>
        <v/>
      </c>
      <c r="AX78" s="6" t="str">
        <f t="shared" si="28"/>
        <v>--</v>
      </c>
      <c r="AY78" s="6" t="str">
        <f t="shared" si="37"/>
        <v/>
      </c>
      <c r="AZ78" s="6" t="str">
        <f t="shared" si="38"/>
        <v/>
      </c>
      <c r="BA78" s="6" t="str">
        <f>IFERROR(IF(AR78="--","",IF(HLOOKUP(SMALL($Q$4:$Y$4,6),$Q$4:$Y$501,ROW(AP78)-3,FALSE)=0,"",IF(HLOOKUP(SMALL($Q$4:$Y$4,6),$Q$4:$Y$501,ROW(AP78)-3,FALSE)="nee",VLOOKUP("De kwaliteitseis emissiearme grond (maximale concentratie) wordt overschreden.",H!$O$10:'H'!$P$59,2,FALSE),""))),"")</f>
        <v/>
      </c>
      <c r="BB78" s="6" t="str">
        <f t="shared" si="29"/>
        <v>--</v>
      </c>
      <c r="BC78" s="6" t="str">
        <f t="shared" si="30"/>
        <v/>
      </c>
      <c r="BD78" s="6" t="str">
        <f t="shared" si="31"/>
        <v>--</v>
      </c>
      <c r="BE78" s="6" t="str">
        <f t="shared" si="39"/>
        <v/>
      </c>
      <c r="BF78" s="6"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6" t="str">
        <f>IF(ISNUMBER(F!E79)=FALSE,"--",IF(F!E79=0,"--",F!E79))</f>
        <v>--</v>
      </c>
      <c r="C79" s="6" t="str">
        <f>IF(B79="--","",F!F79)</f>
        <v/>
      </c>
      <c r="D79" s="6" t="str">
        <f>IF(ISNUMBER(F!G79)=FALSE,"--",IF(F!G79=0,"--",F!G79))</f>
        <v>--</v>
      </c>
      <c r="E79" s="6" t="str">
        <f>IF(D79="--","",F!H79)</f>
        <v/>
      </c>
      <c r="F79" s="6" t="str">
        <f>IF(ISNUMBER(F!I79)=FALSE,"--",IF(F!I79=0,"--",F!I79))</f>
        <v>--</v>
      </c>
      <c r="G79" s="6" t="str">
        <f>IF(F79="--","",F!J79)</f>
        <v/>
      </c>
      <c r="H79" s="6"/>
      <c r="I79" s="101">
        <f>IF(F!Z79=0,-1,F!AV79)</f>
        <v>-1</v>
      </c>
      <c r="J79" s="6"/>
      <c r="K79" s="101">
        <f>IF(F!AC79=0,-1,F!AX79)</f>
        <v>-1</v>
      </c>
      <c r="L79" s="6"/>
      <c r="M79" s="101">
        <f>IF(F!AF79=0,-1,F!AZ79)</f>
        <v>-1</v>
      </c>
      <c r="N79" s="6"/>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6">
        <f t="shared" si="46"/>
        <v>-1</v>
      </c>
      <c r="R79" s="5" t="str">
        <f>IF($B79="--","",IF($P79="toetsen",toetsen(F!$B79,Q79),IF($P79="toetsen alleen IW",toetsen_alleen_IW(F!$B79,Q79),IF($P79="toetsen alleen LN",toetsen_alleen_LN(F!$B79,Q79),IF($P79="toetsen geen MV en SV",toetsen_geen_MV_en_SV(F!$B79,Q79),IF($P79="toetsen alleen MV en SV",toetsen_alleen_MV_en_SV(F!$B79,Q79),""))))))</f>
        <v/>
      </c>
      <c r="S79" s="5" t="str">
        <f>IF($P79="toetsen",IF(OR(Q79="",VLOOKUP(F!$B79,E!$B$1:$AK$300,10,FALSE)=1000000000),"",IF(Q79&lt;=VLOOKUP(F!$B79,E!$B$1:$AK$300,10,FALSE),"ja","nee")),"")</f>
        <v/>
      </c>
      <c r="T79" s="87">
        <f t="shared" si="41"/>
        <v>-1</v>
      </c>
      <c r="U79" s="5" t="str">
        <f>IF($D79="--","",IF($P79="toetsen",toetsen(F!$B79,T79),IF($P79="toetsen alleen IW",toetsen_alleen_IW(F!$B79,T79),IF($P79="toetsen alleen LN",toetsen_alleen_LN(F!$B79,T79),IF($P79="toetsen geen MV en SV",toetsen_geen_MV_en_SV(F!$B79,T79),IF($P79="toetsen alleen MV en SV",toetsen_alleen_MV_en_SV(F!$B79,T79),""))))))</f>
        <v/>
      </c>
      <c r="V79" s="5" t="str">
        <f>IF($P79="toetsen",IF(OR(T79="",VLOOKUP(F!$B79,E!$B$1:$AK$300,10,FALSE)=1000000000),"",IF(T79&lt;=VLOOKUP(F!$B79,E!$B$1:$AK$300,10,FALSE),"ja","nee")),"")</f>
        <v/>
      </c>
      <c r="W79" s="6">
        <f t="shared" si="42"/>
        <v>-1</v>
      </c>
      <c r="X79" s="5" t="str">
        <f>IF($F79="--","",IF($P79="toetsen",toetsen(F!$B79,W79),IF($P79="toetsen alleen IW",toetsen_alleen_IW(F!$B79,W79),IF($P79="toetsen alleen LN",toetsen_alleen_LN(F!$B79,W79),IF($P79="toetsen geen MV en SV",toetsen_geen_MV_en_SV(F!$B79,W79),IF($P79="toetsen alleen MV en SV",toetsen_alleen_MV_en_SV(F!$B79,W79),""))))))</f>
        <v/>
      </c>
      <c r="Y79" s="5" t="str">
        <f>IF($P79="toetsen",IF(OR(W79="",VLOOKUP(F!$B79,E!$B$1:$AK$300,10,FALSE)=1000000000),"",IF(W79&lt;=VLOOKUP(F!$B79,E!$B$1:$AK$300,10,FALSE),"ja","nee")),"")</f>
        <v/>
      </c>
      <c r="AA79" s="4">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6" t="str">
        <f t="shared" si="43"/>
        <v>--</v>
      </c>
      <c r="AJ79" s="6" t="str">
        <f>IF(AI79="--","--",IF(F!$D79=131,IF(I79=-1,"rg",IF(I79="","--",IF(I79*1000&lt;1,FIXED(I79*1000,3),IF(I79*1000&lt;10,FIXED(I79*1000,2),(IF(I79*1000&lt;100,FIXED(I79*1000,1),IF(I79*1000&lt;1000,FIXED(I79*1000,0),MROUND(I79*1000,10)))))))),IF(I79=-1,"rg",IF(I79="","--",IF(I79&lt;1,FIXED(I79,3),IF(I79&lt;10,FIXED(I79,2),(IF(I79&lt;100,FIXED(I79,1),IF(I79&lt;1000,FIXED(I79,0),MROUND(I79,10))))))))))</f>
        <v>--</v>
      </c>
      <c r="AK79" s="6" t="str">
        <f t="shared" si="44"/>
        <v>--</v>
      </c>
      <c r="AL79" s="6" t="str">
        <f>IF(AK79="--","--",IF(F!$D79=131,IF(K79=-1,"rg",IF(K79="","--",IF(K79*1000&lt;1,FIXED(K79*1000,3),IF(K79*1000&lt;10,FIXED(K79*1000,2),(IF(K79*1000&lt;100,FIXED(K79*1000,1),IF(K79*1000&lt;1000,FIXED(K79*1000,0),MROUND(K79*1000,10)))))))),IF(K79=-1,"rg",IF(K79="","--",IF(K79&lt;1,FIXED(K79,3),IF(K79&lt;10,FIXED(K79,2),(IF(K79&lt;100,FIXED(K79,1),IF(K79&lt;1000,FIXED(K79,0),MROUND(K79,10))))))))))</f>
        <v>--</v>
      </c>
      <c r="AM79" s="6" t="str">
        <f t="shared" si="45"/>
        <v>--</v>
      </c>
      <c r="AN79" s="6" t="str">
        <f>IF(AM79="--","--",IF(F!$D79=131,IF(M79=-1,"rg",IF(M79="","--",IF(M79*1000&lt;1,FIXED(M79*1000,3),IF(M79*1000&lt;10,FIXED(M79*1000,2),(IF(M79*1000&lt;100,FIXED(M79*1000,1),IF(M79*1000&lt;1000,FIXED(M79*1000,0),MROUND(M79*1000,10)))))))),IF(M79=-1,"rg",IF(M79="","--",IF(M79&lt;1,FIXED(M79,3),IF(M79&lt;10,FIXED(M79,2),(IF(M79&lt;100,FIXED(M79,1),IF(M79&lt;1000,FIXED(M79,0),MROUND(M79,10))))))))))</f>
        <v>--</v>
      </c>
      <c r="AP79" s="6" t="str">
        <f t="shared" si="32"/>
        <v>--</v>
      </c>
      <c r="AQ79" s="6" t="str">
        <f t="shared" si="33"/>
        <v/>
      </c>
      <c r="AR79" s="6" t="str">
        <f t="shared" si="34"/>
        <v>--</v>
      </c>
      <c r="AS79" s="6" t="str">
        <f t="shared" si="35"/>
        <v/>
      </c>
      <c r="AT79" s="6" t="str">
        <f t="shared" si="36"/>
        <v/>
      </c>
      <c r="AU79" s="6" t="str">
        <f>IFERROR(IF(AR79="--","",IF(HLOOKUP(SMALL($Q$4:$Y$4,3),$Q$4:$Y$501,ROW(AP79)-3,FALSE)=0,"",IF(HLOOKUP(SMALL($Q$4:$Y$4,3),$Q$4:$Y$501,ROW(AP79)-3,FALSE)="nee",VLOOKUP("De kwaliteitseis emissiearme grond (maximale concentratie) wordt overschreden.",H!$O$10:'H'!$P$59,2,FALSE),""))),"")</f>
        <v/>
      </c>
      <c r="AV79" s="6" t="str">
        <f t="shared" si="26"/>
        <v>--</v>
      </c>
      <c r="AW79" s="6" t="str">
        <f t="shared" si="27"/>
        <v/>
      </c>
      <c r="AX79" s="6" t="str">
        <f t="shared" si="28"/>
        <v>--</v>
      </c>
      <c r="AY79" s="6" t="str">
        <f t="shared" si="37"/>
        <v/>
      </c>
      <c r="AZ79" s="6" t="str">
        <f t="shared" si="38"/>
        <v/>
      </c>
      <c r="BA79" s="6" t="str">
        <f>IFERROR(IF(AR79="--","",IF(HLOOKUP(SMALL($Q$4:$Y$4,6),$Q$4:$Y$501,ROW(AP79)-3,FALSE)=0,"",IF(HLOOKUP(SMALL($Q$4:$Y$4,6),$Q$4:$Y$501,ROW(AP79)-3,FALSE)="nee",VLOOKUP("De kwaliteitseis emissiearme grond (maximale concentratie) wordt overschreden.",H!$O$10:'H'!$P$59,2,FALSE),""))),"")</f>
        <v/>
      </c>
      <c r="BB79" s="6" t="str">
        <f t="shared" si="29"/>
        <v>--</v>
      </c>
      <c r="BC79" s="6" t="str">
        <f t="shared" si="30"/>
        <v/>
      </c>
      <c r="BD79" s="6" t="str">
        <f t="shared" si="31"/>
        <v>--</v>
      </c>
      <c r="BE79" s="6" t="str">
        <f t="shared" si="39"/>
        <v/>
      </c>
      <c r="BF79" s="6" t="str">
        <f t="shared" si="40"/>
        <v/>
      </c>
      <c r="BG79" s="4" t="str">
        <f>IFERROR(IF(AR79="--","",IF(HLOOKUP(SMALL($Q$4:$Y$4,9),$Q$4:$Y$501,ROW(AP79)-3,FALSE)=0,"",IF(HLOOKUP(SMALL($Q$4:$Y$4,9),$Q$4:$Y$501,ROW(AP79)-3,FALSE)="nee",VLOOKUP("De kwaliteitseis emissiearme grond (maximale concentratie) wordt overschreden.",H!$O$10:'H'!$P$59,2,FALSE),""))),"")</f>
        <v/>
      </c>
    </row>
    <row r="80" spans="1:59" x14ac:dyDescent="0.2">
      <c r="A80" s="4" t="str">
        <f>F!A80</f>
        <v>1,2,3-Trichloorpropaan</v>
      </c>
      <c r="B80" s="6" t="str">
        <f>IF(ISNUMBER(F!E80)=FALSE,"--",IF(F!E80=0,"--",F!E80))</f>
        <v>--</v>
      </c>
      <c r="C80" s="6" t="str">
        <f>IF(B80="--","",F!F80)</f>
        <v/>
      </c>
      <c r="D80" s="6" t="str">
        <f>IF(ISNUMBER(F!G80)=FALSE,"--",IF(F!G80=0,"--",F!G80))</f>
        <v>--</v>
      </c>
      <c r="E80" s="6" t="str">
        <f>IF(D80="--","",F!H80)</f>
        <v/>
      </c>
      <c r="F80" s="6" t="str">
        <f>IF(ISNUMBER(F!I80)=FALSE,"--",IF(F!I80=0,"--",F!I80))</f>
        <v>--</v>
      </c>
      <c r="G80" s="6" t="str">
        <f>IF(F80="--","",F!J80)</f>
        <v/>
      </c>
      <c r="H80" s="6"/>
      <c r="I80" s="6" t="str">
        <f>IF(F!Z80=-1,-1,F!AV80)</f>
        <v/>
      </c>
      <c r="J80" s="6"/>
      <c r="K80" s="6" t="str">
        <f>IF(F!AC80=-1,-1,F!AX80)</f>
        <v/>
      </c>
      <c r="L80" s="6"/>
      <c r="M80" s="6" t="str">
        <f>IF(F!AF80=-1,-1,F!AZ80)</f>
        <v/>
      </c>
      <c r="N80" s="6"/>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6" t="str">
        <f t="shared" si="46"/>
        <v/>
      </c>
      <c r="R80" s="5" t="str">
        <f>IF($B80="--","",IF($P80="toetsen",toetsen(F!$B80,Q80),IF($P80="toetsen alleen IW",toetsen_alleen_IW(F!$B80,Q80),IF($P80="toetsen alleen LN",toetsen_alleen_LN(F!$B80,Q80),IF($P80="toetsen geen MV en SV",toetsen_geen_MV_en_SV(F!$B80,Q80),IF($P80="toetsen alleen MV en SV",toetsen_alleen_MV_en_SV(F!$B80,Q80),""))))))</f>
        <v/>
      </c>
      <c r="S80" s="5" t="str">
        <f>IF($P80="toetsen",IF(OR(Q80="",VLOOKUP(F!$B80,E!$B$1:$AK$300,10,FALSE)=1000000000),"",IF(Q80&lt;=VLOOKUP(F!$B80,E!$B$1:$AK$300,10,FALSE),"ja","nee")),"")</f>
        <v/>
      </c>
      <c r="T80" s="87" t="str">
        <f t="shared" si="41"/>
        <v/>
      </c>
      <c r="U80" s="5" t="str">
        <f>IF($D80="--","",IF($P80="toetsen",toetsen(F!$B80,T80),IF($P80="toetsen alleen IW",toetsen_alleen_IW(F!$B80,T80),IF($P80="toetsen alleen LN",toetsen_alleen_LN(F!$B80,T80),IF($P80="toetsen geen MV en SV",toetsen_geen_MV_en_SV(F!$B80,T80),IF($P80="toetsen alleen MV en SV",toetsen_alleen_MV_en_SV(F!$B80,T80),""))))))</f>
        <v/>
      </c>
      <c r="V80" s="5" t="str">
        <f>IF($P80="toetsen",IF(OR(T80="",VLOOKUP(F!$B80,E!$B$1:$AK$300,10,FALSE)=1000000000),"",IF(T80&lt;=VLOOKUP(F!$B80,E!$B$1:$AK$300,10,FALSE),"ja","nee")),"")</f>
        <v/>
      </c>
      <c r="W80" s="6" t="str">
        <f t="shared" si="42"/>
        <v/>
      </c>
      <c r="X80" s="5" t="str">
        <f>IF($F80="--","",IF($P80="toetsen",toetsen(F!$B80,W80),IF($P80="toetsen alleen IW",toetsen_alleen_IW(F!$B80,W80),IF($P80="toetsen alleen LN",toetsen_alleen_LN(F!$B80,W80),IF($P80="toetsen geen MV en SV",toetsen_geen_MV_en_SV(F!$B80,W80),IF($P80="toetsen alleen MV en SV",toetsen_alleen_MV_en_SV(F!$B80,W80),""))))))</f>
        <v/>
      </c>
      <c r="Y80" s="5" t="str">
        <f>IF($P80="toetsen",IF(OR(W80="",VLOOKUP(F!$B80,E!$B$1:$AK$300,10,FALSE)=1000000000),"",IF(W80&lt;=VLOOKUP(F!$B80,E!$B$1:$AK$300,10,FALSE),"ja","nee")),"")</f>
        <v/>
      </c>
      <c r="AA80" s="4" t="str">
        <f>IFERROR(IF(Q80="","",(IF(Q80&gt;2*VLOOKUP(F!$B80,E!$B$1:$AK$300,5,FALSE),1,0))),"")</f>
        <v/>
      </c>
      <c r="AB80" s="4" t="str">
        <f>IFERROR(IF(T80="","",(IF(T80&gt;2*VLOOKUP(F!$B80,E!$B$1:$AK$300,5,FALSE),1,0))),"")</f>
        <v/>
      </c>
      <c r="AC80" s="4" t="str">
        <f>IFERROR(IF(W80="","",(IF(W80&gt;2*VLOOKUP(F!$B80,E!$B$1:$AK$300,5,FALSE),1,0))),"")</f>
        <v/>
      </c>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6" t="str">
        <f t="shared" si="43"/>
        <v>--</v>
      </c>
      <c r="AJ80" s="6" t="str">
        <f>IF(AI80="--","--",IF(F!$D80=131,IF(I80=-1,"rg",IF(I80="","--",IF(I80*1000&lt;1,FIXED(I80*1000,3),IF(I80*1000&lt;10,FIXED(I80*1000,2),(IF(I80*1000&lt;100,FIXED(I80*1000,1),IF(I80*1000&lt;1000,FIXED(I80*1000,0),MROUND(I80*1000,10)))))))),IF(I80=-1,"rg",IF(I80="","--",IF(I80&lt;1,FIXED(I80,3),IF(I80&lt;10,FIXED(I80,2),(IF(I80&lt;100,FIXED(I80,1),IF(I80&lt;1000,FIXED(I80,0),MROUND(I80,10))))))))))</f>
        <v>--</v>
      </c>
      <c r="AK80" s="6" t="str">
        <f t="shared" si="44"/>
        <v>--</v>
      </c>
      <c r="AL80" s="6" t="str">
        <f>IF(AK80="--","--",IF(F!$D80=131,IF(K80=-1,"rg",IF(K80="","--",IF(K80*1000&lt;1,FIXED(K80*1000,3),IF(K80*1000&lt;10,FIXED(K80*1000,2),(IF(K80*1000&lt;100,FIXED(K80*1000,1),IF(K80*1000&lt;1000,FIXED(K80*1000,0),MROUND(K80*1000,10)))))))),IF(K80=-1,"rg",IF(K80="","--",IF(K80&lt;1,FIXED(K80,3),IF(K80&lt;10,FIXED(K80,2),(IF(K80&lt;100,FIXED(K80,1),IF(K80&lt;1000,FIXED(K80,0),MROUND(K80,10))))))))))</f>
        <v>--</v>
      </c>
      <c r="AM80" s="6" t="str">
        <f t="shared" si="45"/>
        <v>--</v>
      </c>
      <c r="AN80" s="6" t="str">
        <f>IF(AM80="--","--",IF(F!$D80=131,IF(M80=-1,"rg",IF(M80="","--",IF(M80*1000&lt;1,FIXED(M80*1000,3),IF(M80*1000&lt;10,FIXED(M80*1000,2),(IF(M80*1000&lt;100,FIXED(M80*1000,1),IF(M80*1000&lt;1000,FIXED(M80*1000,0),MROUND(M80*1000,10)))))))),IF(M80=-1,"rg",IF(M80="","--",IF(M80&lt;1,FIXED(M80,3),IF(M80&lt;10,FIXED(M80,2),(IF(M80&lt;100,FIXED(M80,1),IF(M80&lt;1000,FIXED(M80,0),MROUND(M80,10))))))))))</f>
        <v>--</v>
      </c>
      <c r="AP80" s="6" t="str">
        <f t="shared" si="32"/>
        <v>--</v>
      </c>
      <c r="AQ80" s="6" t="str">
        <f t="shared" si="33"/>
        <v/>
      </c>
      <c r="AR80" s="6" t="str">
        <f t="shared" si="34"/>
        <v>--</v>
      </c>
      <c r="AS80" s="6" t="str">
        <f t="shared" si="35"/>
        <v/>
      </c>
      <c r="AT80" s="6" t="str">
        <f t="shared" si="36"/>
        <v/>
      </c>
      <c r="AU80" s="6" t="str">
        <f>IFERROR(IF(AR80="--","",IF(HLOOKUP(SMALL($Q$4:$Y$4,3),$Q$4:$Y$501,ROW(AP80)-3,FALSE)=0,"",IF(HLOOKUP(SMALL($Q$4:$Y$4,3),$Q$4:$Y$501,ROW(AP80)-3,FALSE)="nee",VLOOKUP("De kwaliteitseis emissiearme grond (maximale concentratie) wordt overschreden.",H!$O$10:'H'!$P$59,2,FALSE),""))),"")</f>
        <v/>
      </c>
      <c r="AV80" s="6" t="str">
        <f t="shared" si="26"/>
        <v>--</v>
      </c>
      <c r="AW80" s="6" t="str">
        <f t="shared" si="27"/>
        <v/>
      </c>
      <c r="AX80" s="6" t="str">
        <f t="shared" si="28"/>
        <v>--</v>
      </c>
      <c r="AY80" s="6" t="str">
        <f t="shared" si="37"/>
        <v/>
      </c>
      <c r="AZ80" s="6" t="str">
        <f t="shared" si="38"/>
        <v/>
      </c>
      <c r="BA80" s="6" t="str">
        <f>IFERROR(IF(AR80="--","",IF(HLOOKUP(SMALL($Q$4:$Y$4,6),$Q$4:$Y$501,ROW(AP80)-3,FALSE)=0,"",IF(HLOOKUP(SMALL($Q$4:$Y$4,6),$Q$4:$Y$501,ROW(AP80)-3,FALSE)="nee",VLOOKUP("De kwaliteitseis emissiearme grond (maximale concentratie) wordt overschreden.",H!$O$10:'H'!$P$59,2,FALSE),""))),"")</f>
        <v/>
      </c>
      <c r="BB80" s="6" t="str">
        <f t="shared" si="29"/>
        <v>--</v>
      </c>
      <c r="BC80" s="6" t="str">
        <f t="shared" si="30"/>
        <v/>
      </c>
      <c r="BD80" s="6" t="str">
        <f t="shared" si="31"/>
        <v>--</v>
      </c>
      <c r="BE80" s="6" t="str">
        <f t="shared" si="39"/>
        <v/>
      </c>
      <c r="BF80" s="6" t="str">
        <f t="shared" si="40"/>
        <v/>
      </c>
      <c r="BG80" s="4" t="str">
        <f>IFERROR(IF(AR80="--","",IF(HLOOKUP(SMALL($Q$4:$Y$4,9),$Q$4:$Y$501,ROW(AP80)-3,FALSE)=0,"",IF(HLOOKUP(SMALL($Q$4:$Y$4,9),$Q$4:$Y$501,ROW(AP80)-3,FALSE)="nee",VLOOKUP("De kwaliteitseis emissiearme grond (maximale concentratie) wordt overschreden.",H!$O$10:'H'!$P$59,2,FALSE),""))),"")</f>
        <v/>
      </c>
    </row>
    <row r="81" spans="1:59" x14ac:dyDescent="0.2">
      <c r="A81" s="4" t="str">
        <f>F!A81</f>
        <v>1,1-Dichloorpropeen</v>
      </c>
      <c r="B81" s="6" t="str">
        <f>IF(ISNUMBER(F!E81)=FALSE,"--",IF(F!E81=0,"--",F!E81))</f>
        <v>--</v>
      </c>
      <c r="C81" s="6" t="str">
        <f>IF(B81="--","",F!F81)</f>
        <v/>
      </c>
      <c r="D81" s="6" t="str">
        <f>IF(ISNUMBER(F!G81)=FALSE,"--",IF(F!G81=0,"--",F!G81))</f>
        <v>--</v>
      </c>
      <c r="E81" s="6" t="str">
        <f>IF(D81="--","",F!H81)</f>
        <v/>
      </c>
      <c r="F81" s="6" t="str">
        <f>IF(ISNUMBER(F!I81)=FALSE,"--",IF(F!I81=0,"--",F!I81))</f>
        <v>--</v>
      </c>
      <c r="G81" s="6" t="str">
        <f>IF(F81="--","",F!J81)</f>
        <v/>
      </c>
      <c r="H81" s="6"/>
      <c r="I81" s="6" t="str">
        <f>IF(F!Z81=-1,-1,F!AV81)</f>
        <v/>
      </c>
      <c r="J81" s="6"/>
      <c r="K81" s="6" t="str">
        <f>IF(F!AC81=-1,-1,F!AX81)</f>
        <v/>
      </c>
      <c r="L81" s="6"/>
      <c r="M81" s="6" t="str">
        <f>IF(F!AF81=-1,-1,F!AZ81)</f>
        <v/>
      </c>
      <c r="N81" s="6"/>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6" t="str">
        <f t="shared" si="46"/>
        <v/>
      </c>
      <c r="R81" s="5" t="str">
        <f>IF($B81="--","",IF($P81="toetsen",toetsen(F!$B81,Q81),IF($P81="toetsen alleen IW",toetsen_alleen_IW(F!$B81,Q81),IF($P81="toetsen alleen LN",toetsen_alleen_LN(F!$B81,Q81),IF($P81="toetsen geen MV en SV",toetsen_geen_MV_en_SV(F!$B81,Q81),IF($P81="toetsen alleen MV en SV",toetsen_alleen_MV_en_SV(F!$B81,Q81),""))))))</f>
        <v/>
      </c>
      <c r="S81" s="5" t="str">
        <f>IF($P81="toetsen",IF(OR(Q81="",VLOOKUP(F!$B81,E!$B$1:$AK$300,10,FALSE)=1000000000),"",IF(Q81&lt;=VLOOKUP(F!$B81,E!$B$1:$AK$300,10,FALSE),"ja","nee")),"")</f>
        <v/>
      </c>
      <c r="T81" s="87" t="str">
        <f t="shared" si="41"/>
        <v/>
      </c>
      <c r="U81" s="5" t="str">
        <f>IF($D81="--","",IF($P81="toetsen",toetsen(F!$B81,T81),IF($P81="toetsen alleen IW",toetsen_alleen_IW(F!$B81,T81),IF($P81="toetsen alleen LN",toetsen_alleen_LN(F!$B81,T81),IF($P81="toetsen geen MV en SV",toetsen_geen_MV_en_SV(F!$B81,T81),IF($P81="toetsen alleen MV en SV",toetsen_alleen_MV_en_SV(F!$B81,T81),""))))))</f>
        <v/>
      </c>
      <c r="V81" s="5" t="str">
        <f>IF($P81="toetsen",IF(OR(T81="",VLOOKUP(F!$B81,E!$B$1:$AK$300,10,FALSE)=1000000000),"",IF(T81&lt;=VLOOKUP(F!$B81,E!$B$1:$AK$300,10,FALSE),"ja","nee")),"")</f>
        <v/>
      </c>
      <c r="W81" s="6" t="str">
        <f t="shared" si="42"/>
        <v/>
      </c>
      <c r="X81" s="5" t="str">
        <f>IF($F81="--","",IF($P81="toetsen",toetsen(F!$B81,W81),IF($P81="toetsen alleen IW",toetsen_alleen_IW(F!$B81,W81),IF($P81="toetsen alleen LN",toetsen_alleen_LN(F!$B81,W81),IF($P81="toetsen geen MV en SV",toetsen_geen_MV_en_SV(F!$B81,W81),IF($P81="toetsen alleen MV en SV",toetsen_alleen_MV_en_SV(F!$B81,W81),""))))))</f>
        <v/>
      </c>
      <c r="Y81" s="5" t="str">
        <f>IF($P81="toetsen",IF(OR(W81="",VLOOKUP(F!$B81,E!$B$1:$AK$300,10,FALSE)=1000000000),"",IF(W81&lt;=VLOOKUP(F!$B81,E!$B$1:$AK$300,10,FALSE),"ja","nee")),"")</f>
        <v/>
      </c>
      <c r="AA81" s="4" t="str">
        <f>IFERROR(IF(Q81="","",(IF(Q81&gt;2*VLOOKUP(F!$B81,E!$B$1:$AK$300,5,FALSE),1,0))),"")</f>
        <v/>
      </c>
      <c r="AB81" s="4" t="str">
        <f>IFERROR(IF(T81="","",(IF(T81&gt;2*VLOOKUP(F!$B81,E!$B$1:$AK$300,5,FALSE),1,0))),"")</f>
        <v/>
      </c>
      <c r="AC81" s="4" t="str">
        <f>IFERROR(IF(W81="","",(IF(W81&gt;2*VLOOKUP(F!$B81,E!$B$1:$AK$300,5,FALSE),1,0))),"")</f>
        <v/>
      </c>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6" t="str">
        <f t="shared" si="43"/>
        <v>--</v>
      </c>
      <c r="AJ81" s="6" t="str">
        <f>IF(AI81="--","--",IF(F!$D81=131,IF(I81=-1,"rg",IF(I81="","--",IF(I81*1000&lt;1,FIXED(I81*1000,3),IF(I81*1000&lt;10,FIXED(I81*1000,2),(IF(I81*1000&lt;100,FIXED(I81*1000,1),IF(I81*1000&lt;1000,FIXED(I81*1000,0),MROUND(I81*1000,10)))))))),IF(I81=-1,"rg",IF(I81="","--",IF(I81&lt;1,FIXED(I81,3),IF(I81&lt;10,FIXED(I81,2),(IF(I81&lt;100,FIXED(I81,1),IF(I81&lt;1000,FIXED(I81,0),MROUND(I81,10))))))))))</f>
        <v>--</v>
      </c>
      <c r="AK81" s="6" t="str">
        <f t="shared" si="44"/>
        <v>--</v>
      </c>
      <c r="AL81" s="6" t="str">
        <f>IF(AK81="--","--",IF(F!$D81=131,IF(K81=-1,"rg",IF(K81="","--",IF(K81*1000&lt;1,FIXED(K81*1000,3),IF(K81*1000&lt;10,FIXED(K81*1000,2),(IF(K81*1000&lt;100,FIXED(K81*1000,1),IF(K81*1000&lt;1000,FIXED(K81*1000,0),MROUND(K81*1000,10)))))))),IF(K81=-1,"rg",IF(K81="","--",IF(K81&lt;1,FIXED(K81,3),IF(K81&lt;10,FIXED(K81,2),(IF(K81&lt;100,FIXED(K81,1),IF(K81&lt;1000,FIXED(K81,0),MROUND(K81,10))))))))))</f>
        <v>--</v>
      </c>
      <c r="AM81" s="6" t="str">
        <f t="shared" si="45"/>
        <v>--</v>
      </c>
      <c r="AN81" s="6" t="str">
        <f>IF(AM81="--","--",IF(F!$D81=131,IF(M81=-1,"rg",IF(M81="","--",IF(M81*1000&lt;1,FIXED(M81*1000,3),IF(M81*1000&lt;10,FIXED(M81*1000,2),(IF(M81*1000&lt;100,FIXED(M81*1000,1),IF(M81*1000&lt;1000,FIXED(M81*1000,0),MROUND(M81*1000,10)))))))),IF(M81=-1,"rg",IF(M81="","--",IF(M81&lt;1,FIXED(M81,3),IF(M81&lt;10,FIXED(M81,2),(IF(M81&lt;100,FIXED(M81,1),IF(M81&lt;1000,FIXED(M81,0),MROUND(M81,10))))))))))</f>
        <v>--</v>
      </c>
      <c r="AP81" s="6" t="str">
        <f t="shared" si="32"/>
        <v>--</v>
      </c>
      <c r="AQ81" s="6" t="str">
        <f t="shared" si="33"/>
        <v/>
      </c>
      <c r="AR81" s="6" t="str">
        <f t="shared" si="34"/>
        <v>--</v>
      </c>
      <c r="AS81" s="6" t="str">
        <f t="shared" si="35"/>
        <v/>
      </c>
      <c r="AT81" s="6" t="str">
        <f t="shared" si="36"/>
        <v/>
      </c>
      <c r="AU81" s="6" t="str">
        <f>IFERROR(IF(AR81="--","",IF(HLOOKUP(SMALL($Q$4:$Y$4,3),$Q$4:$Y$501,ROW(AP81)-3,FALSE)=0,"",IF(HLOOKUP(SMALL($Q$4:$Y$4,3),$Q$4:$Y$501,ROW(AP81)-3,FALSE)="nee",VLOOKUP("De kwaliteitseis emissiearme grond (maximale concentratie) wordt overschreden.",H!$O$10:'H'!$P$59,2,FALSE),""))),"")</f>
        <v/>
      </c>
      <c r="AV81" s="6" t="str">
        <f t="shared" si="26"/>
        <v>--</v>
      </c>
      <c r="AW81" s="6" t="str">
        <f t="shared" si="27"/>
        <v/>
      </c>
      <c r="AX81" s="6" t="str">
        <f t="shared" si="28"/>
        <v>--</v>
      </c>
      <c r="AY81" s="6" t="str">
        <f t="shared" si="37"/>
        <v/>
      </c>
      <c r="AZ81" s="6" t="str">
        <f t="shared" si="38"/>
        <v/>
      </c>
      <c r="BA81" s="6" t="str">
        <f>IFERROR(IF(AR81="--","",IF(HLOOKUP(SMALL($Q$4:$Y$4,6),$Q$4:$Y$501,ROW(AP81)-3,FALSE)=0,"",IF(HLOOKUP(SMALL($Q$4:$Y$4,6),$Q$4:$Y$501,ROW(AP81)-3,FALSE)="nee",VLOOKUP("De kwaliteitseis emissiearme grond (maximale concentratie) wordt overschreden.",H!$O$10:'H'!$P$59,2,FALSE),""))),"")</f>
        <v/>
      </c>
      <c r="BB81" s="6" t="str">
        <f t="shared" si="29"/>
        <v>--</v>
      </c>
      <c r="BC81" s="6" t="str">
        <f t="shared" si="30"/>
        <v/>
      </c>
      <c r="BD81" s="6" t="str">
        <f t="shared" si="31"/>
        <v>--</v>
      </c>
      <c r="BE81" s="6" t="str">
        <f t="shared" si="39"/>
        <v/>
      </c>
      <c r="BF81" s="6" t="str">
        <f t="shared" si="40"/>
        <v/>
      </c>
      <c r="BG81" s="4" t="str">
        <f>IFERROR(IF(AR81="--","",IF(HLOOKUP(SMALL($Q$4:$Y$4,9),$Q$4:$Y$501,ROW(AP81)-3,FALSE)=0,"",IF(HLOOKUP(SMALL($Q$4:$Y$4,9),$Q$4:$Y$501,ROW(AP81)-3,FALSE)="nee",VLOOKUP("De kwaliteitseis emissiearme grond (maximale concentratie) wordt overschreden.",H!$O$10:'H'!$P$59,2,FALSE),""))),"")</f>
        <v/>
      </c>
    </row>
    <row r="82" spans="1:59" x14ac:dyDescent="0.2">
      <c r="A82" s="4" t="str">
        <f>F!A82</f>
        <v>trans-1,3-Dichloorpropeen</v>
      </c>
      <c r="B82" s="6" t="str">
        <f>IF(ISNUMBER(F!E82)=FALSE,"--",IF(F!E82=0,"--",F!E82))</f>
        <v>--</v>
      </c>
      <c r="C82" s="6" t="str">
        <f>IF(B82="--","",F!F82)</f>
        <v/>
      </c>
      <c r="D82" s="6" t="str">
        <f>IF(ISNUMBER(F!G82)=FALSE,"--",IF(F!G82=0,"--",F!G82))</f>
        <v>--</v>
      </c>
      <c r="E82" s="6" t="str">
        <f>IF(D82="--","",F!H82)</f>
        <v/>
      </c>
      <c r="F82" s="6" t="str">
        <f>IF(ISNUMBER(F!I82)=FALSE,"--",IF(F!I82=0,"--",F!I82))</f>
        <v>--</v>
      </c>
      <c r="G82" s="6" t="str">
        <f>IF(F82="--","",F!J82)</f>
        <v/>
      </c>
      <c r="H82" s="6"/>
      <c r="I82" s="6" t="str">
        <f>IF(F!Z82=-1,-1,F!AV82)</f>
        <v/>
      </c>
      <c r="J82" s="6"/>
      <c r="K82" s="6" t="str">
        <f>IF(F!AC82=-1,-1,F!AX82)</f>
        <v/>
      </c>
      <c r="L82" s="6"/>
      <c r="M82" s="6" t="str">
        <f>IF(F!AF82=-1,-1,F!AZ82)</f>
        <v/>
      </c>
      <c r="N82" s="6"/>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6" t="str">
        <f t="shared" si="46"/>
        <v/>
      </c>
      <c r="R82" s="5" t="str">
        <f>IF($B82="--","",IF($P82="toetsen",toetsen(F!$B82,Q82),IF($P82="toetsen alleen IW",toetsen_alleen_IW(F!$B82,Q82),IF($P82="toetsen alleen LN",toetsen_alleen_LN(F!$B82,Q82),IF($P82="toetsen geen MV en SV",toetsen_geen_MV_en_SV(F!$B82,Q82),IF($P82="toetsen alleen MV en SV",toetsen_alleen_MV_en_SV(F!$B82,Q82),""))))))</f>
        <v/>
      </c>
      <c r="S82" s="5" t="str">
        <f>IF($P82="toetsen",IF(OR(Q82="",VLOOKUP(F!$B82,E!$B$1:$AK$300,10,FALSE)=1000000000),"",IF(Q82&lt;=VLOOKUP(F!$B82,E!$B$1:$AK$300,10,FALSE),"ja","nee")),"")</f>
        <v/>
      </c>
      <c r="T82" s="87" t="str">
        <f t="shared" si="41"/>
        <v/>
      </c>
      <c r="U82" s="5" t="str">
        <f>IF($D82="--","",IF($P82="toetsen",toetsen(F!$B82,T82),IF($P82="toetsen alleen IW",toetsen_alleen_IW(F!$B82,T82),IF($P82="toetsen alleen LN",toetsen_alleen_LN(F!$B82,T82),IF($P82="toetsen geen MV en SV",toetsen_geen_MV_en_SV(F!$B82,T82),IF($P82="toetsen alleen MV en SV",toetsen_alleen_MV_en_SV(F!$B82,T82),""))))))</f>
        <v/>
      </c>
      <c r="V82" s="5" t="str">
        <f>IF($P82="toetsen",IF(OR(T82="",VLOOKUP(F!$B82,E!$B$1:$AK$300,10,FALSE)=1000000000),"",IF(T82&lt;=VLOOKUP(F!$B82,E!$B$1:$AK$300,10,FALSE),"ja","nee")),"")</f>
        <v/>
      </c>
      <c r="W82" s="6" t="str">
        <f t="shared" si="42"/>
        <v/>
      </c>
      <c r="X82" s="5" t="str">
        <f>IF($F82="--","",IF($P82="toetsen",toetsen(F!$B82,W82),IF($P82="toetsen alleen IW",toetsen_alleen_IW(F!$B82,W82),IF($P82="toetsen alleen LN",toetsen_alleen_LN(F!$B82,W82),IF($P82="toetsen geen MV en SV",toetsen_geen_MV_en_SV(F!$B82,W82),IF($P82="toetsen alleen MV en SV",toetsen_alleen_MV_en_SV(F!$B82,W82),""))))))</f>
        <v/>
      </c>
      <c r="Y82" s="5" t="str">
        <f>IF($P82="toetsen",IF(OR(W82="",VLOOKUP(F!$B82,E!$B$1:$AK$300,10,FALSE)=1000000000),"",IF(W82&lt;=VLOOKUP(F!$B82,E!$B$1:$AK$300,10,FALSE),"ja","nee")),"")</f>
        <v/>
      </c>
      <c r="AA82" s="4" t="str">
        <f>IFERROR(IF(Q82="","",(IF(Q82&gt;2*VLOOKUP(F!$B82,E!$B$1:$AK$300,5,FALSE),1,0))),"")</f>
        <v/>
      </c>
      <c r="AB82" s="4" t="str">
        <f>IFERROR(IF(T82="","",(IF(T82&gt;2*VLOOKUP(F!$B82,E!$B$1:$AK$300,5,FALSE),1,0))),"")</f>
        <v/>
      </c>
      <c r="AC82" s="4" t="str">
        <f>IFERROR(IF(W82="","",(IF(W82&gt;2*VLOOKUP(F!$B82,E!$B$1:$AK$300,5,FALSE),1,0))),"")</f>
        <v/>
      </c>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6" t="str">
        <f t="shared" si="43"/>
        <v>--</v>
      </c>
      <c r="AJ82" s="6" t="str">
        <f>IF(AI82="--","--",IF(F!$D82=131,IF(I82=-1,"rg",IF(I82="","--",IF(I82*1000&lt;1,FIXED(I82*1000,3),IF(I82*1000&lt;10,FIXED(I82*1000,2),(IF(I82*1000&lt;100,FIXED(I82*1000,1),IF(I82*1000&lt;1000,FIXED(I82*1000,0),MROUND(I82*1000,10)))))))),IF(I82=-1,"rg",IF(I82="","--",IF(I82&lt;1,FIXED(I82,3),IF(I82&lt;10,FIXED(I82,2),(IF(I82&lt;100,FIXED(I82,1),IF(I82&lt;1000,FIXED(I82,0),MROUND(I82,10))))))))))</f>
        <v>--</v>
      </c>
      <c r="AK82" s="6" t="str">
        <f t="shared" si="44"/>
        <v>--</v>
      </c>
      <c r="AL82" s="6" t="str">
        <f>IF(AK82="--","--",IF(F!$D82=131,IF(K82=-1,"rg",IF(K82="","--",IF(K82*1000&lt;1,FIXED(K82*1000,3),IF(K82*1000&lt;10,FIXED(K82*1000,2),(IF(K82*1000&lt;100,FIXED(K82*1000,1),IF(K82*1000&lt;1000,FIXED(K82*1000,0),MROUND(K82*1000,10)))))))),IF(K82=-1,"rg",IF(K82="","--",IF(K82&lt;1,FIXED(K82,3),IF(K82&lt;10,FIXED(K82,2),(IF(K82&lt;100,FIXED(K82,1),IF(K82&lt;1000,FIXED(K82,0),MROUND(K82,10))))))))))</f>
        <v>--</v>
      </c>
      <c r="AM82" s="6" t="str">
        <f t="shared" si="45"/>
        <v>--</v>
      </c>
      <c r="AN82" s="6" t="str">
        <f>IF(AM82="--","--",IF(F!$D82=131,IF(M82=-1,"rg",IF(M82="","--",IF(M82*1000&lt;1,FIXED(M82*1000,3),IF(M82*1000&lt;10,FIXED(M82*1000,2),(IF(M82*1000&lt;100,FIXED(M82*1000,1),IF(M82*1000&lt;1000,FIXED(M82*1000,0),MROUND(M82*1000,10)))))))),IF(M82=-1,"rg",IF(M82="","--",IF(M82&lt;1,FIXED(M82,3),IF(M82&lt;10,FIXED(M82,2),(IF(M82&lt;100,FIXED(M82,1),IF(M82&lt;1000,FIXED(M82,0),MROUND(M82,10))))))))))</f>
        <v>--</v>
      </c>
      <c r="AP82" s="6" t="str">
        <f t="shared" si="32"/>
        <v>--</v>
      </c>
      <c r="AQ82" s="6" t="str">
        <f t="shared" si="33"/>
        <v/>
      </c>
      <c r="AR82" s="6" t="str">
        <f t="shared" si="34"/>
        <v>--</v>
      </c>
      <c r="AS82" s="6" t="str">
        <f t="shared" si="35"/>
        <v/>
      </c>
      <c r="AT82" s="6" t="str">
        <f t="shared" si="36"/>
        <v/>
      </c>
      <c r="AU82" s="6" t="str">
        <f>IFERROR(IF(AR82="--","",IF(HLOOKUP(SMALL($Q$4:$Y$4,3),$Q$4:$Y$501,ROW(AP82)-3,FALSE)=0,"",IF(HLOOKUP(SMALL($Q$4:$Y$4,3),$Q$4:$Y$501,ROW(AP82)-3,FALSE)="nee",VLOOKUP("De kwaliteitseis emissiearme grond (maximale concentratie) wordt overschreden.",H!$O$10:'H'!$P$59,2,FALSE),""))),"")</f>
        <v/>
      </c>
      <c r="AV82" s="6" t="str">
        <f t="shared" si="26"/>
        <v>--</v>
      </c>
      <c r="AW82" s="6" t="str">
        <f t="shared" si="27"/>
        <v/>
      </c>
      <c r="AX82" s="6" t="str">
        <f t="shared" si="28"/>
        <v>--</v>
      </c>
      <c r="AY82" s="6" t="str">
        <f t="shared" si="37"/>
        <v/>
      </c>
      <c r="AZ82" s="6" t="str">
        <f t="shared" si="38"/>
        <v/>
      </c>
      <c r="BA82" s="6" t="str">
        <f>IFERROR(IF(AR82="--","",IF(HLOOKUP(SMALL($Q$4:$Y$4,6),$Q$4:$Y$501,ROW(AP82)-3,FALSE)=0,"",IF(HLOOKUP(SMALL($Q$4:$Y$4,6),$Q$4:$Y$501,ROW(AP82)-3,FALSE)="nee",VLOOKUP("De kwaliteitseis emissiearme grond (maximale concentratie) wordt overschreden.",H!$O$10:'H'!$P$59,2,FALSE),""))),"")</f>
        <v/>
      </c>
      <c r="BB82" s="6" t="str">
        <f t="shared" si="29"/>
        <v>--</v>
      </c>
      <c r="BC82" s="6" t="str">
        <f t="shared" si="30"/>
        <v/>
      </c>
      <c r="BD82" s="6" t="str">
        <f t="shared" si="31"/>
        <v>--</v>
      </c>
      <c r="BE82" s="6" t="str">
        <f t="shared" si="39"/>
        <v/>
      </c>
      <c r="BF82" s="6" t="str">
        <f t="shared" si="40"/>
        <v/>
      </c>
      <c r="BG82" s="4" t="str">
        <f>IFERROR(IF(AR82="--","",IF(HLOOKUP(SMALL($Q$4:$Y$4,9),$Q$4:$Y$501,ROW(AP82)-3,FALSE)=0,"",IF(HLOOKUP(SMALL($Q$4:$Y$4,9),$Q$4:$Y$501,ROW(AP82)-3,FALSE)="nee",VLOOKUP("De kwaliteitseis emissiearme grond (maximale concentratie) wordt overschreden.",H!$O$10:'H'!$P$59,2,FALSE),""))),"")</f>
        <v/>
      </c>
    </row>
    <row r="83" spans="1:59" x14ac:dyDescent="0.2">
      <c r="A83" s="4" t="str">
        <f>F!A83</f>
        <v>cis-1,3-Dichloorpropeen</v>
      </c>
      <c r="B83" s="6" t="str">
        <f>IF(ISNUMBER(F!E83)=FALSE,"--",IF(F!E83=0,"--",F!E83))</f>
        <v>--</v>
      </c>
      <c r="C83" s="6" t="str">
        <f>IF(B83="--","",F!F83)</f>
        <v/>
      </c>
      <c r="D83" s="6" t="str">
        <f>IF(ISNUMBER(F!G83)=FALSE,"--",IF(F!G83=0,"--",F!G83))</f>
        <v>--</v>
      </c>
      <c r="E83" s="6" t="str">
        <f>IF(D83="--","",F!H83)</f>
        <v/>
      </c>
      <c r="F83" s="6" t="str">
        <f>IF(ISNUMBER(F!I83)=FALSE,"--",IF(F!I83=0,"--",F!I83))</f>
        <v>--</v>
      </c>
      <c r="G83" s="6" t="str">
        <f>IF(F83="--","",F!J83)</f>
        <v/>
      </c>
      <c r="H83" s="6"/>
      <c r="I83" s="6" t="str">
        <f>IF(F!Z83=-1,-1,F!AV83)</f>
        <v/>
      </c>
      <c r="J83" s="6"/>
      <c r="K83" s="6" t="str">
        <f>IF(F!AC83=-1,-1,F!AX83)</f>
        <v/>
      </c>
      <c r="L83" s="6"/>
      <c r="M83" s="6" t="str">
        <f>IF(F!AF83=-1,-1,F!AZ83)</f>
        <v/>
      </c>
      <c r="N83" s="6"/>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6" t="str">
        <f t="shared" si="46"/>
        <v/>
      </c>
      <c r="R83" s="5" t="str">
        <f>IF($B83="--","",IF($P83="toetsen",toetsen(F!$B83,Q83),IF($P83="toetsen alleen IW",toetsen_alleen_IW(F!$B83,Q83),IF($P83="toetsen alleen LN",toetsen_alleen_LN(F!$B83,Q83),IF($P83="toetsen geen MV en SV",toetsen_geen_MV_en_SV(F!$B83,Q83),IF($P83="toetsen alleen MV en SV",toetsen_alleen_MV_en_SV(F!$B83,Q83),""))))))</f>
        <v/>
      </c>
      <c r="S83" s="5" t="str">
        <f>IF($P83="toetsen",IF(OR(Q83="",VLOOKUP(F!$B83,E!$B$1:$AK$300,10,FALSE)=1000000000),"",IF(Q83&lt;=VLOOKUP(F!$B83,E!$B$1:$AK$300,10,FALSE),"ja","nee")),"")</f>
        <v/>
      </c>
      <c r="T83" s="87" t="str">
        <f t="shared" si="41"/>
        <v/>
      </c>
      <c r="U83" s="5" t="str">
        <f>IF($D83="--","",IF($P83="toetsen",toetsen(F!$B83,T83),IF($P83="toetsen alleen IW",toetsen_alleen_IW(F!$B83,T83),IF($P83="toetsen alleen LN",toetsen_alleen_LN(F!$B83,T83),IF($P83="toetsen geen MV en SV",toetsen_geen_MV_en_SV(F!$B83,T83),IF($P83="toetsen alleen MV en SV",toetsen_alleen_MV_en_SV(F!$B83,T83),""))))))</f>
        <v/>
      </c>
      <c r="V83" s="5" t="str">
        <f>IF($P83="toetsen",IF(OR(T83="",VLOOKUP(F!$B83,E!$B$1:$AK$300,10,FALSE)=1000000000),"",IF(T83&lt;=VLOOKUP(F!$B83,E!$B$1:$AK$300,10,FALSE),"ja","nee")),"")</f>
        <v/>
      </c>
      <c r="W83" s="6" t="str">
        <f t="shared" si="42"/>
        <v/>
      </c>
      <c r="X83" s="5" t="str">
        <f>IF($F83="--","",IF($P83="toetsen",toetsen(F!$B83,W83),IF($P83="toetsen alleen IW",toetsen_alleen_IW(F!$B83,W83),IF($P83="toetsen alleen LN",toetsen_alleen_LN(F!$B83,W83),IF($P83="toetsen geen MV en SV",toetsen_geen_MV_en_SV(F!$B83,W83),IF($P83="toetsen alleen MV en SV",toetsen_alleen_MV_en_SV(F!$B83,W83),""))))))</f>
        <v/>
      </c>
      <c r="Y83" s="5" t="str">
        <f>IF($P83="toetsen",IF(OR(W83="",VLOOKUP(F!$B83,E!$B$1:$AK$300,10,FALSE)=1000000000),"",IF(W83&lt;=VLOOKUP(F!$B83,E!$B$1:$AK$300,10,FALSE),"ja","nee")),"")</f>
        <v/>
      </c>
      <c r="AA83" s="4" t="str">
        <f>IFERROR(IF(Q83="","",(IF(Q83&gt;2*VLOOKUP(F!$B83,E!$B$1:$AK$300,5,FALSE),1,0))),"")</f>
        <v/>
      </c>
      <c r="AB83" s="4" t="str">
        <f>IFERROR(IF(T83="","",(IF(T83&gt;2*VLOOKUP(F!$B83,E!$B$1:$AK$300,5,FALSE),1,0))),"")</f>
        <v/>
      </c>
      <c r="AC83" s="4" t="str">
        <f>IFERROR(IF(W83="","",(IF(W83&gt;2*VLOOKUP(F!$B83,E!$B$1:$AK$300,5,FALSE),1,0))),"")</f>
        <v/>
      </c>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6" t="str">
        <f t="shared" si="43"/>
        <v>--</v>
      </c>
      <c r="AJ83" s="6" t="str">
        <f>IF(AI83="--","--",IF(F!$D83=131,IF(I83=-1,"rg",IF(I83="","--",IF(I83*1000&lt;1,FIXED(I83*1000,3),IF(I83*1000&lt;10,FIXED(I83*1000,2),(IF(I83*1000&lt;100,FIXED(I83*1000,1),IF(I83*1000&lt;1000,FIXED(I83*1000,0),MROUND(I83*1000,10)))))))),IF(I83=-1,"rg",IF(I83="","--",IF(I83&lt;1,FIXED(I83,3),IF(I83&lt;10,FIXED(I83,2),(IF(I83&lt;100,FIXED(I83,1),IF(I83&lt;1000,FIXED(I83,0),MROUND(I83,10))))))))))</f>
        <v>--</v>
      </c>
      <c r="AK83" s="6" t="str">
        <f t="shared" si="44"/>
        <v>--</v>
      </c>
      <c r="AL83" s="6" t="str">
        <f>IF(AK83="--","--",IF(F!$D83=131,IF(K83=-1,"rg",IF(K83="","--",IF(K83*1000&lt;1,FIXED(K83*1000,3),IF(K83*1000&lt;10,FIXED(K83*1000,2),(IF(K83*1000&lt;100,FIXED(K83*1000,1),IF(K83*1000&lt;1000,FIXED(K83*1000,0),MROUND(K83*1000,10)))))))),IF(K83=-1,"rg",IF(K83="","--",IF(K83&lt;1,FIXED(K83,3),IF(K83&lt;10,FIXED(K83,2),(IF(K83&lt;100,FIXED(K83,1),IF(K83&lt;1000,FIXED(K83,0),MROUND(K83,10))))))))))</f>
        <v>--</v>
      </c>
      <c r="AM83" s="6" t="str">
        <f t="shared" si="45"/>
        <v>--</v>
      </c>
      <c r="AN83" s="6" t="str">
        <f>IF(AM83="--","--",IF(F!$D83=131,IF(M83=-1,"rg",IF(M83="","--",IF(M83*1000&lt;1,FIXED(M83*1000,3),IF(M83*1000&lt;10,FIXED(M83*1000,2),(IF(M83*1000&lt;100,FIXED(M83*1000,1),IF(M83*1000&lt;1000,FIXED(M83*1000,0),MROUND(M83*1000,10)))))))),IF(M83=-1,"rg",IF(M83="","--",IF(M83&lt;1,FIXED(M83,3),IF(M83&lt;10,FIXED(M83,2),(IF(M83&lt;100,FIXED(M83,1),IF(M83&lt;1000,FIXED(M83,0),MROUND(M83,10))))))))))</f>
        <v>--</v>
      </c>
      <c r="AP83" s="6" t="str">
        <f t="shared" si="32"/>
        <v>--</v>
      </c>
      <c r="AQ83" s="6" t="str">
        <f t="shared" si="33"/>
        <v/>
      </c>
      <c r="AR83" s="6" t="str">
        <f t="shared" si="34"/>
        <v>--</v>
      </c>
      <c r="AS83" s="6" t="str">
        <f t="shared" si="35"/>
        <v/>
      </c>
      <c r="AT83" s="6" t="str">
        <f t="shared" si="36"/>
        <v/>
      </c>
      <c r="AU83" s="6" t="str">
        <f>IFERROR(IF(AR83="--","",IF(HLOOKUP(SMALL($Q$4:$Y$4,3),$Q$4:$Y$501,ROW(AP83)-3,FALSE)=0,"",IF(HLOOKUP(SMALL($Q$4:$Y$4,3),$Q$4:$Y$501,ROW(AP83)-3,FALSE)="nee",VLOOKUP("De kwaliteitseis emissiearme grond (maximale concentratie) wordt overschreden.",H!$O$10:'H'!$P$59,2,FALSE),""))),"")</f>
        <v/>
      </c>
      <c r="AV83" s="6" t="str">
        <f t="shared" si="26"/>
        <v>--</v>
      </c>
      <c r="AW83" s="6" t="str">
        <f t="shared" si="27"/>
        <v/>
      </c>
      <c r="AX83" s="6" t="str">
        <f t="shared" si="28"/>
        <v>--</v>
      </c>
      <c r="AY83" s="6" t="str">
        <f t="shared" si="37"/>
        <v/>
      </c>
      <c r="AZ83" s="6" t="str">
        <f t="shared" si="38"/>
        <v/>
      </c>
      <c r="BA83" s="6" t="str">
        <f>IFERROR(IF(AR83="--","",IF(HLOOKUP(SMALL($Q$4:$Y$4,6),$Q$4:$Y$501,ROW(AP83)-3,FALSE)=0,"",IF(HLOOKUP(SMALL($Q$4:$Y$4,6),$Q$4:$Y$501,ROW(AP83)-3,FALSE)="nee",VLOOKUP("De kwaliteitseis emissiearme grond (maximale concentratie) wordt overschreden.",H!$O$10:'H'!$P$59,2,FALSE),""))),"")</f>
        <v/>
      </c>
      <c r="BB83" s="6" t="str">
        <f t="shared" si="29"/>
        <v>--</v>
      </c>
      <c r="BC83" s="6" t="str">
        <f t="shared" si="30"/>
        <v/>
      </c>
      <c r="BD83" s="6" t="str">
        <f t="shared" si="31"/>
        <v>--</v>
      </c>
      <c r="BE83" s="6" t="str">
        <f t="shared" si="39"/>
        <v/>
      </c>
      <c r="BF83" s="6" t="str">
        <f t="shared" si="40"/>
        <v/>
      </c>
      <c r="BG83" s="4" t="str">
        <f>IFERROR(IF(AR83="--","",IF(HLOOKUP(SMALL($Q$4:$Y$4,9),$Q$4:$Y$501,ROW(AP83)-3,FALSE)=0,"",IF(HLOOKUP(SMALL($Q$4:$Y$4,9),$Q$4:$Y$501,ROW(AP83)-3,FALSE)="nee",VLOOKUP("De kwaliteitseis emissiearme grond (maximale concentratie) wordt overschreden.",H!$O$10:'H'!$P$59,2,FALSE),""))),"")</f>
        <v/>
      </c>
    </row>
    <row r="84" spans="1:59" x14ac:dyDescent="0.2">
      <c r="A84" s="4" t="str">
        <f>F!A84</f>
        <v>1,3-Dichloorpropeen</v>
      </c>
      <c r="B84" s="6" t="str">
        <f>IF(ISNUMBER(F!E84)=FALSE,"--",IF(F!E84=0,"--",F!E84))</f>
        <v>--</v>
      </c>
      <c r="C84" s="6" t="str">
        <f>IF(B84="--","",F!F84)</f>
        <v/>
      </c>
      <c r="D84" s="6" t="str">
        <f>IF(ISNUMBER(F!G84)=FALSE,"--",IF(F!G84=0,"--",F!G84))</f>
        <v>--</v>
      </c>
      <c r="E84" s="6" t="str">
        <f>IF(D84="--","",F!H84)</f>
        <v/>
      </c>
      <c r="F84" s="6" t="str">
        <f>IF(ISNUMBER(F!I84)=FALSE,"--",IF(F!I84=0,"--",F!I84))</f>
        <v>--</v>
      </c>
      <c r="G84" s="6" t="str">
        <f>IF(F84="--","",F!J84)</f>
        <v/>
      </c>
      <c r="H84" s="6"/>
      <c r="I84" s="6">
        <f>IF(F!Z84=-1,-1,F!AV84)</f>
        <v>0</v>
      </c>
      <c r="J84" s="6"/>
      <c r="K84" s="6">
        <f>IF(F!AC84=-1,-1,F!AX84)</f>
        <v>0</v>
      </c>
      <c r="L84" s="6"/>
      <c r="M84" s="6">
        <f>IF(F!AF84=-1,-1,F!AZ84)</f>
        <v>0</v>
      </c>
      <c r="N84" s="6"/>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6">
        <f t="shared" si="46"/>
        <v>0</v>
      </c>
      <c r="R84" s="5" t="str">
        <f>IF($B84="--","",IF($P84="toetsen",toetsen(F!$B84,Q84),IF($P84="toetsen alleen IW",toetsen_alleen_IW(F!$B84,Q84),IF($P84="toetsen alleen LN",toetsen_alleen_LN(F!$B84,Q84),IF($P84="toetsen geen MV en SV",toetsen_geen_MV_en_SV(F!$B84,Q84),IF($P84="toetsen alleen MV en SV",toetsen_alleen_MV_en_SV(F!$B84,Q84),""))))))</f>
        <v/>
      </c>
      <c r="S84" s="5" t="str">
        <f>IF($P84="toetsen",IF(OR(Q84="",VLOOKUP(F!$B84,E!$B$1:$AK$300,10,FALSE)=1000000000),"",IF(Q84&lt;=VLOOKUP(F!$B84,E!$B$1:$AK$300,10,FALSE),"ja","nee")),"")</f>
        <v/>
      </c>
      <c r="T84" s="87">
        <f t="shared" si="41"/>
        <v>0</v>
      </c>
      <c r="U84" s="5" t="str">
        <f>IF($D84="--","",IF($P84="toetsen",toetsen(F!$B84,T84),IF($P84="toetsen alleen IW",toetsen_alleen_IW(F!$B84,T84),IF($P84="toetsen alleen LN",toetsen_alleen_LN(F!$B84,T84),IF($P84="toetsen geen MV en SV",toetsen_geen_MV_en_SV(F!$B84,T84),IF($P84="toetsen alleen MV en SV",toetsen_alleen_MV_en_SV(F!$B84,T84),""))))))</f>
        <v/>
      </c>
      <c r="V84" s="5" t="str">
        <f>IF($P84="toetsen",IF(OR(T84="",VLOOKUP(F!$B84,E!$B$1:$AK$300,10,FALSE)=1000000000),"",IF(T84&lt;=VLOOKUP(F!$B84,E!$B$1:$AK$300,10,FALSE),"ja","nee")),"")</f>
        <v/>
      </c>
      <c r="W84" s="6">
        <f t="shared" si="42"/>
        <v>0</v>
      </c>
      <c r="X84" s="5" t="str">
        <f>IF($F84="--","",IF($P84="toetsen",toetsen(F!$B84,W84),IF($P84="toetsen alleen IW",toetsen_alleen_IW(F!$B84,W84),IF($P84="toetsen alleen LN",toetsen_alleen_LN(F!$B84,W84),IF($P84="toetsen geen MV en SV",toetsen_geen_MV_en_SV(F!$B84,W84),IF($P84="toetsen alleen MV en SV",toetsen_alleen_MV_en_SV(F!$B84,W84),""))))))</f>
        <v/>
      </c>
      <c r="Y84" s="5" t="str">
        <f>IF($P84="toetsen",IF(OR(W84="",VLOOKUP(F!$B84,E!$B$1:$AK$300,10,FALSE)=1000000000),"",IF(W84&lt;=VLOOKUP(F!$B84,E!$B$1:$AK$300,10,FALSE),"ja","nee")),"")</f>
        <v/>
      </c>
      <c r="AA84" s="4" t="str">
        <f>IFERROR(IF(Q84="","",(IF(Q84&gt;2*VLOOKUP(F!$B84,E!$B$1:$AK$300,5,FALSE),1,0))),"")</f>
        <v/>
      </c>
      <c r="AB84" s="4" t="str">
        <f>IFERROR(IF(T84="","",(IF(T84&gt;2*VLOOKUP(F!$B84,E!$B$1:$AK$300,5,FALSE),1,0))),"")</f>
        <v/>
      </c>
      <c r="AC84" s="4" t="str">
        <f>IFERROR(IF(W84="","",(IF(W84&gt;2*VLOOKUP(F!$B84,E!$B$1:$AK$300,5,FALSE),1,0))),"")</f>
        <v/>
      </c>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6" t="str">
        <f t="shared" si="43"/>
        <v>--</v>
      </c>
      <c r="AJ84" s="6" t="str">
        <f>IF(AI84="--","--",IF(F!$D84=131,IF(I84=-1,"rg",IF(I84="","--",IF(I84*1000&lt;1,FIXED(I84*1000,3),IF(I84*1000&lt;10,FIXED(I84*1000,2),(IF(I84*1000&lt;100,FIXED(I84*1000,1),IF(I84*1000&lt;1000,FIXED(I84*1000,0),MROUND(I84*1000,10)))))))),IF(I84=-1,"rg",IF(I84="","--",IF(I84&lt;1,FIXED(I84,3),IF(I84&lt;10,FIXED(I84,2),(IF(I84&lt;100,FIXED(I84,1),IF(I84&lt;1000,FIXED(I84,0),MROUND(I84,10))))))))))</f>
        <v>--</v>
      </c>
      <c r="AK84" s="6" t="str">
        <f t="shared" si="44"/>
        <v>--</v>
      </c>
      <c r="AL84" s="6" t="str">
        <f>IF(AK84="--","--",IF(F!$D84=131,IF(K84=-1,"rg",IF(K84="","--",IF(K84*1000&lt;1,FIXED(K84*1000,3),IF(K84*1000&lt;10,FIXED(K84*1000,2),(IF(K84*1000&lt;100,FIXED(K84*1000,1),IF(K84*1000&lt;1000,FIXED(K84*1000,0),MROUND(K84*1000,10)))))))),IF(K84=-1,"rg",IF(K84="","--",IF(K84&lt;1,FIXED(K84,3),IF(K84&lt;10,FIXED(K84,2),(IF(K84&lt;100,FIXED(K84,1),IF(K84&lt;1000,FIXED(K84,0),MROUND(K84,10))))))))))</f>
        <v>--</v>
      </c>
      <c r="AM84" s="6" t="str">
        <f t="shared" si="45"/>
        <v>--</v>
      </c>
      <c r="AN84" s="6" t="str">
        <f>IF(AM84="--","--",IF(F!$D84=131,IF(M84=-1,"rg",IF(M84="","--",IF(M84*1000&lt;1,FIXED(M84*1000,3),IF(M84*1000&lt;10,FIXED(M84*1000,2),(IF(M84*1000&lt;100,FIXED(M84*1000,1),IF(M84*1000&lt;1000,FIXED(M84*1000,0),MROUND(M84*1000,10)))))))),IF(M84=-1,"rg",IF(M84="","--",IF(M84&lt;1,FIXED(M84,3),IF(M84&lt;10,FIXED(M84,2),(IF(M84&lt;100,FIXED(M84,1),IF(M84&lt;1000,FIXED(M84,0),MROUND(M84,10))))))))))</f>
        <v>--</v>
      </c>
      <c r="AP84" s="6" t="str">
        <f t="shared" si="32"/>
        <v>--</v>
      </c>
      <c r="AQ84" s="6" t="str">
        <f t="shared" si="33"/>
        <v/>
      </c>
      <c r="AR84" s="6" t="str">
        <f t="shared" si="34"/>
        <v>--</v>
      </c>
      <c r="AS84" s="6" t="str">
        <f t="shared" si="35"/>
        <v/>
      </c>
      <c r="AT84" s="6" t="str">
        <f t="shared" si="36"/>
        <v/>
      </c>
      <c r="AU84" s="6" t="str">
        <f>IFERROR(IF(AR84="--","",IF(HLOOKUP(SMALL($Q$4:$Y$4,3),$Q$4:$Y$501,ROW(AP84)-3,FALSE)=0,"",IF(HLOOKUP(SMALL($Q$4:$Y$4,3),$Q$4:$Y$501,ROW(AP84)-3,FALSE)="nee",VLOOKUP("De kwaliteitseis emissiearme grond (maximale concentratie) wordt overschreden.",H!$O$10:'H'!$P$59,2,FALSE),""))),"")</f>
        <v/>
      </c>
      <c r="AV84" s="6" t="str">
        <f t="shared" si="26"/>
        <v>--</v>
      </c>
      <c r="AW84" s="6" t="str">
        <f t="shared" si="27"/>
        <v/>
      </c>
      <c r="AX84" s="6" t="str">
        <f t="shared" si="28"/>
        <v>--</v>
      </c>
      <c r="AY84" s="6" t="str">
        <f t="shared" si="37"/>
        <v/>
      </c>
      <c r="AZ84" s="6" t="str">
        <f t="shared" si="38"/>
        <v/>
      </c>
      <c r="BA84" s="6" t="str">
        <f>IFERROR(IF(AR84="--","",IF(HLOOKUP(SMALL($Q$4:$Y$4,6),$Q$4:$Y$501,ROW(AP84)-3,FALSE)=0,"",IF(HLOOKUP(SMALL($Q$4:$Y$4,6),$Q$4:$Y$501,ROW(AP84)-3,FALSE)="nee",VLOOKUP("De kwaliteitseis emissiearme grond (maximale concentratie) wordt overschreden.",H!$O$10:'H'!$P$59,2,FALSE),""))),"")</f>
        <v/>
      </c>
      <c r="BB84" s="6" t="str">
        <f t="shared" si="29"/>
        <v>--</v>
      </c>
      <c r="BC84" s="6" t="str">
        <f t="shared" si="30"/>
        <v/>
      </c>
      <c r="BD84" s="6" t="str">
        <f t="shared" si="31"/>
        <v>--</v>
      </c>
      <c r="BE84" s="6" t="str">
        <f t="shared" si="39"/>
        <v/>
      </c>
      <c r="BF84" s="6" t="str">
        <f t="shared" si="40"/>
        <v/>
      </c>
      <c r="BG84" s="4" t="str">
        <f>IFERROR(IF(AR84="--","",IF(HLOOKUP(SMALL($Q$4:$Y$4,9),$Q$4:$Y$501,ROW(AP84)-3,FALSE)=0,"",IF(HLOOKUP(SMALL($Q$4:$Y$4,9),$Q$4:$Y$501,ROW(AP84)-3,FALSE)="nee",VLOOKUP("De kwaliteitseis emissiearme grond (maximale concentratie) wordt overschreden.",H!$O$10:'H'!$P$59,2,FALSE),""))),"")</f>
        <v/>
      </c>
    </row>
    <row r="85" spans="1:59" x14ac:dyDescent="0.2">
      <c r="A85" s="4" t="str">
        <f>F!A85</f>
        <v>1,2-Dibroom-3-chloorpropaan</v>
      </c>
      <c r="B85" s="6" t="str">
        <f>IF(ISNUMBER(F!E85)=FALSE,"--",IF(F!E85=0,"--",F!E85))</f>
        <v>--</v>
      </c>
      <c r="C85" s="6" t="str">
        <f>IF(B85="--","",F!F85)</f>
        <v/>
      </c>
      <c r="D85" s="6" t="str">
        <f>IF(ISNUMBER(F!G85)=FALSE,"--",IF(F!G85=0,"--",F!G85))</f>
        <v>--</v>
      </c>
      <c r="E85" s="6" t="str">
        <f>IF(D85="--","",F!H85)</f>
        <v/>
      </c>
      <c r="F85" s="6" t="str">
        <f>IF(ISNUMBER(F!I85)=FALSE,"--",IF(F!I85=0,"--",F!I85))</f>
        <v>--</v>
      </c>
      <c r="G85" s="6" t="str">
        <f>IF(F85="--","",F!J85)</f>
        <v/>
      </c>
      <c r="H85" s="6"/>
      <c r="I85" s="6" t="str">
        <f>IF(F!Z85=-1,-1,F!AV85)</f>
        <v/>
      </c>
      <c r="J85" s="6"/>
      <c r="K85" s="6" t="str">
        <f>IF(F!AC85=-1,-1,F!AX85)</f>
        <v/>
      </c>
      <c r="L85" s="6"/>
      <c r="M85" s="6" t="str">
        <f>IF(F!AF85=-1,-1,F!AZ85)</f>
        <v/>
      </c>
      <c r="N85" s="6"/>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6" t="str">
        <f t="shared" si="46"/>
        <v/>
      </c>
      <c r="R85" s="5" t="str">
        <f>IF($B85="--","",IF($P85="toetsen",toetsen(F!$B85,Q85),IF($P85="toetsen alleen IW",toetsen_alleen_IW(F!$B85,Q85),IF($P85="toetsen alleen LN",toetsen_alleen_LN(F!$B85,Q85),IF($P85="toetsen geen MV en SV",toetsen_geen_MV_en_SV(F!$B85,Q85),IF($P85="toetsen alleen MV en SV",toetsen_alleen_MV_en_SV(F!$B85,Q85),""))))))</f>
        <v/>
      </c>
      <c r="S85" s="5" t="str">
        <f>IF($P85="toetsen",IF(OR(Q85="",VLOOKUP(F!$B85,E!$B$1:$AK$300,10,FALSE)=1000000000),"",IF(Q85&lt;=VLOOKUP(F!$B85,E!$B$1:$AK$300,10,FALSE),"ja","nee")),"")</f>
        <v/>
      </c>
      <c r="T85" s="87" t="str">
        <f t="shared" si="41"/>
        <v/>
      </c>
      <c r="U85" s="5" t="str">
        <f>IF($D85="--","",IF($P85="toetsen",toetsen(F!$B85,T85),IF($P85="toetsen alleen IW",toetsen_alleen_IW(F!$B85,T85),IF($P85="toetsen alleen LN",toetsen_alleen_LN(F!$B85,T85),IF($P85="toetsen geen MV en SV",toetsen_geen_MV_en_SV(F!$B85,T85),IF($P85="toetsen alleen MV en SV",toetsen_alleen_MV_en_SV(F!$B85,T85),""))))))</f>
        <v/>
      </c>
      <c r="V85" s="5" t="str">
        <f>IF($P85="toetsen",IF(OR(T85="",VLOOKUP(F!$B85,E!$B$1:$AK$300,10,FALSE)=1000000000),"",IF(T85&lt;=VLOOKUP(F!$B85,E!$B$1:$AK$300,10,FALSE),"ja","nee")),"")</f>
        <v/>
      </c>
      <c r="W85" s="6" t="str">
        <f t="shared" si="42"/>
        <v/>
      </c>
      <c r="X85" s="5" t="str">
        <f>IF($F85="--","",IF($P85="toetsen",toetsen(F!$B85,W85),IF($P85="toetsen alleen IW",toetsen_alleen_IW(F!$B85,W85),IF($P85="toetsen alleen LN",toetsen_alleen_LN(F!$B85,W85),IF($P85="toetsen geen MV en SV",toetsen_geen_MV_en_SV(F!$B85,W85),IF($P85="toetsen alleen MV en SV",toetsen_alleen_MV_en_SV(F!$B85,W85),""))))))</f>
        <v/>
      </c>
      <c r="Y85" s="5" t="str">
        <f>IF($P85="toetsen",IF(OR(W85="",VLOOKUP(F!$B85,E!$B$1:$AK$300,10,FALSE)=1000000000),"",IF(W85&lt;=VLOOKUP(F!$B85,E!$B$1:$AK$300,10,FALSE),"ja","nee")),"")</f>
        <v/>
      </c>
      <c r="AA85" s="4" t="str">
        <f>IFERROR(IF(Q85="","",(IF(Q85&gt;2*VLOOKUP(F!$B85,E!$B$1:$AK$300,5,FALSE),1,0))),"")</f>
        <v/>
      </c>
      <c r="AB85" s="4" t="str">
        <f>IFERROR(IF(T85="","",(IF(T85&gt;2*VLOOKUP(F!$B85,E!$B$1:$AK$300,5,FALSE),1,0))),"")</f>
        <v/>
      </c>
      <c r="AC85" s="4" t="str">
        <f>IFERROR(IF(W85="","",(IF(W85&gt;2*VLOOKUP(F!$B85,E!$B$1:$AK$300,5,FALSE),1,0))),"")</f>
        <v/>
      </c>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6" t="str">
        <f t="shared" si="43"/>
        <v>--</v>
      </c>
      <c r="AJ85" s="6" t="str">
        <f>IF(AI85="--","--",IF(F!$D85=131,IF(I85=-1,"rg",IF(I85="","--",IF(I85*1000&lt;1,FIXED(I85*1000,3),IF(I85*1000&lt;10,FIXED(I85*1000,2),(IF(I85*1000&lt;100,FIXED(I85*1000,1),IF(I85*1000&lt;1000,FIXED(I85*1000,0),MROUND(I85*1000,10)))))))),IF(I85=-1,"rg",IF(I85="","--",IF(I85&lt;1,FIXED(I85,3),IF(I85&lt;10,FIXED(I85,2),(IF(I85&lt;100,FIXED(I85,1),IF(I85&lt;1000,FIXED(I85,0),MROUND(I85,10))))))))))</f>
        <v>--</v>
      </c>
      <c r="AK85" s="6" t="str">
        <f t="shared" si="44"/>
        <v>--</v>
      </c>
      <c r="AL85" s="6" t="str">
        <f>IF(AK85="--","--",IF(F!$D85=131,IF(K85=-1,"rg",IF(K85="","--",IF(K85*1000&lt;1,FIXED(K85*1000,3),IF(K85*1000&lt;10,FIXED(K85*1000,2),(IF(K85*1000&lt;100,FIXED(K85*1000,1),IF(K85*1000&lt;1000,FIXED(K85*1000,0),MROUND(K85*1000,10)))))))),IF(K85=-1,"rg",IF(K85="","--",IF(K85&lt;1,FIXED(K85,3),IF(K85&lt;10,FIXED(K85,2),(IF(K85&lt;100,FIXED(K85,1),IF(K85&lt;1000,FIXED(K85,0),MROUND(K85,10))))))))))</f>
        <v>--</v>
      </c>
      <c r="AM85" s="6" t="str">
        <f t="shared" si="45"/>
        <v>--</v>
      </c>
      <c r="AN85" s="6" t="str">
        <f>IF(AM85="--","--",IF(F!$D85=131,IF(M85=-1,"rg",IF(M85="","--",IF(M85*1000&lt;1,FIXED(M85*1000,3),IF(M85*1000&lt;10,FIXED(M85*1000,2),(IF(M85*1000&lt;100,FIXED(M85*1000,1),IF(M85*1000&lt;1000,FIXED(M85*1000,0),MROUND(M85*1000,10)))))))),IF(M85=-1,"rg",IF(M85="","--",IF(M85&lt;1,FIXED(M85,3),IF(M85&lt;10,FIXED(M85,2),(IF(M85&lt;100,FIXED(M85,1),IF(M85&lt;1000,FIXED(M85,0),MROUND(M85,10))))))))))</f>
        <v>--</v>
      </c>
      <c r="AP85" s="6" t="str">
        <f t="shared" si="32"/>
        <v>--</v>
      </c>
      <c r="AQ85" s="6" t="str">
        <f t="shared" si="33"/>
        <v/>
      </c>
      <c r="AR85" s="6" t="str">
        <f t="shared" si="34"/>
        <v>--</v>
      </c>
      <c r="AS85" s="6" t="str">
        <f t="shared" si="35"/>
        <v/>
      </c>
      <c r="AT85" s="6" t="str">
        <f t="shared" si="36"/>
        <v/>
      </c>
      <c r="AU85" s="6" t="str">
        <f>IFERROR(IF(AR85="--","",IF(HLOOKUP(SMALL($Q$4:$Y$4,3),$Q$4:$Y$501,ROW(AP85)-3,FALSE)=0,"",IF(HLOOKUP(SMALL($Q$4:$Y$4,3),$Q$4:$Y$501,ROW(AP85)-3,FALSE)="nee",VLOOKUP("De kwaliteitseis emissiearme grond (maximale concentratie) wordt overschreden.",H!$O$10:'H'!$P$59,2,FALSE),""))),"")</f>
        <v/>
      </c>
      <c r="AV85" s="6" t="str">
        <f t="shared" si="26"/>
        <v>--</v>
      </c>
      <c r="AW85" s="6" t="str">
        <f t="shared" si="27"/>
        <v/>
      </c>
      <c r="AX85" s="6" t="str">
        <f t="shared" si="28"/>
        <v>--</v>
      </c>
      <c r="AY85" s="6" t="str">
        <f t="shared" si="37"/>
        <v/>
      </c>
      <c r="AZ85" s="6" t="str">
        <f t="shared" si="38"/>
        <v/>
      </c>
      <c r="BA85" s="6" t="str">
        <f>IFERROR(IF(AR85="--","",IF(HLOOKUP(SMALL($Q$4:$Y$4,6),$Q$4:$Y$501,ROW(AP85)-3,FALSE)=0,"",IF(HLOOKUP(SMALL($Q$4:$Y$4,6),$Q$4:$Y$501,ROW(AP85)-3,FALSE)="nee",VLOOKUP("De kwaliteitseis emissiearme grond (maximale concentratie) wordt overschreden.",H!$O$10:'H'!$P$59,2,FALSE),""))),"")</f>
        <v/>
      </c>
      <c r="BB85" s="6" t="str">
        <f t="shared" si="29"/>
        <v>--</v>
      </c>
      <c r="BC85" s="6" t="str">
        <f t="shared" si="30"/>
        <v/>
      </c>
      <c r="BD85" s="6" t="str">
        <f t="shared" si="31"/>
        <v>--</v>
      </c>
      <c r="BE85" s="6" t="str">
        <f t="shared" si="39"/>
        <v/>
      </c>
      <c r="BF85" s="6"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6" t="str">
        <f>IF(ISNUMBER(F!E86)=FALSE,"--",IF(F!E86=0,"--",F!E86))</f>
        <v>--</v>
      </c>
      <c r="C86" s="6" t="str">
        <f>IF(B86="--","",F!F86)</f>
        <v/>
      </c>
      <c r="D86" s="6" t="str">
        <f>IF(ISNUMBER(F!G86)=FALSE,"--",IF(F!G86=0,"--",F!G86))</f>
        <v>--</v>
      </c>
      <c r="E86" s="6" t="str">
        <f>IF(D86="--","",F!H86)</f>
        <v/>
      </c>
      <c r="F86" s="6" t="str">
        <f>IF(ISNUMBER(F!I86)=FALSE,"--",IF(F!I86=0,"--",F!I86))</f>
        <v>--</v>
      </c>
      <c r="G86" s="6" t="str">
        <f>IF(F86="--","",F!J86)</f>
        <v/>
      </c>
      <c r="H86" s="6"/>
      <c r="I86" s="6" t="str">
        <f>IF(F!Z86=-1,-1,F!AV86)</f>
        <v/>
      </c>
      <c r="J86" s="6"/>
      <c r="K86" s="6" t="str">
        <f>IF(F!AC86=-1,-1,F!AX86)</f>
        <v/>
      </c>
      <c r="L86" s="6"/>
      <c r="M86" s="6" t="str">
        <f>IF(F!AF86=-1,-1,F!AZ86)</f>
        <v/>
      </c>
      <c r="N86" s="6"/>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6" t="str">
        <f t="shared" si="46"/>
        <v/>
      </c>
      <c r="R86" s="5" t="str">
        <f>IF($B86="--","",IF($P86="toetsen",toetsen(F!$B86,Q86),IF($P86="toetsen alleen IW",toetsen_alleen_IW(F!$B86,Q86),IF($P86="toetsen alleen LN",toetsen_alleen_LN(F!$B86,Q86),IF($P86="toetsen geen MV en SV",toetsen_geen_MV_en_SV(F!$B86,Q86),IF($P86="toetsen alleen MV en SV",toetsen_alleen_MV_en_SV(F!$B86,Q86),""))))))</f>
        <v/>
      </c>
      <c r="S86" s="5" t="str">
        <f>IF($P86="toetsen",IF(OR(Q86="",VLOOKUP(F!$B86,E!$B$1:$AK$300,10,FALSE)=1000000000),"",IF(Q86&lt;=VLOOKUP(F!$B86,E!$B$1:$AK$300,10,FALSE),"ja","nee")),"")</f>
        <v/>
      </c>
      <c r="T86" s="87" t="str">
        <f t="shared" si="41"/>
        <v/>
      </c>
      <c r="U86" s="5" t="str">
        <f>IF($D86="--","",IF($P86="toetsen",toetsen(F!$B86,T86),IF($P86="toetsen alleen IW",toetsen_alleen_IW(F!$B86,T86),IF($P86="toetsen alleen LN",toetsen_alleen_LN(F!$B86,T86),IF($P86="toetsen geen MV en SV",toetsen_geen_MV_en_SV(F!$B86,T86),IF($P86="toetsen alleen MV en SV",toetsen_alleen_MV_en_SV(F!$B86,T86),""))))))</f>
        <v/>
      </c>
      <c r="V86" s="5" t="str">
        <f>IF($P86="toetsen",IF(OR(T86="",VLOOKUP(F!$B86,E!$B$1:$AK$300,10,FALSE)=1000000000),"",IF(T86&lt;=VLOOKUP(F!$B86,E!$B$1:$AK$300,10,FALSE),"ja","nee")),"")</f>
        <v/>
      </c>
      <c r="W86" s="6" t="str">
        <f t="shared" si="42"/>
        <v/>
      </c>
      <c r="X86" s="5" t="str">
        <f>IF($F86="--","",IF($P86="toetsen",toetsen(F!$B86,W86),IF($P86="toetsen alleen IW",toetsen_alleen_IW(F!$B86,W86),IF($P86="toetsen alleen LN",toetsen_alleen_LN(F!$B86,W86),IF($P86="toetsen geen MV en SV",toetsen_geen_MV_en_SV(F!$B86,W86),IF($P86="toetsen alleen MV en SV",toetsen_alleen_MV_en_SV(F!$B86,W86),""))))))</f>
        <v/>
      </c>
      <c r="Y86" s="5" t="str">
        <f>IF($P86="toetsen",IF(OR(W86="",VLOOKUP(F!$B86,E!$B$1:$AK$300,10,FALSE)=1000000000),"",IF(W86&lt;=VLOOKUP(F!$B86,E!$B$1:$AK$300,10,FALSE),"ja","nee")),"")</f>
        <v/>
      </c>
      <c r="AA86" s="4"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6" t="str">
        <f t="shared" si="43"/>
        <v>--</v>
      </c>
      <c r="AJ86" s="6" t="str">
        <f>IF(AI86="--","--",IF(F!$D86=131,IF(I86=-1,"rg",IF(I86="","--",IF(I86*1000&lt;1,FIXED(I86*1000,3),IF(I86*1000&lt;10,FIXED(I86*1000,2),(IF(I86*1000&lt;100,FIXED(I86*1000,1),IF(I86*1000&lt;1000,FIXED(I86*1000,0),MROUND(I86*1000,10)))))))),IF(I86=-1,"rg",IF(I86="","--",IF(I86&lt;1,FIXED(I86,3),IF(I86&lt;10,FIXED(I86,2),(IF(I86&lt;100,FIXED(I86,1),IF(I86&lt;1000,FIXED(I86,0),MROUND(I86,10))))))))))</f>
        <v>--</v>
      </c>
      <c r="AK86" s="6" t="str">
        <f t="shared" si="44"/>
        <v>--</v>
      </c>
      <c r="AL86" s="6" t="str">
        <f>IF(AK86="--","--",IF(F!$D86=131,IF(K86=-1,"rg",IF(K86="","--",IF(K86*1000&lt;1,FIXED(K86*1000,3),IF(K86*1000&lt;10,FIXED(K86*1000,2),(IF(K86*1000&lt;100,FIXED(K86*1000,1),IF(K86*1000&lt;1000,FIXED(K86*1000,0),MROUND(K86*1000,10)))))))),IF(K86=-1,"rg",IF(K86="","--",IF(K86&lt;1,FIXED(K86,3),IF(K86&lt;10,FIXED(K86,2),(IF(K86&lt;100,FIXED(K86,1),IF(K86&lt;1000,FIXED(K86,0),MROUND(K86,10))))))))))</f>
        <v>--</v>
      </c>
      <c r="AM86" s="6" t="str">
        <f t="shared" si="45"/>
        <v>--</v>
      </c>
      <c r="AN86" s="6" t="str">
        <f>IF(AM86="--","--",IF(F!$D86=131,IF(M86=-1,"rg",IF(M86="","--",IF(M86*1000&lt;1,FIXED(M86*1000,3),IF(M86*1000&lt;10,FIXED(M86*1000,2),(IF(M86*1000&lt;100,FIXED(M86*1000,1),IF(M86*1000&lt;1000,FIXED(M86*1000,0),MROUND(M86*1000,10)))))))),IF(M86=-1,"rg",IF(M86="","--",IF(M86&lt;1,FIXED(M86,3),IF(M86&lt;10,FIXED(M86,2),(IF(M86&lt;100,FIXED(M86,1),IF(M86&lt;1000,FIXED(M86,0),MROUND(M86,10))))))))))</f>
        <v>--</v>
      </c>
      <c r="AP86" s="6" t="str">
        <f t="shared" si="32"/>
        <v>--</v>
      </c>
      <c r="AQ86" s="6" t="str">
        <f t="shared" si="33"/>
        <v/>
      </c>
      <c r="AR86" s="6" t="str">
        <f t="shared" si="34"/>
        <v>--</v>
      </c>
      <c r="AS86" s="6" t="str">
        <f t="shared" si="35"/>
        <v/>
      </c>
      <c r="AT86" s="6" t="str">
        <f t="shared" si="36"/>
        <v/>
      </c>
      <c r="AU86" s="6" t="str">
        <f>IFERROR(IF(AR86="--","",IF(HLOOKUP(SMALL($Q$4:$Y$4,3),$Q$4:$Y$501,ROW(AP86)-3,FALSE)=0,"",IF(HLOOKUP(SMALL($Q$4:$Y$4,3),$Q$4:$Y$501,ROW(AP86)-3,FALSE)="nee",VLOOKUP("De kwaliteitseis emissiearme grond (maximale concentratie) wordt overschreden.",H!$O$10:'H'!$P$59,2,FALSE),""))),"")</f>
        <v/>
      </c>
      <c r="AV86" s="6" t="str">
        <f t="shared" si="26"/>
        <v>--</v>
      </c>
      <c r="AW86" s="6" t="str">
        <f t="shared" si="27"/>
        <v/>
      </c>
      <c r="AX86" s="6" t="str">
        <f t="shared" si="28"/>
        <v>--</v>
      </c>
      <c r="AY86" s="6" t="str">
        <f t="shared" si="37"/>
        <v/>
      </c>
      <c r="AZ86" s="6" t="str">
        <f t="shared" si="38"/>
        <v/>
      </c>
      <c r="BA86" s="6" t="str">
        <f>IFERROR(IF(AR86="--","",IF(HLOOKUP(SMALL($Q$4:$Y$4,6),$Q$4:$Y$501,ROW(AP86)-3,FALSE)=0,"",IF(HLOOKUP(SMALL($Q$4:$Y$4,6),$Q$4:$Y$501,ROW(AP86)-3,FALSE)="nee",VLOOKUP("De kwaliteitseis emissiearme grond (maximale concentratie) wordt overschreden.",H!$O$10:'H'!$P$59,2,FALSE),""))),"")</f>
        <v/>
      </c>
      <c r="BB86" s="6" t="str">
        <f t="shared" si="29"/>
        <v>--</v>
      </c>
      <c r="BC86" s="6" t="str">
        <f t="shared" si="30"/>
        <v/>
      </c>
      <c r="BD86" s="6" t="str">
        <f t="shared" si="31"/>
        <v>--</v>
      </c>
      <c r="BE86" s="6" t="str">
        <f t="shared" si="39"/>
        <v/>
      </c>
      <c r="BF86" s="6"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6" t="str">
        <f>IF(ISNUMBER(F!E87)=FALSE,"--",IF(F!E87=0,"--",F!E87))</f>
        <v>--</v>
      </c>
      <c r="C87" s="6" t="str">
        <f>IF(B87="--","",F!F87)</f>
        <v/>
      </c>
      <c r="D87" s="6" t="str">
        <f>IF(ISNUMBER(F!G87)=FALSE,"--",IF(F!G87=0,"--",F!G87))</f>
        <v>--</v>
      </c>
      <c r="E87" s="6" t="str">
        <f>IF(D87="--","",F!H87)</f>
        <v/>
      </c>
      <c r="F87" s="6" t="str">
        <f>IF(ISNUMBER(F!I87)=FALSE,"--",IF(F!I87=0,"--",F!I87))</f>
        <v>--</v>
      </c>
      <c r="G87" s="6" t="str">
        <f>IF(F87="--","",F!J87)</f>
        <v/>
      </c>
      <c r="H87" s="6"/>
      <c r="I87" s="6" t="str">
        <f>IF(F!Z87=-1,-1,F!AV87)</f>
        <v/>
      </c>
      <c r="J87" s="6"/>
      <c r="K87" s="6" t="str">
        <f>IF(F!AC87=-1,-1,F!AX87)</f>
        <v/>
      </c>
      <c r="L87" s="6"/>
      <c r="M87" s="6" t="str">
        <f>IF(F!AF87=-1,-1,F!AZ87)</f>
        <v/>
      </c>
      <c r="N87" s="6"/>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6" t="str">
        <f t="shared" si="46"/>
        <v/>
      </c>
      <c r="R87" s="5" t="str">
        <f>IF($B87="--","",IF($P87="toetsen",toetsen(F!$B87,Q87),IF($P87="toetsen alleen IW",toetsen_alleen_IW(F!$B87,Q87),IF($P87="toetsen alleen LN",toetsen_alleen_LN(F!$B87,Q87),IF($P87="toetsen geen MV en SV",toetsen_geen_MV_en_SV(F!$B87,Q87),IF($P87="toetsen alleen MV en SV",toetsen_alleen_MV_en_SV(F!$B87,Q87),""))))))</f>
        <v/>
      </c>
      <c r="S87" s="5" t="str">
        <f>IF($P87="toetsen",IF(OR(Q87="",VLOOKUP(F!$B87,E!$B$1:$AK$300,10,FALSE)=1000000000),"",IF(Q87&lt;=VLOOKUP(F!$B87,E!$B$1:$AK$300,10,FALSE),"ja","nee")),"")</f>
        <v/>
      </c>
      <c r="T87" s="87" t="str">
        <f t="shared" si="41"/>
        <v/>
      </c>
      <c r="U87" s="5" t="str">
        <f>IF($D87="--","",IF($P87="toetsen",toetsen(F!$B87,T87),IF($P87="toetsen alleen IW",toetsen_alleen_IW(F!$B87,T87),IF($P87="toetsen alleen LN",toetsen_alleen_LN(F!$B87,T87),IF($P87="toetsen geen MV en SV",toetsen_geen_MV_en_SV(F!$B87,T87),IF($P87="toetsen alleen MV en SV",toetsen_alleen_MV_en_SV(F!$B87,T87),""))))))</f>
        <v/>
      </c>
      <c r="V87" s="5" t="str">
        <f>IF($P87="toetsen",IF(OR(T87="",VLOOKUP(F!$B87,E!$B$1:$AK$300,10,FALSE)=1000000000),"",IF(T87&lt;=VLOOKUP(F!$B87,E!$B$1:$AK$300,10,FALSE),"ja","nee")),"")</f>
        <v/>
      </c>
      <c r="W87" s="6" t="str">
        <f t="shared" si="42"/>
        <v/>
      </c>
      <c r="X87" s="5" t="str">
        <f>IF($F87="--","",IF($P87="toetsen",toetsen(F!$B87,W87),IF($P87="toetsen alleen IW",toetsen_alleen_IW(F!$B87,W87),IF($P87="toetsen alleen LN",toetsen_alleen_LN(F!$B87,W87),IF($P87="toetsen geen MV en SV",toetsen_geen_MV_en_SV(F!$B87,W87),IF($P87="toetsen alleen MV en SV",toetsen_alleen_MV_en_SV(F!$B87,W87),""))))))</f>
        <v/>
      </c>
      <c r="Y87" s="5" t="str">
        <f>IF($P87="toetsen",IF(OR(W87="",VLOOKUP(F!$B87,E!$B$1:$AK$300,10,FALSE)=1000000000),"",IF(W87&lt;=VLOOKUP(F!$B87,E!$B$1:$AK$300,10,FALSE),"ja","nee")),"")</f>
        <v/>
      </c>
      <c r="AA87" s="4"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6" t="str">
        <f t="shared" si="43"/>
        <v>--</v>
      </c>
      <c r="AJ87" s="6" t="str">
        <f>IF(AI87="--","--",IF(F!$D87=131,IF(I87=-1,"rg",IF(I87="","--",IF(I87*1000&lt;1,FIXED(I87*1000,3),IF(I87*1000&lt;10,FIXED(I87*1000,2),(IF(I87*1000&lt;100,FIXED(I87*1000,1),IF(I87*1000&lt;1000,FIXED(I87*1000,0),MROUND(I87*1000,10)))))))),IF(I87=-1,"rg",IF(I87="","--",IF(I87&lt;1,FIXED(I87,3),IF(I87&lt;10,FIXED(I87,2),(IF(I87&lt;100,FIXED(I87,1),IF(I87&lt;1000,FIXED(I87,0),MROUND(I87,10))))))))))</f>
        <v>--</v>
      </c>
      <c r="AK87" s="6" t="str">
        <f t="shared" si="44"/>
        <v>--</v>
      </c>
      <c r="AL87" s="6" t="str">
        <f>IF(AK87="--","--",IF(F!$D87=131,IF(K87=-1,"rg",IF(K87="","--",IF(K87*1000&lt;1,FIXED(K87*1000,3),IF(K87*1000&lt;10,FIXED(K87*1000,2),(IF(K87*1000&lt;100,FIXED(K87*1000,1),IF(K87*1000&lt;1000,FIXED(K87*1000,0),MROUND(K87*1000,10)))))))),IF(K87=-1,"rg",IF(K87="","--",IF(K87&lt;1,FIXED(K87,3),IF(K87&lt;10,FIXED(K87,2),(IF(K87&lt;100,FIXED(K87,1),IF(K87&lt;1000,FIXED(K87,0),MROUND(K87,10))))))))))</f>
        <v>--</v>
      </c>
      <c r="AM87" s="6" t="str">
        <f t="shared" si="45"/>
        <v>--</v>
      </c>
      <c r="AN87" s="6" t="str">
        <f>IF(AM87="--","--",IF(F!$D87=131,IF(M87=-1,"rg",IF(M87="","--",IF(M87*1000&lt;1,FIXED(M87*1000,3),IF(M87*1000&lt;10,FIXED(M87*1000,2),(IF(M87*1000&lt;100,FIXED(M87*1000,1),IF(M87*1000&lt;1000,FIXED(M87*1000,0),MROUND(M87*1000,10)))))))),IF(M87=-1,"rg",IF(M87="","--",IF(M87&lt;1,FIXED(M87,3),IF(M87&lt;10,FIXED(M87,2),(IF(M87&lt;100,FIXED(M87,1),IF(M87&lt;1000,FIXED(M87,0),MROUND(M87,10))))))))))</f>
        <v>--</v>
      </c>
      <c r="AP87" s="6" t="str">
        <f t="shared" si="32"/>
        <v>--</v>
      </c>
      <c r="AQ87" s="6" t="str">
        <f t="shared" si="33"/>
        <v/>
      </c>
      <c r="AR87" s="6" t="str">
        <f t="shared" si="34"/>
        <v>--</v>
      </c>
      <c r="AS87" s="6" t="str">
        <f t="shared" si="35"/>
        <v/>
      </c>
      <c r="AT87" s="6" t="str">
        <f t="shared" si="36"/>
        <v/>
      </c>
      <c r="AU87" s="6" t="str">
        <f>IFERROR(IF(AR87="--","",IF(HLOOKUP(SMALL($Q$4:$Y$4,3),$Q$4:$Y$501,ROW(AP87)-3,FALSE)=0,"",IF(HLOOKUP(SMALL($Q$4:$Y$4,3),$Q$4:$Y$501,ROW(AP87)-3,FALSE)="nee",VLOOKUP("De kwaliteitseis emissiearme grond (maximale concentratie) wordt overschreden.",H!$O$10:'H'!$P$59,2,FALSE),""))),"")</f>
        <v/>
      </c>
      <c r="AV87" s="6" t="str">
        <f t="shared" si="26"/>
        <v>--</v>
      </c>
      <c r="AW87" s="6" t="str">
        <f t="shared" si="27"/>
        <v/>
      </c>
      <c r="AX87" s="6" t="str">
        <f t="shared" si="28"/>
        <v>--</v>
      </c>
      <c r="AY87" s="6" t="str">
        <f t="shared" si="37"/>
        <v/>
      </c>
      <c r="AZ87" s="6" t="str">
        <f t="shared" si="38"/>
        <v/>
      </c>
      <c r="BA87" s="6" t="str">
        <f>IFERROR(IF(AR87="--","",IF(HLOOKUP(SMALL($Q$4:$Y$4,6),$Q$4:$Y$501,ROW(AP87)-3,FALSE)=0,"",IF(HLOOKUP(SMALL($Q$4:$Y$4,6),$Q$4:$Y$501,ROW(AP87)-3,FALSE)="nee",VLOOKUP("De kwaliteitseis emissiearme grond (maximale concentratie) wordt overschreden.",H!$O$10:'H'!$P$59,2,FALSE),""))),"")</f>
        <v/>
      </c>
      <c r="BB87" s="6" t="str">
        <f t="shared" si="29"/>
        <v>--</v>
      </c>
      <c r="BC87" s="6" t="str">
        <f t="shared" si="30"/>
        <v/>
      </c>
      <c r="BD87" s="6" t="str">
        <f t="shared" si="31"/>
        <v>--</v>
      </c>
      <c r="BE87" s="6" t="str">
        <f t="shared" si="39"/>
        <v/>
      </c>
      <c r="BF87" s="6"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6" t="str">
        <f>IF(ISNUMBER(F!E88)=FALSE,"--",IF(F!E88=0,"--",F!E88))</f>
        <v>--</v>
      </c>
      <c r="C88" s="6" t="str">
        <f>IF(B88="--","",F!F88)</f>
        <v/>
      </c>
      <c r="D88" s="6" t="str">
        <f>IF(ISNUMBER(F!G88)=FALSE,"--",IF(F!G88=0,"--",F!G88))</f>
        <v>--</v>
      </c>
      <c r="E88" s="6" t="str">
        <f>IF(D88="--","",F!H88)</f>
        <v/>
      </c>
      <c r="F88" s="6" t="str">
        <f>IF(ISNUMBER(F!I88)=FALSE,"--",IF(F!I88=0,"--",F!I88))</f>
        <v>--</v>
      </c>
      <c r="G88" s="6" t="str">
        <f>IF(F88="--","",F!J88)</f>
        <v/>
      </c>
      <c r="H88" s="6"/>
      <c r="I88" s="6" t="str">
        <f>IF(F!Z88=-1,-1,F!AV88)</f>
        <v/>
      </c>
      <c r="J88" s="6"/>
      <c r="K88" s="6" t="str">
        <f>IF(F!AC88=-1,-1,F!AX88)</f>
        <v/>
      </c>
      <c r="L88" s="6"/>
      <c r="M88" s="6" t="str">
        <f>IF(F!AF88=-1,-1,F!AZ88)</f>
        <v/>
      </c>
      <c r="N88" s="6"/>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6" t="str">
        <f t="shared" si="46"/>
        <v/>
      </c>
      <c r="R88" s="5" t="str">
        <f>IF($B88="--","",IF($P88="toetsen",toetsen(F!$B88,Q88),IF($P88="toetsen alleen IW",toetsen_alleen_IW(F!$B88,Q88),IF($P88="toetsen alleen LN",toetsen_alleen_LN(F!$B88,Q88),IF($P88="toetsen geen MV en SV",toetsen_geen_MV_en_SV(F!$B88,Q88),IF($P88="toetsen alleen MV en SV",toetsen_alleen_MV_en_SV(F!$B88,Q88),""))))))</f>
        <v/>
      </c>
      <c r="S88" s="5" t="str">
        <f>IF($P88="toetsen",IF(OR(Q88="",VLOOKUP(F!$B88,E!$B$1:$AK$300,10,FALSE)=1000000000),"",IF(Q88&lt;=VLOOKUP(F!$B88,E!$B$1:$AK$300,10,FALSE),"ja","nee")),"")</f>
        <v/>
      </c>
      <c r="T88" s="87" t="str">
        <f t="shared" si="41"/>
        <v/>
      </c>
      <c r="U88" s="5" t="str">
        <f>IF($D88="--","",IF($P88="toetsen",toetsen(F!$B88,T88),IF($P88="toetsen alleen IW",toetsen_alleen_IW(F!$B88,T88),IF($P88="toetsen alleen LN",toetsen_alleen_LN(F!$B88,T88),IF($P88="toetsen geen MV en SV",toetsen_geen_MV_en_SV(F!$B88,T88),IF($P88="toetsen alleen MV en SV",toetsen_alleen_MV_en_SV(F!$B88,T88),""))))))</f>
        <v/>
      </c>
      <c r="V88" s="5" t="str">
        <f>IF($P88="toetsen",IF(OR(T88="",VLOOKUP(F!$B88,E!$B$1:$AK$300,10,FALSE)=1000000000),"",IF(T88&lt;=VLOOKUP(F!$B88,E!$B$1:$AK$300,10,FALSE),"ja","nee")),"")</f>
        <v/>
      </c>
      <c r="W88" s="6" t="str">
        <f t="shared" si="42"/>
        <v/>
      </c>
      <c r="X88" s="5" t="str">
        <f>IF($F88="--","",IF($P88="toetsen",toetsen(F!$B88,W88),IF($P88="toetsen alleen IW",toetsen_alleen_IW(F!$B88,W88),IF($P88="toetsen alleen LN",toetsen_alleen_LN(F!$B88,W88),IF($P88="toetsen geen MV en SV",toetsen_geen_MV_en_SV(F!$B88,W88),IF($P88="toetsen alleen MV en SV",toetsen_alleen_MV_en_SV(F!$B88,W88),""))))))</f>
        <v/>
      </c>
      <c r="Y88" s="5" t="str">
        <f>IF($P88="toetsen",IF(OR(W88="",VLOOKUP(F!$B88,E!$B$1:$AK$300,10,FALSE)=1000000000),"",IF(W88&lt;=VLOOKUP(F!$B88,E!$B$1:$AK$300,10,FALSE),"ja","nee")),"")</f>
        <v/>
      </c>
      <c r="AA88" s="4"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6" t="str">
        <f t="shared" si="43"/>
        <v>--</v>
      </c>
      <c r="AJ88" s="6" t="str">
        <f>IF(AI88="--","--",IF(F!$D88=131,IF(I88=-1,"rg",IF(I88="","--",IF(I88*1000&lt;1,FIXED(I88*1000,3),IF(I88*1000&lt;10,FIXED(I88*1000,2),(IF(I88*1000&lt;100,FIXED(I88*1000,1),IF(I88*1000&lt;1000,FIXED(I88*1000,0),MROUND(I88*1000,10)))))))),IF(I88=-1,"rg",IF(I88="","--",IF(I88&lt;1,FIXED(I88,3),IF(I88&lt;10,FIXED(I88,2),(IF(I88&lt;100,FIXED(I88,1),IF(I88&lt;1000,FIXED(I88,0),MROUND(I88,10))))))))))</f>
        <v>--</v>
      </c>
      <c r="AK88" s="6" t="str">
        <f t="shared" si="44"/>
        <v>--</v>
      </c>
      <c r="AL88" s="6" t="str">
        <f>IF(AK88="--","--",IF(F!$D88=131,IF(K88=-1,"rg",IF(K88="","--",IF(K88*1000&lt;1,FIXED(K88*1000,3),IF(K88*1000&lt;10,FIXED(K88*1000,2),(IF(K88*1000&lt;100,FIXED(K88*1000,1),IF(K88*1000&lt;1000,FIXED(K88*1000,0),MROUND(K88*1000,10)))))))),IF(K88=-1,"rg",IF(K88="","--",IF(K88&lt;1,FIXED(K88,3),IF(K88&lt;10,FIXED(K88,2),(IF(K88&lt;100,FIXED(K88,1),IF(K88&lt;1000,FIXED(K88,0),MROUND(K88,10))))))))))</f>
        <v>--</v>
      </c>
      <c r="AM88" s="6" t="str">
        <f t="shared" si="45"/>
        <v>--</v>
      </c>
      <c r="AN88" s="6" t="str">
        <f>IF(AM88="--","--",IF(F!$D88=131,IF(M88=-1,"rg",IF(M88="","--",IF(M88*1000&lt;1,FIXED(M88*1000,3),IF(M88*1000&lt;10,FIXED(M88*1000,2),(IF(M88*1000&lt;100,FIXED(M88*1000,1),IF(M88*1000&lt;1000,FIXED(M88*1000,0),MROUND(M88*1000,10)))))))),IF(M88=-1,"rg",IF(M88="","--",IF(M88&lt;1,FIXED(M88,3),IF(M88&lt;10,FIXED(M88,2),(IF(M88&lt;100,FIXED(M88,1),IF(M88&lt;1000,FIXED(M88,0),MROUND(M88,10))))))))))</f>
        <v>--</v>
      </c>
      <c r="AP88" s="6" t="str">
        <f t="shared" si="32"/>
        <v>--</v>
      </c>
      <c r="AQ88" s="6" t="str">
        <f t="shared" si="33"/>
        <v/>
      </c>
      <c r="AR88" s="6" t="str">
        <f t="shared" si="34"/>
        <v>--</v>
      </c>
      <c r="AS88" s="6" t="str">
        <f t="shared" si="35"/>
        <v/>
      </c>
      <c r="AT88" s="6" t="str">
        <f t="shared" si="36"/>
        <v/>
      </c>
      <c r="AU88" s="6" t="str">
        <f>IFERROR(IF(AR88="--","",IF(HLOOKUP(SMALL($Q$4:$Y$4,3),$Q$4:$Y$501,ROW(AP88)-3,FALSE)=0,"",IF(HLOOKUP(SMALL($Q$4:$Y$4,3),$Q$4:$Y$501,ROW(AP88)-3,FALSE)="nee",VLOOKUP("De kwaliteitseis emissiearme grond (maximale concentratie) wordt overschreden.",H!$O$10:'H'!$P$59,2,FALSE),""))),"")</f>
        <v/>
      </c>
      <c r="AV88" s="6" t="str">
        <f t="shared" si="26"/>
        <v>--</v>
      </c>
      <c r="AW88" s="6" t="str">
        <f t="shared" si="27"/>
        <v/>
      </c>
      <c r="AX88" s="6" t="str">
        <f t="shared" si="28"/>
        <v>--</v>
      </c>
      <c r="AY88" s="6" t="str">
        <f t="shared" si="37"/>
        <v/>
      </c>
      <c r="AZ88" s="6" t="str">
        <f t="shared" si="38"/>
        <v/>
      </c>
      <c r="BA88" s="6" t="str">
        <f>IFERROR(IF(AR88="--","",IF(HLOOKUP(SMALL($Q$4:$Y$4,6),$Q$4:$Y$501,ROW(AP88)-3,FALSE)=0,"",IF(HLOOKUP(SMALL($Q$4:$Y$4,6),$Q$4:$Y$501,ROW(AP88)-3,FALSE)="nee",VLOOKUP("De kwaliteitseis emissiearme grond (maximale concentratie) wordt overschreden.",H!$O$10:'H'!$P$59,2,FALSE),""))),"")</f>
        <v/>
      </c>
      <c r="BB88" s="6" t="str">
        <f t="shared" si="29"/>
        <v>--</v>
      </c>
      <c r="BC88" s="6" t="str">
        <f t="shared" si="30"/>
        <v/>
      </c>
      <c r="BD88" s="6" t="str">
        <f t="shared" si="31"/>
        <v>--</v>
      </c>
      <c r="BE88" s="6" t="str">
        <f t="shared" si="39"/>
        <v/>
      </c>
      <c r="BF88" s="6"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6" t="str">
        <f>IF(ISNUMBER(F!E89)=FALSE,"--",IF(F!E89=0,"--",F!E89))</f>
        <v>--</v>
      </c>
      <c r="C89" s="6" t="str">
        <f>IF(B89="--","",F!F89)</f>
        <v/>
      </c>
      <c r="D89" s="6" t="str">
        <f>IF(ISNUMBER(F!G89)=FALSE,"--",IF(F!G89=0,"--",F!G89))</f>
        <v>--</v>
      </c>
      <c r="E89" s="6" t="str">
        <f>IF(D89="--","",F!H89)</f>
        <v/>
      </c>
      <c r="F89" s="6" t="str">
        <f>IF(ISNUMBER(F!I89)=FALSE,"--",IF(F!I89=0,"--",F!I89))</f>
        <v>--</v>
      </c>
      <c r="G89" s="6" t="str">
        <f>IF(F89="--","",F!J89)</f>
        <v/>
      </c>
      <c r="H89" s="6"/>
      <c r="I89" s="6" t="str">
        <f>IF(F!Z89=-1,-1,F!AV89)</f>
        <v/>
      </c>
      <c r="J89" s="6"/>
      <c r="K89" s="6" t="str">
        <f>IF(F!AC89=-1,-1,F!AX89)</f>
        <v/>
      </c>
      <c r="L89" s="6"/>
      <c r="M89" s="6" t="str">
        <f>IF(F!AF89=-1,-1,F!AZ89)</f>
        <v/>
      </c>
      <c r="N89" s="6"/>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6" t="str">
        <f t="shared" si="46"/>
        <v/>
      </c>
      <c r="R89" s="5" t="str">
        <f>IF($B89="--","",IF($P89="toetsen",toetsen(F!$B89,Q89),IF($P89="toetsen alleen IW",toetsen_alleen_IW(F!$B89,Q89),IF($P89="toetsen alleen LN",toetsen_alleen_LN(F!$B89,Q89),IF($P89="toetsen geen MV en SV",toetsen_geen_MV_en_SV(F!$B89,Q89),IF($P89="toetsen alleen MV en SV",toetsen_alleen_MV_en_SV(F!$B89,Q89),""))))))</f>
        <v/>
      </c>
      <c r="S89" s="5" t="str">
        <f>IF($P89="toetsen",IF(OR(Q89="",VLOOKUP(F!$B89,E!$B$1:$AK$300,10,FALSE)=1000000000),"",IF(Q89&lt;=VLOOKUP(F!$B89,E!$B$1:$AK$300,10,FALSE),"ja","nee")),"")</f>
        <v/>
      </c>
      <c r="T89" s="87" t="str">
        <f t="shared" si="41"/>
        <v/>
      </c>
      <c r="U89" s="5" t="str">
        <f>IF($D89="--","",IF($P89="toetsen",toetsen(F!$B89,T89),IF($P89="toetsen alleen IW",toetsen_alleen_IW(F!$B89,T89),IF($P89="toetsen alleen LN",toetsen_alleen_LN(F!$B89,T89),IF($P89="toetsen geen MV en SV",toetsen_geen_MV_en_SV(F!$B89,T89),IF($P89="toetsen alleen MV en SV",toetsen_alleen_MV_en_SV(F!$B89,T89),""))))))</f>
        <v/>
      </c>
      <c r="V89" s="5" t="str">
        <f>IF($P89="toetsen",IF(OR(T89="",VLOOKUP(F!$B89,E!$B$1:$AK$300,10,FALSE)=1000000000),"",IF(T89&lt;=VLOOKUP(F!$B89,E!$B$1:$AK$300,10,FALSE),"ja","nee")),"")</f>
        <v/>
      </c>
      <c r="W89" s="6" t="str">
        <f t="shared" si="42"/>
        <v/>
      </c>
      <c r="X89" s="5" t="str">
        <f>IF($F89="--","",IF($P89="toetsen",toetsen(F!$B89,W89),IF($P89="toetsen alleen IW",toetsen_alleen_IW(F!$B89,W89),IF($P89="toetsen alleen LN",toetsen_alleen_LN(F!$B89,W89),IF($P89="toetsen geen MV en SV",toetsen_geen_MV_en_SV(F!$B89,W89),IF($P89="toetsen alleen MV en SV",toetsen_alleen_MV_en_SV(F!$B89,W89),""))))))</f>
        <v/>
      </c>
      <c r="Y89" s="5" t="str">
        <f>IF($P89="toetsen",IF(OR(W89="",VLOOKUP(F!$B89,E!$B$1:$AK$300,10,FALSE)=1000000000),"",IF(W89&lt;=VLOOKUP(F!$B89,E!$B$1:$AK$300,10,FALSE),"ja","nee")),"")</f>
        <v/>
      </c>
      <c r="AA89" s="4"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6" t="str">
        <f t="shared" si="43"/>
        <v>--</v>
      </c>
      <c r="AJ89" s="6" t="str">
        <f>IF(AI89="--","--",IF(F!$D89=131,IF(I89=-1,"rg",IF(I89="","--",IF(I89*1000&lt;1,FIXED(I89*1000,3),IF(I89*1000&lt;10,FIXED(I89*1000,2),(IF(I89*1000&lt;100,FIXED(I89*1000,1),IF(I89*1000&lt;1000,FIXED(I89*1000,0),MROUND(I89*1000,10)))))))),IF(I89=-1,"rg",IF(I89="","--",IF(I89&lt;1,FIXED(I89,3),IF(I89&lt;10,FIXED(I89,2),(IF(I89&lt;100,FIXED(I89,1),IF(I89&lt;1000,FIXED(I89,0),MROUND(I89,10))))))))))</f>
        <v>--</v>
      </c>
      <c r="AK89" s="6" t="str">
        <f t="shared" si="44"/>
        <v>--</v>
      </c>
      <c r="AL89" s="6" t="str">
        <f>IF(AK89="--","--",IF(F!$D89=131,IF(K89=-1,"rg",IF(K89="","--",IF(K89*1000&lt;1,FIXED(K89*1000,3),IF(K89*1000&lt;10,FIXED(K89*1000,2),(IF(K89*1000&lt;100,FIXED(K89*1000,1),IF(K89*1000&lt;1000,FIXED(K89*1000,0),MROUND(K89*1000,10)))))))),IF(K89=-1,"rg",IF(K89="","--",IF(K89&lt;1,FIXED(K89,3),IF(K89&lt;10,FIXED(K89,2),(IF(K89&lt;100,FIXED(K89,1),IF(K89&lt;1000,FIXED(K89,0),MROUND(K89,10))))))))))</f>
        <v>--</v>
      </c>
      <c r="AM89" s="6" t="str">
        <f t="shared" si="45"/>
        <v>--</v>
      </c>
      <c r="AN89" s="6" t="str">
        <f>IF(AM89="--","--",IF(F!$D89=131,IF(M89=-1,"rg",IF(M89="","--",IF(M89*1000&lt;1,FIXED(M89*1000,3),IF(M89*1000&lt;10,FIXED(M89*1000,2),(IF(M89*1000&lt;100,FIXED(M89*1000,1),IF(M89*1000&lt;1000,FIXED(M89*1000,0),MROUND(M89*1000,10)))))))),IF(M89=-1,"rg",IF(M89="","--",IF(M89&lt;1,FIXED(M89,3),IF(M89&lt;10,FIXED(M89,2),(IF(M89&lt;100,FIXED(M89,1),IF(M89&lt;1000,FIXED(M89,0),MROUND(M89,10))))))))))</f>
        <v>--</v>
      </c>
      <c r="AP89" s="6" t="str">
        <f t="shared" si="32"/>
        <v>--</v>
      </c>
      <c r="AQ89" s="6" t="str">
        <f t="shared" si="33"/>
        <v/>
      </c>
      <c r="AR89" s="6" t="str">
        <f t="shared" si="34"/>
        <v>--</v>
      </c>
      <c r="AS89" s="6" t="str">
        <f t="shared" si="35"/>
        <v/>
      </c>
      <c r="AT89" s="6" t="str">
        <f t="shared" si="36"/>
        <v/>
      </c>
      <c r="AU89" s="6" t="str">
        <f>IFERROR(IF(AR89="--","",IF(HLOOKUP(SMALL($Q$4:$Y$4,3),$Q$4:$Y$501,ROW(AP89)-3,FALSE)=0,"",IF(HLOOKUP(SMALL($Q$4:$Y$4,3),$Q$4:$Y$501,ROW(AP89)-3,FALSE)="nee",VLOOKUP("De kwaliteitseis emissiearme grond (maximale concentratie) wordt overschreden.",H!$O$10:'H'!$P$59,2,FALSE),""))),"")</f>
        <v/>
      </c>
      <c r="AV89" s="6" t="str">
        <f t="shared" si="26"/>
        <v>--</v>
      </c>
      <c r="AW89" s="6" t="str">
        <f t="shared" si="27"/>
        <v/>
      </c>
      <c r="AX89" s="6" t="str">
        <f t="shared" si="28"/>
        <v>--</v>
      </c>
      <c r="AY89" s="6" t="str">
        <f t="shared" si="37"/>
        <v/>
      </c>
      <c r="AZ89" s="6" t="str">
        <f t="shared" si="38"/>
        <v/>
      </c>
      <c r="BA89" s="6" t="str">
        <f>IFERROR(IF(AR89="--","",IF(HLOOKUP(SMALL($Q$4:$Y$4,6),$Q$4:$Y$501,ROW(AP89)-3,FALSE)=0,"",IF(HLOOKUP(SMALL($Q$4:$Y$4,6),$Q$4:$Y$501,ROW(AP89)-3,FALSE)="nee",VLOOKUP("De kwaliteitseis emissiearme grond (maximale concentratie) wordt overschreden.",H!$O$10:'H'!$P$59,2,FALSE),""))),"")</f>
        <v/>
      </c>
      <c r="BB89" s="6" t="str">
        <f t="shared" si="29"/>
        <v>--</v>
      </c>
      <c r="BC89" s="6" t="str">
        <f t="shared" si="30"/>
        <v/>
      </c>
      <c r="BD89" s="6" t="str">
        <f t="shared" si="31"/>
        <v>--</v>
      </c>
      <c r="BE89" s="6" t="str">
        <f t="shared" si="39"/>
        <v/>
      </c>
      <c r="BF89" s="6"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6" t="str">
        <f>IF(ISNUMBER(F!E90)=FALSE,"--",IF(F!E90=0,"--",F!E90))</f>
        <v>--</v>
      </c>
      <c r="C90" s="6" t="str">
        <f>IF(B90="--","",F!F90)</f>
        <v/>
      </c>
      <c r="D90" s="6" t="str">
        <f>IF(ISNUMBER(F!G90)=FALSE,"--",IF(F!G90=0,"--",F!G90))</f>
        <v>--</v>
      </c>
      <c r="E90" s="6" t="str">
        <f>IF(D90="--","",F!H90)</f>
        <v/>
      </c>
      <c r="F90" s="6" t="str">
        <f>IF(ISNUMBER(F!I90)=FALSE,"--",IF(F!I90=0,"--",F!I90))</f>
        <v>--</v>
      </c>
      <c r="G90" s="6" t="str">
        <f>IF(F90="--","",F!J90)</f>
        <v/>
      </c>
      <c r="H90" s="6"/>
      <c r="I90" s="6" t="str">
        <f>IF(F!Z90=-1,-1,F!AV90)</f>
        <v/>
      </c>
      <c r="J90" s="6"/>
      <c r="K90" s="6" t="str">
        <f>IF(F!AC90=-1,-1,F!AX90)</f>
        <v/>
      </c>
      <c r="L90" s="6"/>
      <c r="M90" s="6" t="str">
        <f>IF(F!AF90=-1,-1,F!AZ90)</f>
        <v/>
      </c>
      <c r="N90" s="6"/>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6" t="str">
        <f t="shared" si="46"/>
        <v/>
      </c>
      <c r="R90" s="5" t="str">
        <f>IF($B90="--","",IF($P90="toetsen",toetsen(F!$B90,Q90),IF($P90="toetsen alleen IW",toetsen_alleen_IW(F!$B90,Q90),IF($P90="toetsen alleen LN",toetsen_alleen_LN(F!$B90,Q90),IF($P90="toetsen geen MV en SV",toetsen_geen_MV_en_SV(F!$B90,Q90),IF($P90="toetsen alleen MV en SV",toetsen_alleen_MV_en_SV(F!$B90,Q90),""))))))</f>
        <v/>
      </c>
      <c r="S90" s="5" t="str">
        <f>IF($P90="toetsen",IF(OR(Q90="",VLOOKUP(F!$B90,E!$B$1:$AK$300,10,FALSE)=1000000000),"",IF(Q90&lt;=VLOOKUP(F!$B90,E!$B$1:$AK$300,10,FALSE),"ja","nee")),"")</f>
        <v/>
      </c>
      <c r="T90" s="87" t="str">
        <f t="shared" si="41"/>
        <v/>
      </c>
      <c r="U90" s="5" t="str">
        <f>IF($D90="--","",IF($P90="toetsen",toetsen(F!$B90,T90),IF($P90="toetsen alleen IW",toetsen_alleen_IW(F!$B90,T90),IF($P90="toetsen alleen LN",toetsen_alleen_LN(F!$B90,T90),IF($P90="toetsen geen MV en SV",toetsen_geen_MV_en_SV(F!$B90,T90),IF($P90="toetsen alleen MV en SV",toetsen_alleen_MV_en_SV(F!$B90,T90),""))))))</f>
        <v/>
      </c>
      <c r="V90" s="5" t="str">
        <f>IF($P90="toetsen",IF(OR(T90="",VLOOKUP(F!$B90,E!$B$1:$AK$300,10,FALSE)=1000000000),"",IF(T90&lt;=VLOOKUP(F!$B90,E!$B$1:$AK$300,10,FALSE),"ja","nee")),"")</f>
        <v/>
      </c>
      <c r="W90" s="6" t="str">
        <f t="shared" si="42"/>
        <v/>
      </c>
      <c r="X90" s="5" t="str">
        <f>IF($F90="--","",IF($P90="toetsen",toetsen(F!$B90,W90),IF($P90="toetsen alleen IW",toetsen_alleen_IW(F!$B90,W90),IF($P90="toetsen alleen LN",toetsen_alleen_LN(F!$B90,W90),IF($P90="toetsen geen MV en SV",toetsen_geen_MV_en_SV(F!$B90,W90),IF($P90="toetsen alleen MV en SV",toetsen_alleen_MV_en_SV(F!$B90,W90),""))))))</f>
        <v/>
      </c>
      <c r="Y90" s="5" t="str">
        <f>IF($P90="toetsen",IF(OR(W90="",VLOOKUP(F!$B90,E!$B$1:$AK$300,10,FALSE)=1000000000),"",IF(W90&lt;=VLOOKUP(F!$B90,E!$B$1:$AK$300,10,FALSE),"ja","nee")),"")</f>
        <v/>
      </c>
      <c r="AA90" s="4"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6" t="str">
        <f t="shared" si="43"/>
        <v>--</v>
      </c>
      <c r="AJ90" s="6" t="str">
        <f>IF(AI90="--","--",IF(F!$D90=131,IF(I90=-1,"rg",IF(I90="","--",IF(I90*1000&lt;1,FIXED(I90*1000,3),IF(I90*1000&lt;10,FIXED(I90*1000,2),(IF(I90*1000&lt;100,FIXED(I90*1000,1),IF(I90*1000&lt;1000,FIXED(I90*1000,0),MROUND(I90*1000,10)))))))),IF(I90=-1,"rg",IF(I90="","--",IF(I90&lt;1,FIXED(I90,3),IF(I90&lt;10,FIXED(I90,2),(IF(I90&lt;100,FIXED(I90,1),IF(I90&lt;1000,FIXED(I90,0),MROUND(I90,10))))))))))</f>
        <v>--</v>
      </c>
      <c r="AK90" s="6" t="str">
        <f t="shared" si="44"/>
        <v>--</v>
      </c>
      <c r="AL90" s="6" t="str">
        <f>IF(AK90="--","--",IF(F!$D90=131,IF(K90=-1,"rg",IF(K90="","--",IF(K90*1000&lt;1,FIXED(K90*1000,3),IF(K90*1000&lt;10,FIXED(K90*1000,2),(IF(K90*1000&lt;100,FIXED(K90*1000,1),IF(K90*1000&lt;1000,FIXED(K90*1000,0),MROUND(K90*1000,10)))))))),IF(K90=-1,"rg",IF(K90="","--",IF(K90&lt;1,FIXED(K90,3),IF(K90&lt;10,FIXED(K90,2),(IF(K90&lt;100,FIXED(K90,1),IF(K90&lt;1000,FIXED(K90,0),MROUND(K90,10))))))))))</f>
        <v>--</v>
      </c>
      <c r="AM90" s="6" t="str">
        <f t="shared" si="45"/>
        <v>--</v>
      </c>
      <c r="AN90" s="6" t="str">
        <f>IF(AM90="--","--",IF(F!$D90=131,IF(M90=-1,"rg",IF(M90="","--",IF(M90*1000&lt;1,FIXED(M90*1000,3),IF(M90*1000&lt;10,FIXED(M90*1000,2),(IF(M90*1000&lt;100,FIXED(M90*1000,1),IF(M90*1000&lt;1000,FIXED(M90*1000,0),MROUND(M90*1000,10)))))))),IF(M90=-1,"rg",IF(M90="","--",IF(M90&lt;1,FIXED(M90,3),IF(M90&lt;10,FIXED(M90,2),(IF(M90&lt;100,FIXED(M90,1),IF(M90&lt;1000,FIXED(M90,0),MROUND(M90,10))))))))))</f>
        <v>--</v>
      </c>
      <c r="AP90" s="6" t="str">
        <f t="shared" si="32"/>
        <v>--</v>
      </c>
      <c r="AQ90" s="6" t="str">
        <f t="shared" si="33"/>
        <v/>
      </c>
      <c r="AR90" s="6" t="str">
        <f t="shared" si="34"/>
        <v>--</v>
      </c>
      <c r="AS90" s="6" t="str">
        <f t="shared" si="35"/>
        <v/>
      </c>
      <c r="AT90" s="6" t="str">
        <f t="shared" si="36"/>
        <v/>
      </c>
      <c r="AU90" s="6" t="str">
        <f>IFERROR(IF(AR90="--","",IF(HLOOKUP(SMALL($Q$4:$Y$4,3),$Q$4:$Y$501,ROW(AP90)-3,FALSE)=0,"",IF(HLOOKUP(SMALL($Q$4:$Y$4,3),$Q$4:$Y$501,ROW(AP90)-3,FALSE)="nee",VLOOKUP("De kwaliteitseis emissiearme grond (maximale concentratie) wordt overschreden.",H!$O$10:'H'!$P$59,2,FALSE),""))),"")</f>
        <v/>
      </c>
      <c r="AV90" s="6" t="str">
        <f t="shared" si="26"/>
        <v>--</v>
      </c>
      <c r="AW90" s="6" t="str">
        <f t="shared" si="27"/>
        <v/>
      </c>
      <c r="AX90" s="6" t="str">
        <f t="shared" si="28"/>
        <v>--</v>
      </c>
      <c r="AY90" s="6" t="str">
        <f t="shared" si="37"/>
        <v/>
      </c>
      <c r="AZ90" s="6" t="str">
        <f t="shared" si="38"/>
        <v/>
      </c>
      <c r="BA90" s="6" t="str">
        <f>IFERROR(IF(AR90="--","",IF(HLOOKUP(SMALL($Q$4:$Y$4,6),$Q$4:$Y$501,ROW(AP90)-3,FALSE)=0,"",IF(HLOOKUP(SMALL($Q$4:$Y$4,6),$Q$4:$Y$501,ROW(AP90)-3,FALSE)="nee",VLOOKUP("De kwaliteitseis emissiearme grond (maximale concentratie) wordt overschreden.",H!$O$10:'H'!$P$59,2,FALSE),""))),"")</f>
        <v/>
      </c>
      <c r="BB90" s="6" t="str">
        <f t="shared" si="29"/>
        <v>--</v>
      </c>
      <c r="BC90" s="6" t="str">
        <f t="shared" si="30"/>
        <v/>
      </c>
      <c r="BD90" s="6" t="str">
        <f t="shared" si="31"/>
        <v>--</v>
      </c>
      <c r="BE90" s="6" t="str">
        <f t="shared" si="39"/>
        <v/>
      </c>
      <c r="BF90" s="6"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6" t="str">
        <f>IF(ISNUMBER(F!E91)=FALSE,"--",IF(F!E91=0,"--",F!E91))</f>
        <v>--</v>
      </c>
      <c r="C91" s="6" t="str">
        <f>IF(B91="--","",F!F91)</f>
        <v/>
      </c>
      <c r="D91" s="6" t="str">
        <f>IF(ISNUMBER(F!G91)=FALSE,"--",IF(F!G91=0,"--",F!G91))</f>
        <v>--</v>
      </c>
      <c r="E91" s="6" t="str">
        <f>IF(D91="--","",F!H91)</f>
        <v/>
      </c>
      <c r="F91" s="6" t="str">
        <f>IF(ISNUMBER(F!I91)=FALSE,"--",IF(F!I91=0,"--",F!I91))</f>
        <v>--</v>
      </c>
      <c r="G91" s="6" t="str">
        <f>IF(F91="--","",F!J91)</f>
        <v/>
      </c>
      <c r="H91" s="6"/>
      <c r="I91" s="6" t="str">
        <f>IF(F!Z91=-1,-1,F!AV91)</f>
        <v/>
      </c>
      <c r="J91" s="6"/>
      <c r="K91" s="6" t="str">
        <f>IF(F!AC91=-1,-1,F!AX91)</f>
        <v/>
      </c>
      <c r="L91" s="6"/>
      <c r="M91" s="6" t="str">
        <f>IF(F!AF91=-1,-1,F!AZ91)</f>
        <v/>
      </c>
      <c r="N91" s="6"/>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6" t="str">
        <f t="shared" si="46"/>
        <v/>
      </c>
      <c r="R91" s="5" t="str">
        <f>IF($B91="--","",IF($P91="toetsen",toetsen(F!$B91,Q91),IF($P91="toetsen alleen IW",toetsen_alleen_IW(F!$B91,Q91),IF($P91="toetsen alleen LN",toetsen_alleen_LN(F!$B91,Q91),IF($P91="toetsen geen MV en SV",toetsen_geen_MV_en_SV(F!$B91,Q91),IF($P91="toetsen alleen MV en SV",toetsen_alleen_MV_en_SV(F!$B91,Q91),""))))))</f>
        <v/>
      </c>
      <c r="S91" s="5" t="str">
        <f>IF($P91="toetsen",IF(OR(Q91="",VLOOKUP(F!$B91,E!$B$1:$AK$300,10,FALSE)=1000000000),"",IF(Q91&lt;=VLOOKUP(F!$B91,E!$B$1:$AK$300,10,FALSE),"ja","nee")),"")</f>
        <v/>
      </c>
      <c r="T91" s="87" t="str">
        <f t="shared" si="41"/>
        <v/>
      </c>
      <c r="U91" s="5" t="str">
        <f>IF($D91="--","",IF($P91="toetsen",toetsen(F!$B91,T91),IF($P91="toetsen alleen IW",toetsen_alleen_IW(F!$B91,T91),IF($P91="toetsen alleen LN",toetsen_alleen_LN(F!$B91,T91),IF($P91="toetsen geen MV en SV",toetsen_geen_MV_en_SV(F!$B91,T91),IF($P91="toetsen alleen MV en SV",toetsen_alleen_MV_en_SV(F!$B91,T91),""))))))</f>
        <v/>
      </c>
      <c r="V91" s="5" t="str">
        <f>IF($P91="toetsen",IF(OR(T91="",VLOOKUP(F!$B91,E!$B$1:$AK$300,10,FALSE)=1000000000),"",IF(T91&lt;=VLOOKUP(F!$B91,E!$B$1:$AK$300,10,FALSE),"ja","nee")),"")</f>
        <v/>
      </c>
      <c r="W91" s="6" t="str">
        <f t="shared" si="42"/>
        <v/>
      </c>
      <c r="X91" s="5" t="str">
        <f>IF($F91="--","",IF($P91="toetsen",toetsen(F!$B91,W91),IF($P91="toetsen alleen IW",toetsen_alleen_IW(F!$B91,W91),IF($P91="toetsen alleen LN",toetsen_alleen_LN(F!$B91,W91),IF($P91="toetsen geen MV en SV",toetsen_geen_MV_en_SV(F!$B91,W91),IF($P91="toetsen alleen MV en SV",toetsen_alleen_MV_en_SV(F!$B91,W91),""))))))</f>
        <v/>
      </c>
      <c r="Y91" s="5" t="str">
        <f>IF($P91="toetsen",IF(OR(W91="",VLOOKUP(F!$B91,E!$B$1:$AK$300,10,FALSE)=1000000000),"",IF(W91&lt;=VLOOKUP(F!$B91,E!$B$1:$AK$300,10,FALSE),"ja","nee")),"")</f>
        <v/>
      </c>
      <c r="AA91" s="4"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6" t="str">
        <f t="shared" si="43"/>
        <v>--</v>
      </c>
      <c r="AJ91" s="6" t="str">
        <f>IF(AI91="--","--",IF(F!$D91=131,IF(I91=-1,"rg",IF(I91="","--",IF(I91*1000&lt;1,FIXED(I91*1000,3),IF(I91*1000&lt;10,FIXED(I91*1000,2),(IF(I91*1000&lt;100,FIXED(I91*1000,1),IF(I91*1000&lt;1000,FIXED(I91*1000,0),MROUND(I91*1000,10)))))))),IF(I91=-1,"rg",IF(I91="","--",IF(I91&lt;1,FIXED(I91,3),IF(I91&lt;10,FIXED(I91,2),(IF(I91&lt;100,FIXED(I91,1),IF(I91&lt;1000,FIXED(I91,0),MROUND(I91,10))))))))))</f>
        <v>--</v>
      </c>
      <c r="AK91" s="6" t="str">
        <f t="shared" si="44"/>
        <v>--</v>
      </c>
      <c r="AL91" s="6" t="str">
        <f>IF(AK91="--","--",IF(F!$D91=131,IF(K91=-1,"rg",IF(K91="","--",IF(K91*1000&lt;1,FIXED(K91*1000,3),IF(K91*1000&lt;10,FIXED(K91*1000,2),(IF(K91*1000&lt;100,FIXED(K91*1000,1),IF(K91*1000&lt;1000,FIXED(K91*1000,0),MROUND(K91*1000,10)))))))),IF(K91=-1,"rg",IF(K91="","--",IF(K91&lt;1,FIXED(K91,3),IF(K91&lt;10,FIXED(K91,2),(IF(K91&lt;100,FIXED(K91,1),IF(K91&lt;1000,FIXED(K91,0),MROUND(K91,10))))))))))</f>
        <v>--</v>
      </c>
      <c r="AM91" s="6" t="str">
        <f t="shared" si="45"/>
        <v>--</v>
      </c>
      <c r="AN91" s="6" t="str">
        <f>IF(AM91="--","--",IF(F!$D91=131,IF(M91=-1,"rg",IF(M91="","--",IF(M91*1000&lt;1,FIXED(M91*1000,3),IF(M91*1000&lt;10,FIXED(M91*1000,2),(IF(M91*1000&lt;100,FIXED(M91*1000,1),IF(M91*1000&lt;1000,FIXED(M91*1000,0),MROUND(M91*1000,10)))))))),IF(M91=-1,"rg",IF(M91="","--",IF(M91&lt;1,FIXED(M91,3),IF(M91&lt;10,FIXED(M91,2),(IF(M91&lt;100,FIXED(M91,1),IF(M91&lt;1000,FIXED(M91,0),MROUND(M91,10))))))))))</f>
        <v>--</v>
      </c>
      <c r="AP91" s="6" t="str">
        <f t="shared" si="32"/>
        <v>--</v>
      </c>
      <c r="AQ91" s="6" t="str">
        <f t="shared" si="33"/>
        <v/>
      </c>
      <c r="AR91" s="6" t="str">
        <f t="shared" si="34"/>
        <v>--</v>
      </c>
      <c r="AS91" s="6" t="str">
        <f t="shared" si="35"/>
        <v/>
      </c>
      <c r="AT91" s="6" t="str">
        <f t="shared" si="36"/>
        <v/>
      </c>
      <c r="AU91" s="6" t="str">
        <f>IFERROR(IF(AR91="--","",IF(HLOOKUP(SMALL($Q$4:$Y$4,3),$Q$4:$Y$501,ROW(AP91)-3,FALSE)=0,"",IF(HLOOKUP(SMALL($Q$4:$Y$4,3),$Q$4:$Y$501,ROW(AP91)-3,FALSE)="nee",VLOOKUP("De kwaliteitseis emissiearme grond (maximale concentratie) wordt overschreden.",H!$O$10:'H'!$P$59,2,FALSE),""))),"")</f>
        <v/>
      </c>
      <c r="AV91" s="6" t="str">
        <f t="shared" si="26"/>
        <v>--</v>
      </c>
      <c r="AW91" s="6" t="str">
        <f t="shared" si="27"/>
        <v/>
      </c>
      <c r="AX91" s="6" t="str">
        <f t="shared" si="28"/>
        <v>--</v>
      </c>
      <c r="AY91" s="6" t="str">
        <f t="shared" si="37"/>
        <v/>
      </c>
      <c r="AZ91" s="6" t="str">
        <f t="shared" si="38"/>
        <v/>
      </c>
      <c r="BA91" s="6" t="str">
        <f>IFERROR(IF(AR91="--","",IF(HLOOKUP(SMALL($Q$4:$Y$4,6),$Q$4:$Y$501,ROW(AP91)-3,FALSE)=0,"",IF(HLOOKUP(SMALL($Q$4:$Y$4,6),$Q$4:$Y$501,ROW(AP91)-3,FALSE)="nee",VLOOKUP("De kwaliteitseis emissiearme grond (maximale concentratie) wordt overschreden.",H!$O$10:'H'!$P$59,2,FALSE),""))),"")</f>
        <v/>
      </c>
      <c r="BB91" s="6" t="str">
        <f t="shared" si="29"/>
        <v>--</v>
      </c>
      <c r="BC91" s="6" t="str">
        <f t="shared" si="30"/>
        <v/>
      </c>
      <c r="BD91" s="6" t="str">
        <f t="shared" si="31"/>
        <v>--</v>
      </c>
      <c r="BE91" s="6" t="str">
        <f t="shared" si="39"/>
        <v/>
      </c>
      <c r="BF91" s="6"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6" t="str">
        <f>IF(ISNUMBER(F!E92)=FALSE,"--",IF(F!E92=0,"--",F!E92))</f>
        <v>--</v>
      </c>
      <c r="C92" s="6" t="str">
        <f>IF(B92="--","",F!F92)</f>
        <v/>
      </c>
      <c r="D92" s="6" t="str">
        <f>IF(ISNUMBER(F!G92)=FALSE,"--",IF(F!G92=0,"--",F!G92))</f>
        <v>--</v>
      </c>
      <c r="E92" s="6" t="str">
        <f>IF(D92="--","",F!H92)</f>
        <v/>
      </c>
      <c r="F92" s="6" t="str">
        <f>IF(ISNUMBER(F!I92)=FALSE,"--",IF(F!I92=0,"--",F!I92))</f>
        <v>--</v>
      </c>
      <c r="G92" s="6" t="str">
        <f>IF(F92="--","",F!J92)</f>
        <v/>
      </c>
      <c r="H92" s="6"/>
      <c r="I92" s="6" t="str">
        <f>IF(F!Z92=-1,-1,F!AV92)</f>
        <v/>
      </c>
      <c r="J92" s="6"/>
      <c r="K92" s="6" t="str">
        <f>IF(F!AC92=-1,-1,F!AX92)</f>
        <v/>
      </c>
      <c r="L92" s="6"/>
      <c r="M92" s="6" t="str">
        <f>IF(F!AF92=-1,-1,F!AZ92)</f>
        <v/>
      </c>
      <c r="N92" s="6"/>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6" t="str">
        <f t="shared" si="46"/>
        <v/>
      </c>
      <c r="R92" s="5" t="str">
        <f>IF($B92="--","",IF($P92="toetsen",toetsen(F!$B92,Q92),IF($P92="toetsen alleen IW",toetsen_alleen_IW(F!$B92,Q92),IF($P92="toetsen alleen LN",toetsen_alleen_LN(F!$B92,Q92),IF($P92="toetsen geen MV en SV",toetsen_geen_MV_en_SV(F!$B92,Q92),IF($P92="toetsen alleen MV en SV",toetsen_alleen_MV_en_SV(F!$B92,Q92),""))))))</f>
        <v/>
      </c>
      <c r="S92" s="5" t="str">
        <f>IF($P92="toetsen",IF(OR(Q92="",VLOOKUP(F!$B92,E!$B$1:$AK$300,10,FALSE)=1000000000),"",IF(Q92&lt;=VLOOKUP(F!$B92,E!$B$1:$AK$300,10,FALSE),"ja","nee")),"")</f>
        <v/>
      </c>
      <c r="T92" s="87" t="str">
        <f t="shared" si="41"/>
        <v/>
      </c>
      <c r="U92" s="5" t="str">
        <f>IF($D92="--","",IF($P92="toetsen",toetsen(F!$B92,T92),IF($P92="toetsen alleen IW",toetsen_alleen_IW(F!$B92,T92),IF($P92="toetsen alleen LN",toetsen_alleen_LN(F!$B92,T92),IF($P92="toetsen geen MV en SV",toetsen_geen_MV_en_SV(F!$B92,T92),IF($P92="toetsen alleen MV en SV",toetsen_alleen_MV_en_SV(F!$B92,T92),""))))))</f>
        <v/>
      </c>
      <c r="V92" s="5" t="str">
        <f>IF($P92="toetsen",IF(OR(T92="",VLOOKUP(F!$B92,E!$B$1:$AK$300,10,FALSE)=1000000000),"",IF(T92&lt;=VLOOKUP(F!$B92,E!$B$1:$AK$300,10,FALSE),"ja","nee")),"")</f>
        <v/>
      </c>
      <c r="W92" s="6" t="str">
        <f t="shared" si="42"/>
        <v/>
      </c>
      <c r="X92" s="5" t="str">
        <f>IF($F92="--","",IF($P92="toetsen",toetsen(F!$B92,W92),IF($P92="toetsen alleen IW",toetsen_alleen_IW(F!$B92,W92),IF($P92="toetsen alleen LN",toetsen_alleen_LN(F!$B92,W92),IF($P92="toetsen geen MV en SV",toetsen_geen_MV_en_SV(F!$B92,W92),IF($P92="toetsen alleen MV en SV",toetsen_alleen_MV_en_SV(F!$B92,W92),""))))))</f>
        <v/>
      </c>
      <c r="Y92" s="5" t="str">
        <f>IF($P92="toetsen",IF(OR(W92="",VLOOKUP(F!$B92,E!$B$1:$AK$300,10,FALSE)=1000000000),"",IF(W92&lt;=VLOOKUP(F!$B92,E!$B$1:$AK$300,10,FALSE),"ja","nee")),"")</f>
        <v/>
      </c>
      <c r="AA92" s="4"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6" t="str">
        <f t="shared" si="43"/>
        <v>--</v>
      </c>
      <c r="AJ92" s="6" t="str">
        <f>IF(AI92="--","--",IF(F!$D92=131,IF(I92=-1,"rg",IF(I92="","--",IF(I92*1000&lt;1,FIXED(I92*1000,3),IF(I92*1000&lt;10,FIXED(I92*1000,2),(IF(I92*1000&lt;100,FIXED(I92*1000,1),IF(I92*1000&lt;1000,FIXED(I92*1000,0),MROUND(I92*1000,10)))))))),IF(I92=-1,"rg",IF(I92="","--",IF(I92&lt;1,FIXED(I92,3),IF(I92&lt;10,FIXED(I92,2),(IF(I92&lt;100,FIXED(I92,1),IF(I92&lt;1000,FIXED(I92,0),MROUND(I92,10))))))))))</f>
        <v>--</v>
      </c>
      <c r="AK92" s="6" t="str">
        <f t="shared" si="44"/>
        <v>--</v>
      </c>
      <c r="AL92" s="6" t="str">
        <f>IF(AK92="--","--",IF(F!$D92=131,IF(K92=-1,"rg",IF(K92="","--",IF(K92*1000&lt;1,FIXED(K92*1000,3),IF(K92*1000&lt;10,FIXED(K92*1000,2),(IF(K92*1000&lt;100,FIXED(K92*1000,1),IF(K92*1000&lt;1000,FIXED(K92*1000,0),MROUND(K92*1000,10)))))))),IF(K92=-1,"rg",IF(K92="","--",IF(K92&lt;1,FIXED(K92,3),IF(K92&lt;10,FIXED(K92,2),(IF(K92&lt;100,FIXED(K92,1),IF(K92&lt;1000,FIXED(K92,0),MROUND(K92,10))))))))))</f>
        <v>--</v>
      </c>
      <c r="AM92" s="6" t="str">
        <f t="shared" si="45"/>
        <v>--</v>
      </c>
      <c r="AN92" s="6" t="str">
        <f>IF(AM92="--","--",IF(F!$D92=131,IF(M92=-1,"rg",IF(M92="","--",IF(M92*1000&lt;1,FIXED(M92*1000,3),IF(M92*1000&lt;10,FIXED(M92*1000,2),(IF(M92*1000&lt;100,FIXED(M92*1000,1),IF(M92*1000&lt;1000,FIXED(M92*1000,0),MROUND(M92*1000,10)))))))),IF(M92=-1,"rg",IF(M92="","--",IF(M92&lt;1,FIXED(M92,3),IF(M92&lt;10,FIXED(M92,2),(IF(M92&lt;100,FIXED(M92,1),IF(M92&lt;1000,FIXED(M92,0),MROUND(M92,10))))))))))</f>
        <v>--</v>
      </c>
      <c r="AP92" s="6" t="str">
        <f t="shared" si="32"/>
        <v>--</v>
      </c>
      <c r="AQ92" s="6" t="str">
        <f t="shared" si="33"/>
        <v/>
      </c>
      <c r="AR92" s="6" t="str">
        <f t="shared" si="34"/>
        <v>--</v>
      </c>
      <c r="AS92" s="6" t="str">
        <f t="shared" si="35"/>
        <v/>
      </c>
      <c r="AT92" s="6" t="str">
        <f t="shared" si="36"/>
        <v/>
      </c>
      <c r="AU92" s="6" t="str">
        <f>IFERROR(IF(AR92="--","",IF(HLOOKUP(SMALL($Q$4:$Y$4,3),$Q$4:$Y$501,ROW(AP92)-3,FALSE)=0,"",IF(HLOOKUP(SMALL($Q$4:$Y$4,3),$Q$4:$Y$501,ROW(AP92)-3,FALSE)="nee",VLOOKUP("De kwaliteitseis emissiearme grond (maximale concentratie) wordt overschreden.",H!$O$10:'H'!$P$59,2,FALSE),""))),"")</f>
        <v/>
      </c>
      <c r="AV92" s="6" t="str">
        <f t="shared" si="26"/>
        <v>--</v>
      </c>
      <c r="AW92" s="6" t="str">
        <f t="shared" si="27"/>
        <v/>
      </c>
      <c r="AX92" s="6" t="str">
        <f t="shared" si="28"/>
        <v>--</v>
      </c>
      <c r="AY92" s="6" t="str">
        <f t="shared" si="37"/>
        <v/>
      </c>
      <c r="AZ92" s="6" t="str">
        <f t="shared" si="38"/>
        <v/>
      </c>
      <c r="BA92" s="6" t="str">
        <f>IFERROR(IF(AR92="--","",IF(HLOOKUP(SMALL($Q$4:$Y$4,6),$Q$4:$Y$501,ROW(AP92)-3,FALSE)=0,"",IF(HLOOKUP(SMALL($Q$4:$Y$4,6),$Q$4:$Y$501,ROW(AP92)-3,FALSE)="nee",VLOOKUP("De kwaliteitseis emissiearme grond (maximale concentratie) wordt overschreden.",H!$O$10:'H'!$P$59,2,FALSE),""))),"")</f>
        <v/>
      </c>
      <c r="BB92" s="6" t="str">
        <f t="shared" si="29"/>
        <v>--</v>
      </c>
      <c r="BC92" s="6" t="str">
        <f t="shared" si="30"/>
        <v/>
      </c>
      <c r="BD92" s="6" t="str">
        <f t="shared" si="31"/>
        <v>--</v>
      </c>
      <c r="BE92" s="6" t="str">
        <f t="shared" si="39"/>
        <v/>
      </c>
      <c r="BF92" s="6"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6" t="str">
        <f>IF(ISNUMBER(F!E93)=FALSE,"--",IF(F!E93=0,"--",F!E93))</f>
        <v>--</v>
      </c>
      <c r="C93" s="6" t="str">
        <f>IF(B93="--","",F!F93)</f>
        <v/>
      </c>
      <c r="D93" s="6" t="str">
        <f>IF(ISNUMBER(F!G93)=FALSE,"--",IF(F!G93=0,"--",F!G93))</f>
        <v>--</v>
      </c>
      <c r="E93" s="6" t="str">
        <f>IF(D93="--","",F!H93)</f>
        <v/>
      </c>
      <c r="F93" s="6" t="str">
        <f>IF(ISNUMBER(F!I93)=FALSE,"--",IF(F!I93=0,"--",F!I93))</f>
        <v>--</v>
      </c>
      <c r="G93" s="6" t="str">
        <f>IF(F93="--","",F!J93)</f>
        <v/>
      </c>
      <c r="H93" s="6"/>
      <c r="I93" s="6" t="str">
        <f>IF(F!Z93=-1,-1,F!AV93)</f>
        <v/>
      </c>
      <c r="J93" s="6"/>
      <c r="K93" s="6" t="str">
        <f>IF(F!AC93=-1,-1,F!AX93)</f>
        <v/>
      </c>
      <c r="L93" s="6"/>
      <c r="M93" s="6" t="str">
        <f>IF(F!AF93=-1,-1,F!AZ93)</f>
        <v/>
      </c>
      <c r="N93" s="6"/>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6" t="str">
        <f t="shared" si="46"/>
        <v/>
      </c>
      <c r="R93" s="5" t="str">
        <f>IF($B93="--","",IF($P93="toetsen",toetsen(F!$B93,Q93),IF($P93="toetsen alleen IW",toetsen_alleen_IW(F!$B93,Q93),IF($P93="toetsen alleen LN",toetsen_alleen_LN(F!$B93,Q93),IF($P93="toetsen geen MV en SV",toetsen_geen_MV_en_SV(F!$B93,Q93),IF($P93="toetsen alleen MV en SV",toetsen_alleen_MV_en_SV(F!$B93,Q93),""))))))</f>
        <v/>
      </c>
      <c r="S93" s="5" t="str">
        <f>IF($P93="toetsen",IF(OR(Q93="",VLOOKUP(F!$B93,E!$B$1:$AK$300,10,FALSE)=1000000000),"",IF(Q93&lt;=VLOOKUP(F!$B93,E!$B$1:$AK$300,10,FALSE),"ja","nee")),"")</f>
        <v/>
      </c>
      <c r="T93" s="87" t="str">
        <f t="shared" si="41"/>
        <v/>
      </c>
      <c r="U93" s="5" t="str">
        <f>IF($D93="--","",IF($P93="toetsen",toetsen(F!$B93,T93),IF($P93="toetsen alleen IW",toetsen_alleen_IW(F!$B93,T93),IF($P93="toetsen alleen LN",toetsen_alleen_LN(F!$B93,T93),IF($P93="toetsen geen MV en SV",toetsen_geen_MV_en_SV(F!$B93,T93),IF($P93="toetsen alleen MV en SV",toetsen_alleen_MV_en_SV(F!$B93,T93),""))))))</f>
        <v/>
      </c>
      <c r="V93" s="5" t="str">
        <f>IF($P93="toetsen",IF(OR(T93="",VLOOKUP(F!$B93,E!$B$1:$AK$300,10,FALSE)=1000000000),"",IF(T93&lt;=VLOOKUP(F!$B93,E!$B$1:$AK$300,10,FALSE),"ja","nee")),"")</f>
        <v/>
      </c>
      <c r="W93" s="6" t="str">
        <f t="shared" si="42"/>
        <v/>
      </c>
      <c r="X93" s="5" t="str">
        <f>IF($F93="--","",IF($P93="toetsen",toetsen(F!$B93,W93),IF($P93="toetsen alleen IW",toetsen_alleen_IW(F!$B93,W93),IF($P93="toetsen alleen LN",toetsen_alleen_LN(F!$B93,W93),IF($P93="toetsen geen MV en SV",toetsen_geen_MV_en_SV(F!$B93,W93),IF($P93="toetsen alleen MV en SV",toetsen_alleen_MV_en_SV(F!$B93,W93),""))))))</f>
        <v/>
      </c>
      <c r="Y93" s="5" t="str">
        <f>IF($P93="toetsen",IF(OR(W93="",VLOOKUP(F!$B93,E!$B$1:$AK$300,10,FALSE)=1000000000),"",IF(W93&lt;=VLOOKUP(F!$B93,E!$B$1:$AK$300,10,FALSE),"ja","nee")),"")</f>
        <v/>
      </c>
      <c r="AA93" s="4"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6" t="str">
        <f t="shared" si="43"/>
        <v>--</v>
      </c>
      <c r="AJ93" s="6" t="str">
        <f>IF(AI93="--","--",IF(F!$D93=131,IF(I93=-1,"rg",IF(I93="","--",IF(I93*1000&lt;1,FIXED(I93*1000,3),IF(I93*1000&lt;10,FIXED(I93*1000,2),(IF(I93*1000&lt;100,FIXED(I93*1000,1),IF(I93*1000&lt;1000,FIXED(I93*1000,0),MROUND(I93*1000,10)))))))),IF(I93=-1,"rg",IF(I93="","--",IF(I93&lt;1,FIXED(I93,3),IF(I93&lt;10,FIXED(I93,2),(IF(I93&lt;100,FIXED(I93,1),IF(I93&lt;1000,FIXED(I93,0),MROUND(I93,10))))))))))</f>
        <v>--</v>
      </c>
      <c r="AK93" s="6" t="str">
        <f t="shared" si="44"/>
        <v>--</v>
      </c>
      <c r="AL93" s="6" t="str">
        <f>IF(AK93="--","--",IF(F!$D93=131,IF(K93=-1,"rg",IF(K93="","--",IF(K93*1000&lt;1,FIXED(K93*1000,3),IF(K93*1000&lt;10,FIXED(K93*1000,2),(IF(K93*1000&lt;100,FIXED(K93*1000,1),IF(K93*1000&lt;1000,FIXED(K93*1000,0),MROUND(K93*1000,10)))))))),IF(K93=-1,"rg",IF(K93="","--",IF(K93&lt;1,FIXED(K93,3),IF(K93&lt;10,FIXED(K93,2),(IF(K93&lt;100,FIXED(K93,1),IF(K93&lt;1000,FIXED(K93,0),MROUND(K93,10))))))))))</f>
        <v>--</v>
      </c>
      <c r="AM93" s="6" t="str">
        <f t="shared" si="45"/>
        <v>--</v>
      </c>
      <c r="AN93" s="6" t="str">
        <f>IF(AM93="--","--",IF(F!$D93=131,IF(M93=-1,"rg",IF(M93="","--",IF(M93*1000&lt;1,FIXED(M93*1000,3),IF(M93*1000&lt;10,FIXED(M93*1000,2),(IF(M93*1000&lt;100,FIXED(M93*1000,1),IF(M93*1000&lt;1000,FIXED(M93*1000,0),MROUND(M93*1000,10)))))))),IF(M93=-1,"rg",IF(M93="","--",IF(M93&lt;1,FIXED(M93,3),IF(M93&lt;10,FIXED(M93,2),(IF(M93&lt;100,FIXED(M93,1),IF(M93&lt;1000,FIXED(M93,0),MROUND(M93,10))))))))))</f>
        <v>--</v>
      </c>
      <c r="AP93" s="6" t="str">
        <f t="shared" si="32"/>
        <v>--</v>
      </c>
      <c r="AQ93" s="6" t="str">
        <f t="shared" si="33"/>
        <v/>
      </c>
      <c r="AR93" s="6" t="str">
        <f t="shared" si="34"/>
        <v>--</v>
      </c>
      <c r="AS93" s="6" t="str">
        <f t="shared" si="35"/>
        <v/>
      </c>
      <c r="AT93" s="6" t="str">
        <f t="shared" si="36"/>
        <v/>
      </c>
      <c r="AU93" s="6" t="str">
        <f>IFERROR(IF(AR93="--","",IF(HLOOKUP(SMALL($Q$4:$Y$4,3),$Q$4:$Y$501,ROW(AP93)-3,FALSE)=0,"",IF(HLOOKUP(SMALL($Q$4:$Y$4,3),$Q$4:$Y$501,ROW(AP93)-3,FALSE)="nee",VLOOKUP("De kwaliteitseis emissiearme grond (maximale concentratie) wordt overschreden.",H!$O$10:'H'!$P$59,2,FALSE),""))),"")</f>
        <v/>
      </c>
      <c r="AV93" s="6" t="str">
        <f t="shared" si="26"/>
        <v>--</v>
      </c>
      <c r="AW93" s="6" t="str">
        <f t="shared" si="27"/>
        <v/>
      </c>
      <c r="AX93" s="6" t="str">
        <f t="shared" si="28"/>
        <v>--</v>
      </c>
      <c r="AY93" s="6" t="str">
        <f t="shared" si="37"/>
        <v/>
      </c>
      <c r="AZ93" s="6" t="str">
        <f t="shared" si="38"/>
        <v/>
      </c>
      <c r="BA93" s="6" t="str">
        <f>IFERROR(IF(AR93="--","",IF(HLOOKUP(SMALL($Q$4:$Y$4,6),$Q$4:$Y$501,ROW(AP93)-3,FALSE)=0,"",IF(HLOOKUP(SMALL($Q$4:$Y$4,6),$Q$4:$Y$501,ROW(AP93)-3,FALSE)="nee",VLOOKUP("De kwaliteitseis emissiearme grond (maximale concentratie) wordt overschreden.",H!$O$10:'H'!$P$59,2,FALSE),""))),"")</f>
        <v/>
      </c>
      <c r="BB93" s="6" t="str">
        <f t="shared" si="29"/>
        <v>--</v>
      </c>
      <c r="BC93" s="6" t="str">
        <f t="shared" si="30"/>
        <v/>
      </c>
      <c r="BD93" s="6" t="str">
        <f t="shared" si="31"/>
        <v>--</v>
      </c>
      <c r="BE93" s="6" t="str">
        <f t="shared" si="39"/>
        <v/>
      </c>
      <c r="BF93" s="6"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6" t="str">
        <f>IF(ISNUMBER(F!E94)=FALSE,"--",IF(F!E94=0,"--",F!E94))</f>
        <v>--</v>
      </c>
      <c r="C94" s="6" t="str">
        <f>IF(B94="--","",F!F94)</f>
        <v/>
      </c>
      <c r="D94" s="6" t="str">
        <f>IF(ISNUMBER(F!G94)=FALSE,"--",IF(F!G94=0,"--",F!G94))</f>
        <v>--</v>
      </c>
      <c r="E94" s="6" t="str">
        <f>IF(D94="--","",F!H94)</f>
        <v/>
      </c>
      <c r="F94" s="6" t="str">
        <f>IF(ISNUMBER(F!I94)=FALSE,"--",IF(F!I94=0,"--",F!I94))</f>
        <v>--</v>
      </c>
      <c r="G94" s="6" t="str">
        <f>IF(F94="--","",F!J94)</f>
        <v/>
      </c>
      <c r="H94" s="6"/>
      <c r="I94" s="6" t="str">
        <f>IF(F!Z94=-1,-1,F!AV94)</f>
        <v/>
      </c>
      <c r="J94" s="6"/>
      <c r="K94" s="6" t="str">
        <f>IF(F!AC94=-1,-1,F!AX94)</f>
        <v/>
      </c>
      <c r="L94" s="6"/>
      <c r="M94" s="6" t="str">
        <f>IF(F!AF94=-1,-1,F!AZ94)</f>
        <v/>
      </c>
      <c r="N94" s="6"/>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6" t="str">
        <f t="shared" si="46"/>
        <v/>
      </c>
      <c r="R94" s="5" t="str">
        <f>IF($B94="--","",IF($P94="toetsen",toetsen(F!$B94,Q94),IF($P94="toetsen alleen IW",toetsen_alleen_IW(F!$B94,Q94),IF($P94="toetsen alleen LN",toetsen_alleen_LN(F!$B94,Q94),IF($P94="toetsen geen MV en SV",toetsen_geen_MV_en_SV(F!$B94,Q94),IF($P94="toetsen alleen MV en SV",toetsen_alleen_MV_en_SV(F!$B94,Q94),""))))))</f>
        <v/>
      </c>
      <c r="S94" s="5" t="str">
        <f>IF($P94="toetsen",IF(OR(Q94="",VLOOKUP(F!$B94,E!$B$1:$AK$300,10,FALSE)=1000000000),"",IF(Q94&lt;=VLOOKUP(F!$B94,E!$B$1:$AK$300,10,FALSE),"ja","nee")),"")</f>
        <v/>
      </c>
      <c r="T94" s="87" t="str">
        <f t="shared" si="41"/>
        <v/>
      </c>
      <c r="U94" s="5" t="str">
        <f>IF($D94="--","",IF($P94="toetsen",toetsen(F!$B94,T94),IF($P94="toetsen alleen IW",toetsen_alleen_IW(F!$B94,T94),IF($P94="toetsen alleen LN",toetsen_alleen_LN(F!$B94,T94),IF($P94="toetsen geen MV en SV",toetsen_geen_MV_en_SV(F!$B94,T94),IF($P94="toetsen alleen MV en SV",toetsen_alleen_MV_en_SV(F!$B94,T94),""))))))</f>
        <v/>
      </c>
      <c r="V94" s="5" t="str">
        <f>IF($P94="toetsen",IF(OR(T94="",VLOOKUP(F!$B94,E!$B$1:$AK$300,10,FALSE)=1000000000),"",IF(T94&lt;=VLOOKUP(F!$B94,E!$B$1:$AK$300,10,FALSE),"ja","nee")),"")</f>
        <v/>
      </c>
      <c r="W94" s="6" t="str">
        <f t="shared" si="42"/>
        <v/>
      </c>
      <c r="X94" s="5" t="str">
        <f>IF($F94="--","",IF($P94="toetsen",toetsen(F!$B94,W94),IF($P94="toetsen alleen IW",toetsen_alleen_IW(F!$B94,W94),IF($P94="toetsen alleen LN",toetsen_alleen_LN(F!$B94,W94),IF($P94="toetsen geen MV en SV",toetsen_geen_MV_en_SV(F!$B94,W94),IF($P94="toetsen alleen MV en SV",toetsen_alleen_MV_en_SV(F!$B94,W94),""))))))</f>
        <v/>
      </c>
      <c r="Y94" s="5" t="str">
        <f>IF($P94="toetsen",IF(OR(W94="",VLOOKUP(F!$B94,E!$B$1:$AK$300,10,FALSE)=1000000000),"",IF(W94&lt;=VLOOKUP(F!$B94,E!$B$1:$AK$300,10,FALSE),"ja","nee")),"")</f>
        <v/>
      </c>
      <c r="AA94" s="4"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6" t="str">
        <f t="shared" si="43"/>
        <v>--</v>
      </c>
      <c r="AJ94" s="6" t="str">
        <f>IF(AI94="--","--",IF(F!$D94=131,IF(I94=-1,"rg",IF(I94="","--",IF(I94*1000&lt;1,FIXED(I94*1000,3),IF(I94*1000&lt;10,FIXED(I94*1000,2),(IF(I94*1000&lt;100,FIXED(I94*1000,1),IF(I94*1000&lt;1000,FIXED(I94*1000,0),MROUND(I94*1000,10)))))))),IF(I94=-1,"rg",IF(I94="","--",IF(I94&lt;1,FIXED(I94,3),IF(I94&lt;10,FIXED(I94,2),(IF(I94&lt;100,FIXED(I94,1),IF(I94&lt;1000,FIXED(I94,0),MROUND(I94,10))))))))))</f>
        <v>--</v>
      </c>
      <c r="AK94" s="6" t="str">
        <f t="shared" si="44"/>
        <v>--</v>
      </c>
      <c r="AL94" s="6" t="str">
        <f>IF(AK94="--","--",IF(F!$D94=131,IF(K94=-1,"rg",IF(K94="","--",IF(K94*1000&lt;1,FIXED(K94*1000,3),IF(K94*1000&lt;10,FIXED(K94*1000,2),(IF(K94*1000&lt;100,FIXED(K94*1000,1),IF(K94*1000&lt;1000,FIXED(K94*1000,0),MROUND(K94*1000,10)))))))),IF(K94=-1,"rg",IF(K94="","--",IF(K94&lt;1,FIXED(K94,3),IF(K94&lt;10,FIXED(K94,2),(IF(K94&lt;100,FIXED(K94,1),IF(K94&lt;1000,FIXED(K94,0),MROUND(K94,10))))))))))</f>
        <v>--</v>
      </c>
      <c r="AM94" s="6" t="str">
        <f t="shared" si="45"/>
        <v>--</v>
      </c>
      <c r="AN94" s="6" t="str">
        <f>IF(AM94="--","--",IF(F!$D94=131,IF(M94=-1,"rg",IF(M94="","--",IF(M94*1000&lt;1,FIXED(M94*1000,3),IF(M94*1000&lt;10,FIXED(M94*1000,2),(IF(M94*1000&lt;100,FIXED(M94*1000,1),IF(M94*1000&lt;1000,FIXED(M94*1000,0),MROUND(M94*1000,10)))))))),IF(M94=-1,"rg",IF(M94="","--",IF(M94&lt;1,FIXED(M94,3),IF(M94&lt;10,FIXED(M94,2),(IF(M94&lt;100,FIXED(M94,1),IF(M94&lt;1000,FIXED(M94,0),MROUND(M94,10))))))))))</f>
        <v>--</v>
      </c>
      <c r="AP94" s="6" t="str">
        <f t="shared" si="32"/>
        <v>--</v>
      </c>
      <c r="AQ94" s="6" t="str">
        <f t="shared" si="33"/>
        <v/>
      </c>
      <c r="AR94" s="6" t="str">
        <f t="shared" si="34"/>
        <v>--</v>
      </c>
      <c r="AS94" s="6" t="str">
        <f t="shared" si="35"/>
        <v/>
      </c>
      <c r="AT94" s="6" t="str">
        <f t="shared" si="36"/>
        <v/>
      </c>
      <c r="AU94" s="6" t="str">
        <f>IFERROR(IF(AR94="--","",IF(HLOOKUP(SMALL($Q$4:$Y$4,3),$Q$4:$Y$501,ROW(AP94)-3,FALSE)=0,"",IF(HLOOKUP(SMALL($Q$4:$Y$4,3),$Q$4:$Y$501,ROW(AP94)-3,FALSE)="nee",VLOOKUP("De kwaliteitseis emissiearme grond (maximale concentratie) wordt overschreden.",H!$O$10:'H'!$P$59,2,FALSE),""))),"")</f>
        <v/>
      </c>
      <c r="AV94" s="6" t="str">
        <f t="shared" si="26"/>
        <v>--</v>
      </c>
      <c r="AW94" s="6" t="str">
        <f t="shared" si="27"/>
        <v/>
      </c>
      <c r="AX94" s="6" t="str">
        <f t="shared" si="28"/>
        <v>--</v>
      </c>
      <c r="AY94" s="6" t="str">
        <f t="shared" si="37"/>
        <v/>
      </c>
      <c r="AZ94" s="6" t="str">
        <f t="shared" si="38"/>
        <v/>
      </c>
      <c r="BA94" s="6" t="str">
        <f>IFERROR(IF(AR94="--","",IF(HLOOKUP(SMALL($Q$4:$Y$4,6),$Q$4:$Y$501,ROW(AP94)-3,FALSE)=0,"",IF(HLOOKUP(SMALL($Q$4:$Y$4,6),$Q$4:$Y$501,ROW(AP94)-3,FALSE)="nee",VLOOKUP("De kwaliteitseis emissiearme grond (maximale concentratie) wordt overschreden.",H!$O$10:'H'!$P$59,2,FALSE),""))),"")</f>
        <v/>
      </c>
      <c r="BB94" s="6" t="str">
        <f t="shared" si="29"/>
        <v>--</v>
      </c>
      <c r="BC94" s="6" t="str">
        <f t="shared" si="30"/>
        <v/>
      </c>
      <c r="BD94" s="6" t="str">
        <f t="shared" si="31"/>
        <v>--</v>
      </c>
      <c r="BE94" s="6" t="str">
        <f t="shared" si="39"/>
        <v/>
      </c>
      <c r="BF94" s="6"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6" t="str">
        <f>IF(ISNUMBER(F!E95)=FALSE,"--",IF(F!E95=0,"--",F!E95))</f>
        <v>--</v>
      </c>
      <c r="C95" s="6" t="str">
        <f>IF(B95="--","",F!F95)</f>
        <v/>
      </c>
      <c r="D95" s="6" t="str">
        <f>IF(ISNUMBER(F!G95)=FALSE,"--",IF(F!G95=0,"--",F!G95))</f>
        <v>--</v>
      </c>
      <c r="E95" s="6" t="str">
        <f>IF(D95="--","",F!H95)</f>
        <v/>
      </c>
      <c r="F95" s="6" t="str">
        <f>IF(ISNUMBER(F!I95)=FALSE,"--",IF(F!I95=0,"--",F!I95))</f>
        <v>--</v>
      </c>
      <c r="G95" s="6" t="str">
        <f>IF(F95="--","",F!J95)</f>
        <v/>
      </c>
      <c r="H95" s="6"/>
      <c r="I95" s="6" t="str">
        <f>IF(F!Z95=-1,-1,F!AV95)</f>
        <v/>
      </c>
      <c r="J95" s="6"/>
      <c r="K95" s="6" t="str">
        <f>IF(F!AC95=-1,-1,F!AX95)</f>
        <v/>
      </c>
      <c r="L95" s="6"/>
      <c r="M95" s="6" t="str">
        <f>IF(F!AF95=-1,-1,F!AZ95)</f>
        <v/>
      </c>
      <c r="N95" s="6"/>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6" t="str">
        <f t="shared" si="46"/>
        <v/>
      </c>
      <c r="R95" s="5" t="str">
        <f>IF($B95="--","",IF($P95="toetsen",toetsen(F!$B95,Q95),IF($P95="toetsen alleen IW",toetsen_alleen_IW(F!$B95,Q95),IF($P95="toetsen alleen LN",toetsen_alleen_LN(F!$B95,Q95),IF($P95="toetsen geen MV en SV",toetsen_geen_MV_en_SV(F!$B95,Q95),IF($P95="toetsen alleen MV en SV",toetsen_alleen_MV_en_SV(F!$B95,Q95),""))))))</f>
        <v/>
      </c>
      <c r="S95" s="5" t="str">
        <f>IF($P95="toetsen",IF(OR(Q95="",VLOOKUP(F!$B95,E!$B$1:$AK$300,10,FALSE)=1000000000),"",IF(Q95&lt;=VLOOKUP(F!$B95,E!$B$1:$AK$300,10,FALSE),"ja","nee")),"")</f>
        <v/>
      </c>
      <c r="T95" s="87" t="str">
        <f t="shared" si="41"/>
        <v/>
      </c>
      <c r="U95" s="5" t="str">
        <f>IF($D95="--","",IF($P95="toetsen",toetsen(F!$B95,T95),IF($P95="toetsen alleen IW",toetsen_alleen_IW(F!$B95,T95),IF($P95="toetsen alleen LN",toetsen_alleen_LN(F!$B95,T95),IF($P95="toetsen geen MV en SV",toetsen_geen_MV_en_SV(F!$B95,T95),IF($P95="toetsen alleen MV en SV",toetsen_alleen_MV_en_SV(F!$B95,T95),""))))))</f>
        <v/>
      </c>
      <c r="V95" s="5" t="str">
        <f>IF($P95="toetsen",IF(OR(T95="",VLOOKUP(F!$B95,E!$B$1:$AK$300,10,FALSE)=1000000000),"",IF(T95&lt;=VLOOKUP(F!$B95,E!$B$1:$AK$300,10,FALSE),"ja","nee")),"")</f>
        <v/>
      </c>
      <c r="W95" s="6" t="str">
        <f t="shared" si="42"/>
        <v/>
      </c>
      <c r="X95" s="5" t="str">
        <f>IF($F95="--","",IF($P95="toetsen",toetsen(F!$B95,W95),IF($P95="toetsen alleen IW",toetsen_alleen_IW(F!$B95,W95),IF($P95="toetsen alleen LN",toetsen_alleen_LN(F!$B95,W95),IF($P95="toetsen geen MV en SV",toetsen_geen_MV_en_SV(F!$B95,W95),IF($P95="toetsen alleen MV en SV",toetsen_alleen_MV_en_SV(F!$B95,W95),""))))))</f>
        <v/>
      </c>
      <c r="Y95" s="5" t="str">
        <f>IF($P95="toetsen",IF(OR(W95="",VLOOKUP(F!$B95,E!$B$1:$AK$300,10,FALSE)=1000000000),"",IF(W95&lt;=VLOOKUP(F!$B95,E!$B$1:$AK$300,10,FALSE),"ja","nee")),"")</f>
        <v/>
      </c>
      <c r="AA95" s="4"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6" t="str">
        <f t="shared" si="43"/>
        <v>--</v>
      </c>
      <c r="AJ95" s="6" t="str">
        <f>IF(AI95="--","--",IF(F!$D95=131,IF(I95=-1,"rg",IF(I95="","--",IF(I95*1000&lt;1,FIXED(I95*1000,3),IF(I95*1000&lt;10,FIXED(I95*1000,2),(IF(I95*1000&lt;100,FIXED(I95*1000,1),IF(I95*1000&lt;1000,FIXED(I95*1000,0),MROUND(I95*1000,10)))))))),IF(I95=-1,"rg",IF(I95="","--",IF(I95&lt;1,FIXED(I95,3),IF(I95&lt;10,FIXED(I95,2),(IF(I95&lt;100,FIXED(I95,1),IF(I95&lt;1000,FIXED(I95,0),MROUND(I95,10))))))))))</f>
        <v>--</v>
      </c>
      <c r="AK95" s="6" t="str">
        <f t="shared" si="44"/>
        <v>--</v>
      </c>
      <c r="AL95" s="6" t="str">
        <f>IF(AK95="--","--",IF(F!$D95=131,IF(K95=-1,"rg",IF(K95="","--",IF(K95*1000&lt;1,FIXED(K95*1000,3),IF(K95*1000&lt;10,FIXED(K95*1000,2),(IF(K95*1000&lt;100,FIXED(K95*1000,1),IF(K95*1000&lt;1000,FIXED(K95*1000,0),MROUND(K95*1000,10)))))))),IF(K95=-1,"rg",IF(K95="","--",IF(K95&lt;1,FIXED(K95,3),IF(K95&lt;10,FIXED(K95,2),(IF(K95&lt;100,FIXED(K95,1),IF(K95&lt;1000,FIXED(K95,0),MROUND(K95,10))))))))))</f>
        <v>--</v>
      </c>
      <c r="AM95" s="6" t="str">
        <f t="shared" si="45"/>
        <v>--</v>
      </c>
      <c r="AN95" s="6" t="str">
        <f>IF(AM95="--","--",IF(F!$D95=131,IF(M95=-1,"rg",IF(M95="","--",IF(M95*1000&lt;1,FIXED(M95*1000,3),IF(M95*1000&lt;10,FIXED(M95*1000,2),(IF(M95*1000&lt;100,FIXED(M95*1000,1),IF(M95*1000&lt;1000,FIXED(M95*1000,0),MROUND(M95*1000,10)))))))),IF(M95=-1,"rg",IF(M95="","--",IF(M95&lt;1,FIXED(M95,3),IF(M95&lt;10,FIXED(M95,2),(IF(M95&lt;100,FIXED(M95,1),IF(M95&lt;1000,FIXED(M95,0),MROUND(M95,10))))))))))</f>
        <v>--</v>
      </c>
      <c r="AP95" s="6" t="str">
        <f t="shared" si="32"/>
        <v>--</v>
      </c>
      <c r="AQ95" s="6" t="str">
        <f t="shared" si="33"/>
        <v/>
      </c>
      <c r="AR95" s="6" t="str">
        <f t="shared" si="34"/>
        <v>--</v>
      </c>
      <c r="AS95" s="6" t="str">
        <f t="shared" si="35"/>
        <v/>
      </c>
      <c r="AT95" s="6" t="str">
        <f t="shared" si="36"/>
        <v/>
      </c>
      <c r="AU95" s="6" t="str">
        <f>IFERROR(IF(AR95="--","",IF(HLOOKUP(SMALL($Q$4:$Y$4,3),$Q$4:$Y$501,ROW(AP95)-3,FALSE)=0,"",IF(HLOOKUP(SMALL($Q$4:$Y$4,3),$Q$4:$Y$501,ROW(AP95)-3,FALSE)="nee",VLOOKUP("De kwaliteitseis emissiearme grond (maximale concentratie) wordt overschreden.",H!$O$10:'H'!$P$59,2,FALSE),""))),"")</f>
        <v/>
      </c>
      <c r="AV95" s="6" t="str">
        <f t="shared" si="26"/>
        <v>--</v>
      </c>
      <c r="AW95" s="6" t="str">
        <f t="shared" si="27"/>
        <v/>
      </c>
      <c r="AX95" s="6" t="str">
        <f t="shared" si="28"/>
        <v>--</v>
      </c>
      <c r="AY95" s="6" t="str">
        <f t="shared" si="37"/>
        <v/>
      </c>
      <c r="AZ95" s="6" t="str">
        <f t="shared" si="38"/>
        <v/>
      </c>
      <c r="BA95" s="6" t="str">
        <f>IFERROR(IF(AR95="--","",IF(HLOOKUP(SMALL($Q$4:$Y$4,6),$Q$4:$Y$501,ROW(AP95)-3,FALSE)=0,"",IF(HLOOKUP(SMALL($Q$4:$Y$4,6),$Q$4:$Y$501,ROW(AP95)-3,FALSE)="nee",VLOOKUP("De kwaliteitseis emissiearme grond (maximale concentratie) wordt overschreden.",H!$O$10:'H'!$P$59,2,FALSE),""))),"")</f>
        <v/>
      </c>
      <c r="BB95" s="6" t="str">
        <f t="shared" si="29"/>
        <v>--</v>
      </c>
      <c r="BC95" s="6" t="str">
        <f t="shared" si="30"/>
        <v/>
      </c>
      <c r="BD95" s="6" t="str">
        <f t="shared" si="31"/>
        <v>--</v>
      </c>
      <c r="BE95" s="6" t="str">
        <f t="shared" si="39"/>
        <v/>
      </c>
      <c r="BF95" s="6"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6" t="str">
        <f>IF(ISNUMBER(F!E96)=FALSE,"--",IF(F!E96=0,"--",F!E96))</f>
        <v>--</v>
      </c>
      <c r="C96" s="6" t="str">
        <f>IF(B96="--","",F!F96)</f>
        <v/>
      </c>
      <c r="D96" s="6" t="str">
        <f>IF(ISNUMBER(F!G96)=FALSE,"--",IF(F!G96=0,"--",F!G96))</f>
        <v>--</v>
      </c>
      <c r="E96" s="6" t="str">
        <f>IF(D96="--","",F!H96)</f>
        <v/>
      </c>
      <c r="F96" s="6" t="str">
        <f>IF(ISNUMBER(F!I96)=FALSE,"--",IF(F!I96=0,"--",F!I96))</f>
        <v>--</v>
      </c>
      <c r="G96" s="6" t="str">
        <f>IF(F96="--","",F!J96)</f>
        <v/>
      </c>
      <c r="H96" s="6"/>
      <c r="I96" s="6" t="str">
        <f>IF(F!Z96=-1,-1,F!AV96)</f>
        <v/>
      </c>
      <c r="J96" s="6"/>
      <c r="K96" s="6" t="str">
        <f>IF(F!AC96=-1,-1,F!AX96)</f>
        <v/>
      </c>
      <c r="L96" s="6"/>
      <c r="M96" s="6" t="str">
        <f>IF(F!AF96=-1,-1,F!AZ96)</f>
        <v/>
      </c>
      <c r="N96" s="6"/>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6" t="str">
        <f t="shared" si="46"/>
        <v/>
      </c>
      <c r="R96" s="5" t="str">
        <f>IF($B96="--","",IF($P96="toetsen",toetsen(F!$B96,Q96),IF($P96="toetsen alleen IW",toetsen_alleen_IW(F!$B96,Q96),IF($P96="toetsen alleen LN",toetsen_alleen_LN(F!$B96,Q96),IF($P96="toetsen geen MV en SV",toetsen_geen_MV_en_SV(F!$B96,Q96),IF($P96="toetsen alleen MV en SV",toetsen_alleen_MV_en_SV(F!$B96,Q96),""))))))</f>
        <v/>
      </c>
      <c r="S96" s="5" t="str">
        <f>IF($P96="toetsen",IF(OR(Q96="",VLOOKUP(F!$B96,E!$B$1:$AK$300,10,FALSE)=1000000000),"",IF(Q96&lt;=VLOOKUP(F!$B96,E!$B$1:$AK$300,10,FALSE),"ja","nee")),"")</f>
        <v/>
      </c>
      <c r="T96" s="87" t="str">
        <f t="shared" si="41"/>
        <v/>
      </c>
      <c r="U96" s="5" t="str">
        <f>IF($D96="--","",IF($P96="toetsen",toetsen(F!$B96,T96),IF($P96="toetsen alleen IW",toetsen_alleen_IW(F!$B96,T96),IF($P96="toetsen alleen LN",toetsen_alleen_LN(F!$B96,T96),IF($P96="toetsen geen MV en SV",toetsen_geen_MV_en_SV(F!$B96,T96),IF($P96="toetsen alleen MV en SV",toetsen_alleen_MV_en_SV(F!$B96,T96),""))))))</f>
        <v/>
      </c>
      <c r="V96" s="5" t="str">
        <f>IF($P96="toetsen",IF(OR(T96="",VLOOKUP(F!$B96,E!$B$1:$AK$300,10,FALSE)=1000000000),"",IF(T96&lt;=VLOOKUP(F!$B96,E!$B$1:$AK$300,10,FALSE),"ja","nee")),"")</f>
        <v/>
      </c>
      <c r="W96" s="6" t="str">
        <f t="shared" si="42"/>
        <v/>
      </c>
      <c r="X96" s="5" t="str">
        <f>IF($F96="--","",IF($P96="toetsen",toetsen(F!$B96,W96),IF($P96="toetsen alleen IW",toetsen_alleen_IW(F!$B96,W96),IF($P96="toetsen alleen LN",toetsen_alleen_LN(F!$B96,W96),IF($P96="toetsen geen MV en SV",toetsen_geen_MV_en_SV(F!$B96,W96),IF($P96="toetsen alleen MV en SV",toetsen_alleen_MV_en_SV(F!$B96,W96),""))))))</f>
        <v/>
      </c>
      <c r="Y96" s="5" t="str">
        <f>IF($P96="toetsen",IF(OR(W96="",VLOOKUP(F!$B96,E!$B$1:$AK$300,10,FALSE)=1000000000),"",IF(W96&lt;=VLOOKUP(F!$B96,E!$B$1:$AK$300,10,FALSE),"ja","nee")),"")</f>
        <v/>
      </c>
      <c r="AA96" s="4"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6" t="str">
        <f t="shared" si="43"/>
        <v>--</v>
      </c>
      <c r="AJ96" s="6" t="str">
        <f>IF(AI96="--","--",IF(F!$D96=131,IF(I96=-1,"rg",IF(I96="","--",IF(I96*1000&lt;1,FIXED(I96*1000,3),IF(I96*1000&lt;10,FIXED(I96*1000,2),(IF(I96*1000&lt;100,FIXED(I96*1000,1),IF(I96*1000&lt;1000,FIXED(I96*1000,0),MROUND(I96*1000,10)))))))),IF(I96=-1,"rg",IF(I96="","--",IF(I96&lt;1,FIXED(I96,3),IF(I96&lt;10,FIXED(I96,2),(IF(I96&lt;100,FIXED(I96,1),IF(I96&lt;1000,FIXED(I96,0),MROUND(I96,10))))))))))</f>
        <v>--</v>
      </c>
      <c r="AK96" s="6" t="str">
        <f t="shared" si="44"/>
        <v>--</v>
      </c>
      <c r="AL96" s="6" t="str">
        <f>IF(AK96="--","--",IF(F!$D96=131,IF(K96=-1,"rg",IF(K96="","--",IF(K96*1000&lt;1,FIXED(K96*1000,3),IF(K96*1000&lt;10,FIXED(K96*1000,2),(IF(K96*1000&lt;100,FIXED(K96*1000,1),IF(K96*1000&lt;1000,FIXED(K96*1000,0),MROUND(K96*1000,10)))))))),IF(K96=-1,"rg",IF(K96="","--",IF(K96&lt;1,FIXED(K96,3),IF(K96&lt;10,FIXED(K96,2),(IF(K96&lt;100,FIXED(K96,1),IF(K96&lt;1000,FIXED(K96,0),MROUND(K96,10))))))))))</f>
        <v>--</v>
      </c>
      <c r="AM96" s="6" t="str">
        <f t="shared" si="45"/>
        <v>--</v>
      </c>
      <c r="AN96" s="6" t="str">
        <f>IF(AM96="--","--",IF(F!$D96=131,IF(M96=-1,"rg",IF(M96="","--",IF(M96*1000&lt;1,FIXED(M96*1000,3),IF(M96*1000&lt;10,FIXED(M96*1000,2),(IF(M96*1000&lt;100,FIXED(M96*1000,1),IF(M96*1000&lt;1000,FIXED(M96*1000,0),MROUND(M96*1000,10)))))))),IF(M96=-1,"rg",IF(M96="","--",IF(M96&lt;1,FIXED(M96,3),IF(M96&lt;10,FIXED(M96,2),(IF(M96&lt;100,FIXED(M96,1),IF(M96&lt;1000,FIXED(M96,0),MROUND(M96,10))))))))))</f>
        <v>--</v>
      </c>
      <c r="AP96" s="6" t="str">
        <f t="shared" si="32"/>
        <v>--</v>
      </c>
      <c r="AQ96" s="6" t="str">
        <f t="shared" si="33"/>
        <v/>
      </c>
      <c r="AR96" s="6" t="str">
        <f t="shared" si="34"/>
        <v>--</v>
      </c>
      <c r="AS96" s="6" t="str">
        <f t="shared" si="35"/>
        <v/>
      </c>
      <c r="AT96" s="6" t="str">
        <f t="shared" si="36"/>
        <v/>
      </c>
      <c r="AU96" s="6" t="str">
        <f>IFERROR(IF(AR96="--","",IF(HLOOKUP(SMALL($Q$4:$Y$4,3),$Q$4:$Y$501,ROW(AP96)-3,FALSE)=0,"",IF(HLOOKUP(SMALL($Q$4:$Y$4,3),$Q$4:$Y$501,ROW(AP96)-3,FALSE)="nee",VLOOKUP("De kwaliteitseis emissiearme grond (maximale concentratie) wordt overschreden.",H!$O$10:'H'!$P$59,2,FALSE),""))),"")</f>
        <v/>
      </c>
      <c r="AV96" s="6" t="str">
        <f t="shared" si="26"/>
        <v>--</v>
      </c>
      <c r="AW96" s="6" t="str">
        <f t="shared" si="27"/>
        <v/>
      </c>
      <c r="AX96" s="6" t="str">
        <f t="shared" si="28"/>
        <v>--</v>
      </c>
      <c r="AY96" s="6" t="str">
        <f t="shared" si="37"/>
        <v/>
      </c>
      <c r="AZ96" s="6" t="str">
        <f t="shared" si="38"/>
        <v/>
      </c>
      <c r="BA96" s="6" t="str">
        <f>IFERROR(IF(AR96="--","",IF(HLOOKUP(SMALL($Q$4:$Y$4,6),$Q$4:$Y$501,ROW(AP96)-3,FALSE)=0,"",IF(HLOOKUP(SMALL($Q$4:$Y$4,6),$Q$4:$Y$501,ROW(AP96)-3,FALSE)="nee",VLOOKUP("De kwaliteitseis emissiearme grond (maximale concentratie) wordt overschreden.",H!$O$10:'H'!$P$59,2,FALSE),""))),"")</f>
        <v/>
      </c>
      <c r="BB96" s="6" t="str">
        <f t="shared" si="29"/>
        <v>--</v>
      </c>
      <c r="BC96" s="6" t="str">
        <f t="shared" si="30"/>
        <v/>
      </c>
      <c r="BD96" s="6" t="str">
        <f t="shared" si="31"/>
        <v>--</v>
      </c>
      <c r="BE96" s="6" t="str">
        <f t="shared" si="39"/>
        <v/>
      </c>
      <c r="BF96" s="6"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6" t="str">
        <f>IF(ISNUMBER(F!E97)=FALSE,"--",IF(F!E97=0,"--",F!E97))</f>
        <v>--</v>
      </c>
      <c r="C97" s="6" t="str">
        <f>IF(B97="--","",F!F97)</f>
        <v/>
      </c>
      <c r="D97" s="6" t="str">
        <f>IF(ISNUMBER(F!G97)=FALSE,"--",IF(F!G97=0,"--",F!G97))</f>
        <v>--</v>
      </c>
      <c r="E97" s="6" t="str">
        <f>IF(D97="--","",F!H97)</f>
        <v/>
      </c>
      <c r="F97" s="6" t="str">
        <f>IF(ISNUMBER(F!I97)=FALSE,"--",IF(F!I97=0,"--",F!I97))</f>
        <v>--</v>
      </c>
      <c r="G97" s="6" t="str">
        <f>IF(F97="--","",F!J97)</f>
        <v/>
      </c>
      <c r="H97" s="6"/>
      <c r="I97" s="6" t="str">
        <f>IF(F!Z97=-1,-1,F!AV97)</f>
        <v/>
      </c>
      <c r="J97" s="6"/>
      <c r="K97" s="6" t="str">
        <f>IF(F!AC97=-1,-1,F!AX97)</f>
        <v/>
      </c>
      <c r="L97" s="6"/>
      <c r="M97" s="6" t="str">
        <f>IF(F!AF97=-1,-1,F!AZ97)</f>
        <v/>
      </c>
      <c r="N97" s="6"/>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6" t="str">
        <f t="shared" si="46"/>
        <v/>
      </c>
      <c r="R97" s="5" t="str">
        <f>IF($B97="--","",IF($P97="toetsen",toetsen(F!$B97,Q97),IF($P97="toetsen alleen IW",toetsen_alleen_IW(F!$B97,Q97),IF($P97="toetsen alleen LN",toetsen_alleen_LN(F!$B97,Q97),IF($P97="toetsen geen MV en SV",toetsen_geen_MV_en_SV(F!$B97,Q97),IF($P97="toetsen alleen MV en SV",toetsen_alleen_MV_en_SV(F!$B97,Q97),""))))))</f>
        <v/>
      </c>
      <c r="S97" s="5" t="str">
        <f>IF($P97="toetsen",IF(OR(Q97="",VLOOKUP(F!$B97,E!$B$1:$AK$300,10,FALSE)=1000000000),"",IF(Q97&lt;=VLOOKUP(F!$B97,E!$B$1:$AK$300,10,FALSE),"ja","nee")),"")</f>
        <v/>
      </c>
      <c r="T97" s="87" t="str">
        <f t="shared" si="41"/>
        <v/>
      </c>
      <c r="U97" s="5" t="str">
        <f>IF($D97="--","",IF($P97="toetsen",toetsen(F!$B97,T97),IF($P97="toetsen alleen IW",toetsen_alleen_IW(F!$B97,T97),IF($P97="toetsen alleen LN",toetsen_alleen_LN(F!$B97,T97),IF($P97="toetsen geen MV en SV",toetsen_geen_MV_en_SV(F!$B97,T97),IF($P97="toetsen alleen MV en SV",toetsen_alleen_MV_en_SV(F!$B97,T97),""))))))</f>
        <v/>
      </c>
      <c r="V97" s="5" t="str">
        <f>IF($P97="toetsen",IF(OR(T97="",VLOOKUP(F!$B97,E!$B$1:$AK$300,10,FALSE)=1000000000),"",IF(T97&lt;=VLOOKUP(F!$B97,E!$B$1:$AK$300,10,FALSE),"ja","nee")),"")</f>
        <v/>
      </c>
      <c r="W97" s="6" t="str">
        <f t="shared" si="42"/>
        <v/>
      </c>
      <c r="X97" s="5" t="str">
        <f>IF($F97="--","",IF($P97="toetsen",toetsen(F!$B97,W97),IF($P97="toetsen alleen IW",toetsen_alleen_IW(F!$B97,W97),IF($P97="toetsen alleen LN",toetsen_alleen_LN(F!$B97,W97),IF($P97="toetsen geen MV en SV",toetsen_geen_MV_en_SV(F!$B97,W97),IF($P97="toetsen alleen MV en SV",toetsen_alleen_MV_en_SV(F!$B97,W97),""))))))</f>
        <v/>
      </c>
      <c r="Y97" s="5" t="str">
        <f>IF($P97="toetsen",IF(OR(W97="",VLOOKUP(F!$B97,E!$B$1:$AK$300,10,FALSE)=1000000000),"",IF(W97&lt;=VLOOKUP(F!$B97,E!$B$1:$AK$300,10,FALSE),"ja","nee")),"")</f>
        <v/>
      </c>
      <c r="AA97" s="4"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6" t="str">
        <f t="shared" si="43"/>
        <v>--</v>
      </c>
      <c r="AJ97" s="6" t="str">
        <f>IF(AI97="--","--",IF(F!$D97=131,IF(I97=-1,"rg",IF(I97="","--",IF(I97*1000&lt;1,FIXED(I97*1000,3),IF(I97*1000&lt;10,FIXED(I97*1000,2),(IF(I97*1000&lt;100,FIXED(I97*1000,1),IF(I97*1000&lt;1000,FIXED(I97*1000,0),MROUND(I97*1000,10)))))))),IF(I97=-1,"rg",IF(I97="","--",IF(I97&lt;1,FIXED(I97,3),IF(I97&lt;10,FIXED(I97,2),(IF(I97&lt;100,FIXED(I97,1),IF(I97&lt;1000,FIXED(I97,0),MROUND(I97,10))))))))))</f>
        <v>--</v>
      </c>
      <c r="AK97" s="6" t="str">
        <f t="shared" si="44"/>
        <v>--</v>
      </c>
      <c r="AL97" s="6" t="str">
        <f>IF(AK97="--","--",IF(F!$D97=131,IF(K97=-1,"rg",IF(K97="","--",IF(K97*1000&lt;1,FIXED(K97*1000,3),IF(K97*1000&lt;10,FIXED(K97*1000,2),(IF(K97*1000&lt;100,FIXED(K97*1000,1),IF(K97*1000&lt;1000,FIXED(K97*1000,0),MROUND(K97*1000,10)))))))),IF(K97=-1,"rg",IF(K97="","--",IF(K97&lt;1,FIXED(K97,3),IF(K97&lt;10,FIXED(K97,2),(IF(K97&lt;100,FIXED(K97,1),IF(K97&lt;1000,FIXED(K97,0),MROUND(K97,10))))))))))</f>
        <v>--</v>
      </c>
      <c r="AM97" s="6" t="str">
        <f t="shared" si="45"/>
        <v>--</v>
      </c>
      <c r="AN97" s="6" t="str">
        <f>IF(AM97="--","--",IF(F!$D97=131,IF(M97=-1,"rg",IF(M97="","--",IF(M97*1000&lt;1,FIXED(M97*1000,3),IF(M97*1000&lt;10,FIXED(M97*1000,2),(IF(M97*1000&lt;100,FIXED(M97*1000,1),IF(M97*1000&lt;1000,FIXED(M97*1000,0),MROUND(M97*1000,10)))))))),IF(M97=-1,"rg",IF(M97="","--",IF(M97&lt;1,FIXED(M97,3),IF(M97&lt;10,FIXED(M97,2),(IF(M97&lt;100,FIXED(M97,1),IF(M97&lt;1000,FIXED(M97,0),MROUND(M97,10))))))))))</f>
        <v>--</v>
      </c>
      <c r="AP97" s="6" t="str">
        <f t="shared" si="32"/>
        <v>--</v>
      </c>
      <c r="AQ97" s="6" t="str">
        <f t="shared" si="33"/>
        <v/>
      </c>
      <c r="AR97" s="6" t="str">
        <f t="shared" si="34"/>
        <v>--</v>
      </c>
      <c r="AS97" s="6" t="str">
        <f t="shared" si="35"/>
        <v/>
      </c>
      <c r="AT97" s="6" t="str">
        <f t="shared" si="36"/>
        <v/>
      </c>
      <c r="AU97" s="6" t="str">
        <f>IFERROR(IF(AR97="--","",IF(HLOOKUP(SMALL($Q$4:$Y$4,3),$Q$4:$Y$501,ROW(AP97)-3,FALSE)=0,"",IF(HLOOKUP(SMALL($Q$4:$Y$4,3),$Q$4:$Y$501,ROW(AP97)-3,FALSE)="nee",VLOOKUP("De kwaliteitseis emissiearme grond (maximale concentratie) wordt overschreden.",H!$O$10:'H'!$P$59,2,FALSE),""))),"")</f>
        <v/>
      </c>
      <c r="AV97" s="6" t="str">
        <f t="shared" si="26"/>
        <v>--</v>
      </c>
      <c r="AW97" s="6" t="str">
        <f t="shared" si="27"/>
        <v/>
      </c>
      <c r="AX97" s="6" t="str">
        <f t="shared" si="28"/>
        <v>--</v>
      </c>
      <c r="AY97" s="6" t="str">
        <f t="shared" si="37"/>
        <v/>
      </c>
      <c r="AZ97" s="6" t="str">
        <f t="shared" si="38"/>
        <v/>
      </c>
      <c r="BA97" s="6" t="str">
        <f>IFERROR(IF(AR97="--","",IF(HLOOKUP(SMALL($Q$4:$Y$4,6),$Q$4:$Y$501,ROW(AP97)-3,FALSE)=0,"",IF(HLOOKUP(SMALL($Q$4:$Y$4,6),$Q$4:$Y$501,ROW(AP97)-3,FALSE)="nee",VLOOKUP("De kwaliteitseis emissiearme grond (maximale concentratie) wordt overschreden.",H!$O$10:'H'!$P$59,2,FALSE),""))),"")</f>
        <v/>
      </c>
      <c r="BB97" s="6" t="str">
        <f t="shared" si="29"/>
        <v>--</v>
      </c>
      <c r="BC97" s="6" t="str">
        <f t="shared" si="30"/>
        <v/>
      </c>
      <c r="BD97" s="6" t="str">
        <f t="shared" si="31"/>
        <v>--</v>
      </c>
      <c r="BE97" s="6" t="str">
        <f t="shared" si="39"/>
        <v/>
      </c>
      <c r="BF97" s="6"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6" t="str">
        <f>IF(ISNUMBER(F!E98)=FALSE,"--",IF(F!E98=0,"--",F!E98))</f>
        <v>--</v>
      </c>
      <c r="C98" s="6" t="str">
        <f>IF(B98="--","",F!F98)</f>
        <v/>
      </c>
      <c r="D98" s="6" t="str">
        <f>IF(ISNUMBER(F!G98)=FALSE,"--",IF(F!G98=0,"--",F!G98))</f>
        <v>--</v>
      </c>
      <c r="E98" s="6" t="str">
        <f>IF(D98="--","",F!H98)</f>
        <v/>
      </c>
      <c r="F98" s="6" t="str">
        <f>IF(ISNUMBER(F!I98)=FALSE,"--",IF(F!I98=0,"--",F!I98))</f>
        <v>--</v>
      </c>
      <c r="G98" s="6" t="str">
        <f>IF(F98="--","",F!J98)</f>
        <v/>
      </c>
      <c r="H98" s="6"/>
      <c r="I98" s="6" t="str">
        <f>IF(F!Z98=-1,-1,F!AV98)</f>
        <v/>
      </c>
      <c r="J98" s="6"/>
      <c r="K98" s="6" t="str">
        <f>IF(F!AC98=-1,-1,F!AX98)</f>
        <v/>
      </c>
      <c r="L98" s="6"/>
      <c r="M98" s="6" t="str">
        <f>IF(F!AF98=-1,-1,F!AZ98)</f>
        <v/>
      </c>
      <c r="N98" s="6"/>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6" t="str">
        <f t="shared" si="46"/>
        <v/>
      </c>
      <c r="R98" s="5" t="str">
        <f>IF($B98="--","",IF($P98="toetsen",toetsen(F!$B98,Q98),IF($P98="toetsen alleen IW",toetsen_alleen_IW(F!$B98,Q98),IF($P98="toetsen alleen LN",toetsen_alleen_LN(F!$B98,Q98),IF($P98="toetsen geen MV en SV",toetsen_geen_MV_en_SV(F!$B98,Q98),IF($P98="toetsen alleen MV en SV",toetsen_alleen_MV_en_SV(F!$B98,Q98),""))))))</f>
        <v/>
      </c>
      <c r="S98" s="5" t="str">
        <f>IF($P98="toetsen",IF(OR(Q98="",VLOOKUP(F!$B98,E!$B$1:$AK$300,10,FALSE)=1000000000),"",IF(Q98&lt;=VLOOKUP(F!$B98,E!$B$1:$AK$300,10,FALSE),"ja","nee")),"")</f>
        <v/>
      </c>
      <c r="T98" s="87" t="str">
        <f t="shared" si="41"/>
        <v/>
      </c>
      <c r="U98" s="5" t="str">
        <f>IF($D98="--","",IF($P98="toetsen",toetsen(F!$B98,T98),IF($P98="toetsen alleen IW",toetsen_alleen_IW(F!$B98,T98),IF($P98="toetsen alleen LN",toetsen_alleen_LN(F!$B98,T98),IF($P98="toetsen geen MV en SV",toetsen_geen_MV_en_SV(F!$B98,T98),IF($P98="toetsen alleen MV en SV",toetsen_alleen_MV_en_SV(F!$B98,T98),""))))))</f>
        <v/>
      </c>
      <c r="V98" s="5" t="str">
        <f>IF($P98="toetsen",IF(OR(T98="",VLOOKUP(F!$B98,E!$B$1:$AK$300,10,FALSE)=1000000000),"",IF(T98&lt;=VLOOKUP(F!$B98,E!$B$1:$AK$300,10,FALSE),"ja","nee")),"")</f>
        <v/>
      </c>
      <c r="W98" s="6" t="str">
        <f t="shared" si="42"/>
        <v/>
      </c>
      <c r="X98" s="5" t="str">
        <f>IF($F98="--","",IF($P98="toetsen",toetsen(F!$B98,W98),IF($P98="toetsen alleen IW",toetsen_alleen_IW(F!$B98,W98),IF($P98="toetsen alleen LN",toetsen_alleen_LN(F!$B98,W98),IF($P98="toetsen geen MV en SV",toetsen_geen_MV_en_SV(F!$B98,W98),IF($P98="toetsen alleen MV en SV",toetsen_alleen_MV_en_SV(F!$B98,W98),""))))))</f>
        <v/>
      </c>
      <c r="Y98" s="5" t="str">
        <f>IF($P98="toetsen",IF(OR(W98="",VLOOKUP(F!$B98,E!$B$1:$AK$300,10,FALSE)=1000000000),"",IF(W98&lt;=VLOOKUP(F!$B98,E!$B$1:$AK$300,10,FALSE),"ja","nee")),"")</f>
        <v/>
      </c>
      <c r="AA98" s="4"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6" t="str">
        <f t="shared" si="43"/>
        <v>--</v>
      </c>
      <c r="AJ98" s="6" t="str">
        <f>IF(AI98="--","--",IF(F!$D98=131,IF(I98=-1,"rg",IF(I98="","--",IF(I98*1000&lt;1,FIXED(I98*1000,3),IF(I98*1000&lt;10,FIXED(I98*1000,2),(IF(I98*1000&lt;100,FIXED(I98*1000,1),IF(I98*1000&lt;1000,FIXED(I98*1000,0),MROUND(I98*1000,10)))))))),IF(I98=-1,"rg",IF(I98="","--",IF(I98&lt;1,FIXED(I98,3),IF(I98&lt;10,FIXED(I98,2),(IF(I98&lt;100,FIXED(I98,1),IF(I98&lt;1000,FIXED(I98,0),MROUND(I98,10))))))))))</f>
        <v>--</v>
      </c>
      <c r="AK98" s="6" t="str">
        <f t="shared" si="44"/>
        <v>--</v>
      </c>
      <c r="AL98" s="6" t="str">
        <f>IF(AK98="--","--",IF(F!$D98=131,IF(K98=-1,"rg",IF(K98="","--",IF(K98*1000&lt;1,FIXED(K98*1000,3),IF(K98*1000&lt;10,FIXED(K98*1000,2),(IF(K98*1000&lt;100,FIXED(K98*1000,1),IF(K98*1000&lt;1000,FIXED(K98*1000,0),MROUND(K98*1000,10)))))))),IF(K98=-1,"rg",IF(K98="","--",IF(K98&lt;1,FIXED(K98,3),IF(K98&lt;10,FIXED(K98,2),(IF(K98&lt;100,FIXED(K98,1),IF(K98&lt;1000,FIXED(K98,0),MROUND(K98,10))))))))))</f>
        <v>--</v>
      </c>
      <c r="AM98" s="6" t="str">
        <f t="shared" si="45"/>
        <v>--</v>
      </c>
      <c r="AN98" s="6" t="str">
        <f>IF(AM98="--","--",IF(F!$D98=131,IF(M98=-1,"rg",IF(M98="","--",IF(M98*1000&lt;1,FIXED(M98*1000,3),IF(M98*1000&lt;10,FIXED(M98*1000,2),(IF(M98*1000&lt;100,FIXED(M98*1000,1),IF(M98*1000&lt;1000,FIXED(M98*1000,0),MROUND(M98*1000,10)))))))),IF(M98=-1,"rg",IF(M98="","--",IF(M98&lt;1,FIXED(M98,3),IF(M98&lt;10,FIXED(M98,2),(IF(M98&lt;100,FIXED(M98,1),IF(M98&lt;1000,FIXED(M98,0),MROUND(M98,10))))))))))</f>
        <v>--</v>
      </c>
      <c r="AP98" s="6" t="str">
        <f t="shared" si="32"/>
        <v>--</v>
      </c>
      <c r="AQ98" s="6" t="str">
        <f t="shared" si="33"/>
        <v/>
      </c>
      <c r="AR98" s="6" t="str">
        <f t="shared" si="34"/>
        <v>--</v>
      </c>
      <c r="AS98" s="6" t="str">
        <f t="shared" si="35"/>
        <v/>
      </c>
      <c r="AT98" s="6" t="str">
        <f t="shared" si="36"/>
        <v/>
      </c>
      <c r="AU98" s="6" t="str">
        <f>IFERROR(IF(AR98="--","",IF(HLOOKUP(SMALL($Q$4:$Y$4,3),$Q$4:$Y$501,ROW(AP98)-3,FALSE)=0,"",IF(HLOOKUP(SMALL($Q$4:$Y$4,3),$Q$4:$Y$501,ROW(AP98)-3,FALSE)="nee",VLOOKUP("De kwaliteitseis emissiearme grond (maximale concentratie) wordt overschreden.",H!$O$10:'H'!$P$59,2,FALSE),""))),"")</f>
        <v/>
      </c>
      <c r="AV98" s="6" t="str">
        <f t="shared" si="26"/>
        <v>--</v>
      </c>
      <c r="AW98" s="6" t="str">
        <f t="shared" si="27"/>
        <v/>
      </c>
      <c r="AX98" s="6" t="str">
        <f t="shared" si="28"/>
        <v>--</v>
      </c>
      <c r="AY98" s="6" t="str">
        <f t="shared" si="37"/>
        <v/>
      </c>
      <c r="AZ98" s="6" t="str">
        <f t="shared" si="38"/>
        <v/>
      </c>
      <c r="BA98" s="6" t="str">
        <f>IFERROR(IF(AR98="--","",IF(HLOOKUP(SMALL($Q$4:$Y$4,6),$Q$4:$Y$501,ROW(AP98)-3,FALSE)=0,"",IF(HLOOKUP(SMALL($Q$4:$Y$4,6),$Q$4:$Y$501,ROW(AP98)-3,FALSE)="nee",VLOOKUP("De kwaliteitseis emissiearme grond (maximale concentratie) wordt overschreden.",H!$O$10:'H'!$P$59,2,FALSE),""))),"")</f>
        <v/>
      </c>
      <c r="BB98" s="6" t="str">
        <f t="shared" si="29"/>
        <v>--</v>
      </c>
      <c r="BC98" s="6" t="str">
        <f t="shared" si="30"/>
        <v/>
      </c>
      <c r="BD98" s="6" t="str">
        <f t="shared" si="31"/>
        <v>--</v>
      </c>
      <c r="BE98" s="6" t="str">
        <f t="shared" si="39"/>
        <v/>
      </c>
      <c r="BF98" s="6"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6" t="str">
        <f>IF(ISNUMBER(F!E99)=FALSE,"--",IF(F!E99=0,"--",F!E99))</f>
        <v>--</v>
      </c>
      <c r="C99" s="6" t="str">
        <f>IF(B99="--","",F!F99)</f>
        <v/>
      </c>
      <c r="D99" s="6" t="str">
        <f>IF(ISNUMBER(F!G99)=FALSE,"--",IF(F!G99=0,"--",F!G99))</f>
        <v>--</v>
      </c>
      <c r="E99" s="6" t="str">
        <f>IF(D99="--","",F!H99)</f>
        <v/>
      </c>
      <c r="F99" s="6" t="str">
        <f>IF(ISNUMBER(F!I99)=FALSE,"--",IF(F!I99=0,"--",F!I99))</f>
        <v>--</v>
      </c>
      <c r="G99" s="6" t="str">
        <f>IF(F99="--","",F!J99)</f>
        <v/>
      </c>
      <c r="H99" s="6"/>
      <c r="I99" s="6" t="str">
        <f>IF(F!Z99=-1,-1,F!AV99)</f>
        <v/>
      </c>
      <c r="J99" s="6"/>
      <c r="K99" s="6" t="str">
        <f>IF(F!AC99=-1,-1,F!AX99)</f>
        <v/>
      </c>
      <c r="L99" s="6"/>
      <c r="M99" s="6" t="str">
        <f>IF(F!AF99=-1,-1,F!AZ99)</f>
        <v/>
      </c>
      <c r="N99" s="6"/>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6" t="str">
        <f t="shared" si="46"/>
        <v/>
      </c>
      <c r="R99" s="5" t="str">
        <f>IF($B99="--","",IF($P99="toetsen",toetsen(F!$B99,Q99),IF($P99="toetsen alleen IW",toetsen_alleen_IW(F!$B99,Q99),IF($P99="toetsen alleen LN",toetsen_alleen_LN(F!$B99,Q99),IF($P99="toetsen geen MV en SV",toetsen_geen_MV_en_SV(F!$B99,Q99),IF($P99="toetsen alleen MV en SV",toetsen_alleen_MV_en_SV(F!$B99,Q99),""))))))</f>
        <v/>
      </c>
      <c r="S99" s="5" t="str">
        <f>IF($P99="toetsen",IF(OR(Q99="",VLOOKUP(F!$B99,E!$B$1:$AK$300,10,FALSE)=1000000000),"",IF(Q99&lt;=VLOOKUP(F!$B99,E!$B$1:$AK$300,10,FALSE),"ja","nee")),"")</f>
        <v/>
      </c>
      <c r="T99" s="87" t="str">
        <f t="shared" si="41"/>
        <v/>
      </c>
      <c r="U99" s="5" t="str">
        <f>IF($D99="--","",IF($P99="toetsen",toetsen(F!$B99,T99),IF($P99="toetsen alleen IW",toetsen_alleen_IW(F!$B99,T99),IF($P99="toetsen alleen LN",toetsen_alleen_LN(F!$B99,T99),IF($P99="toetsen geen MV en SV",toetsen_geen_MV_en_SV(F!$B99,T99),IF($P99="toetsen alleen MV en SV",toetsen_alleen_MV_en_SV(F!$B99,T99),""))))))</f>
        <v/>
      </c>
      <c r="V99" s="5" t="str">
        <f>IF($P99="toetsen",IF(OR(T99="",VLOOKUP(F!$B99,E!$B$1:$AK$300,10,FALSE)=1000000000),"",IF(T99&lt;=VLOOKUP(F!$B99,E!$B$1:$AK$300,10,FALSE),"ja","nee")),"")</f>
        <v/>
      </c>
      <c r="W99" s="6" t="str">
        <f t="shared" si="42"/>
        <v/>
      </c>
      <c r="X99" s="5" t="str">
        <f>IF($F99="--","",IF($P99="toetsen",toetsen(F!$B99,W99),IF($P99="toetsen alleen IW",toetsen_alleen_IW(F!$B99,W99),IF($P99="toetsen alleen LN",toetsen_alleen_LN(F!$B99,W99),IF($P99="toetsen geen MV en SV",toetsen_geen_MV_en_SV(F!$B99,W99),IF($P99="toetsen alleen MV en SV",toetsen_alleen_MV_en_SV(F!$B99,W99),""))))))</f>
        <v/>
      </c>
      <c r="Y99" s="5" t="str">
        <f>IF($P99="toetsen",IF(OR(W99="",VLOOKUP(F!$B99,E!$B$1:$AK$300,10,FALSE)=1000000000),"",IF(W99&lt;=VLOOKUP(F!$B99,E!$B$1:$AK$300,10,FALSE),"ja","nee")),"")</f>
        <v/>
      </c>
      <c r="AA99" s="4"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6" t="str">
        <f t="shared" si="43"/>
        <v>--</v>
      </c>
      <c r="AJ99" s="6" t="str">
        <f>IF(AI99="--","--",IF(F!$D99=131,IF(I99=-1,"rg",IF(I99="","--",IF(I99*1000&lt;1,FIXED(I99*1000,3),IF(I99*1000&lt;10,FIXED(I99*1000,2),(IF(I99*1000&lt;100,FIXED(I99*1000,1),IF(I99*1000&lt;1000,FIXED(I99*1000,0),MROUND(I99*1000,10)))))))),IF(I99=-1,"rg",IF(I99="","--",IF(I99&lt;1,FIXED(I99,3),IF(I99&lt;10,FIXED(I99,2),(IF(I99&lt;100,FIXED(I99,1),IF(I99&lt;1000,FIXED(I99,0),MROUND(I99,10))))))))))</f>
        <v>--</v>
      </c>
      <c r="AK99" s="6" t="str">
        <f t="shared" si="44"/>
        <v>--</v>
      </c>
      <c r="AL99" s="6" t="str">
        <f>IF(AK99="--","--",IF(F!$D99=131,IF(K99=-1,"rg",IF(K99="","--",IF(K99*1000&lt;1,FIXED(K99*1000,3),IF(K99*1000&lt;10,FIXED(K99*1000,2),(IF(K99*1000&lt;100,FIXED(K99*1000,1),IF(K99*1000&lt;1000,FIXED(K99*1000,0),MROUND(K99*1000,10)))))))),IF(K99=-1,"rg",IF(K99="","--",IF(K99&lt;1,FIXED(K99,3),IF(K99&lt;10,FIXED(K99,2),(IF(K99&lt;100,FIXED(K99,1),IF(K99&lt;1000,FIXED(K99,0),MROUND(K99,10))))))))))</f>
        <v>--</v>
      </c>
      <c r="AM99" s="6" t="str">
        <f t="shared" si="45"/>
        <v>--</v>
      </c>
      <c r="AN99" s="6" t="str">
        <f>IF(AM99="--","--",IF(F!$D99=131,IF(M99=-1,"rg",IF(M99="","--",IF(M99*1000&lt;1,FIXED(M99*1000,3),IF(M99*1000&lt;10,FIXED(M99*1000,2),(IF(M99*1000&lt;100,FIXED(M99*1000,1),IF(M99*1000&lt;1000,FIXED(M99*1000,0),MROUND(M99*1000,10)))))))),IF(M99=-1,"rg",IF(M99="","--",IF(M99&lt;1,FIXED(M99,3),IF(M99&lt;10,FIXED(M99,2),(IF(M99&lt;100,FIXED(M99,1),IF(M99&lt;1000,FIXED(M99,0),MROUND(M99,10))))))))))</f>
        <v>--</v>
      </c>
      <c r="AP99" s="6" t="str">
        <f t="shared" si="32"/>
        <v>--</v>
      </c>
      <c r="AQ99" s="6" t="str">
        <f t="shared" si="33"/>
        <v/>
      </c>
      <c r="AR99" s="6" t="str">
        <f t="shared" si="34"/>
        <v>--</v>
      </c>
      <c r="AS99" s="6" t="str">
        <f t="shared" si="35"/>
        <v/>
      </c>
      <c r="AT99" s="6" t="str">
        <f t="shared" si="36"/>
        <v/>
      </c>
      <c r="AU99" s="6" t="str">
        <f>IFERROR(IF(AR99="--","",IF(HLOOKUP(SMALL($Q$4:$Y$4,3),$Q$4:$Y$501,ROW(AP99)-3,FALSE)=0,"",IF(HLOOKUP(SMALL($Q$4:$Y$4,3),$Q$4:$Y$501,ROW(AP99)-3,FALSE)="nee",VLOOKUP("De kwaliteitseis emissiearme grond (maximale concentratie) wordt overschreden.",H!$O$10:'H'!$P$59,2,FALSE),""))),"")</f>
        <v/>
      </c>
      <c r="AV99" s="6" t="str">
        <f t="shared" si="26"/>
        <v>--</v>
      </c>
      <c r="AW99" s="6" t="str">
        <f t="shared" si="27"/>
        <v/>
      </c>
      <c r="AX99" s="6" t="str">
        <f t="shared" si="28"/>
        <v>--</v>
      </c>
      <c r="AY99" s="6" t="str">
        <f t="shared" si="37"/>
        <v/>
      </c>
      <c r="AZ99" s="6" t="str">
        <f t="shared" si="38"/>
        <v/>
      </c>
      <c r="BA99" s="6" t="str">
        <f>IFERROR(IF(AR99="--","",IF(HLOOKUP(SMALL($Q$4:$Y$4,6),$Q$4:$Y$501,ROW(AP99)-3,FALSE)=0,"",IF(HLOOKUP(SMALL($Q$4:$Y$4,6),$Q$4:$Y$501,ROW(AP99)-3,FALSE)="nee",VLOOKUP("De kwaliteitseis emissiearme grond (maximale concentratie) wordt overschreden.",H!$O$10:'H'!$P$59,2,FALSE),""))),"")</f>
        <v/>
      </c>
      <c r="BB99" s="6" t="str">
        <f t="shared" si="29"/>
        <v>--</v>
      </c>
      <c r="BC99" s="6" t="str">
        <f t="shared" si="30"/>
        <v/>
      </c>
      <c r="BD99" s="6" t="str">
        <f t="shared" si="31"/>
        <v>--</v>
      </c>
      <c r="BE99" s="6" t="str">
        <f t="shared" si="39"/>
        <v/>
      </c>
      <c r="BF99" s="6"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6" t="str">
        <f>IF(ISNUMBER(F!E100)=FALSE,"--",IF(F!E100=0,"--",F!E100))</f>
        <v>--</v>
      </c>
      <c r="C100" s="6" t="str">
        <f>IF(B100="--","",F!F100)</f>
        <v/>
      </c>
      <c r="D100" s="6" t="str">
        <f>IF(ISNUMBER(F!G100)=FALSE,"--",IF(F!G100=0,"--",F!G100))</f>
        <v>--</v>
      </c>
      <c r="E100" s="6" t="str">
        <f>IF(D100="--","",F!H100)</f>
        <v/>
      </c>
      <c r="F100" s="6" t="str">
        <f>IF(ISNUMBER(F!I100)=FALSE,"--",IF(F!I100=0,"--",F!I100))</f>
        <v>--</v>
      </c>
      <c r="G100" s="6" t="str">
        <f>IF(F100="--","",F!J100)</f>
        <v/>
      </c>
      <c r="H100" s="6"/>
      <c r="I100" s="6" t="str">
        <f>IF(F!Z100=-1,-1,F!AV100)</f>
        <v/>
      </c>
      <c r="J100" s="6"/>
      <c r="K100" s="6" t="str">
        <f>IF(F!AC100=-1,-1,F!AX100)</f>
        <v/>
      </c>
      <c r="L100" s="6"/>
      <c r="M100" s="6" t="str">
        <f>IF(F!AF100=-1,-1,F!AZ100)</f>
        <v/>
      </c>
      <c r="N100" s="6"/>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6" t="str">
        <f t="shared" si="46"/>
        <v/>
      </c>
      <c r="R100" s="5" t="str">
        <f>IF($B100="--","",IF($P100="toetsen",toetsen(F!$B100,Q100),IF($P100="toetsen alleen IW",toetsen_alleen_IW(F!$B100,Q100),IF($P100="toetsen alleen LN",toetsen_alleen_LN(F!$B100,Q100),IF($P100="toetsen geen MV en SV",toetsen_geen_MV_en_SV(F!$B100,Q100),IF($P100="toetsen alleen MV en SV",toetsen_alleen_MV_en_SV(F!$B100,Q100),""))))))</f>
        <v/>
      </c>
      <c r="S100" s="5" t="str">
        <f>IF($P100="toetsen",IF(OR(Q100="",VLOOKUP(F!$B100,E!$B$1:$AK$300,10,FALSE)=1000000000),"",IF(Q100&lt;=VLOOKUP(F!$B100,E!$B$1:$AK$300,10,FALSE),"ja","nee")),"")</f>
        <v/>
      </c>
      <c r="T100" s="87" t="str">
        <f t="shared" si="41"/>
        <v/>
      </c>
      <c r="U100" s="5" t="str">
        <f>IF($D100="--","",IF($P100="toetsen",toetsen(F!$B100,T100),IF($P100="toetsen alleen IW",toetsen_alleen_IW(F!$B100,T100),IF($P100="toetsen alleen LN",toetsen_alleen_LN(F!$B100,T100),IF($P100="toetsen geen MV en SV",toetsen_geen_MV_en_SV(F!$B100,T100),IF($P100="toetsen alleen MV en SV",toetsen_alleen_MV_en_SV(F!$B100,T100),""))))))</f>
        <v/>
      </c>
      <c r="V100" s="5" t="str">
        <f>IF($P100="toetsen",IF(OR(T100="",VLOOKUP(F!$B100,E!$B$1:$AK$300,10,FALSE)=1000000000),"",IF(T100&lt;=VLOOKUP(F!$B100,E!$B$1:$AK$300,10,FALSE),"ja","nee")),"")</f>
        <v/>
      </c>
      <c r="W100" s="6" t="str">
        <f t="shared" si="42"/>
        <v/>
      </c>
      <c r="X100" s="5" t="str">
        <f>IF($F100="--","",IF($P100="toetsen",toetsen(F!$B100,W100),IF($P100="toetsen alleen IW",toetsen_alleen_IW(F!$B100,W100),IF($P100="toetsen alleen LN",toetsen_alleen_LN(F!$B100,W100),IF($P100="toetsen geen MV en SV",toetsen_geen_MV_en_SV(F!$B100,W100),IF($P100="toetsen alleen MV en SV",toetsen_alleen_MV_en_SV(F!$B100,W100),""))))))</f>
        <v/>
      </c>
      <c r="Y100" s="5" t="str">
        <f>IF($P100="toetsen",IF(OR(W100="",VLOOKUP(F!$B100,E!$B$1:$AK$300,10,FALSE)=1000000000),"",IF(W100&lt;=VLOOKUP(F!$B100,E!$B$1:$AK$300,10,FALSE),"ja","nee")),"")</f>
        <v/>
      </c>
      <c r="AA100" s="4"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6" t="str">
        <f t="shared" si="43"/>
        <v>--</v>
      </c>
      <c r="AJ100" s="6"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6" t="str">
        <f t="shared" si="44"/>
        <v>--</v>
      </c>
      <c r="AL100" s="6"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6" t="str">
        <f t="shared" si="45"/>
        <v>--</v>
      </c>
      <c r="AN100" s="6"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6" t="str">
        <f t="shared" si="32"/>
        <v>--</v>
      </c>
      <c r="AQ100" s="6" t="str">
        <f t="shared" si="33"/>
        <v/>
      </c>
      <c r="AR100" s="6" t="str">
        <f t="shared" si="34"/>
        <v>--</v>
      </c>
      <c r="AS100" s="6" t="str">
        <f t="shared" si="35"/>
        <v/>
      </c>
      <c r="AT100" s="6" t="str">
        <f t="shared" si="36"/>
        <v/>
      </c>
      <c r="AU100" s="6" t="str">
        <f>IFERROR(IF(AR100="--","",IF(HLOOKUP(SMALL($Q$4:$Y$4,3),$Q$4:$Y$501,ROW(AP100)-3,FALSE)=0,"",IF(HLOOKUP(SMALL($Q$4:$Y$4,3),$Q$4:$Y$501,ROW(AP100)-3,FALSE)="nee",VLOOKUP("De kwaliteitseis emissiearme grond (maximale concentratie) wordt overschreden.",H!$O$10:'H'!$P$59,2,FALSE),""))),"")</f>
        <v/>
      </c>
      <c r="AV100" s="6" t="str">
        <f t="shared" si="26"/>
        <v>--</v>
      </c>
      <c r="AW100" s="6" t="str">
        <f t="shared" si="27"/>
        <v/>
      </c>
      <c r="AX100" s="6" t="str">
        <f t="shared" si="28"/>
        <v>--</v>
      </c>
      <c r="AY100" s="6" t="str">
        <f t="shared" si="37"/>
        <v/>
      </c>
      <c r="AZ100" s="6" t="str">
        <f t="shared" si="38"/>
        <v/>
      </c>
      <c r="BA100" s="6" t="str">
        <f>IFERROR(IF(AR100="--","",IF(HLOOKUP(SMALL($Q$4:$Y$4,6),$Q$4:$Y$501,ROW(AP100)-3,FALSE)=0,"",IF(HLOOKUP(SMALL($Q$4:$Y$4,6),$Q$4:$Y$501,ROW(AP100)-3,FALSE)="nee",VLOOKUP("De kwaliteitseis emissiearme grond (maximale concentratie) wordt overschreden.",H!$O$10:'H'!$P$59,2,FALSE),""))),"")</f>
        <v/>
      </c>
      <c r="BB100" s="6" t="str">
        <f t="shared" si="29"/>
        <v>--</v>
      </c>
      <c r="BC100" s="6" t="str">
        <f t="shared" si="30"/>
        <v/>
      </c>
      <c r="BD100" s="6" t="str">
        <f t="shared" si="31"/>
        <v>--</v>
      </c>
      <c r="BE100" s="6" t="str">
        <f t="shared" si="39"/>
        <v/>
      </c>
      <c r="BF100" s="6"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6" t="str">
        <f>IF(ISNUMBER(F!E101)=FALSE,"--",IF(F!E101=0,"--",F!E101))</f>
        <v>--</v>
      </c>
      <c r="C101" s="6" t="str">
        <f>IF(B101="--","",F!F101)</f>
        <v/>
      </c>
      <c r="D101" s="6" t="str">
        <f>IF(ISNUMBER(F!G101)=FALSE,"--",IF(F!G101=0,"--",F!G101))</f>
        <v>--</v>
      </c>
      <c r="E101" s="6" t="str">
        <f>IF(D101="--","",F!H101)</f>
        <v/>
      </c>
      <c r="F101" s="6" t="str">
        <f>IF(ISNUMBER(F!I101)=FALSE,"--",IF(F!I101=0,"--",F!I101))</f>
        <v>--</v>
      </c>
      <c r="G101" s="6" t="str">
        <f>IF(F101="--","",F!J101)</f>
        <v/>
      </c>
      <c r="H101" s="6"/>
      <c r="I101" s="6" t="str">
        <f>IF(F!Z101=-1,-1,F!AV101)</f>
        <v/>
      </c>
      <c r="J101" s="6"/>
      <c r="K101" s="6" t="str">
        <f>IF(F!AC101=-1,-1,F!AX101)</f>
        <v/>
      </c>
      <c r="L101" s="6"/>
      <c r="M101" s="6" t="str">
        <f>IF(F!AF101=-1,-1,F!AZ101)</f>
        <v/>
      </c>
      <c r="N101" s="6"/>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6" t="str">
        <f t="shared" si="46"/>
        <v/>
      </c>
      <c r="R101" s="5" t="str">
        <f>IF($B101="--","",IF($P101="toetsen",toetsen(F!$B101,Q101),IF($P101="toetsen alleen IW",toetsen_alleen_IW(F!$B101,Q101),IF($P101="toetsen alleen LN",toetsen_alleen_LN(F!$B101,Q101),IF($P101="toetsen geen MV en SV",toetsen_geen_MV_en_SV(F!$B101,Q101),IF($P101="toetsen alleen MV en SV",toetsen_alleen_MV_en_SV(F!$B101,Q101),""))))))</f>
        <v/>
      </c>
      <c r="S101" s="5" t="str">
        <f>IF($P101="toetsen",IF(OR(Q101="",VLOOKUP(F!$B101,E!$B$1:$AK$300,10,FALSE)=1000000000),"",IF(Q101&lt;=VLOOKUP(F!$B101,E!$B$1:$AK$300,10,FALSE),"ja","nee")),"")</f>
        <v/>
      </c>
      <c r="T101" s="87" t="str">
        <f t="shared" si="41"/>
        <v/>
      </c>
      <c r="U101" s="5" t="str">
        <f>IF($D101="--","",IF($P101="toetsen",toetsen(F!$B101,T101),IF($P101="toetsen alleen IW",toetsen_alleen_IW(F!$B101,T101),IF($P101="toetsen alleen LN",toetsen_alleen_LN(F!$B101,T101),IF($P101="toetsen geen MV en SV",toetsen_geen_MV_en_SV(F!$B101,T101),IF($P101="toetsen alleen MV en SV",toetsen_alleen_MV_en_SV(F!$B101,T101),""))))))</f>
        <v/>
      </c>
      <c r="V101" s="5" t="str">
        <f>IF($P101="toetsen",IF(OR(T101="",VLOOKUP(F!$B101,E!$B$1:$AK$300,10,FALSE)=1000000000),"",IF(T101&lt;=VLOOKUP(F!$B101,E!$B$1:$AK$300,10,FALSE),"ja","nee")),"")</f>
        <v/>
      </c>
      <c r="W101" s="6" t="str">
        <f t="shared" si="42"/>
        <v/>
      </c>
      <c r="X101" s="5" t="str">
        <f>IF($F101="--","",IF($P101="toetsen",toetsen(F!$B101,W101),IF($P101="toetsen alleen IW",toetsen_alleen_IW(F!$B101,W101),IF($P101="toetsen alleen LN",toetsen_alleen_LN(F!$B101,W101),IF($P101="toetsen geen MV en SV",toetsen_geen_MV_en_SV(F!$B101,W101),IF($P101="toetsen alleen MV en SV",toetsen_alleen_MV_en_SV(F!$B101,W101),""))))))</f>
        <v/>
      </c>
      <c r="Y101" s="5" t="str">
        <f>IF($P101="toetsen",IF(OR(W101="",VLOOKUP(F!$B101,E!$B$1:$AK$300,10,FALSE)=1000000000),"",IF(W101&lt;=VLOOKUP(F!$B101,E!$B$1:$AK$300,10,FALSE),"ja","nee")),"")</f>
        <v/>
      </c>
      <c r="AA101" s="4"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6" t="str">
        <f t="shared" si="43"/>
        <v>--</v>
      </c>
      <c r="AJ101" s="6"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6" t="str">
        <f t="shared" si="44"/>
        <v>--</v>
      </c>
      <c r="AL101" s="6"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6" t="str">
        <f t="shared" si="45"/>
        <v>--</v>
      </c>
      <c r="AN101" s="6"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6" t="str">
        <f t="shared" si="32"/>
        <v>--</v>
      </c>
      <c r="AQ101" s="6" t="str">
        <f t="shared" si="33"/>
        <v/>
      </c>
      <c r="AR101" s="6" t="str">
        <f t="shared" si="34"/>
        <v>--</v>
      </c>
      <c r="AS101" s="6" t="str">
        <f t="shared" si="35"/>
        <v/>
      </c>
      <c r="AT101" s="6" t="str">
        <f t="shared" si="36"/>
        <v/>
      </c>
      <c r="AU101" s="6" t="str">
        <f>IFERROR(IF(AR101="--","",IF(HLOOKUP(SMALL($Q$4:$Y$4,3),$Q$4:$Y$501,ROW(AP101)-3,FALSE)=0,"",IF(HLOOKUP(SMALL($Q$4:$Y$4,3),$Q$4:$Y$501,ROW(AP101)-3,FALSE)="nee",VLOOKUP("De kwaliteitseis emissiearme grond (maximale concentratie) wordt overschreden.",H!$O$10:'H'!$P$59,2,FALSE),""))),"")</f>
        <v/>
      </c>
      <c r="AV101" s="6" t="str">
        <f t="shared" si="26"/>
        <v>--</v>
      </c>
      <c r="AW101" s="6" t="str">
        <f t="shared" si="27"/>
        <v/>
      </c>
      <c r="AX101" s="6" t="str">
        <f t="shared" si="28"/>
        <v>--</v>
      </c>
      <c r="AY101" s="6" t="str">
        <f t="shared" si="37"/>
        <v/>
      </c>
      <c r="AZ101" s="6" t="str">
        <f t="shared" si="38"/>
        <v/>
      </c>
      <c r="BA101" s="6" t="str">
        <f>IFERROR(IF(AR101="--","",IF(HLOOKUP(SMALL($Q$4:$Y$4,6),$Q$4:$Y$501,ROW(AP101)-3,FALSE)=0,"",IF(HLOOKUP(SMALL($Q$4:$Y$4,6),$Q$4:$Y$501,ROW(AP101)-3,FALSE)="nee",VLOOKUP("De kwaliteitseis emissiearme grond (maximale concentratie) wordt overschreden.",H!$O$10:'H'!$P$59,2,FALSE),""))),"")</f>
        <v/>
      </c>
      <c r="BB101" s="6" t="str">
        <f t="shared" si="29"/>
        <v>--</v>
      </c>
      <c r="BC101" s="6" t="str">
        <f t="shared" si="30"/>
        <v/>
      </c>
      <c r="BD101" s="6" t="str">
        <f t="shared" si="31"/>
        <v>--</v>
      </c>
      <c r="BE101" s="6" t="str">
        <f t="shared" si="39"/>
        <v/>
      </c>
      <c r="BF101" s="6"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6" t="str">
        <f>IF(ISNUMBER(F!E102)=FALSE,"--",IF(F!E102=0,"--",F!E102))</f>
        <v>--</v>
      </c>
      <c r="C102" s="6" t="str">
        <f>IF(B102="--","",F!F102)</f>
        <v/>
      </c>
      <c r="D102" s="6" t="str">
        <f>IF(ISNUMBER(F!G102)=FALSE,"--",IF(F!G102=0,"--",F!G102))</f>
        <v>--</v>
      </c>
      <c r="E102" s="6" t="str">
        <f>IF(D102="--","",F!H102)</f>
        <v/>
      </c>
      <c r="F102" s="6" t="str">
        <f>IF(ISNUMBER(F!I102)=FALSE,"--",IF(F!I102=0,"--",F!I102))</f>
        <v>--</v>
      </c>
      <c r="G102" s="6" t="str">
        <f>IF(F102="--","",F!J102)</f>
        <v/>
      </c>
      <c r="H102" s="6"/>
      <c r="I102" s="6" t="str">
        <f>IF(F!Z102=-1,-1,F!AV102)</f>
        <v/>
      </c>
      <c r="J102" s="6"/>
      <c r="K102" s="6" t="str">
        <f>IF(F!AC102=-1,-1,F!AX102)</f>
        <v/>
      </c>
      <c r="L102" s="6"/>
      <c r="M102" s="6" t="str">
        <f>IF(F!AF102=-1,-1,F!AZ102)</f>
        <v/>
      </c>
      <c r="N102" s="6"/>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6" t="str">
        <f t="shared" si="46"/>
        <v/>
      </c>
      <c r="R102" s="5" t="str">
        <f>IF($B102="--","",IF($P102="toetsen",toetsen(F!$B102,Q102),IF($P102="toetsen alleen IW",toetsen_alleen_IW(F!$B102,Q102),IF($P102="toetsen alleen LN",toetsen_alleen_LN(F!$B102,Q102),IF($P102="toetsen geen MV en SV",toetsen_geen_MV_en_SV(F!$B102,Q102),IF($P102="toetsen alleen MV en SV",toetsen_alleen_MV_en_SV(F!$B102,Q102),""))))))</f>
        <v/>
      </c>
      <c r="S102" s="5" t="str">
        <f>IF($P102="toetsen",IF(OR(Q102="",VLOOKUP(F!$B102,E!$B$1:$AK$300,10,FALSE)=1000000000),"",IF(Q102&lt;=VLOOKUP(F!$B102,E!$B$1:$AK$300,10,FALSE),"ja","nee")),"")</f>
        <v/>
      </c>
      <c r="T102" s="87" t="str">
        <f t="shared" si="41"/>
        <v/>
      </c>
      <c r="U102" s="5" t="str">
        <f>IF($D102="--","",IF($P102="toetsen",toetsen(F!$B102,T102),IF($P102="toetsen alleen IW",toetsen_alleen_IW(F!$B102,T102),IF($P102="toetsen alleen LN",toetsen_alleen_LN(F!$B102,T102),IF($P102="toetsen geen MV en SV",toetsen_geen_MV_en_SV(F!$B102,T102),IF($P102="toetsen alleen MV en SV",toetsen_alleen_MV_en_SV(F!$B102,T102),""))))))</f>
        <v/>
      </c>
      <c r="V102" s="5" t="str">
        <f>IF($P102="toetsen",IF(OR(T102="",VLOOKUP(F!$B102,E!$B$1:$AK$300,10,FALSE)=1000000000),"",IF(T102&lt;=VLOOKUP(F!$B102,E!$B$1:$AK$300,10,FALSE),"ja","nee")),"")</f>
        <v/>
      </c>
      <c r="W102" s="6" t="str">
        <f t="shared" si="42"/>
        <v/>
      </c>
      <c r="X102" s="5" t="str">
        <f>IF($F102="--","",IF($P102="toetsen",toetsen(F!$B102,W102),IF($P102="toetsen alleen IW",toetsen_alleen_IW(F!$B102,W102),IF($P102="toetsen alleen LN",toetsen_alleen_LN(F!$B102,W102),IF($P102="toetsen geen MV en SV",toetsen_geen_MV_en_SV(F!$B102,W102),IF($P102="toetsen alleen MV en SV",toetsen_alleen_MV_en_SV(F!$B102,W102),""))))))</f>
        <v/>
      </c>
      <c r="Y102" s="5" t="str">
        <f>IF($P102="toetsen",IF(OR(W102="",VLOOKUP(F!$B102,E!$B$1:$AK$300,10,FALSE)=1000000000),"",IF(W102&lt;=VLOOKUP(F!$B102,E!$B$1:$AK$300,10,FALSE),"ja","nee")),"")</f>
        <v/>
      </c>
      <c r="AA102" s="4"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6" t="str">
        <f t="shared" si="43"/>
        <v>--</v>
      </c>
      <c r="AJ102" s="6"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6" t="str">
        <f t="shared" si="44"/>
        <v>--</v>
      </c>
      <c r="AL102" s="6"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6" t="str">
        <f t="shared" si="45"/>
        <v>--</v>
      </c>
      <c r="AN102" s="6"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6" t="str">
        <f t="shared" si="32"/>
        <v>--</v>
      </c>
      <c r="AQ102" s="6" t="str">
        <f t="shared" si="33"/>
        <v/>
      </c>
      <c r="AR102" s="6" t="str">
        <f t="shared" si="34"/>
        <v>--</v>
      </c>
      <c r="AS102" s="6" t="str">
        <f t="shared" si="35"/>
        <v/>
      </c>
      <c r="AT102" s="6" t="str">
        <f t="shared" si="36"/>
        <v/>
      </c>
      <c r="AU102" s="6" t="str">
        <f>IFERROR(IF(AR102="--","",IF(HLOOKUP(SMALL($Q$4:$Y$4,3),$Q$4:$Y$501,ROW(AP102)-3,FALSE)=0,"",IF(HLOOKUP(SMALL($Q$4:$Y$4,3),$Q$4:$Y$501,ROW(AP102)-3,FALSE)="nee",VLOOKUP("De kwaliteitseis emissiearme grond (maximale concentratie) wordt overschreden.",H!$O$10:'H'!$P$59,2,FALSE),""))),"")</f>
        <v/>
      </c>
      <c r="AV102" s="6" t="str">
        <f t="shared" si="26"/>
        <v>--</v>
      </c>
      <c r="AW102" s="6" t="str">
        <f t="shared" si="27"/>
        <v/>
      </c>
      <c r="AX102" s="6" t="str">
        <f t="shared" si="28"/>
        <v>--</v>
      </c>
      <c r="AY102" s="6" t="str">
        <f t="shared" si="37"/>
        <v/>
      </c>
      <c r="AZ102" s="6" t="str">
        <f t="shared" si="38"/>
        <v/>
      </c>
      <c r="BA102" s="6" t="str">
        <f>IFERROR(IF(AR102="--","",IF(HLOOKUP(SMALL($Q$4:$Y$4,6),$Q$4:$Y$501,ROW(AP102)-3,FALSE)=0,"",IF(HLOOKUP(SMALL($Q$4:$Y$4,6),$Q$4:$Y$501,ROW(AP102)-3,FALSE)="nee",VLOOKUP("De kwaliteitseis emissiearme grond (maximale concentratie) wordt overschreden.",H!$O$10:'H'!$P$59,2,FALSE),""))),"")</f>
        <v/>
      </c>
      <c r="BB102" s="6" t="str">
        <f t="shared" si="29"/>
        <v>--</v>
      </c>
      <c r="BC102" s="6" t="str">
        <f t="shared" si="30"/>
        <v/>
      </c>
      <c r="BD102" s="6" t="str">
        <f t="shared" si="31"/>
        <v>--</v>
      </c>
      <c r="BE102" s="6" t="str">
        <f t="shared" si="39"/>
        <v/>
      </c>
      <c r="BF102" s="6"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6" t="str">
        <f>IF(ISNUMBER(F!E103)=FALSE,"--",IF(F!E103=0,"--",F!E103))</f>
        <v>--</v>
      </c>
      <c r="C103" s="6" t="str">
        <f>IF(B103="--","",F!F103)</f>
        <v/>
      </c>
      <c r="D103" s="6" t="str">
        <f>IF(ISNUMBER(F!G103)=FALSE,"--",IF(F!G103=0,"--",F!G103))</f>
        <v>--</v>
      </c>
      <c r="E103" s="6" t="str">
        <f>IF(D103="--","",F!H103)</f>
        <v/>
      </c>
      <c r="F103" s="6" t="str">
        <f>IF(ISNUMBER(F!I103)=FALSE,"--",IF(F!I103=0,"--",F!I103))</f>
        <v>--</v>
      </c>
      <c r="G103" s="6" t="str">
        <f>IF(F103="--","",F!J103)</f>
        <v/>
      </c>
      <c r="H103" s="6"/>
      <c r="I103" s="6" t="str">
        <f>IF(F!Z103=-1,-1,F!AV103)</f>
        <v/>
      </c>
      <c r="J103" s="6"/>
      <c r="K103" s="6" t="str">
        <f>IF(F!AC103=-1,-1,F!AX103)</f>
        <v/>
      </c>
      <c r="L103" s="6"/>
      <c r="M103" s="6" t="str">
        <f>IF(F!AF103=-1,-1,F!AZ103)</f>
        <v/>
      </c>
      <c r="N103" s="6"/>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6" t="str">
        <f t="shared" si="46"/>
        <v/>
      </c>
      <c r="R103" s="5" t="str">
        <f>IF($B103="--","",IF($P103="toetsen",toetsen(F!$B103,Q103),IF($P103="toetsen alleen IW",toetsen_alleen_IW(F!$B103,Q103),IF($P103="toetsen alleen LN",toetsen_alleen_LN(F!$B103,Q103),IF($P103="toetsen geen MV en SV",toetsen_geen_MV_en_SV(F!$B103,Q103),IF($P103="toetsen alleen MV en SV",toetsen_alleen_MV_en_SV(F!$B103,Q103),""))))))</f>
        <v/>
      </c>
      <c r="S103" s="5" t="str">
        <f>IF($P103="toetsen",IF(OR(Q103="",VLOOKUP(F!$B103,E!$B$1:$AK$300,10,FALSE)=1000000000),"",IF(Q103&lt;=VLOOKUP(F!$B103,E!$B$1:$AK$300,10,FALSE),"ja","nee")),"")</f>
        <v/>
      </c>
      <c r="T103" s="87" t="str">
        <f t="shared" si="41"/>
        <v/>
      </c>
      <c r="U103" s="5" t="str">
        <f>IF($D103="--","",IF($P103="toetsen",toetsen(F!$B103,T103),IF($P103="toetsen alleen IW",toetsen_alleen_IW(F!$B103,T103),IF($P103="toetsen alleen LN",toetsen_alleen_LN(F!$B103,T103),IF($P103="toetsen geen MV en SV",toetsen_geen_MV_en_SV(F!$B103,T103),IF($P103="toetsen alleen MV en SV",toetsen_alleen_MV_en_SV(F!$B103,T103),""))))))</f>
        <v/>
      </c>
      <c r="V103" s="5" t="str">
        <f>IF($P103="toetsen",IF(OR(T103="",VLOOKUP(F!$B103,E!$B$1:$AK$300,10,FALSE)=1000000000),"",IF(T103&lt;=VLOOKUP(F!$B103,E!$B$1:$AK$300,10,FALSE),"ja","nee")),"")</f>
        <v/>
      </c>
      <c r="W103" s="6" t="str">
        <f t="shared" si="42"/>
        <v/>
      </c>
      <c r="X103" s="5" t="str">
        <f>IF($F103="--","",IF($P103="toetsen",toetsen(F!$B103,W103),IF($P103="toetsen alleen IW",toetsen_alleen_IW(F!$B103,W103),IF($P103="toetsen alleen LN",toetsen_alleen_LN(F!$B103,W103),IF($P103="toetsen geen MV en SV",toetsen_geen_MV_en_SV(F!$B103,W103),IF($P103="toetsen alleen MV en SV",toetsen_alleen_MV_en_SV(F!$B103,W103),""))))))</f>
        <v/>
      </c>
      <c r="Y103" s="5" t="str">
        <f>IF($P103="toetsen",IF(OR(W103="",VLOOKUP(F!$B103,E!$B$1:$AK$300,10,FALSE)=1000000000),"",IF(W103&lt;=VLOOKUP(F!$B103,E!$B$1:$AK$300,10,FALSE),"ja","nee")),"")</f>
        <v/>
      </c>
      <c r="AA103" s="4"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6" t="str">
        <f t="shared" si="43"/>
        <v>--</v>
      </c>
      <c r="AJ103" s="6"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6" t="str">
        <f t="shared" si="44"/>
        <v>--</v>
      </c>
      <c r="AL103" s="6"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6" t="str">
        <f t="shared" si="45"/>
        <v>--</v>
      </c>
      <c r="AN103" s="6"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6" t="str">
        <f t="shared" si="32"/>
        <v>--</v>
      </c>
      <c r="AQ103" s="6" t="str">
        <f t="shared" si="33"/>
        <v/>
      </c>
      <c r="AR103" s="6" t="str">
        <f t="shared" si="34"/>
        <v>--</v>
      </c>
      <c r="AS103" s="6" t="str">
        <f t="shared" si="35"/>
        <v/>
      </c>
      <c r="AT103" s="6" t="str">
        <f t="shared" si="36"/>
        <v/>
      </c>
      <c r="AU103" s="6" t="str">
        <f>IFERROR(IF(AR103="--","",IF(HLOOKUP(SMALL($Q$4:$Y$4,3),$Q$4:$Y$501,ROW(AP103)-3,FALSE)=0,"",IF(HLOOKUP(SMALL($Q$4:$Y$4,3),$Q$4:$Y$501,ROW(AP103)-3,FALSE)="nee",VLOOKUP("De kwaliteitseis emissiearme grond (maximale concentratie) wordt overschreden.",H!$O$10:'H'!$P$59,2,FALSE),""))),"")</f>
        <v/>
      </c>
      <c r="AV103" s="6" t="str">
        <f t="shared" si="26"/>
        <v>--</v>
      </c>
      <c r="AW103" s="6" t="str">
        <f t="shared" si="27"/>
        <v/>
      </c>
      <c r="AX103" s="6" t="str">
        <f t="shared" si="28"/>
        <v>--</v>
      </c>
      <c r="AY103" s="6" t="str">
        <f t="shared" si="37"/>
        <v/>
      </c>
      <c r="AZ103" s="6" t="str">
        <f t="shared" si="38"/>
        <v/>
      </c>
      <c r="BA103" s="6" t="str">
        <f>IFERROR(IF(AR103="--","",IF(HLOOKUP(SMALL($Q$4:$Y$4,6),$Q$4:$Y$501,ROW(AP103)-3,FALSE)=0,"",IF(HLOOKUP(SMALL($Q$4:$Y$4,6),$Q$4:$Y$501,ROW(AP103)-3,FALSE)="nee",VLOOKUP("De kwaliteitseis emissiearme grond (maximale concentratie) wordt overschreden.",H!$O$10:'H'!$P$59,2,FALSE),""))),"")</f>
        <v/>
      </c>
      <c r="BB103" s="6" t="str">
        <f t="shared" si="29"/>
        <v>--</v>
      </c>
      <c r="BC103" s="6" t="str">
        <f t="shared" si="30"/>
        <v/>
      </c>
      <c r="BD103" s="6" t="str">
        <f t="shared" si="31"/>
        <v>--</v>
      </c>
      <c r="BE103" s="6" t="str">
        <f t="shared" si="39"/>
        <v/>
      </c>
      <c r="BF103" s="6"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6" t="str">
        <f>IF(ISNUMBER(F!E104)=FALSE,"--",IF(F!E104=0,"--",F!E104))</f>
        <v>--</v>
      </c>
      <c r="C104" s="6" t="str">
        <f>IF(B104="--","",F!F104)</f>
        <v/>
      </c>
      <c r="D104" s="6" t="str">
        <f>IF(ISNUMBER(F!G104)=FALSE,"--",IF(F!G104=0,"--",F!G104))</f>
        <v>--</v>
      </c>
      <c r="E104" s="6" t="str">
        <f>IF(D104="--","",F!H104)</f>
        <v/>
      </c>
      <c r="F104" s="6" t="str">
        <f>IF(ISNUMBER(F!I104)=FALSE,"--",IF(F!I104=0,"--",F!I104))</f>
        <v>--</v>
      </c>
      <c r="G104" s="6" t="str">
        <f>IF(F104="--","",F!J104)</f>
        <v/>
      </c>
      <c r="H104" s="6"/>
      <c r="I104" s="6" t="str">
        <f>IF(F!Z104=-1,-1,F!AV104)</f>
        <v/>
      </c>
      <c r="J104" s="6"/>
      <c r="K104" s="6" t="str">
        <f>IF(F!AC104=-1,-1,F!AX104)</f>
        <v/>
      </c>
      <c r="L104" s="6"/>
      <c r="M104" s="6" t="str">
        <f>IF(F!AF104=-1,-1,F!AZ104)</f>
        <v/>
      </c>
      <c r="N104" s="6"/>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6" t="str">
        <f t="shared" si="46"/>
        <v/>
      </c>
      <c r="R104" s="5" t="str">
        <f>IF($B104="--","",IF($P104="toetsen",toetsen(F!$B104,Q104),IF($P104="toetsen alleen IW",toetsen_alleen_IW(F!$B104,Q104),IF($P104="toetsen alleen LN",toetsen_alleen_LN(F!$B104,Q104),IF($P104="toetsen geen MV en SV",toetsen_geen_MV_en_SV(F!$B104,Q104),IF($P104="toetsen alleen MV en SV",toetsen_alleen_MV_en_SV(F!$B104,Q104),""))))))</f>
        <v/>
      </c>
      <c r="S104" s="5" t="str">
        <f>IF($P104="toetsen",IF(OR(Q104="",VLOOKUP(F!$B104,E!$B$1:$AK$300,10,FALSE)=1000000000),"",IF(Q104&lt;=VLOOKUP(F!$B104,E!$B$1:$AK$300,10,FALSE),"ja","nee")),"")</f>
        <v/>
      </c>
      <c r="T104" s="87" t="str">
        <f t="shared" si="41"/>
        <v/>
      </c>
      <c r="U104" s="5" t="str">
        <f>IF($D104="--","",IF($P104="toetsen",toetsen(F!$B104,T104),IF($P104="toetsen alleen IW",toetsen_alleen_IW(F!$B104,T104),IF($P104="toetsen alleen LN",toetsen_alleen_LN(F!$B104,T104),IF($P104="toetsen geen MV en SV",toetsen_geen_MV_en_SV(F!$B104,T104),IF($P104="toetsen alleen MV en SV",toetsen_alleen_MV_en_SV(F!$B104,T104),""))))))</f>
        <v/>
      </c>
      <c r="V104" s="5" t="str">
        <f>IF($P104="toetsen",IF(OR(T104="",VLOOKUP(F!$B104,E!$B$1:$AK$300,10,FALSE)=1000000000),"",IF(T104&lt;=VLOOKUP(F!$B104,E!$B$1:$AK$300,10,FALSE),"ja","nee")),"")</f>
        <v/>
      </c>
      <c r="W104" s="6" t="str">
        <f t="shared" si="42"/>
        <v/>
      </c>
      <c r="X104" s="5" t="str">
        <f>IF($F104="--","",IF($P104="toetsen",toetsen(F!$B104,W104),IF($P104="toetsen alleen IW",toetsen_alleen_IW(F!$B104,W104),IF($P104="toetsen alleen LN",toetsen_alleen_LN(F!$B104,W104),IF($P104="toetsen geen MV en SV",toetsen_geen_MV_en_SV(F!$B104,W104),IF($P104="toetsen alleen MV en SV",toetsen_alleen_MV_en_SV(F!$B104,W104),""))))))</f>
        <v/>
      </c>
      <c r="Y104" s="5" t="str">
        <f>IF($P104="toetsen",IF(OR(W104="",VLOOKUP(F!$B104,E!$B$1:$AK$300,10,FALSE)=1000000000),"",IF(W104&lt;=VLOOKUP(F!$B104,E!$B$1:$AK$300,10,FALSE),"ja","nee")),"")</f>
        <v/>
      </c>
      <c r="AA104" s="4"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6" t="str">
        <f t="shared" si="43"/>
        <v>--</v>
      </c>
      <c r="AJ104" s="6"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6" t="str">
        <f t="shared" si="44"/>
        <v>--</v>
      </c>
      <c r="AL104" s="6"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6" t="str">
        <f t="shared" si="45"/>
        <v>--</v>
      </c>
      <c r="AN104" s="6"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6" t="str">
        <f t="shared" si="32"/>
        <v>--</v>
      </c>
      <c r="AQ104" s="6" t="str">
        <f t="shared" si="33"/>
        <v/>
      </c>
      <c r="AR104" s="6" t="str">
        <f t="shared" si="34"/>
        <v>--</v>
      </c>
      <c r="AS104" s="6" t="str">
        <f t="shared" si="35"/>
        <v/>
      </c>
      <c r="AT104" s="6" t="str">
        <f t="shared" si="36"/>
        <v/>
      </c>
      <c r="AU104" s="6" t="str">
        <f>IFERROR(IF(AR104="--","",IF(HLOOKUP(SMALL($Q$4:$Y$4,3),$Q$4:$Y$501,ROW(AP104)-3,FALSE)=0,"",IF(HLOOKUP(SMALL($Q$4:$Y$4,3),$Q$4:$Y$501,ROW(AP104)-3,FALSE)="nee",VLOOKUP("De kwaliteitseis emissiearme grond (maximale concentratie) wordt overschreden.",H!$O$10:'H'!$P$59,2,FALSE),""))),"")</f>
        <v/>
      </c>
      <c r="AV104" s="6" t="str">
        <f t="shared" si="26"/>
        <v>--</v>
      </c>
      <c r="AW104" s="6" t="str">
        <f t="shared" si="27"/>
        <v/>
      </c>
      <c r="AX104" s="6" t="str">
        <f t="shared" si="28"/>
        <v>--</v>
      </c>
      <c r="AY104" s="6" t="str">
        <f t="shared" si="37"/>
        <v/>
      </c>
      <c r="AZ104" s="6" t="str">
        <f t="shared" si="38"/>
        <v/>
      </c>
      <c r="BA104" s="6" t="str">
        <f>IFERROR(IF(AR104="--","",IF(HLOOKUP(SMALL($Q$4:$Y$4,6),$Q$4:$Y$501,ROW(AP104)-3,FALSE)=0,"",IF(HLOOKUP(SMALL($Q$4:$Y$4,6),$Q$4:$Y$501,ROW(AP104)-3,FALSE)="nee",VLOOKUP("De kwaliteitseis emissiearme grond (maximale concentratie) wordt overschreden.",H!$O$10:'H'!$P$59,2,FALSE),""))),"")</f>
        <v/>
      </c>
      <c r="BB104" s="6" t="str">
        <f t="shared" si="29"/>
        <v>--</v>
      </c>
      <c r="BC104" s="6" t="str">
        <f t="shared" si="30"/>
        <v/>
      </c>
      <c r="BD104" s="6" t="str">
        <f t="shared" si="31"/>
        <v>--</v>
      </c>
      <c r="BE104" s="6" t="str">
        <f t="shared" si="39"/>
        <v/>
      </c>
      <c r="BF104" s="6"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6" t="str">
        <f>IF(ISNUMBER(F!E105)=FALSE,"--",IF(F!E105=0,"--",F!E105))</f>
        <v>--</v>
      </c>
      <c r="C105" s="6" t="str">
        <f>IF(B105="--","",F!F105)</f>
        <v/>
      </c>
      <c r="D105" s="6" t="str">
        <f>IF(ISNUMBER(F!G105)=FALSE,"--",IF(F!G105=0,"--",F!G105))</f>
        <v>--</v>
      </c>
      <c r="E105" s="6" t="str">
        <f>IF(D105="--","",F!H105)</f>
        <v/>
      </c>
      <c r="F105" s="6" t="str">
        <f>IF(ISNUMBER(F!I105)=FALSE,"--",IF(F!I105=0,"--",F!I105))</f>
        <v>--</v>
      </c>
      <c r="G105" s="6" t="str">
        <f>IF(F105="--","",F!J105)</f>
        <v/>
      </c>
      <c r="H105" s="6"/>
      <c r="I105" s="6" t="str">
        <f>IF(F!Z105=-1,-1,F!AV105)</f>
        <v/>
      </c>
      <c r="J105" s="6"/>
      <c r="K105" s="6" t="str">
        <f>IF(F!AC105=-1,-1,F!AX105)</f>
        <v/>
      </c>
      <c r="L105" s="6"/>
      <c r="M105" s="6" t="str">
        <f>IF(F!AF105=-1,-1,F!AZ105)</f>
        <v/>
      </c>
      <c r="N105" s="6"/>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6" t="str">
        <f t="shared" si="46"/>
        <v/>
      </c>
      <c r="R105" s="5" t="str">
        <f>IF($B105="--","",IF($P105="toetsen",toetsen(F!$B105,Q105),IF($P105="toetsen alleen IW",toetsen_alleen_IW(F!$B105,Q105),IF($P105="toetsen alleen LN",toetsen_alleen_LN(F!$B105,Q105),IF($P105="toetsen geen MV en SV",toetsen_geen_MV_en_SV(F!$B105,Q105),IF($P105="toetsen alleen MV en SV",toetsen_alleen_MV_en_SV(F!$B105,Q105),""))))))</f>
        <v/>
      </c>
      <c r="S105" s="5" t="str">
        <f>IF($P105="toetsen",IF(OR(Q105="",VLOOKUP(F!$B105,E!$B$1:$AK$300,10,FALSE)=1000000000),"",IF(Q105&lt;=VLOOKUP(F!$B105,E!$B$1:$AK$300,10,FALSE),"ja","nee")),"")</f>
        <v/>
      </c>
      <c r="T105" s="87" t="str">
        <f t="shared" si="41"/>
        <v/>
      </c>
      <c r="U105" s="5" t="str">
        <f>IF($D105="--","",IF($P105="toetsen",toetsen(F!$B105,T105),IF($P105="toetsen alleen IW",toetsen_alleen_IW(F!$B105,T105),IF($P105="toetsen alleen LN",toetsen_alleen_LN(F!$B105,T105),IF($P105="toetsen geen MV en SV",toetsen_geen_MV_en_SV(F!$B105,T105),IF($P105="toetsen alleen MV en SV",toetsen_alleen_MV_en_SV(F!$B105,T105),""))))))</f>
        <v/>
      </c>
      <c r="V105" s="5" t="str">
        <f>IF($P105="toetsen",IF(OR(T105="",VLOOKUP(F!$B105,E!$B$1:$AK$300,10,FALSE)=1000000000),"",IF(T105&lt;=VLOOKUP(F!$B105,E!$B$1:$AK$300,10,FALSE),"ja","nee")),"")</f>
        <v/>
      </c>
      <c r="W105" s="6" t="str">
        <f t="shared" si="42"/>
        <v/>
      </c>
      <c r="X105" s="5" t="str">
        <f>IF($F105="--","",IF($P105="toetsen",toetsen(F!$B105,W105),IF($P105="toetsen alleen IW",toetsen_alleen_IW(F!$B105,W105),IF($P105="toetsen alleen LN",toetsen_alleen_LN(F!$B105,W105),IF($P105="toetsen geen MV en SV",toetsen_geen_MV_en_SV(F!$B105,W105),IF($P105="toetsen alleen MV en SV",toetsen_alleen_MV_en_SV(F!$B105,W105),""))))))</f>
        <v/>
      </c>
      <c r="Y105" s="5" t="str">
        <f>IF($P105="toetsen",IF(OR(W105="",VLOOKUP(F!$B105,E!$B$1:$AK$300,10,FALSE)=1000000000),"",IF(W105&lt;=VLOOKUP(F!$B105,E!$B$1:$AK$300,10,FALSE),"ja","nee")),"")</f>
        <v/>
      </c>
      <c r="AA105" s="4"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6" t="str">
        <f t="shared" si="43"/>
        <v>--</v>
      </c>
      <c r="AJ105" s="6"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6" t="str">
        <f t="shared" si="44"/>
        <v>--</v>
      </c>
      <c r="AL105" s="6"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6" t="str">
        <f t="shared" si="45"/>
        <v>--</v>
      </c>
      <c r="AN105" s="6"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6" t="str">
        <f t="shared" si="32"/>
        <v>--</v>
      </c>
      <c r="AQ105" s="6" t="str">
        <f t="shared" si="33"/>
        <v/>
      </c>
      <c r="AR105" s="6" t="str">
        <f t="shared" si="34"/>
        <v>--</v>
      </c>
      <c r="AS105" s="6" t="str">
        <f t="shared" si="35"/>
        <v/>
      </c>
      <c r="AT105" s="6" t="str">
        <f t="shared" si="36"/>
        <v/>
      </c>
      <c r="AU105" s="6" t="str">
        <f>IFERROR(IF(AR105="--","",IF(HLOOKUP(SMALL($Q$4:$Y$4,3),$Q$4:$Y$501,ROW(AP105)-3,FALSE)=0,"",IF(HLOOKUP(SMALL($Q$4:$Y$4,3),$Q$4:$Y$501,ROW(AP105)-3,FALSE)="nee",VLOOKUP("De kwaliteitseis emissiearme grond (maximale concentratie) wordt overschreden.",H!$O$10:'H'!$P$59,2,FALSE),""))),"")</f>
        <v/>
      </c>
      <c r="AV105" s="6" t="str">
        <f t="shared" si="26"/>
        <v>--</v>
      </c>
      <c r="AW105" s="6" t="str">
        <f t="shared" si="27"/>
        <v/>
      </c>
      <c r="AX105" s="6" t="str">
        <f t="shared" si="28"/>
        <v>--</v>
      </c>
      <c r="AY105" s="6" t="str">
        <f t="shared" si="37"/>
        <v/>
      </c>
      <c r="AZ105" s="6" t="str">
        <f t="shared" si="38"/>
        <v/>
      </c>
      <c r="BA105" s="6" t="str">
        <f>IFERROR(IF(AR105="--","",IF(HLOOKUP(SMALL($Q$4:$Y$4,6),$Q$4:$Y$501,ROW(AP105)-3,FALSE)=0,"",IF(HLOOKUP(SMALL($Q$4:$Y$4,6),$Q$4:$Y$501,ROW(AP105)-3,FALSE)="nee",VLOOKUP("De kwaliteitseis emissiearme grond (maximale concentratie) wordt overschreden.",H!$O$10:'H'!$P$59,2,FALSE),""))),"")</f>
        <v/>
      </c>
      <c r="BB105" s="6" t="str">
        <f t="shared" si="29"/>
        <v>--</v>
      </c>
      <c r="BC105" s="6" t="str">
        <f t="shared" si="30"/>
        <v/>
      </c>
      <c r="BD105" s="6" t="str">
        <f t="shared" si="31"/>
        <v>--</v>
      </c>
      <c r="BE105" s="6" t="str">
        <f t="shared" si="39"/>
        <v/>
      </c>
      <c r="BF105" s="6"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6" t="str">
        <f>IF(ISNUMBER(F!E106)=FALSE,"--",IF(F!E106=0,"--",F!E106))</f>
        <v>--</v>
      </c>
      <c r="C106" s="6" t="str">
        <f>IF(B106="--","",F!F106)</f>
        <v/>
      </c>
      <c r="D106" s="6" t="str">
        <f>IF(ISNUMBER(F!G106)=FALSE,"--",IF(F!G106=0,"--",F!G106))</f>
        <v>--</v>
      </c>
      <c r="E106" s="6" t="str">
        <f>IF(D106="--","",F!H106)</f>
        <v/>
      </c>
      <c r="F106" s="6" t="str">
        <f>IF(ISNUMBER(F!I106)=FALSE,"--",IF(F!I106=0,"--",F!I106))</f>
        <v>--</v>
      </c>
      <c r="G106" s="6" t="str">
        <f>IF(F106="--","",F!J106)</f>
        <v/>
      </c>
      <c r="H106" s="6"/>
      <c r="I106" s="6" t="str">
        <f>IF(F!Z106=-1,-1,F!AV106)</f>
        <v/>
      </c>
      <c r="J106" s="6"/>
      <c r="K106" s="6" t="str">
        <f>IF(F!AC106=-1,-1,F!AX106)</f>
        <v/>
      </c>
      <c r="L106" s="6"/>
      <c r="M106" s="6" t="str">
        <f>IF(F!AF106=-1,-1,F!AZ106)</f>
        <v/>
      </c>
      <c r="N106" s="6"/>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6" t="str">
        <f t="shared" si="46"/>
        <v/>
      </c>
      <c r="R106" s="5" t="str">
        <f>IF($B106="--","",IF($P106="toetsen",toetsen(F!$B106,Q106),IF($P106="toetsen alleen IW",toetsen_alleen_IW(F!$B106,Q106),IF($P106="toetsen alleen LN",toetsen_alleen_LN(F!$B106,Q106),IF($P106="toetsen geen MV en SV",toetsen_geen_MV_en_SV(F!$B106,Q106),IF($P106="toetsen alleen MV en SV",toetsen_alleen_MV_en_SV(F!$B106,Q106),""))))))</f>
        <v/>
      </c>
      <c r="S106" s="5" t="str">
        <f>IF($P106="toetsen",IF(OR(Q106="",VLOOKUP(F!$B106,E!$B$1:$AK$300,10,FALSE)=1000000000),"",IF(Q106&lt;=VLOOKUP(F!$B106,E!$B$1:$AK$300,10,FALSE),"ja","nee")),"")</f>
        <v/>
      </c>
      <c r="T106" s="87" t="str">
        <f t="shared" si="41"/>
        <v/>
      </c>
      <c r="U106" s="5" t="str">
        <f>IF($D106="--","",IF($P106="toetsen",toetsen(F!$B106,T106),IF($P106="toetsen alleen IW",toetsen_alleen_IW(F!$B106,T106),IF($P106="toetsen alleen LN",toetsen_alleen_LN(F!$B106,T106),IF($P106="toetsen geen MV en SV",toetsen_geen_MV_en_SV(F!$B106,T106),IF($P106="toetsen alleen MV en SV",toetsen_alleen_MV_en_SV(F!$B106,T106),""))))))</f>
        <v/>
      </c>
      <c r="V106" s="5" t="str">
        <f>IF($P106="toetsen",IF(OR(T106="",VLOOKUP(F!$B106,E!$B$1:$AK$300,10,FALSE)=1000000000),"",IF(T106&lt;=VLOOKUP(F!$B106,E!$B$1:$AK$300,10,FALSE),"ja","nee")),"")</f>
        <v/>
      </c>
      <c r="W106" s="6" t="str">
        <f t="shared" si="42"/>
        <v/>
      </c>
      <c r="X106" s="5" t="str">
        <f>IF($F106="--","",IF($P106="toetsen",toetsen(F!$B106,W106),IF($P106="toetsen alleen IW",toetsen_alleen_IW(F!$B106,W106),IF($P106="toetsen alleen LN",toetsen_alleen_LN(F!$B106,W106),IF($P106="toetsen geen MV en SV",toetsen_geen_MV_en_SV(F!$B106,W106),IF($P106="toetsen alleen MV en SV",toetsen_alleen_MV_en_SV(F!$B106,W106),""))))))</f>
        <v/>
      </c>
      <c r="Y106" s="5" t="str">
        <f>IF($P106="toetsen",IF(OR(W106="",VLOOKUP(F!$B106,E!$B$1:$AK$300,10,FALSE)=1000000000),"",IF(W106&lt;=VLOOKUP(F!$B106,E!$B$1:$AK$300,10,FALSE),"ja","nee")),"")</f>
        <v/>
      </c>
      <c r="AA106" s="4"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6" t="str">
        <f t="shared" si="43"/>
        <v>--</v>
      </c>
      <c r="AJ106" s="6"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6" t="str">
        <f t="shared" si="44"/>
        <v>--</v>
      </c>
      <c r="AL106" s="6"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6" t="str">
        <f t="shared" si="45"/>
        <v>--</v>
      </c>
      <c r="AN106" s="6"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6" t="str">
        <f t="shared" si="32"/>
        <v>--</v>
      </c>
      <c r="AQ106" s="6" t="str">
        <f t="shared" si="33"/>
        <v/>
      </c>
      <c r="AR106" s="6" t="str">
        <f t="shared" si="34"/>
        <v>--</v>
      </c>
      <c r="AS106" s="6" t="str">
        <f t="shared" si="35"/>
        <v/>
      </c>
      <c r="AT106" s="6" t="str">
        <f t="shared" si="36"/>
        <v/>
      </c>
      <c r="AU106" s="6" t="str">
        <f>IFERROR(IF(AR106="--","",IF(HLOOKUP(SMALL($Q$4:$Y$4,3),$Q$4:$Y$501,ROW(AP106)-3,FALSE)=0,"",IF(HLOOKUP(SMALL($Q$4:$Y$4,3),$Q$4:$Y$501,ROW(AP106)-3,FALSE)="nee",VLOOKUP("De kwaliteitseis emissiearme grond (maximale concentratie) wordt overschreden.",H!$O$10:'H'!$P$59,2,FALSE),""))),"")</f>
        <v/>
      </c>
      <c r="AV106" s="6" t="str">
        <f t="shared" si="26"/>
        <v>--</v>
      </c>
      <c r="AW106" s="6" t="str">
        <f t="shared" si="27"/>
        <v/>
      </c>
      <c r="AX106" s="6" t="str">
        <f t="shared" si="28"/>
        <v>--</v>
      </c>
      <c r="AY106" s="6" t="str">
        <f t="shared" si="37"/>
        <v/>
      </c>
      <c r="AZ106" s="6" t="str">
        <f t="shared" si="38"/>
        <v/>
      </c>
      <c r="BA106" s="6" t="str">
        <f>IFERROR(IF(AR106="--","",IF(HLOOKUP(SMALL($Q$4:$Y$4,6),$Q$4:$Y$501,ROW(AP106)-3,FALSE)=0,"",IF(HLOOKUP(SMALL($Q$4:$Y$4,6),$Q$4:$Y$501,ROW(AP106)-3,FALSE)="nee",VLOOKUP("De kwaliteitseis emissiearme grond (maximale concentratie) wordt overschreden.",H!$O$10:'H'!$P$59,2,FALSE),""))),"")</f>
        <v/>
      </c>
      <c r="BB106" s="6" t="str">
        <f t="shared" si="29"/>
        <v>--</v>
      </c>
      <c r="BC106" s="6" t="str">
        <f t="shared" si="30"/>
        <v/>
      </c>
      <c r="BD106" s="6" t="str">
        <f t="shared" si="31"/>
        <v>--</v>
      </c>
      <c r="BE106" s="6" t="str">
        <f t="shared" si="39"/>
        <v/>
      </c>
      <c r="BF106" s="6"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6" t="str">
        <f>IF(ISNUMBER(F!E107)=FALSE,"--",IF(F!E107=0,"--",F!E107))</f>
        <v>--</v>
      </c>
      <c r="C107" s="6" t="str">
        <f>IF(B107="--","",F!F107)</f>
        <v/>
      </c>
      <c r="D107" s="6" t="str">
        <f>IF(ISNUMBER(F!G107)=FALSE,"--",IF(F!G107=0,"--",F!G107))</f>
        <v>--</v>
      </c>
      <c r="E107" s="6" t="str">
        <f>IF(D107="--","",F!H107)</f>
        <v/>
      </c>
      <c r="F107" s="6" t="str">
        <f>IF(ISNUMBER(F!I107)=FALSE,"--",IF(F!I107=0,"--",F!I107))</f>
        <v>--</v>
      </c>
      <c r="G107" s="6" t="str">
        <f>IF(F107="--","",F!J107)</f>
        <v/>
      </c>
      <c r="H107" s="6"/>
      <c r="I107" s="6" t="str">
        <f>IF(F!Z107=-1,-1,F!AV107)</f>
        <v/>
      </c>
      <c r="J107" s="6"/>
      <c r="K107" s="6" t="str">
        <f>IF(F!AC107=-1,-1,F!AX107)</f>
        <v/>
      </c>
      <c r="L107" s="6"/>
      <c r="M107" s="6" t="str">
        <f>IF(F!AF107=-1,-1,F!AZ107)</f>
        <v/>
      </c>
      <c r="N107" s="6"/>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6" t="str">
        <f t="shared" si="46"/>
        <v/>
      </c>
      <c r="R107" s="5" t="str">
        <f>IF($B107="--","",IF($P107="toetsen",toetsen(F!$B107,Q107),IF($P107="toetsen alleen IW",toetsen_alleen_IW(F!$B107,Q107),IF($P107="toetsen alleen LN",toetsen_alleen_LN(F!$B107,Q107),IF($P107="toetsen geen MV en SV",toetsen_geen_MV_en_SV(F!$B107,Q107),IF($P107="toetsen alleen MV en SV",toetsen_alleen_MV_en_SV(F!$B107,Q107),""))))))</f>
        <v/>
      </c>
      <c r="S107" s="5" t="str">
        <f>IF($P107="toetsen",IF(OR(Q107="",VLOOKUP(F!$B107,E!$B$1:$AK$300,10,FALSE)=1000000000),"",IF(Q107&lt;=VLOOKUP(F!$B107,E!$B$1:$AK$300,10,FALSE),"ja","nee")),"")</f>
        <v/>
      </c>
      <c r="T107" s="87" t="str">
        <f t="shared" si="41"/>
        <v/>
      </c>
      <c r="U107" s="5" t="str">
        <f>IF($D107="--","",IF($P107="toetsen",toetsen(F!$B107,T107),IF($P107="toetsen alleen IW",toetsen_alleen_IW(F!$B107,T107),IF($P107="toetsen alleen LN",toetsen_alleen_LN(F!$B107,T107),IF($P107="toetsen geen MV en SV",toetsen_geen_MV_en_SV(F!$B107,T107),IF($P107="toetsen alleen MV en SV",toetsen_alleen_MV_en_SV(F!$B107,T107),""))))))</f>
        <v/>
      </c>
      <c r="V107" s="5" t="str">
        <f>IF($P107="toetsen",IF(OR(T107="",VLOOKUP(F!$B107,E!$B$1:$AK$300,10,FALSE)=1000000000),"",IF(T107&lt;=VLOOKUP(F!$B107,E!$B$1:$AK$300,10,FALSE),"ja","nee")),"")</f>
        <v/>
      </c>
      <c r="W107" s="6" t="str">
        <f t="shared" si="42"/>
        <v/>
      </c>
      <c r="X107" s="5" t="str">
        <f>IF($F107="--","",IF($P107="toetsen",toetsen(F!$B107,W107),IF($P107="toetsen alleen IW",toetsen_alleen_IW(F!$B107,W107),IF($P107="toetsen alleen LN",toetsen_alleen_LN(F!$B107,W107),IF($P107="toetsen geen MV en SV",toetsen_geen_MV_en_SV(F!$B107,W107),IF($P107="toetsen alleen MV en SV",toetsen_alleen_MV_en_SV(F!$B107,W107),""))))))</f>
        <v/>
      </c>
      <c r="Y107" s="5" t="str">
        <f>IF($P107="toetsen",IF(OR(W107="",VLOOKUP(F!$B107,E!$B$1:$AK$300,10,FALSE)=1000000000),"",IF(W107&lt;=VLOOKUP(F!$B107,E!$B$1:$AK$300,10,FALSE),"ja","nee")),"")</f>
        <v/>
      </c>
      <c r="AA107" s="4"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6" t="str">
        <f t="shared" si="43"/>
        <v>--</v>
      </c>
      <c r="AJ107" s="6"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6" t="str">
        <f t="shared" si="44"/>
        <v>--</v>
      </c>
      <c r="AL107" s="6"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6" t="str">
        <f t="shared" si="45"/>
        <v>--</v>
      </c>
      <c r="AN107" s="6"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6" t="str">
        <f t="shared" si="32"/>
        <v>--</v>
      </c>
      <c r="AQ107" s="6" t="str">
        <f t="shared" si="33"/>
        <v/>
      </c>
      <c r="AR107" s="6" t="str">
        <f t="shared" si="34"/>
        <v>--</v>
      </c>
      <c r="AS107" s="6" t="str">
        <f t="shared" si="35"/>
        <v/>
      </c>
      <c r="AT107" s="6" t="str">
        <f t="shared" si="36"/>
        <v/>
      </c>
      <c r="AU107" s="6" t="str">
        <f>IFERROR(IF(AR107="--","",IF(HLOOKUP(SMALL($Q$4:$Y$4,3),$Q$4:$Y$501,ROW(AP107)-3,FALSE)=0,"",IF(HLOOKUP(SMALL($Q$4:$Y$4,3),$Q$4:$Y$501,ROW(AP107)-3,FALSE)="nee",VLOOKUP("De kwaliteitseis emissiearme grond (maximale concentratie) wordt overschreden.",H!$O$10:'H'!$P$59,2,FALSE),""))),"")</f>
        <v/>
      </c>
      <c r="AV107" s="6" t="str">
        <f t="shared" si="26"/>
        <v>--</v>
      </c>
      <c r="AW107" s="6" t="str">
        <f t="shared" si="27"/>
        <v/>
      </c>
      <c r="AX107" s="6" t="str">
        <f t="shared" si="28"/>
        <v>--</v>
      </c>
      <c r="AY107" s="6" t="str">
        <f t="shared" si="37"/>
        <v/>
      </c>
      <c r="AZ107" s="6" t="str">
        <f t="shared" si="38"/>
        <v/>
      </c>
      <c r="BA107" s="6" t="str">
        <f>IFERROR(IF(AR107="--","",IF(HLOOKUP(SMALL($Q$4:$Y$4,6),$Q$4:$Y$501,ROW(AP107)-3,FALSE)=0,"",IF(HLOOKUP(SMALL($Q$4:$Y$4,6),$Q$4:$Y$501,ROW(AP107)-3,FALSE)="nee",VLOOKUP("De kwaliteitseis emissiearme grond (maximale concentratie) wordt overschreden.",H!$O$10:'H'!$P$59,2,FALSE),""))),"")</f>
        <v/>
      </c>
      <c r="BB107" s="6" t="str">
        <f t="shared" si="29"/>
        <v>--</v>
      </c>
      <c r="BC107" s="6" t="str">
        <f t="shared" si="30"/>
        <v/>
      </c>
      <c r="BD107" s="6" t="str">
        <f t="shared" si="31"/>
        <v>--</v>
      </c>
      <c r="BE107" s="6" t="str">
        <f t="shared" si="39"/>
        <v/>
      </c>
      <c r="BF107" s="6"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6" t="str">
        <f>IF(ISNUMBER(F!E108)=FALSE,"--",IF(F!E108=0,"--",F!E108))</f>
        <v>--</v>
      </c>
      <c r="C108" s="6" t="str">
        <f>IF(B108="--","",F!F108)</f>
        <v/>
      </c>
      <c r="D108" s="6" t="str">
        <f>IF(ISNUMBER(F!G108)=FALSE,"--",IF(F!G108=0,"--",F!G108))</f>
        <v>--</v>
      </c>
      <c r="E108" s="6" t="str">
        <f>IF(D108="--","",F!H108)</f>
        <v/>
      </c>
      <c r="F108" s="6" t="str">
        <f>IF(ISNUMBER(F!I108)=FALSE,"--",IF(F!I108=0,"--",F!I108))</f>
        <v>--</v>
      </c>
      <c r="G108" s="6" t="str">
        <f>IF(F108="--","",F!J108)</f>
        <v/>
      </c>
      <c r="H108" s="6"/>
      <c r="I108" s="6" t="str">
        <f>IF(F!Z108=-1,-1,F!AV108)</f>
        <v/>
      </c>
      <c r="J108" s="6"/>
      <c r="K108" s="6" t="str">
        <f>IF(F!AC108=-1,-1,F!AX108)</f>
        <v/>
      </c>
      <c r="L108" s="6"/>
      <c r="M108" s="6" t="str">
        <f>IF(F!AF108=-1,-1,F!AZ108)</f>
        <v/>
      </c>
      <c r="N108" s="6"/>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6" t="str">
        <f t="shared" si="46"/>
        <v/>
      </c>
      <c r="R108" s="5" t="str">
        <f>IF($B108="--","",IF($P108="toetsen",toetsen(F!$B108,Q108),IF($P108="toetsen alleen IW",toetsen_alleen_IW(F!$B108,Q108),IF($P108="toetsen alleen LN",toetsen_alleen_LN(F!$B108,Q108),IF($P108="toetsen geen MV en SV",toetsen_geen_MV_en_SV(F!$B108,Q108),IF($P108="toetsen alleen MV en SV",toetsen_alleen_MV_en_SV(F!$B108,Q108),""))))))</f>
        <v/>
      </c>
      <c r="S108" s="5" t="str">
        <f>IF($P108="toetsen",IF(OR(Q108="",VLOOKUP(F!$B108,E!$B$1:$AK$300,10,FALSE)=1000000000),"",IF(Q108&lt;=VLOOKUP(F!$B108,E!$B$1:$AK$300,10,FALSE),"ja","nee")),"")</f>
        <v/>
      </c>
      <c r="T108" s="87" t="str">
        <f t="shared" si="41"/>
        <v/>
      </c>
      <c r="U108" s="5" t="str">
        <f>IF($D108="--","",IF($P108="toetsen",toetsen(F!$B108,T108),IF($P108="toetsen alleen IW",toetsen_alleen_IW(F!$B108,T108),IF($P108="toetsen alleen LN",toetsen_alleen_LN(F!$B108,T108),IF($P108="toetsen geen MV en SV",toetsen_geen_MV_en_SV(F!$B108,T108),IF($P108="toetsen alleen MV en SV",toetsen_alleen_MV_en_SV(F!$B108,T108),""))))))</f>
        <v/>
      </c>
      <c r="V108" s="5" t="str">
        <f>IF($P108="toetsen",IF(OR(T108="",VLOOKUP(F!$B108,E!$B$1:$AK$300,10,FALSE)=1000000000),"",IF(T108&lt;=VLOOKUP(F!$B108,E!$B$1:$AK$300,10,FALSE),"ja","nee")),"")</f>
        <v/>
      </c>
      <c r="W108" s="6" t="str">
        <f t="shared" si="42"/>
        <v/>
      </c>
      <c r="X108" s="5" t="str">
        <f>IF($F108="--","",IF($P108="toetsen",toetsen(F!$B108,W108),IF($P108="toetsen alleen IW",toetsen_alleen_IW(F!$B108,W108),IF($P108="toetsen alleen LN",toetsen_alleen_LN(F!$B108,W108),IF($P108="toetsen geen MV en SV",toetsen_geen_MV_en_SV(F!$B108,W108),IF($P108="toetsen alleen MV en SV",toetsen_alleen_MV_en_SV(F!$B108,W108),""))))))</f>
        <v/>
      </c>
      <c r="Y108" s="5" t="str">
        <f>IF($P108="toetsen",IF(OR(W108="",VLOOKUP(F!$B108,E!$B$1:$AK$300,10,FALSE)=1000000000),"",IF(W108&lt;=VLOOKUP(F!$B108,E!$B$1:$AK$300,10,FALSE),"ja","nee")),"")</f>
        <v/>
      </c>
      <c r="AA108" s="4"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6" t="str">
        <f t="shared" si="43"/>
        <v>--</v>
      </c>
      <c r="AJ108" s="6"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6" t="str">
        <f t="shared" si="44"/>
        <v>--</v>
      </c>
      <c r="AL108" s="6"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6" t="str">
        <f t="shared" si="45"/>
        <v>--</v>
      </c>
      <c r="AN108" s="6"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6" t="str">
        <f t="shared" si="32"/>
        <v>--</v>
      </c>
      <c r="AQ108" s="6" t="str">
        <f t="shared" si="33"/>
        <v/>
      </c>
      <c r="AR108" s="6" t="str">
        <f t="shared" si="34"/>
        <v>--</v>
      </c>
      <c r="AS108" s="6" t="str">
        <f t="shared" si="35"/>
        <v/>
      </c>
      <c r="AT108" s="6" t="str">
        <f t="shared" si="36"/>
        <v/>
      </c>
      <c r="AU108" s="6" t="str">
        <f>IFERROR(IF(AR108="--","",IF(HLOOKUP(SMALL($Q$4:$Y$4,3),$Q$4:$Y$501,ROW(AP108)-3,FALSE)=0,"",IF(HLOOKUP(SMALL($Q$4:$Y$4,3),$Q$4:$Y$501,ROW(AP108)-3,FALSE)="nee",VLOOKUP("De kwaliteitseis emissiearme grond (maximale concentratie) wordt overschreden.",H!$O$10:'H'!$P$59,2,FALSE),""))),"")</f>
        <v/>
      </c>
      <c r="AV108" s="6" t="str">
        <f t="shared" si="26"/>
        <v>--</v>
      </c>
      <c r="AW108" s="6" t="str">
        <f t="shared" si="27"/>
        <v/>
      </c>
      <c r="AX108" s="6" t="str">
        <f t="shared" si="28"/>
        <v>--</v>
      </c>
      <c r="AY108" s="6" t="str">
        <f t="shared" si="37"/>
        <v/>
      </c>
      <c r="AZ108" s="6" t="str">
        <f t="shared" si="38"/>
        <v/>
      </c>
      <c r="BA108" s="6" t="str">
        <f>IFERROR(IF(AR108="--","",IF(HLOOKUP(SMALL($Q$4:$Y$4,6),$Q$4:$Y$501,ROW(AP108)-3,FALSE)=0,"",IF(HLOOKUP(SMALL($Q$4:$Y$4,6),$Q$4:$Y$501,ROW(AP108)-3,FALSE)="nee",VLOOKUP("De kwaliteitseis emissiearme grond (maximale concentratie) wordt overschreden.",H!$O$10:'H'!$P$59,2,FALSE),""))),"")</f>
        <v/>
      </c>
      <c r="BB108" s="6" t="str">
        <f t="shared" si="29"/>
        <v>--</v>
      </c>
      <c r="BC108" s="6" t="str">
        <f t="shared" si="30"/>
        <v/>
      </c>
      <c r="BD108" s="6" t="str">
        <f t="shared" si="31"/>
        <v>--</v>
      </c>
      <c r="BE108" s="6" t="str">
        <f t="shared" si="39"/>
        <v/>
      </c>
      <c r="BF108" s="6"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6" t="str">
        <f>IF(ISNUMBER(F!E109)=FALSE,"--",IF(F!E109=0,"--",F!E109))</f>
        <v>--</v>
      </c>
      <c r="C109" s="6" t="str">
        <f>IF(B109="--","",F!F109)</f>
        <v/>
      </c>
      <c r="D109" s="6" t="str">
        <f>IF(ISNUMBER(F!G109)=FALSE,"--",IF(F!G109=0,"--",F!G109))</f>
        <v>--</v>
      </c>
      <c r="E109" s="6" t="str">
        <f>IF(D109="--","",F!H109)</f>
        <v/>
      </c>
      <c r="F109" s="6" t="str">
        <f>IF(ISNUMBER(F!I109)=FALSE,"--",IF(F!I109=0,"--",F!I109))</f>
        <v>--</v>
      </c>
      <c r="G109" s="6" t="str">
        <f>IF(F109="--","",F!J109)</f>
        <v/>
      </c>
      <c r="H109" s="6"/>
      <c r="I109" s="16" t="str">
        <f>IF(F!AA109=-1,-1,F!AV109)</f>
        <v/>
      </c>
      <c r="J109" s="6"/>
      <c r="K109" s="16" t="str">
        <f>IF(F!AD109=-1,-1,F!AX109)</f>
        <v/>
      </c>
      <c r="L109" s="6"/>
      <c r="M109" s="16" t="str">
        <f>IF(F!AG109=-1,-1,F!AZ109)</f>
        <v/>
      </c>
      <c r="N109" s="6"/>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6" t="str">
        <f t="shared" si="46"/>
        <v/>
      </c>
      <c r="R109" s="5" t="str">
        <f>IF($B109="--","",IF($P109="toetsen",toetsen(F!$B109,Q109),IF($P109="toetsen alleen IW",toetsen_alleen_IW(F!$B109,Q109),IF($P109="toetsen alleen LN",toetsen_alleen_LN(F!$B109,Q109),IF($P109="toetsen geen MV en SV",toetsen_geen_MV_en_SV(F!$B109,Q109),IF($P109="toetsen alleen MV en SV",toetsen_alleen_MV_en_SV(F!$B109,Q109),""))))))</f>
        <v/>
      </c>
      <c r="S109" s="5" t="str">
        <f>IF($P109="toetsen",IF(OR(Q109="",VLOOKUP(F!$B109,E!$B$1:$AK$300,10,FALSE)=1000000000),"",IF(Q109&lt;=VLOOKUP(F!$B109,E!$B$1:$AK$300,10,FALSE),"ja","nee")),"")</f>
        <v/>
      </c>
      <c r="T109" s="87" t="str">
        <f t="shared" si="41"/>
        <v/>
      </c>
      <c r="U109" s="5" t="str">
        <f>IF($D109="--","",IF($P109="toetsen",toetsen(F!$B109,T109),IF($P109="toetsen alleen IW",toetsen_alleen_IW(F!$B109,T109),IF($P109="toetsen alleen LN",toetsen_alleen_LN(F!$B109,T109),IF($P109="toetsen geen MV en SV",toetsen_geen_MV_en_SV(F!$B109,T109),IF($P109="toetsen alleen MV en SV",toetsen_alleen_MV_en_SV(F!$B109,T109),""))))))</f>
        <v/>
      </c>
      <c r="V109" s="5" t="str">
        <f>IF($P109="toetsen",IF(OR(T109="",VLOOKUP(F!$B109,E!$B$1:$AK$300,10,FALSE)=1000000000),"",IF(T109&lt;=VLOOKUP(F!$B109,E!$B$1:$AK$300,10,FALSE),"ja","nee")),"")</f>
        <v/>
      </c>
      <c r="W109" s="6" t="str">
        <f t="shared" si="42"/>
        <v/>
      </c>
      <c r="X109" s="5" t="str">
        <f>IF($F109="--","",IF($P109="toetsen",toetsen(F!$B109,W109),IF($P109="toetsen alleen IW",toetsen_alleen_IW(F!$B109,W109),IF($P109="toetsen alleen LN",toetsen_alleen_LN(F!$B109,W109),IF($P109="toetsen geen MV en SV",toetsen_geen_MV_en_SV(F!$B109,W109),IF($P109="toetsen alleen MV en SV",toetsen_alleen_MV_en_SV(F!$B109,W109),""))))))</f>
        <v/>
      </c>
      <c r="Y109" s="5" t="str">
        <f>IF($P109="toetsen",IF(OR(W109="",VLOOKUP(F!$B109,E!$B$1:$AK$300,10,FALSE)=1000000000),"",IF(W109&lt;=VLOOKUP(F!$B109,E!$B$1:$AK$300,10,FALSE),"ja","nee")),"")</f>
        <v/>
      </c>
      <c r="AA109" s="4"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6" t="str">
        <f t="shared" si="43"/>
        <v>--</v>
      </c>
      <c r="AJ109" s="6"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6" t="str">
        <f t="shared" si="44"/>
        <v>--</v>
      </c>
      <c r="AL109" s="6"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6" t="str">
        <f t="shared" si="45"/>
        <v>--</v>
      </c>
      <c r="AN109" s="6"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6" t="str">
        <f t="shared" si="32"/>
        <v>--</v>
      </c>
      <c r="AQ109" s="6" t="str">
        <f t="shared" si="33"/>
        <v/>
      </c>
      <c r="AR109" s="6" t="str">
        <f t="shared" si="34"/>
        <v>--</v>
      </c>
      <c r="AS109" s="6" t="str">
        <f t="shared" si="35"/>
        <v/>
      </c>
      <c r="AT109" s="6" t="str">
        <f t="shared" si="36"/>
        <v/>
      </c>
      <c r="AU109" s="6" t="str">
        <f>IFERROR(IF(AR109="--","",IF(HLOOKUP(SMALL($Q$4:$Y$4,3),$Q$4:$Y$501,ROW(AP109)-3,FALSE)=0,"",IF(HLOOKUP(SMALL($Q$4:$Y$4,3),$Q$4:$Y$501,ROW(AP109)-3,FALSE)="nee",VLOOKUP("De kwaliteitseis emissiearme grond (maximale concentratie) wordt overschreden.",H!$O$10:'H'!$P$59,2,FALSE),""))),"")</f>
        <v/>
      </c>
      <c r="AV109" s="6" t="str">
        <f t="shared" si="26"/>
        <v>--</v>
      </c>
      <c r="AW109" s="6" t="str">
        <f t="shared" si="27"/>
        <v/>
      </c>
      <c r="AX109" s="6" t="str">
        <f t="shared" si="28"/>
        <v>--</v>
      </c>
      <c r="AY109" s="6" t="str">
        <f t="shared" si="37"/>
        <v/>
      </c>
      <c r="AZ109" s="6" t="str">
        <f t="shared" si="38"/>
        <v/>
      </c>
      <c r="BA109" s="6" t="str">
        <f>IFERROR(IF(AR109="--","",IF(HLOOKUP(SMALL($Q$4:$Y$4,6),$Q$4:$Y$501,ROW(AP109)-3,FALSE)=0,"",IF(HLOOKUP(SMALL($Q$4:$Y$4,6),$Q$4:$Y$501,ROW(AP109)-3,FALSE)="nee",VLOOKUP("De kwaliteitseis emissiearme grond (maximale concentratie) wordt overschreden.",H!$O$10:'H'!$P$59,2,FALSE),""))),"")</f>
        <v/>
      </c>
      <c r="BB109" s="6" t="str">
        <f t="shared" si="29"/>
        <v>--</v>
      </c>
      <c r="BC109" s="6" t="str">
        <f t="shared" si="30"/>
        <v/>
      </c>
      <c r="BD109" s="6" t="str">
        <f t="shared" si="31"/>
        <v>--</v>
      </c>
      <c r="BE109" s="6" t="str">
        <f t="shared" si="39"/>
        <v/>
      </c>
      <c r="BF109" s="6"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6" t="str">
        <f>IF(ISNUMBER(F!E110)=FALSE,"--",IF(F!E110=0,"--",F!E110))</f>
        <v>--</v>
      </c>
      <c r="C110" s="6" t="str">
        <f>IF(B110="--","",F!F110)</f>
        <v/>
      </c>
      <c r="D110" s="6" t="str">
        <f>IF(ISNUMBER(F!G110)=FALSE,"--",IF(F!G110=0,"--",F!G110))</f>
        <v>--</v>
      </c>
      <c r="E110" s="6" t="str">
        <f>IF(D110="--","",F!H110)</f>
        <v/>
      </c>
      <c r="F110" s="6" t="str">
        <f>IF(ISNUMBER(F!I110)=FALSE,"--",IF(F!I110=0,"--",F!I110))</f>
        <v>--</v>
      </c>
      <c r="G110" s="6" t="str">
        <f>IF(F110="--","",F!J110)</f>
        <v/>
      </c>
      <c r="H110" s="6"/>
      <c r="I110" s="16" t="str">
        <f>IF(F!AA110=-1,-1,F!AV110)</f>
        <v/>
      </c>
      <c r="J110" s="6"/>
      <c r="K110" s="16" t="str">
        <f>IF(F!AD110=-1,-1,F!AX110)</f>
        <v/>
      </c>
      <c r="L110" s="6"/>
      <c r="M110" s="16" t="str">
        <f>IF(F!AG110=-1,-1,F!AZ110)</f>
        <v/>
      </c>
      <c r="N110" s="6"/>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6" t="str">
        <f t="shared" si="46"/>
        <v/>
      </c>
      <c r="R110" s="5" t="str">
        <f>IF($B110="--","",IF($P110="toetsen",toetsen(F!$B110,Q110),IF($P110="toetsen alleen IW",toetsen_alleen_IW(F!$B110,Q110),IF($P110="toetsen alleen LN",toetsen_alleen_LN(F!$B110,Q110),IF($P110="toetsen geen MV en SV",toetsen_geen_MV_en_SV(F!$B110,Q110),IF($P110="toetsen alleen MV en SV",toetsen_alleen_MV_en_SV(F!$B110,Q110),""))))))</f>
        <v/>
      </c>
      <c r="S110" s="5" t="str">
        <f>IF($P110="toetsen",IF(OR(Q110="",VLOOKUP(F!$B110,E!$B$1:$AK$300,10,FALSE)=1000000000),"",IF(Q110&lt;=VLOOKUP(F!$B110,E!$B$1:$AK$300,10,FALSE),"ja","nee")),"")</f>
        <v/>
      </c>
      <c r="T110" s="87" t="str">
        <f t="shared" si="41"/>
        <v/>
      </c>
      <c r="U110" s="5" t="str">
        <f>IF($D110="--","",IF($P110="toetsen",toetsen(F!$B110,T110),IF($P110="toetsen alleen IW",toetsen_alleen_IW(F!$B110,T110),IF($P110="toetsen alleen LN",toetsen_alleen_LN(F!$B110,T110),IF($P110="toetsen geen MV en SV",toetsen_geen_MV_en_SV(F!$B110,T110),IF($P110="toetsen alleen MV en SV",toetsen_alleen_MV_en_SV(F!$B110,T110),""))))))</f>
        <v/>
      </c>
      <c r="V110" s="5" t="str">
        <f>IF($P110="toetsen",IF(OR(T110="",VLOOKUP(F!$B110,E!$B$1:$AK$300,10,FALSE)=1000000000),"",IF(T110&lt;=VLOOKUP(F!$B110,E!$B$1:$AK$300,10,FALSE),"ja","nee")),"")</f>
        <v/>
      </c>
      <c r="W110" s="6" t="str">
        <f t="shared" si="42"/>
        <v/>
      </c>
      <c r="X110" s="5" t="str">
        <f>IF($F110="--","",IF($P110="toetsen",toetsen(F!$B110,W110),IF($P110="toetsen alleen IW",toetsen_alleen_IW(F!$B110,W110),IF($P110="toetsen alleen LN",toetsen_alleen_LN(F!$B110,W110),IF($P110="toetsen geen MV en SV",toetsen_geen_MV_en_SV(F!$B110,W110),IF($P110="toetsen alleen MV en SV",toetsen_alleen_MV_en_SV(F!$B110,W110),""))))))</f>
        <v/>
      </c>
      <c r="Y110" s="5" t="str">
        <f>IF($P110="toetsen",IF(OR(W110="",VLOOKUP(F!$B110,E!$B$1:$AK$300,10,FALSE)=1000000000),"",IF(W110&lt;=VLOOKUP(F!$B110,E!$B$1:$AK$300,10,FALSE),"ja","nee")),"")</f>
        <v/>
      </c>
      <c r="AA110" s="4"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6" t="str">
        <f t="shared" si="43"/>
        <v>--</v>
      </c>
      <c r="AJ110" s="6"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6" t="str">
        <f t="shared" si="44"/>
        <v>--</v>
      </c>
      <c r="AL110" s="6"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6" t="str">
        <f t="shared" si="45"/>
        <v>--</v>
      </c>
      <c r="AN110" s="6"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6" t="str">
        <f t="shared" si="32"/>
        <v>--</v>
      </c>
      <c r="AQ110" s="6" t="str">
        <f t="shared" si="33"/>
        <v/>
      </c>
      <c r="AR110" s="6" t="str">
        <f t="shared" si="34"/>
        <v>--</v>
      </c>
      <c r="AS110" s="6" t="str">
        <f t="shared" si="35"/>
        <v/>
      </c>
      <c r="AT110" s="6" t="str">
        <f t="shared" si="36"/>
        <v/>
      </c>
      <c r="AU110" s="6" t="str">
        <f>IFERROR(IF(AR110="--","",IF(HLOOKUP(SMALL($Q$4:$Y$4,3),$Q$4:$Y$501,ROW(AP110)-3,FALSE)=0,"",IF(HLOOKUP(SMALL($Q$4:$Y$4,3),$Q$4:$Y$501,ROW(AP110)-3,FALSE)="nee",VLOOKUP("De kwaliteitseis emissiearme grond (maximale concentratie) wordt overschreden.",H!$O$10:'H'!$P$59,2,FALSE),""))),"")</f>
        <v/>
      </c>
      <c r="AV110" s="6" t="str">
        <f t="shared" si="26"/>
        <v>--</v>
      </c>
      <c r="AW110" s="6" t="str">
        <f t="shared" si="27"/>
        <v/>
      </c>
      <c r="AX110" s="6" t="str">
        <f t="shared" si="28"/>
        <v>--</v>
      </c>
      <c r="AY110" s="6" t="str">
        <f t="shared" si="37"/>
        <v/>
      </c>
      <c r="AZ110" s="6" t="str">
        <f t="shared" si="38"/>
        <v/>
      </c>
      <c r="BA110" s="6" t="str">
        <f>IFERROR(IF(AR110="--","",IF(HLOOKUP(SMALL($Q$4:$Y$4,6),$Q$4:$Y$501,ROW(AP110)-3,FALSE)=0,"",IF(HLOOKUP(SMALL($Q$4:$Y$4,6),$Q$4:$Y$501,ROW(AP110)-3,FALSE)="nee",VLOOKUP("De kwaliteitseis emissiearme grond (maximale concentratie) wordt overschreden.",H!$O$10:'H'!$P$59,2,FALSE),""))),"")</f>
        <v/>
      </c>
      <c r="BB110" s="6" t="str">
        <f t="shared" si="29"/>
        <v>--</v>
      </c>
      <c r="BC110" s="6" t="str">
        <f t="shared" si="30"/>
        <v/>
      </c>
      <c r="BD110" s="6" t="str">
        <f t="shared" si="31"/>
        <v>--</v>
      </c>
      <c r="BE110" s="6" t="str">
        <f t="shared" si="39"/>
        <v/>
      </c>
      <c r="BF110" s="6"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6" t="str">
        <f>IF(ISNUMBER(F!E111)=FALSE,"--",IF(F!E111=0,"--",F!E111))</f>
        <v>--</v>
      </c>
      <c r="C111" s="6" t="str">
        <f>IF(B111="--","",F!F111)</f>
        <v/>
      </c>
      <c r="D111" s="6" t="str">
        <f>IF(ISNUMBER(F!G111)=FALSE,"--",IF(F!G111=0,"--",F!G111))</f>
        <v>--</v>
      </c>
      <c r="E111" s="6" t="str">
        <f>IF(D111="--","",F!H111)</f>
        <v/>
      </c>
      <c r="F111" s="6" t="str">
        <f>IF(ISNUMBER(F!I111)=FALSE,"--",IF(F!I111=0,"--",F!I111))</f>
        <v>--</v>
      </c>
      <c r="G111" s="6" t="str">
        <f>IF(F111="--","",F!J111)</f>
        <v/>
      </c>
      <c r="H111" s="6"/>
      <c r="I111" s="16" t="str">
        <f>IF(F!AA111=-1,-1,F!AV111)</f>
        <v/>
      </c>
      <c r="J111" s="6"/>
      <c r="K111" s="16" t="str">
        <f>IF(F!AD111=-1,-1,F!AX111)</f>
        <v/>
      </c>
      <c r="L111" s="6"/>
      <c r="M111" s="16" t="str">
        <f>IF(F!AG111=-1,-1,F!AZ111)</f>
        <v/>
      </c>
      <c r="N111" s="6"/>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6" t="str">
        <f t="shared" si="46"/>
        <v/>
      </c>
      <c r="R111" s="5" t="str">
        <f>IF($B111="--","",IF($P111="toetsen",toetsen(F!$B111,Q111),IF($P111="toetsen alleen IW",toetsen_alleen_IW(F!$B111,Q111),IF($P111="toetsen alleen LN",toetsen_alleen_LN(F!$B111,Q111),IF($P111="toetsen geen MV en SV",toetsen_geen_MV_en_SV(F!$B111,Q111),IF($P111="toetsen alleen MV en SV",toetsen_alleen_MV_en_SV(F!$B111,Q111),""))))))</f>
        <v/>
      </c>
      <c r="S111" s="5" t="str">
        <f>IF($P111="toetsen",IF(OR(Q111="",VLOOKUP(F!$B111,E!$B$1:$AK$300,10,FALSE)=1000000000),"",IF(Q111&lt;=VLOOKUP(F!$B111,E!$B$1:$AK$300,10,FALSE),"ja","nee")),"")</f>
        <v/>
      </c>
      <c r="T111" s="87" t="str">
        <f t="shared" si="41"/>
        <v/>
      </c>
      <c r="U111" s="5" t="str">
        <f>IF($D111="--","",IF($P111="toetsen",toetsen(F!$B111,T111),IF($P111="toetsen alleen IW",toetsen_alleen_IW(F!$B111,T111),IF($P111="toetsen alleen LN",toetsen_alleen_LN(F!$B111,T111),IF($P111="toetsen geen MV en SV",toetsen_geen_MV_en_SV(F!$B111,T111),IF($P111="toetsen alleen MV en SV",toetsen_alleen_MV_en_SV(F!$B111,T111),""))))))</f>
        <v/>
      </c>
      <c r="V111" s="5" t="str">
        <f>IF($P111="toetsen",IF(OR(T111="",VLOOKUP(F!$B111,E!$B$1:$AK$300,10,FALSE)=1000000000),"",IF(T111&lt;=VLOOKUP(F!$B111,E!$B$1:$AK$300,10,FALSE),"ja","nee")),"")</f>
        <v/>
      </c>
      <c r="W111" s="6" t="str">
        <f t="shared" si="42"/>
        <v/>
      </c>
      <c r="X111" s="5" t="str">
        <f>IF($F111="--","",IF($P111="toetsen",toetsen(F!$B111,W111),IF($P111="toetsen alleen IW",toetsen_alleen_IW(F!$B111,W111),IF($P111="toetsen alleen LN",toetsen_alleen_LN(F!$B111,W111),IF($P111="toetsen geen MV en SV",toetsen_geen_MV_en_SV(F!$B111,W111),IF($P111="toetsen alleen MV en SV",toetsen_alleen_MV_en_SV(F!$B111,W111),""))))))</f>
        <v/>
      </c>
      <c r="Y111" s="5" t="str">
        <f>IF($P111="toetsen",IF(OR(W111="",VLOOKUP(F!$B111,E!$B$1:$AK$300,10,FALSE)=1000000000),"",IF(W111&lt;=VLOOKUP(F!$B111,E!$B$1:$AK$300,10,FALSE),"ja","nee")),"")</f>
        <v/>
      </c>
      <c r="AA111" s="4"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6" t="str">
        <f t="shared" si="43"/>
        <v>--</v>
      </c>
      <c r="AJ111" s="6"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6" t="str">
        <f t="shared" si="44"/>
        <v>--</v>
      </c>
      <c r="AL111" s="6"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6" t="str">
        <f t="shared" si="45"/>
        <v>--</v>
      </c>
      <c r="AN111" s="6"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6" t="str">
        <f t="shared" si="32"/>
        <v>--</v>
      </c>
      <c r="AQ111" s="6" t="str">
        <f t="shared" si="33"/>
        <v/>
      </c>
      <c r="AR111" s="6" t="str">
        <f t="shared" si="34"/>
        <v>--</v>
      </c>
      <c r="AS111" s="6" t="str">
        <f t="shared" si="35"/>
        <v/>
      </c>
      <c r="AT111" s="6" t="str">
        <f t="shared" si="36"/>
        <v/>
      </c>
      <c r="AU111" s="6" t="str">
        <f>IFERROR(IF(AR111="--","",IF(HLOOKUP(SMALL($Q$4:$Y$4,3),$Q$4:$Y$501,ROW(AP111)-3,FALSE)=0,"",IF(HLOOKUP(SMALL($Q$4:$Y$4,3),$Q$4:$Y$501,ROW(AP111)-3,FALSE)="nee",VLOOKUP("De kwaliteitseis emissiearme grond (maximale concentratie) wordt overschreden.",H!$O$10:'H'!$P$59,2,FALSE),""))),"")</f>
        <v/>
      </c>
      <c r="AV111" s="6" t="str">
        <f t="shared" si="26"/>
        <v>--</v>
      </c>
      <c r="AW111" s="6" t="str">
        <f t="shared" si="27"/>
        <v/>
      </c>
      <c r="AX111" s="6" t="str">
        <f t="shared" si="28"/>
        <v>--</v>
      </c>
      <c r="AY111" s="6" t="str">
        <f t="shared" si="37"/>
        <v/>
      </c>
      <c r="AZ111" s="6" t="str">
        <f t="shared" si="38"/>
        <v/>
      </c>
      <c r="BA111" s="6" t="str">
        <f>IFERROR(IF(AR111="--","",IF(HLOOKUP(SMALL($Q$4:$Y$4,6),$Q$4:$Y$501,ROW(AP111)-3,FALSE)=0,"",IF(HLOOKUP(SMALL($Q$4:$Y$4,6),$Q$4:$Y$501,ROW(AP111)-3,FALSE)="nee",VLOOKUP("De kwaliteitseis emissiearme grond (maximale concentratie) wordt overschreden.",H!$O$10:'H'!$P$59,2,FALSE),""))),"")</f>
        <v/>
      </c>
      <c r="BB111" s="6" t="str">
        <f t="shared" si="29"/>
        <v>--</v>
      </c>
      <c r="BC111" s="6" t="str">
        <f t="shared" si="30"/>
        <v/>
      </c>
      <c r="BD111" s="6" t="str">
        <f t="shared" si="31"/>
        <v>--</v>
      </c>
      <c r="BE111" s="6" t="str">
        <f t="shared" si="39"/>
        <v/>
      </c>
      <c r="BF111" s="6"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6" t="str">
        <f>IF(ISNUMBER(F!E112)=FALSE,"--",IF(F!E112=0,"--",F!E112))</f>
        <v>--</v>
      </c>
      <c r="C112" s="6" t="str">
        <f>IF(B112="--","",F!F112)</f>
        <v/>
      </c>
      <c r="D112" s="6" t="str">
        <f>IF(ISNUMBER(F!G112)=FALSE,"--",IF(F!G112=0,"--",F!G112))</f>
        <v>--</v>
      </c>
      <c r="E112" s="6" t="str">
        <f>IF(D112="--","",F!H112)</f>
        <v/>
      </c>
      <c r="F112" s="6" t="str">
        <f>IF(ISNUMBER(F!I112)=FALSE,"--",IF(F!I112=0,"--",F!I112))</f>
        <v>--</v>
      </c>
      <c r="G112" s="6" t="str">
        <f>IF(F112="--","",F!J112)</f>
        <v/>
      </c>
      <c r="H112" s="6"/>
      <c r="I112" s="101">
        <f>IF(F!Z112=0,-1,F!AV112)</f>
        <v>-1</v>
      </c>
      <c r="J112" s="6"/>
      <c r="K112" s="101">
        <f>IF(F!AC112=0,-1,F!AX112)</f>
        <v>-1</v>
      </c>
      <c r="L112" s="6"/>
      <c r="M112" s="101">
        <f>IF(F!AF112=0,-1,F!AZ112)</f>
        <v>-1</v>
      </c>
      <c r="N112" s="6"/>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6">
        <f t="shared" si="46"/>
        <v>-1</v>
      </c>
      <c r="R112" s="5" t="str">
        <f>IF($B112="--","",IF($P112="toetsen",toetsen(F!$B112,Q112),IF($P112="toetsen alleen IW",toetsen_alleen_IW(F!$B112,Q112),IF($P112="toetsen alleen LN",toetsen_alleen_LN(F!$B112,Q112),IF($P112="toetsen geen MV en SV",toetsen_geen_MV_en_SV(F!$B112,Q112),IF($P112="toetsen alleen MV en SV",toetsen_alleen_MV_en_SV(F!$B112,Q112),""))))))</f>
        <v/>
      </c>
      <c r="S112" s="5" t="str">
        <f>IF($P112="toetsen",IF(OR(Q112="",VLOOKUP(F!$B112,E!$B$1:$AK$300,10,FALSE)=1000000000),"",IF(Q112&lt;=VLOOKUP(F!$B112,E!$B$1:$AK$300,10,FALSE),"ja","nee")),"")</f>
        <v/>
      </c>
      <c r="T112" s="87">
        <f t="shared" si="41"/>
        <v>-1</v>
      </c>
      <c r="U112" s="5" t="str">
        <f>IF($D112="--","",IF($P112="toetsen",toetsen(F!$B112,T112),IF($P112="toetsen alleen IW",toetsen_alleen_IW(F!$B112,T112),IF($P112="toetsen alleen LN",toetsen_alleen_LN(F!$B112,T112),IF($P112="toetsen geen MV en SV",toetsen_geen_MV_en_SV(F!$B112,T112),IF($P112="toetsen alleen MV en SV",toetsen_alleen_MV_en_SV(F!$B112,T112),""))))))</f>
        <v/>
      </c>
      <c r="V112" s="5" t="str">
        <f>IF($P112="toetsen",IF(OR(T112="",VLOOKUP(F!$B112,E!$B$1:$AK$300,10,FALSE)=1000000000),"",IF(T112&lt;=VLOOKUP(F!$B112,E!$B$1:$AK$300,10,FALSE),"ja","nee")),"")</f>
        <v/>
      </c>
      <c r="W112" s="6">
        <f t="shared" si="42"/>
        <v>-1</v>
      </c>
      <c r="X112" s="5" t="str">
        <f>IF($F112="--","",IF($P112="toetsen",toetsen(F!$B112,W112),IF($P112="toetsen alleen IW",toetsen_alleen_IW(F!$B112,W112),IF($P112="toetsen alleen LN",toetsen_alleen_LN(F!$B112,W112),IF($P112="toetsen geen MV en SV",toetsen_geen_MV_en_SV(F!$B112,W112),IF($P112="toetsen alleen MV en SV",toetsen_alleen_MV_en_SV(F!$B112,W112),""))))))</f>
        <v/>
      </c>
      <c r="Y112" s="5" t="str">
        <f>IF($P112="toetsen",IF(OR(W112="",VLOOKUP(F!$B112,E!$B$1:$AK$300,10,FALSE)=1000000000),"",IF(W112&lt;=VLOOKUP(F!$B112,E!$B$1:$AK$300,10,FALSE),"ja","nee")),"")</f>
        <v/>
      </c>
      <c r="AA112" s="4">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6" t="str">
        <f t="shared" si="43"/>
        <v>--</v>
      </c>
      <c r="AJ112" s="6"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6" t="str">
        <f t="shared" si="44"/>
        <v>--</v>
      </c>
      <c r="AL112" s="6"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6" t="str">
        <f t="shared" si="45"/>
        <v>--</v>
      </c>
      <c r="AN112" s="6"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6" t="str">
        <f t="shared" si="32"/>
        <v>--</v>
      </c>
      <c r="AQ112" s="6" t="str">
        <f t="shared" si="33"/>
        <v/>
      </c>
      <c r="AR112" s="6" t="str">
        <f t="shared" si="34"/>
        <v>--</v>
      </c>
      <c r="AS112" s="6" t="str">
        <f t="shared" si="35"/>
        <v/>
      </c>
      <c r="AT112" s="6" t="str">
        <f t="shared" si="36"/>
        <v/>
      </c>
      <c r="AU112" s="6" t="str">
        <f>IFERROR(IF(AR112="--","",IF(HLOOKUP(SMALL($Q$4:$Y$4,3),$Q$4:$Y$501,ROW(AP112)-3,FALSE)=0,"",IF(HLOOKUP(SMALL($Q$4:$Y$4,3),$Q$4:$Y$501,ROW(AP112)-3,FALSE)="nee",VLOOKUP("De kwaliteitseis emissiearme grond (maximale concentratie) wordt overschreden.",H!$O$10:'H'!$P$59,2,FALSE),""))),"")</f>
        <v/>
      </c>
      <c r="AV112" s="6" t="str">
        <f t="shared" si="26"/>
        <v>--</v>
      </c>
      <c r="AW112" s="6" t="str">
        <f t="shared" si="27"/>
        <v/>
      </c>
      <c r="AX112" s="6" t="str">
        <f t="shared" si="28"/>
        <v>--</v>
      </c>
      <c r="AY112" s="6" t="str">
        <f t="shared" si="37"/>
        <v/>
      </c>
      <c r="AZ112" s="6" t="str">
        <f t="shared" si="38"/>
        <v/>
      </c>
      <c r="BA112" s="6" t="str">
        <f>IFERROR(IF(AR112="--","",IF(HLOOKUP(SMALL($Q$4:$Y$4,6),$Q$4:$Y$501,ROW(AP112)-3,FALSE)=0,"",IF(HLOOKUP(SMALL($Q$4:$Y$4,6),$Q$4:$Y$501,ROW(AP112)-3,FALSE)="nee",VLOOKUP("De kwaliteitseis emissiearme grond (maximale concentratie) wordt overschreden.",H!$O$10:'H'!$P$59,2,FALSE),""))),"")</f>
        <v/>
      </c>
      <c r="BB112" s="6" t="str">
        <f t="shared" si="29"/>
        <v>--</v>
      </c>
      <c r="BC112" s="6" t="str">
        <f t="shared" si="30"/>
        <v/>
      </c>
      <c r="BD112" s="6" t="str">
        <f t="shared" si="31"/>
        <v>--</v>
      </c>
      <c r="BE112" s="6" t="str">
        <f t="shared" si="39"/>
        <v/>
      </c>
      <c r="BF112" s="6"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6" t="str">
        <f>IF(ISNUMBER(F!E113)=FALSE,"--",IF(F!E113=0,"--",F!E113))</f>
        <v>--</v>
      </c>
      <c r="C113" s="6" t="str">
        <f>IF(B113="--","",F!F113)</f>
        <v/>
      </c>
      <c r="D113" s="6" t="str">
        <f>IF(ISNUMBER(F!G113)=FALSE,"--",IF(F!G113=0,"--",F!G113))</f>
        <v>--</v>
      </c>
      <c r="E113" s="6" t="str">
        <f>IF(D113="--","",F!H113)</f>
        <v/>
      </c>
      <c r="F113" s="6" t="str">
        <f>IF(ISNUMBER(F!I113)=FALSE,"--",IF(F!I113=0,"--",F!I113))</f>
        <v>--</v>
      </c>
      <c r="G113" s="6" t="str">
        <f>IF(F113="--","",F!J113)</f>
        <v/>
      </c>
      <c r="H113" s="6"/>
      <c r="I113" s="16" t="str">
        <f>IF(F!AA113=-1,-1,F!AV113)</f>
        <v/>
      </c>
      <c r="J113" s="6"/>
      <c r="K113" s="16" t="str">
        <f>IF(F!AD113=-1,-1,F!AX113)</f>
        <v/>
      </c>
      <c r="L113" s="6"/>
      <c r="M113" s="16" t="str">
        <f>IF(F!AG113=-1,-1,F!AZ113)</f>
        <v/>
      </c>
      <c r="N113" s="6"/>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6" t="str">
        <f t="shared" si="46"/>
        <v/>
      </c>
      <c r="R113" s="5" t="str">
        <f>IF($B113="--","",IF($P113="toetsen",toetsen(F!$B113,Q113),IF($P113="toetsen alleen IW",toetsen_alleen_IW(F!$B113,Q113),IF($P113="toetsen alleen LN",toetsen_alleen_LN(F!$B113,Q113),IF($P113="toetsen geen MV en SV",toetsen_geen_MV_en_SV(F!$B113,Q113),IF($P113="toetsen alleen MV en SV",toetsen_alleen_MV_en_SV(F!$B113,Q113),""))))))</f>
        <v/>
      </c>
      <c r="S113" s="5" t="str">
        <f>IF($P113="toetsen",IF(OR(Q113="",VLOOKUP(F!$B113,E!$B$1:$AK$300,10,FALSE)=1000000000),"",IF(Q113&lt;=VLOOKUP(F!$B113,E!$B$1:$AK$300,10,FALSE),"ja","nee")),"")</f>
        <v/>
      </c>
      <c r="T113" s="87" t="str">
        <f t="shared" si="41"/>
        <v/>
      </c>
      <c r="U113" s="5" t="str">
        <f>IF($D113="--","",IF($P113="toetsen",toetsen(F!$B113,T113),IF($P113="toetsen alleen IW",toetsen_alleen_IW(F!$B113,T113),IF($P113="toetsen alleen LN",toetsen_alleen_LN(F!$B113,T113),IF($P113="toetsen geen MV en SV",toetsen_geen_MV_en_SV(F!$B113,T113),IF($P113="toetsen alleen MV en SV",toetsen_alleen_MV_en_SV(F!$B113,T113),""))))))</f>
        <v/>
      </c>
      <c r="V113" s="5" t="str">
        <f>IF($P113="toetsen",IF(OR(T113="",VLOOKUP(F!$B113,E!$B$1:$AK$300,10,FALSE)=1000000000),"",IF(T113&lt;=VLOOKUP(F!$B113,E!$B$1:$AK$300,10,FALSE),"ja","nee")),"")</f>
        <v/>
      </c>
      <c r="W113" s="6" t="str">
        <f t="shared" si="42"/>
        <v/>
      </c>
      <c r="X113" s="5" t="str">
        <f>IF($F113="--","",IF($P113="toetsen",toetsen(F!$B113,W113),IF($P113="toetsen alleen IW",toetsen_alleen_IW(F!$B113,W113),IF($P113="toetsen alleen LN",toetsen_alleen_LN(F!$B113,W113),IF($P113="toetsen geen MV en SV",toetsen_geen_MV_en_SV(F!$B113,W113),IF($P113="toetsen alleen MV en SV",toetsen_alleen_MV_en_SV(F!$B113,W113),""))))))</f>
        <v/>
      </c>
      <c r="Y113" s="5" t="str">
        <f>IF($P113="toetsen",IF(OR(W113="",VLOOKUP(F!$B113,E!$B$1:$AK$300,10,FALSE)=1000000000),"",IF(W113&lt;=VLOOKUP(F!$B113,E!$B$1:$AK$300,10,FALSE),"ja","nee")),"")</f>
        <v/>
      </c>
      <c r="AA113" s="4"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6" t="str">
        <f t="shared" si="43"/>
        <v>--</v>
      </c>
      <c r="AJ113" s="6"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6" t="str">
        <f t="shared" si="44"/>
        <v>--</v>
      </c>
      <c r="AL113" s="6"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6" t="str">
        <f t="shared" si="45"/>
        <v>--</v>
      </c>
      <c r="AN113" s="6"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6" t="str">
        <f t="shared" si="32"/>
        <v>--</v>
      </c>
      <c r="AQ113" s="6" t="str">
        <f t="shared" si="33"/>
        <v/>
      </c>
      <c r="AR113" s="6" t="str">
        <f t="shared" si="34"/>
        <v>--</v>
      </c>
      <c r="AS113" s="6" t="str">
        <f t="shared" si="35"/>
        <v/>
      </c>
      <c r="AT113" s="6" t="str">
        <f t="shared" si="36"/>
        <v/>
      </c>
      <c r="AU113" s="6" t="str">
        <f>IFERROR(IF(AR113="--","",IF(HLOOKUP(SMALL($Q$4:$Y$4,3),$Q$4:$Y$501,ROW(AP113)-3,FALSE)=0,"",IF(HLOOKUP(SMALL($Q$4:$Y$4,3),$Q$4:$Y$501,ROW(AP113)-3,FALSE)="nee",VLOOKUP("De kwaliteitseis emissiearme grond (maximale concentratie) wordt overschreden.",H!$O$10:'H'!$P$59,2,FALSE),""))),"")</f>
        <v/>
      </c>
      <c r="AV113" s="6" t="str">
        <f t="shared" si="26"/>
        <v>--</v>
      </c>
      <c r="AW113" s="6" t="str">
        <f t="shared" si="27"/>
        <v/>
      </c>
      <c r="AX113" s="6" t="str">
        <f t="shared" si="28"/>
        <v>--</v>
      </c>
      <c r="AY113" s="6" t="str">
        <f t="shared" si="37"/>
        <v/>
      </c>
      <c r="AZ113" s="6" t="str">
        <f t="shared" si="38"/>
        <v/>
      </c>
      <c r="BA113" s="6" t="str">
        <f>IFERROR(IF(AR113="--","",IF(HLOOKUP(SMALL($Q$4:$Y$4,6),$Q$4:$Y$501,ROW(AP113)-3,FALSE)=0,"",IF(HLOOKUP(SMALL($Q$4:$Y$4,6),$Q$4:$Y$501,ROW(AP113)-3,FALSE)="nee",VLOOKUP("De kwaliteitseis emissiearme grond (maximale concentratie) wordt overschreden.",H!$O$10:'H'!$P$59,2,FALSE),""))),"")</f>
        <v/>
      </c>
      <c r="BB113" s="6" t="str">
        <f t="shared" si="29"/>
        <v>--</v>
      </c>
      <c r="BC113" s="6" t="str">
        <f t="shared" si="30"/>
        <v/>
      </c>
      <c r="BD113" s="6" t="str">
        <f t="shared" si="31"/>
        <v>--</v>
      </c>
      <c r="BE113" s="6" t="str">
        <f t="shared" si="39"/>
        <v/>
      </c>
      <c r="BF113" s="6"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6" t="str">
        <f>IF(ISNUMBER(F!E114)=FALSE,"--",IF(F!E114=0,"--",F!E114))</f>
        <v>--</v>
      </c>
      <c r="C114" s="6" t="str">
        <f>IF(B114="--","",F!F114)</f>
        <v/>
      </c>
      <c r="D114" s="6" t="str">
        <f>IF(ISNUMBER(F!G114)=FALSE,"--",IF(F!G114=0,"--",F!G114))</f>
        <v>--</v>
      </c>
      <c r="E114" s="6" t="str">
        <f>IF(D114="--","",F!H114)</f>
        <v/>
      </c>
      <c r="F114" s="6" t="str">
        <f>IF(ISNUMBER(F!I114)=FALSE,"--",IF(F!I114=0,"--",F!I114))</f>
        <v>--</v>
      </c>
      <c r="G114" s="6" t="str">
        <f>IF(F114="--","",F!J114)</f>
        <v/>
      </c>
      <c r="H114" s="6"/>
      <c r="I114" s="16" t="str">
        <f>IF(F!AA114=-1,-1,F!AV114)</f>
        <v/>
      </c>
      <c r="J114" s="6"/>
      <c r="K114" s="16" t="str">
        <f>IF(F!AD114=-1,-1,F!AX114)</f>
        <v/>
      </c>
      <c r="L114" s="6"/>
      <c r="M114" s="16" t="str">
        <f>IF(F!AG114=-1,-1,F!AZ114)</f>
        <v/>
      </c>
      <c r="N114" s="6"/>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6" t="str">
        <f t="shared" si="46"/>
        <v/>
      </c>
      <c r="R114" s="5" t="str">
        <f>IF($B114="--","",IF($P114="toetsen",toetsen(F!$B114,Q114),IF($P114="toetsen alleen IW",toetsen_alleen_IW(F!$B114,Q114),IF($P114="toetsen alleen LN",toetsen_alleen_LN(F!$B114,Q114),IF($P114="toetsen geen MV en SV",toetsen_geen_MV_en_SV(F!$B114,Q114),IF($P114="toetsen alleen MV en SV",toetsen_alleen_MV_en_SV(F!$B114,Q114),""))))))</f>
        <v/>
      </c>
      <c r="S114" s="5" t="str">
        <f>IF($P114="toetsen",IF(OR(Q114="",VLOOKUP(F!$B114,E!$B$1:$AK$300,10,FALSE)=1000000000),"",IF(Q114&lt;=VLOOKUP(F!$B114,E!$B$1:$AK$300,10,FALSE),"ja","nee")),"")</f>
        <v/>
      </c>
      <c r="T114" s="87" t="str">
        <f t="shared" si="41"/>
        <v/>
      </c>
      <c r="U114" s="5" t="str">
        <f>IF($D114="--","",IF($P114="toetsen",toetsen(F!$B114,T114),IF($P114="toetsen alleen IW",toetsen_alleen_IW(F!$B114,T114),IF($P114="toetsen alleen LN",toetsen_alleen_LN(F!$B114,T114),IF($P114="toetsen geen MV en SV",toetsen_geen_MV_en_SV(F!$B114,T114),IF($P114="toetsen alleen MV en SV",toetsen_alleen_MV_en_SV(F!$B114,T114),""))))))</f>
        <v/>
      </c>
      <c r="V114" s="5" t="str">
        <f>IF($P114="toetsen",IF(OR(T114="",VLOOKUP(F!$B114,E!$B$1:$AK$300,10,FALSE)=1000000000),"",IF(T114&lt;=VLOOKUP(F!$B114,E!$B$1:$AK$300,10,FALSE),"ja","nee")),"")</f>
        <v/>
      </c>
      <c r="W114" s="6" t="str">
        <f t="shared" si="42"/>
        <v/>
      </c>
      <c r="X114" s="5" t="str">
        <f>IF($F114="--","",IF($P114="toetsen",toetsen(F!$B114,W114),IF($P114="toetsen alleen IW",toetsen_alleen_IW(F!$B114,W114),IF($P114="toetsen alleen LN",toetsen_alleen_LN(F!$B114,W114),IF($P114="toetsen geen MV en SV",toetsen_geen_MV_en_SV(F!$B114,W114),IF($P114="toetsen alleen MV en SV",toetsen_alleen_MV_en_SV(F!$B114,W114),""))))))</f>
        <v/>
      </c>
      <c r="Y114" s="5" t="str">
        <f>IF($P114="toetsen",IF(OR(W114="",VLOOKUP(F!$B114,E!$B$1:$AK$300,10,FALSE)=1000000000),"",IF(W114&lt;=VLOOKUP(F!$B114,E!$B$1:$AK$300,10,FALSE),"ja","nee")),"")</f>
        <v/>
      </c>
      <c r="AA114" s="4"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6" t="str">
        <f t="shared" si="43"/>
        <v>--</v>
      </c>
      <c r="AJ114" s="6"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6" t="str">
        <f t="shared" si="44"/>
        <v>--</v>
      </c>
      <c r="AL114" s="6"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6" t="str">
        <f t="shared" si="45"/>
        <v>--</v>
      </c>
      <c r="AN114" s="6"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6" t="str">
        <f t="shared" si="32"/>
        <v>--</v>
      </c>
      <c r="AQ114" s="6" t="str">
        <f t="shared" si="33"/>
        <v/>
      </c>
      <c r="AR114" s="6" t="str">
        <f t="shared" si="34"/>
        <v>--</v>
      </c>
      <c r="AS114" s="6" t="str">
        <f t="shared" si="35"/>
        <v/>
      </c>
      <c r="AT114" s="6" t="str">
        <f t="shared" si="36"/>
        <v/>
      </c>
      <c r="AU114" s="6" t="str">
        <f>IFERROR(IF(AR114="--","",IF(HLOOKUP(SMALL($Q$4:$Y$4,3),$Q$4:$Y$501,ROW(AP114)-3,FALSE)=0,"",IF(HLOOKUP(SMALL($Q$4:$Y$4,3),$Q$4:$Y$501,ROW(AP114)-3,FALSE)="nee",VLOOKUP("De kwaliteitseis emissiearme grond (maximale concentratie) wordt overschreden.",H!$O$10:'H'!$P$59,2,FALSE),""))),"")</f>
        <v/>
      </c>
      <c r="AV114" s="6" t="str">
        <f t="shared" si="26"/>
        <v>--</v>
      </c>
      <c r="AW114" s="6" t="str">
        <f t="shared" si="27"/>
        <v/>
      </c>
      <c r="AX114" s="6" t="str">
        <f t="shared" si="28"/>
        <v>--</v>
      </c>
      <c r="AY114" s="6" t="str">
        <f t="shared" si="37"/>
        <v/>
      </c>
      <c r="AZ114" s="6" t="str">
        <f t="shared" si="38"/>
        <v/>
      </c>
      <c r="BA114" s="6" t="str">
        <f>IFERROR(IF(AR114="--","",IF(HLOOKUP(SMALL($Q$4:$Y$4,6),$Q$4:$Y$501,ROW(AP114)-3,FALSE)=0,"",IF(HLOOKUP(SMALL($Q$4:$Y$4,6),$Q$4:$Y$501,ROW(AP114)-3,FALSE)="nee",VLOOKUP("De kwaliteitseis emissiearme grond (maximale concentratie) wordt overschreden.",H!$O$10:'H'!$P$59,2,FALSE),""))),"")</f>
        <v/>
      </c>
      <c r="BB114" s="6" t="str">
        <f t="shared" si="29"/>
        <v>--</v>
      </c>
      <c r="BC114" s="6" t="str">
        <f t="shared" si="30"/>
        <v/>
      </c>
      <c r="BD114" s="6" t="str">
        <f t="shared" si="31"/>
        <v>--</v>
      </c>
      <c r="BE114" s="6" t="str">
        <f t="shared" si="39"/>
        <v/>
      </c>
      <c r="BF114" s="6"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6" t="str">
        <f>IF(ISNUMBER(F!E115)=FALSE,"--",IF(F!E115=0,"--",F!E115))</f>
        <v>--</v>
      </c>
      <c r="C115" s="6" t="str">
        <f>IF(B115="--","",F!F115)</f>
        <v/>
      </c>
      <c r="D115" s="6" t="str">
        <f>IF(ISNUMBER(F!G115)=FALSE,"--",IF(F!G115=0,"--",F!G115))</f>
        <v>--</v>
      </c>
      <c r="E115" s="6" t="str">
        <f>IF(D115="--","",F!H115)</f>
        <v/>
      </c>
      <c r="F115" s="6" t="str">
        <f>IF(ISNUMBER(F!I115)=FALSE,"--",IF(F!I115=0,"--",F!I115))</f>
        <v>--</v>
      </c>
      <c r="G115" s="6" t="str">
        <f>IF(F115="--","",F!J115)</f>
        <v/>
      </c>
      <c r="H115" s="6"/>
      <c r="I115" s="16" t="str">
        <f>IF(F!AA115=-1,-1,F!AV115)</f>
        <v/>
      </c>
      <c r="J115" s="6"/>
      <c r="K115" s="16" t="str">
        <f>IF(F!AD115=-1,-1,F!AX115)</f>
        <v/>
      </c>
      <c r="L115" s="6"/>
      <c r="M115" s="16" t="str">
        <f>IF(F!AG115=-1,-1,F!AZ115)</f>
        <v/>
      </c>
      <c r="N115" s="6"/>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6" t="str">
        <f t="shared" si="46"/>
        <v/>
      </c>
      <c r="R115" s="5" t="str">
        <f>IF($B115="--","",IF($P115="toetsen",toetsen(F!$B115,Q115),IF($P115="toetsen alleen IW",toetsen_alleen_IW(F!$B115,Q115),IF($P115="toetsen alleen LN",toetsen_alleen_LN(F!$B115,Q115),IF($P115="toetsen geen MV en SV",toetsen_geen_MV_en_SV(F!$B115,Q115),IF($P115="toetsen alleen MV en SV",toetsen_alleen_MV_en_SV(F!$B115,Q115),""))))))</f>
        <v/>
      </c>
      <c r="S115" s="5" t="str">
        <f>IF($P115="toetsen",IF(OR(Q115="",VLOOKUP(F!$B115,E!$B$1:$AK$300,10,FALSE)=1000000000),"",IF(Q115&lt;=VLOOKUP(F!$B115,E!$B$1:$AK$300,10,FALSE),"ja","nee")),"")</f>
        <v/>
      </c>
      <c r="T115" s="87" t="str">
        <f t="shared" si="41"/>
        <v/>
      </c>
      <c r="U115" s="5" t="str">
        <f>IF($D115="--","",IF($P115="toetsen",toetsen(F!$B115,T115),IF($P115="toetsen alleen IW",toetsen_alleen_IW(F!$B115,T115),IF($P115="toetsen alleen LN",toetsen_alleen_LN(F!$B115,T115),IF($P115="toetsen geen MV en SV",toetsen_geen_MV_en_SV(F!$B115,T115),IF($P115="toetsen alleen MV en SV",toetsen_alleen_MV_en_SV(F!$B115,T115),""))))))</f>
        <v/>
      </c>
      <c r="V115" s="5" t="str">
        <f>IF($P115="toetsen",IF(OR(T115="",VLOOKUP(F!$B115,E!$B$1:$AK$300,10,FALSE)=1000000000),"",IF(T115&lt;=VLOOKUP(F!$B115,E!$B$1:$AK$300,10,FALSE),"ja","nee")),"")</f>
        <v/>
      </c>
      <c r="W115" s="6" t="str">
        <f t="shared" si="42"/>
        <v/>
      </c>
      <c r="X115" s="5" t="str">
        <f>IF($F115="--","",IF($P115="toetsen",toetsen(F!$B115,W115),IF($P115="toetsen alleen IW",toetsen_alleen_IW(F!$B115,W115),IF($P115="toetsen alleen LN",toetsen_alleen_LN(F!$B115,W115),IF($P115="toetsen geen MV en SV",toetsen_geen_MV_en_SV(F!$B115,W115),IF($P115="toetsen alleen MV en SV",toetsen_alleen_MV_en_SV(F!$B115,W115),""))))))</f>
        <v/>
      </c>
      <c r="Y115" s="5" t="str">
        <f>IF($P115="toetsen",IF(OR(W115="",VLOOKUP(F!$B115,E!$B$1:$AK$300,10,FALSE)=1000000000),"",IF(W115&lt;=VLOOKUP(F!$B115,E!$B$1:$AK$300,10,FALSE),"ja","nee")),"")</f>
        <v/>
      </c>
      <c r="AA115" s="4"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6" t="str">
        <f t="shared" si="43"/>
        <v>--</v>
      </c>
      <c r="AJ115" s="6"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6" t="str">
        <f t="shared" si="44"/>
        <v>--</v>
      </c>
      <c r="AL115" s="6"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6" t="str">
        <f t="shared" si="45"/>
        <v>--</v>
      </c>
      <c r="AN115" s="6"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6" t="str">
        <f t="shared" si="32"/>
        <v>--</v>
      </c>
      <c r="AQ115" s="6" t="str">
        <f t="shared" si="33"/>
        <v/>
      </c>
      <c r="AR115" s="6" t="str">
        <f t="shared" si="34"/>
        <v>--</v>
      </c>
      <c r="AS115" s="6" t="str">
        <f t="shared" si="35"/>
        <v/>
      </c>
      <c r="AT115" s="6" t="str">
        <f t="shared" si="36"/>
        <v/>
      </c>
      <c r="AU115" s="6" t="str">
        <f>IFERROR(IF(AR115="--","",IF(HLOOKUP(SMALL($Q$4:$Y$4,3),$Q$4:$Y$501,ROW(AP115)-3,FALSE)=0,"",IF(HLOOKUP(SMALL($Q$4:$Y$4,3),$Q$4:$Y$501,ROW(AP115)-3,FALSE)="nee",VLOOKUP("De kwaliteitseis emissiearme grond (maximale concentratie) wordt overschreden.",H!$O$10:'H'!$P$59,2,FALSE),""))),"")</f>
        <v/>
      </c>
      <c r="AV115" s="6" t="str">
        <f t="shared" si="26"/>
        <v>--</v>
      </c>
      <c r="AW115" s="6" t="str">
        <f t="shared" si="27"/>
        <v/>
      </c>
      <c r="AX115" s="6" t="str">
        <f t="shared" si="28"/>
        <v>--</v>
      </c>
      <c r="AY115" s="6" t="str">
        <f t="shared" si="37"/>
        <v/>
      </c>
      <c r="AZ115" s="6" t="str">
        <f t="shared" si="38"/>
        <v/>
      </c>
      <c r="BA115" s="6" t="str">
        <f>IFERROR(IF(AR115="--","",IF(HLOOKUP(SMALL($Q$4:$Y$4,6),$Q$4:$Y$501,ROW(AP115)-3,FALSE)=0,"",IF(HLOOKUP(SMALL($Q$4:$Y$4,6),$Q$4:$Y$501,ROW(AP115)-3,FALSE)="nee",VLOOKUP("De kwaliteitseis emissiearme grond (maximale concentratie) wordt overschreden.",H!$O$10:'H'!$P$59,2,FALSE),""))),"")</f>
        <v/>
      </c>
      <c r="BB115" s="6" t="str">
        <f t="shared" si="29"/>
        <v>--</v>
      </c>
      <c r="BC115" s="6" t="str">
        <f t="shared" si="30"/>
        <v/>
      </c>
      <c r="BD115" s="6" t="str">
        <f t="shared" si="31"/>
        <v>--</v>
      </c>
      <c r="BE115" s="6" t="str">
        <f t="shared" si="39"/>
        <v/>
      </c>
      <c r="BF115" s="6"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6" t="str">
        <f>IF(ISNUMBER(F!E116)=FALSE,"--",IF(F!E116=0,"--",F!E116))</f>
        <v>--</v>
      </c>
      <c r="C116" s="6" t="str">
        <f>IF(B116="--","",F!F116)</f>
        <v/>
      </c>
      <c r="D116" s="6" t="str">
        <f>IF(ISNUMBER(F!G116)=FALSE,"--",IF(F!G116=0,"--",F!G116))</f>
        <v>--</v>
      </c>
      <c r="E116" s="6" t="str">
        <f>IF(D116="--","",F!H116)</f>
        <v/>
      </c>
      <c r="F116" s="6" t="str">
        <f>IF(ISNUMBER(F!I116)=FALSE,"--",IF(F!I116=0,"--",F!I116))</f>
        <v>--</v>
      </c>
      <c r="G116" s="6" t="str">
        <f>IF(F116="--","",F!J116)</f>
        <v/>
      </c>
      <c r="H116" s="6"/>
      <c r="I116" s="101">
        <f>IF(F!Z116=0,-1,F!AV116)</f>
        <v>-1</v>
      </c>
      <c r="J116" s="6"/>
      <c r="K116" s="101">
        <f>IF(F!AC116=0,-1,F!AX116)</f>
        <v>-1</v>
      </c>
      <c r="L116" s="6"/>
      <c r="M116" s="101">
        <f>IF(F!AF116=0,-1,F!AZ116)</f>
        <v>-1</v>
      </c>
      <c r="N116" s="6"/>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6">
        <f t="shared" si="46"/>
        <v>-1</v>
      </c>
      <c r="R116" s="5" t="str">
        <f>IF($B116="--","",IF($P116="toetsen",toetsen(F!$B116,Q116),IF($P116="toetsen alleen IW",toetsen_alleen_IW(F!$B116,Q116),IF($P116="toetsen alleen LN",toetsen_alleen_LN(F!$B116,Q116),IF($P116="toetsen geen MV en SV",toetsen_geen_MV_en_SV(F!$B116,Q116),IF($P116="toetsen alleen MV en SV",toetsen_alleen_MV_en_SV(F!$B116,Q116),""))))))</f>
        <v/>
      </c>
      <c r="S116" s="5" t="str">
        <f>IF($P116="toetsen",IF(OR(Q116="",VLOOKUP(F!$B116,E!$B$1:$AK$300,10,FALSE)=1000000000),"",IF(Q116&lt;=VLOOKUP(F!$B116,E!$B$1:$AK$300,10,FALSE),"ja","nee")),"")</f>
        <v/>
      </c>
      <c r="T116" s="87">
        <f t="shared" si="41"/>
        <v>-1</v>
      </c>
      <c r="U116" s="5" t="str">
        <f>IF($D116="--","",IF($P116="toetsen",toetsen(F!$B116,T116),IF($P116="toetsen alleen IW",toetsen_alleen_IW(F!$B116,T116),IF($P116="toetsen alleen LN",toetsen_alleen_LN(F!$B116,T116),IF($P116="toetsen geen MV en SV",toetsen_geen_MV_en_SV(F!$B116,T116),IF($P116="toetsen alleen MV en SV",toetsen_alleen_MV_en_SV(F!$B116,T116),""))))))</f>
        <v/>
      </c>
      <c r="V116" s="5" t="str">
        <f>IF($P116="toetsen",IF(OR(T116="",VLOOKUP(F!$B116,E!$B$1:$AK$300,10,FALSE)=1000000000),"",IF(T116&lt;=VLOOKUP(F!$B116,E!$B$1:$AK$300,10,FALSE),"ja","nee")),"")</f>
        <v/>
      </c>
      <c r="W116" s="6">
        <f t="shared" si="42"/>
        <v>-1</v>
      </c>
      <c r="X116" s="5" t="str">
        <f>IF($F116="--","",IF($P116="toetsen",toetsen(F!$B116,W116),IF($P116="toetsen alleen IW",toetsen_alleen_IW(F!$B116,W116),IF($P116="toetsen alleen LN",toetsen_alleen_LN(F!$B116,W116),IF($P116="toetsen geen MV en SV",toetsen_geen_MV_en_SV(F!$B116,W116),IF($P116="toetsen alleen MV en SV",toetsen_alleen_MV_en_SV(F!$B116,W116),""))))))</f>
        <v/>
      </c>
      <c r="Y116" s="5" t="str">
        <f>IF($P116="toetsen",IF(OR(W116="",VLOOKUP(F!$B116,E!$B$1:$AK$300,10,FALSE)=1000000000),"",IF(W116&lt;=VLOOKUP(F!$B116,E!$B$1:$AK$300,10,FALSE),"ja","nee")),"")</f>
        <v/>
      </c>
      <c r="AA116" s="4">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6" t="str">
        <f t="shared" si="43"/>
        <v>--</v>
      </c>
      <c r="AJ116" s="6"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6" t="str">
        <f t="shared" si="44"/>
        <v>--</v>
      </c>
      <c r="AL116" s="6"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6" t="str">
        <f t="shared" si="45"/>
        <v>--</v>
      </c>
      <c r="AN116" s="6"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6" t="str">
        <f t="shared" si="32"/>
        <v>--</v>
      </c>
      <c r="AQ116" s="6" t="str">
        <f t="shared" si="33"/>
        <v/>
      </c>
      <c r="AR116" s="6" t="str">
        <f t="shared" si="34"/>
        <v>--</v>
      </c>
      <c r="AS116" s="6" t="str">
        <f t="shared" si="35"/>
        <v/>
      </c>
      <c r="AT116" s="6" t="str">
        <f t="shared" si="36"/>
        <v/>
      </c>
      <c r="AU116" s="6" t="str">
        <f>IFERROR(IF(AR116="--","",IF(HLOOKUP(SMALL($Q$4:$Y$4,3),$Q$4:$Y$501,ROW(AP116)-3,FALSE)=0,"",IF(HLOOKUP(SMALL($Q$4:$Y$4,3),$Q$4:$Y$501,ROW(AP116)-3,FALSE)="nee",VLOOKUP("De kwaliteitseis emissiearme grond (maximale concentratie) wordt overschreden.",H!$O$10:'H'!$P$59,2,FALSE),""))),"")</f>
        <v/>
      </c>
      <c r="AV116" s="6" t="str">
        <f t="shared" si="26"/>
        <v>--</v>
      </c>
      <c r="AW116" s="6" t="str">
        <f t="shared" si="27"/>
        <v/>
      </c>
      <c r="AX116" s="6" t="str">
        <f t="shared" si="28"/>
        <v>--</v>
      </c>
      <c r="AY116" s="6" t="str">
        <f t="shared" si="37"/>
        <v/>
      </c>
      <c r="AZ116" s="6" t="str">
        <f t="shared" si="38"/>
        <v/>
      </c>
      <c r="BA116" s="6" t="str">
        <f>IFERROR(IF(AR116="--","",IF(HLOOKUP(SMALL($Q$4:$Y$4,6),$Q$4:$Y$501,ROW(AP116)-3,FALSE)=0,"",IF(HLOOKUP(SMALL($Q$4:$Y$4,6),$Q$4:$Y$501,ROW(AP116)-3,FALSE)="nee",VLOOKUP("De kwaliteitseis emissiearme grond (maximale concentratie) wordt overschreden.",H!$O$10:'H'!$P$59,2,FALSE),""))),"")</f>
        <v/>
      </c>
      <c r="BB116" s="6" t="str">
        <f t="shared" si="29"/>
        <v>--</v>
      </c>
      <c r="BC116" s="6" t="str">
        <f t="shared" si="30"/>
        <v/>
      </c>
      <c r="BD116" s="6" t="str">
        <f t="shared" si="31"/>
        <v>--</v>
      </c>
      <c r="BE116" s="6" t="str">
        <f t="shared" si="39"/>
        <v/>
      </c>
      <c r="BF116" s="6"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6" t="str">
        <f>IF(ISNUMBER(F!E117)=FALSE,"--",IF(F!E117=0,"--",F!E117))</f>
        <v>--</v>
      </c>
      <c r="C117" s="6" t="str">
        <f>IF(B117="--","",F!F117)</f>
        <v/>
      </c>
      <c r="D117" s="6" t="str">
        <f>IF(ISNUMBER(F!G117)=FALSE,"--",IF(F!G117=0,"--",F!G117))</f>
        <v>--</v>
      </c>
      <c r="E117" s="6" t="str">
        <f>IF(D117="--","",F!H117)</f>
        <v/>
      </c>
      <c r="F117" s="6" t="str">
        <f>IF(ISNUMBER(F!I117)=FALSE,"--",IF(F!I117=0,"--",F!I117))</f>
        <v>--</v>
      </c>
      <c r="G117" s="6" t="str">
        <f>IF(F117="--","",F!J117)</f>
        <v/>
      </c>
      <c r="H117" s="6"/>
      <c r="I117" s="16" t="str">
        <f>IF(F!AA117=-1,-1,F!AV117)</f>
        <v/>
      </c>
      <c r="J117" s="6"/>
      <c r="K117" s="16" t="str">
        <f>IF(F!AD117=-1,-1,F!AX117)</f>
        <v/>
      </c>
      <c r="L117" s="6"/>
      <c r="M117" s="16" t="str">
        <f>IF(F!AG117=-1,-1,F!AZ117)</f>
        <v/>
      </c>
      <c r="N117" s="6"/>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6" t="str">
        <f t="shared" si="46"/>
        <v/>
      </c>
      <c r="R117" s="5" t="str">
        <f>IF($B117="--","",IF($P117="toetsen",toetsen(F!$B117,Q117),IF($P117="toetsen alleen IW",toetsen_alleen_IW(F!$B117,Q117),IF($P117="toetsen alleen LN",toetsen_alleen_LN(F!$B117,Q117),IF($P117="toetsen geen MV en SV",toetsen_geen_MV_en_SV(F!$B117,Q117),IF($P117="toetsen alleen MV en SV",toetsen_alleen_MV_en_SV(F!$B117,Q117),""))))))</f>
        <v/>
      </c>
      <c r="S117" s="5" t="str">
        <f>IF($P117="toetsen",IF(OR(Q117="",VLOOKUP(F!$B117,E!$B$1:$AK$300,10,FALSE)=1000000000),"",IF(Q117&lt;=VLOOKUP(F!$B117,E!$B$1:$AK$300,10,FALSE),"ja","nee")),"")</f>
        <v/>
      </c>
      <c r="T117" s="87" t="str">
        <f t="shared" si="41"/>
        <v/>
      </c>
      <c r="U117" s="5" t="str">
        <f>IF($D117="--","",IF($P117="toetsen",toetsen(F!$B117,T117),IF($P117="toetsen alleen IW",toetsen_alleen_IW(F!$B117,T117),IF($P117="toetsen alleen LN",toetsen_alleen_LN(F!$B117,T117),IF($P117="toetsen geen MV en SV",toetsen_geen_MV_en_SV(F!$B117,T117),IF($P117="toetsen alleen MV en SV",toetsen_alleen_MV_en_SV(F!$B117,T117),""))))))</f>
        <v/>
      </c>
      <c r="V117" s="5" t="str">
        <f>IF($P117="toetsen",IF(OR(T117="",VLOOKUP(F!$B117,E!$B$1:$AK$300,10,FALSE)=1000000000),"",IF(T117&lt;=VLOOKUP(F!$B117,E!$B$1:$AK$300,10,FALSE),"ja","nee")),"")</f>
        <v/>
      </c>
      <c r="W117" s="6" t="str">
        <f t="shared" si="42"/>
        <v/>
      </c>
      <c r="X117" s="5" t="str">
        <f>IF($F117="--","",IF($P117="toetsen",toetsen(F!$B117,W117),IF($P117="toetsen alleen IW",toetsen_alleen_IW(F!$B117,W117),IF($P117="toetsen alleen LN",toetsen_alleen_LN(F!$B117,W117),IF($P117="toetsen geen MV en SV",toetsen_geen_MV_en_SV(F!$B117,W117),IF($P117="toetsen alleen MV en SV",toetsen_alleen_MV_en_SV(F!$B117,W117),""))))))</f>
        <v/>
      </c>
      <c r="Y117" s="5" t="str">
        <f>IF($P117="toetsen",IF(OR(W117="",VLOOKUP(F!$B117,E!$B$1:$AK$300,10,FALSE)=1000000000),"",IF(W117&lt;=VLOOKUP(F!$B117,E!$B$1:$AK$300,10,FALSE),"ja","nee")),"")</f>
        <v/>
      </c>
      <c r="AA117" s="4"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6" t="str">
        <f t="shared" si="43"/>
        <v>--</v>
      </c>
      <c r="AJ117" s="6"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6" t="str">
        <f t="shared" si="44"/>
        <v>--</v>
      </c>
      <c r="AL117" s="6"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6" t="str">
        <f t="shared" si="45"/>
        <v>--</v>
      </c>
      <c r="AN117" s="6"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6" t="str">
        <f t="shared" si="32"/>
        <v>--</v>
      </c>
      <c r="AQ117" s="6" t="str">
        <f t="shared" si="33"/>
        <v/>
      </c>
      <c r="AR117" s="6" t="str">
        <f t="shared" si="34"/>
        <v>--</v>
      </c>
      <c r="AS117" s="6" t="str">
        <f t="shared" si="35"/>
        <v/>
      </c>
      <c r="AT117" s="6" t="str">
        <f t="shared" si="36"/>
        <v/>
      </c>
      <c r="AU117" s="6" t="str">
        <f>IFERROR(IF(AR117="--","",IF(HLOOKUP(SMALL($Q$4:$Y$4,3),$Q$4:$Y$501,ROW(AP117)-3,FALSE)=0,"",IF(HLOOKUP(SMALL($Q$4:$Y$4,3),$Q$4:$Y$501,ROW(AP117)-3,FALSE)="nee",VLOOKUP("De kwaliteitseis emissiearme grond (maximale concentratie) wordt overschreden.",H!$O$10:'H'!$P$59,2,FALSE),""))),"")</f>
        <v/>
      </c>
      <c r="AV117" s="6" t="str">
        <f t="shared" si="26"/>
        <v>--</v>
      </c>
      <c r="AW117" s="6" t="str">
        <f t="shared" si="27"/>
        <v/>
      </c>
      <c r="AX117" s="6" t="str">
        <f t="shared" si="28"/>
        <v>--</v>
      </c>
      <c r="AY117" s="6" t="str">
        <f t="shared" si="37"/>
        <v/>
      </c>
      <c r="AZ117" s="6" t="str">
        <f t="shared" si="38"/>
        <v/>
      </c>
      <c r="BA117" s="6" t="str">
        <f>IFERROR(IF(AR117="--","",IF(HLOOKUP(SMALL($Q$4:$Y$4,6),$Q$4:$Y$501,ROW(AP117)-3,FALSE)=0,"",IF(HLOOKUP(SMALL($Q$4:$Y$4,6),$Q$4:$Y$501,ROW(AP117)-3,FALSE)="nee",VLOOKUP("De kwaliteitseis emissiearme grond (maximale concentratie) wordt overschreden.",H!$O$10:'H'!$P$59,2,FALSE),""))),"")</f>
        <v/>
      </c>
      <c r="BB117" s="6" t="str">
        <f t="shared" si="29"/>
        <v>--</v>
      </c>
      <c r="BC117" s="6" t="str">
        <f t="shared" si="30"/>
        <v/>
      </c>
      <c r="BD117" s="6" t="str">
        <f t="shared" si="31"/>
        <v>--</v>
      </c>
      <c r="BE117" s="6" t="str">
        <f t="shared" si="39"/>
        <v/>
      </c>
      <c r="BF117" s="6"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6" t="str">
        <f>IF(ISNUMBER(F!E118)=FALSE,"--",IF(F!E118=0,"--",F!E118))</f>
        <v>--</v>
      </c>
      <c r="C118" s="6" t="str">
        <f>IF(B118="--","",F!F118)</f>
        <v/>
      </c>
      <c r="D118" s="6" t="str">
        <f>IF(ISNUMBER(F!G118)=FALSE,"--",IF(F!G118=0,"--",F!G118))</f>
        <v>--</v>
      </c>
      <c r="E118" s="6" t="str">
        <f>IF(D118="--","",F!H118)</f>
        <v/>
      </c>
      <c r="F118" s="6" t="str">
        <f>IF(ISNUMBER(F!I118)=FALSE,"--",IF(F!I118=0,"--",F!I118))</f>
        <v>--</v>
      </c>
      <c r="G118" s="6" t="str">
        <f>IF(F118="--","",F!J118)</f>
        <v/>
      </c>
      <c r="H118" s="6"/>
      <c r="I118" s="16" t="str">
        <f>IF(F!AA118=-1,-1,F!AV118)</f>
        <v/>
      </c>
      <c r="J118" s="6"/>
      <c r="K118" s="16" t="str">
        <f>IF(F!AD118=-1,-1,F!AX118)</f>
        <v/>
      </c>
      <c r="L118" s="6"/>
      <c r="M118" s="16" t="str">
        <f>IF(F!AG118=-1,-1,F!AZ118)</f>
        <v/>
      </c>
      <c r="N118" s="6"/>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6" t="str">
        <f t="shared" si="46"/>
        <v/>
      </c>
      <c r="R118" s="5" t="str">
        <f>IF($B118="--","",IF($P118="toetsen",toetsen(F!$B118,Q118),IF($P118="toetsen alleen IW",toetsen_alleen_IW(F!$B118,Q118),IF($P118="toetsen alleen LN",toetsen_alleen_LN(F!$B118,Q118),IF($P118="toetsen geen MV en SV",toetsen_geen_MV_en_SV(F!$B118,Q118),IF($P118="toetsen alleen MV en SV",toetsen_alleen_MV_en_SV(F!$B118,Q118),""))))))</f>
        <v/>
      </c>
      <c r="S118" s="5" t="str">
        <f>IF($P118="toetsen",IF(OR(Q118="",VLOOKUP(F!$B118,E!$B$1:$AK$300,10,FALSE)=1000000000),"",IF(Q118&lt;=VLOOKUP(F!$B118,E!$B$1:$AK$300,10,FALSE),"ja","nee")),"")</f>
        <v/>
      </c>
      <c r="T118" s="87" t="str">
        <f t="shared" si="41"/>
        <v/>
      </c>
      <c r="U118" s="5" t="str">
        <f>IF($D118="--","",IF($P118="toetsen",toetsen(F!$B118,T118),IF($P118="toetsen alleen IW",toetsen_alleen_IW(F!$B118,T118),IF($P118="toetsen alleen LN",toetsen_alleen_LN(F!$B118,T118),IF($P118="toetsen geen MV en SV",toetsen_geen_MV_en_SV(F!$B118,T118),IF($P118="toetsen alleen MV en SV",toetsen_alleen_MV_en_SV(F!$B118,T118),""))))))</f>
        <v/>
      </c>
      <c r="V118" s="5" t="str">
        <f>IF($P118="toetsen",IF(OR(T118="",VLOOKUP(F!$B118,E!$B$1:$AK$300,10,FALSE)=1000000000),"",IF(T118&lt;=VLOOKUP(F!$B118,E!$B$1:$AK$300,10,FALSE),"ja","nee")),"")</f>
        <v/>
      </c>
      <c r="W118" s="6" t="str">
        <f t="shared" si="42"/>
        <v/>
      </c>
      <c r="X118" s="5" t="str">
        <f>IF($F118="--","",IF($P118="toetsen",toetsen(F!$B118,W118),IF($P118="toetsen alleen IW",toetsen_alleen_IW(F!$B118,W118),IF($P118="toetsen alleen LN",toetsen_alleen_LN(F!$B118,W118),IF($P118="toetsen geen MV en SV",toetsen_geen_MV_en_SV(F!$B118,W118),IF($P118="toetsen alleen MV en SV",toetsen_alleen_MV_en_SV(F!$B118,W118),""))))))</f>
        <v/>
      </c>
      <c r="Y118" s="5" t="str">
        <f>IF($P118="toetsen",IF(OR(W118="",VLOOKUP(F!$B118,E!$B$1:$AK$300,10,FALSE)=1000000000),"",IF(W118&lt;=VLOOKUP(F!$B118,E!$B$1:$AK$300,10,FALSE),"ja","nee")),"")</f>
        <v/>
      </c>
      <c r="AA118" s="4"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6" t="str">
        <f t="shared" si="43"/>
        <v>--</v>
      </c>
      <c r="AJ118" s="6"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6" t="str">
        <f t="shared" si="44"/>
        <v>--</v>
      </c>
      <c r="AL118" s="6"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6" t="str">
        <f t="shared" si="45"/>
        <v>--</v>
      </c>
      <c r="AN118" s="6"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6" t="str">
        <f t="shared" si="32"/>
        <v>--</v>
      </c>
      <c r="AQ118" s="6" t="str">
        <f t="shared" si="33"/>
        <v/>
      </c>
      <c r="AR118" s="6" t="str">
        <f t="shared" si="34"/>
        <v>--</v>
      </c>
      <c r="AS118" s="6" t="str">
        <f t="shared" si="35"/>
        <v/>
      </c>
      <c r="AT118" s="6" t="str">
        <f t="shared" si="36"/>
        <v/>
      </c>
      <c r="AU118" s="6" t="str">
        <f>IFERROR(IF(AR118="--","",IF(HLOOKUP(SMALL($Q$4:$Y$4,3),$Q$4:$Y$501,ROW(AP118)-3,FALSE)=0,"",IF(HLOOKUP(SMALL($Q$4:$Y$4,3),$Q$4:$Y$501,ROW(AP118)-3,FALSE)="nee",VLOOKUP("De kwaliteitseis emissiearme grond (maximale concentratie) wordt overschreden.",H!$O$10:'H'!$P$59,2,FALSE),""))),"")</f>
        <v/>
      </c>
      <c r="AV118" s="6" t="str">
        <f t="shared" si="26"/>
        <v>--</v>
      </c>
      <c r="AW118" s="6" t="str">
        <f t="shared" si="27"/>
        <v/>
      </c>
      <c r="AX118" s="6" t="str">
        <f t="shared" si="28"/>
        <v>--</v>
      </c>
      <c r="AY118" s="6" t="str">
        <f t="shared" si="37"/>
        <v/>
      </c>
      <c r="AZ118" s="6" t="str">
        <f t="shared" si="38"/>
        <v/>
      </c>
      <c r="BA118" s="6" t="str">
        <f>IFERROR(IF(AR118="--","",IF(HLOOKUP(SMALL($Q$4:$Y$4,6),$Q$4:$Y$501,ROW(AP118)-3,FALSE)=0,"",IF(HLOOKUP(SMALL($Q$4:$Y$4,6),$Q$4:$Y$501,ROW(AP118)-3,FALSE)="nee",VLOOKUP("De kwaliteitseis emissiearme grond (maximale concentratie) wordt overschreden.",H!$O$10:'H'!$P$59,2,FALSE),""))),"")</f>
        <v/>
      </c>
      <c r="BB118" s="6" t="str">
        <f t="shared" si="29"/>
        <v>--</v>
      </c>
      <c r="BC118" s="6" t="str">
        <f t="shared" si="30"/>
        <v/>
      </c>
      <c r="BD118" s="6" t="str">
        <f t="shared" si="31"/>
        <v>--</v>
      </c>
      <c r="BE118" s="6" t="str">
        <f t="shared" si="39"/>
        <v/>
      </c>
      <c r="BF118" s="6"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6" t="str">
        <f>IF(ISNUMBER(F!E119)=FALSE,"--",IF(F!E119=0,"--",F!E119))</f>
        <v>--</v>
      </c>
      <c r="C119" s="6" t="str">
        <f>IF(B119="--","",F!F119)</f>
        <v/>
      </c>
      <c r="D119" s="6" t="str">
        <f>IF(ISNUMBER(F!G119)=FALSE,"--",IF(F!G119=0,"--",F!G119))</f>
        <v>--</v>
      </c>
      <c r="E119" s="6" t="str">
        <f>IF(D119="--","",F!H119)</f>
        <v/>
      </c>
      <c r="F119" s="6" t="str">
        <f>IF(ISNUMBER(F!I119)=FALSE,"--",IF(F!I119=0,"--",F!I119))</f>
        <v>--</v>
      </c>
      <c r="G119" s="6" t="str">
        <f>IF(F119="--","",F!J119)</f>
        <v/>
      </c>
      <c r="H119" s="6"/>
      <c r="I119" s="16" t="str">
        <f>IF(F!AA119=-1,-1,F!AV119)</f>
        <v/>
      </c>
      <c r="J119" s="6"/>
      <c r="K119" s="16" t="str">
        <f>IF(F!AD119=-1,-1,F!AX119)</f>
        <v/>
      </c>
      <c r="L119" s="6"/>
      <c r="M119" s="16" t="str">
        <f>IF(F!AG119=-1,-1,F!AZ119)</f>
        <v/>
      </c>
      <c r="N119" s="6"/>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6" t="str">
        <f t="shared" si="46"/>
        <v/>
      </c>
      <c r="R119" s="5" t="str">
        <f>IF($B119="--","",IF($P119="toetsen",toetsen(F!$B119,Q119),IF($P119="toetsen alleen IW",toetsen_alleen_IW(F!$B119,Q119),IF($P119="toetsen alleen LN",toetsen_alleen_LN(F!$B119,Q119),IF($P119="toetsen geen MV en SV",toetsen_geen_MV_en_SV(F!$B119,Q119),IF($P119="toetsen alleen MV en SV",toetsen_alleen_MV_en_SV(F!$B119,Q119),""))))))</f>
        <v/>
      </c>
      <c r="S119" s="5" t="str">
        <f>IF($P119="toetsen",IF(OR(Q119="",VLOOKUP(F!$B119,E!$B$1:$AK$300,10,FALSE)=1000000000),"",IF(Q119&lt;=VLOOKUP(F!$B119,E!$B$1:$AK$300,10,FALSE),"ja","nee")),"")</f>
        <v/>
      </c>
      <c r="T119" s="87" t="str">
        <f t="shared" si="41"/>
        <v/>
      </c>
      <c r="U119" s="5" t="str">
        <f>IF($D119="--","",IF($P119="toetsen",toetsen(F!$B119,T119),IF($P119="toetsen alleen IW",toetsen_alleen_IW(F!$B119,T119),IF($P119="toetsen alleen LN",toetsen_alleen_LN(F!$B119,T119),IF($P119="toetsen geen MV en SV",toetsen_geen_MV_en_SV(F!$B119,T119),IF($P119="toetsen alleen MV en SV",toetsen_alleen_MV_en_SV(F!$B119,T119),""))))))</f>
        <v/>
      </c>
      <c r="V119" s="5" t="str">
        <f>IF($P119="toetsen",IF(OR(T119="",VLOOKUP(F!$B119,E!$B$1:$AK$300,10,FALSE)=1000000000),"",IF(T119&lt;=VLOOKUP(F!$B119,E!$B$1:$AK$300,10,FALSE),"ja","nee")),"")</f>
        <v/>
      </c>
      <c r="W119" s="6" t="str">
        <f t="shared" si="42"/>
        <v/>
      </c>
      <c r="X119" s="5" t="str">
        <f>IF($F119="--","",IF($P119="toetsen",toetsen(F!$B119,W119),IF($P119="toetsen alleen IW",toetsen_alleen_IW(F!$B119,W119),IF($P119="toetsen alleen LN",toetsen_alleen_LN(F!$B119,W119),IF($P119="toetsen geen MV en SV",toetsen_geen_MV_en_SV(F!$B119,W119),IF($P119="toetsen alleen MV en SV",toetsen_alleen_MV_en_SV(F!$B119,W119),""))))))</f>
        <v/>
      </c>
      <c r="Y119" s="5" t="str">
        <f>IF($P119="toetsen",IF(OR(W119="",VLOOKUP(F!$B119,E!$B$1:$AK$300,10,FALSE)=1000000000),"",IF(W119&lt;=VLOOKUP(F!$B119,E!$B$1:$AK$300,10,FALSE),"ja","nee")),"")</f>
        <v/>
      </c>
      <c r="AA119" s="4"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6" t="str">
        <f t="shared" si="43"/>
        <v>--</v>
      </c>
      <c r="AJ119" s="6"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6" t="str">
        <f t="shared" si="44"/>
        <v>--</v>
      </c>
      <c r="AL119" s="6"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6" t="str">
        <f t="shared" si="45"/>
        <v>--</v>
      </c>
      <c r="AN119" s="6"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6" t="str">
        <f t="shared" si="32"/>
        <v>--</v>
      </c>
      <c r="AQ119" s="6" t="str">
        <f t="shared" si="33"/>
        <v/>
      </c>
      <c r="AR119" s="6" t="str">
        <f t="shared" si="34"/>
        <v>--</v>
      </c>
      <c r="AS119" s="6" t="str">
        <f t="shared" si="35"/>
        <v/>
      </c>
      <c r="AT119" s="6" t="str">
        <f t="shared" si="36"/>
        <v/>
      </c>
      <c r="AU119" s="6" t="str">
        <f>IFERROR(IF(AR119="--","",IF(HLOOKUP(SMALL($Q$4:$Y$4,3),$Q$4:$Y$501,ROW(AP119)-3,FALSE)=0,"",IF(HLOOKUP(SMALL($Q$4:$Y$4,3),$Q$4:$Y$501,ROW(AP119)-3,FALSE)="nee",VLOOKUP("De kwaliteitseis emissiearme grond (maximale concentratie) wordt overschreden.",H!$O$10:'H'!$P$59,2,FALSE),""))),"")</f>
        <v/>
      </c>
      <c r="AV119" s="6" t="str">
        <f t="shared" si="26"/>
        <v>--</v>
      </c>
      <c r="AW119" s="6" t="str">
        <f t="shared" si="27"/>
        <v/>
      </c>
      <c r="AX119" s="6" t="str">
        <f t="shared" si="28"/>
        <v>--</v>
      </c>
      <c r="AY119" s="6" t="str">
        <f t="shared" si="37"/>
        <v/>
      </c>
      <c r="AZ119" s="6" t="str">
        <f t="shared" si="38"/>
        <v/>
      </c>
      <c r="BA119" s="6" t="str">
        <f>IFERROR(IF(AR119="--","",IF(HLOOKUP(SMALL($Q$4:$Y$4,6),$Q$4:$Y$501,ROW(AP119)-3,FALSE)=0,"",IF(HLOOKUP(SMALL($Q$4:$Y$4,6),$Q$4:$Y$501,ROW(AP119)-3,FALSE)="nee",VLOOKUP("De kwaliteitseis emissiearme grond (maximale concentratie) wordt overschreden.",H!$O$10:'H'!$P$59,2,FALSE),""))),"")</f>
        <v/>
      </c>
      <c r="BB119" s="6" t="str">
        <f t="shared" si="29"/>
        <v>--</v>
      </c>
      <c r="BC119" s="6" t="str">
        <f t="shared" si="30"/>
        <v/>
      </c>
      <c r="BD119" s="6" t="str">
        <f t="shared" si="31"/>
        <v>--</v>
      </c>
      <c r="BE119" s="6" t="str">
        <f t="shared" si="39"/>
        <v/>
      </c>
      <c r="BF119" s="6"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6" t="str">
        <f>IF(ISNUMBER(F!E120)=FALSE,"--",IF(F!E120=0,"--",F!E120))</f>
        <v>--</v>
      </c>
      <c r="C120" s="6" t="str">
        <f>IF(B120="--","",F!F120)</f>
        <v/>
      </c>
      <c r="D120" s="6" t="str">
        <f>IF(ISNUMBER(F!G120)=FALSE,"--",IF(F!G120=0,"--",F!G120))</f>
        <v>--</v>
      </c>
      <c r="E120" s="6" t="str">
        <f>IF(D120="--","",F!H120)</f>
        <v/>
      </c>
      <c r="F120" s="6" t="str">
        <f>IF(ISNUMBER(F!I120)=FALSE,"--",IF(F!I120=0,"--",F!I120))</f>
        <v>--</v>
      </c>
      <c r="G120" s="6" t="str">
        <f>IF(F120="--","",F!J120)</f>
        <v/>
      </c>
      <c r="H120" s="6"/>
      <c r="I120" s="101">
        <f>IF(F!Z120=0,-1,F!AV120)</f>
        <v>-1</v>
      </c>
      <c r="J120" s="6"/>
      <c r="K120" s="101">
        <f>IF(F!AC120=0,-1,F!AX120)</f>
        <v>-1</v>
      </c>
      <c r="L120" s="6"/>
      <c r="M120" s="101">
        <f>IF(F!AF120=0,-1,F!AZ120)</f>
        <v>-1</v>
      </c>
      <c r="N120" s="6"/>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6">
        <f t="shared" si="46"/>
        <v>-1</v>
      </c>
      <c r="R120" s="5" t="str">
        <f>IF($B120="--","",IF($P120="toetsen",toetsen(F!$B120,Q120),IF($P120="toetsen alleen IW",toetsen_alleen_IW(F!$B120,Q120),IF($P120="toetsen alleen LN",toetsen_alleen_LN(F!$B120,Q120),IF($P120="toetsen geen MV en SV",toetsen_geen_MV_en_SV(F!$B120,Q120),IF($P120="toetsen alleen MV en SV",toetsen_alleen_MV_en_SV(F!$B120,Q120),""))))))</f>
        <v/>
      </c>
      <c r="S120" s="5" t="str">
        <f>IF($P120="toetsen",IF(OR(Q120="",VLOOKUP(F!$B120,E!$B$1:$AK$300,10,FALSE)=1000000000),"",IF(Q120&lt;=VLOOKUP(F!$B120,E!$B$1:$AK$300,10,FALSE),"ja","nee")),"")</f>
        <v/>
      </c>
      <c r="T120" s="87">
        <f t="shared" si="41"/>
        <v>-1</v>
      </c>
      <c r="U120" s="5" t="str">
        <f>IF($D120="--","",IF($P120="toetsen",toetsen(F!$B120,T120),IF($P120="toetsen alleen IW",toetsen_alleen_IW(F!$B120,T120),IF($P120="toetsen alleen LN",toetsen_alleen_LN(F!$B120,T120),IF($P120="toetsen geen MV en SV",toetsen_geen_MV_en_SV(F!$B120,T120),IF($P120="toetsen alleen MV en SV",toetsen_alleen_MV_en_SV(F!$B120,T120),""))))))</f>
        <v/>
      </c>
      <c r="V120" s="5" t="str">
        <f>IF($P120="toetsen",IF(OR(T120="",VLOOKUP(F!$B120,E!$B$1:$AK$300,10,FALSE)=1000000000),"",IF(T120&lt;=VLOOKUP(F!$B120,E!$B$1:$AK$300,10,FALSE),"ja","nee")),"")</f>
        <v/>
      </c>
      <c r="W120" s="6">
        <f t="shared" si="42"/>
        <v>-1</v>
      </c>
      <c r="X120" s="5" t="str">
        <f>IF($F120="--","",IF($P120="toetsen",toetsen(F!$B120,W120),IF($P120="toetsen alleen IW",toetsen_alleen_IW(F!$B120,W120),IF($P120="toetsen alleen LN",toetsen_alleen_LN(F!$B120,W120),IF($P120="toetsen geen MV en SV",toetsen_geen_MV_en_SV(F!$B120,W120),IF($P120="toetsen alleen MV en SV",toetsen_alleen_MV_en_SV(F!$B120,W120),""))))))</f>
        <v/>
      </c>
      <c r="Y120" s="5" t="str">
        <f>IF($P120="toetsen",IF(OR(W120="",VLOOKUP(F!$B120,E!$B$1:$AK$300,10,FALSE)=1000000000),"",IF(W120&lt;=VLOOKUP(F!$B120,E!$B$1:$AK$300,10,FALSE),"ja","nee")),"")</f>
        <v/>
      </c>
      <c r="AA120" s="4">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6" t="str">
        <f t="shared" si="43"/>
        <v>--</v>
      </c>
      <c r="AJ120" s="6"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6" t="str">
        <f t="shared" si="44"/>
        <v>--</v>
      </c>
      <c r="AL120" s="6"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6" t="str">
        <f t="shared" si="45"/>
        <v>--</v>
      </c>
      <c r="AN120" s="6"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6" t="str">
        <f t="shared" si="32"/>
        <v>--</v>
      </c>
      <c r="AQ120" s="6" t="str">
        <f t="shared" si="33"/>
        <v/>
      </c>
      <c r="AR120" s="6" t="str">
        <f t="shared" si="34"/>
        <v>--</v>
      </c>
      <c r="AS120" s="6" t="str">
        <f t="shared" si="35"/>
        <v/>
      </c>
      <c r="AT120" s="6" t="str">
        <f t="shared" si="36"/>
        <v/>
      </c>
      <c r="AU120" s="6" t="str">
        <f>IFERROR(IF(AR120="--","",IF(HLOOKUP(SMALL($Q$4:$Y$4,3),$Q$4:$Y$501,ROW(AP120)-3,FALSE)=0,"",IF(HLOOKUP(SMALL($Q$4:$Y$4,3),$Q$4:$Y$501,ROW(AP120)-3,FALSE)="nee",VLOOKUP("De kwaliteitseis emissiearme grond (maximale concentratie) wordt overschreden.",H!$O$10:'H'!$P$59,2,FALSE),""))),"")</f>
        <v/>
      </c>
      <c r="AV120" s="6" t="str">
        <f t="shared" si="26"/>
        <v>--</v>
      </c>
      <c r="AW120" s="6" t="str">
        <f t="shared" si="27"/>
        <v/>
      </c>
      <c r="AX120" s="6" t="str">
        <f t="shared" si="28"/>
        <v>--</v>
      </c>
      <c r="AY120" s="6" t="str">
        <f t="shared" si="37"/>
        <v/>
      </c>
      <c r="AZ120" s="6" t="str">
        <f t="shared" si="38"/>
        <v/>
      </c>
      <c r="BA120" s="6" t="str">
        <f>IFERROR(IF(AR120="--","",IF(HLOOKUP(SMALL($Q$4:$Y$4,6),$Q$4:$Y$501,ROW(AP120)-3,FALSE)=0,"",IF(HLOOKUP(SMALL($Q$4:$Y$4,6),$Q$4:$Y$501,ROW(AP120)-3,FALSE)="nee",VLOOKUP("De kwaliteitseis emissiearme grond (maximale concentratie) wordt overschreden.",H!$O$10:'H'!$P$59,2,FALSE),""))),"")</f>
        <v/>
      </c>
      <c r="BB120" s="6" t="str">
        <f t="shared" si="29"/>
        <v>--</v>
      </c>
      <c r="BC120" s="6" t="str">
        <f t="shared" si="30"/>
        <v/>
      </c>
      <c r="BD120" s="6" t="str">
        <f t="shared" si="31"/>
        <v>--</v>
      </c>
      <c r="BE120" s="6" t="str">
        <f t="shared" si="39"/>
        <v/>
      </c>
      <c r="BF120" s="6"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6" t="str">
        <f>IF(ISNUMBER(F!E121)=FALSE,"--",IF(F!E121=0,"--",F!E121))</f>
        <v>--</v>
      </c>
      <c r="C121" s="6" t="str">
        <f>IF(B121="--","",F!F121)</f>
        <v/>
      </c>
      <c r="D121" s="6" t="str">
        <f>IF(ISNUMBER(F!G121)=FALSE,"--",IF(F!G121=0,"--",F!G121))</f>
        <v>--</v>
      </c>
      <c r="E121" s="6" t="str">
        <f>IF(D121="--","",F!H121)</f>
        <v/>
      </c>
      <c r="F121" s="6" t="str">
        <f>IF(ISNUMBER(F!I121)=FALSE,"--",IF(F!I121=0,"--",F!I121))</f>
        <v>--</v>
      </c>
      <c r="G121" s="6" t="str">
        <f>IF(F121="--","",F!J121)</f>
        <v/>
      </c>
      <c r="H121" s="6"/>
      <c r="I121" s="6" t="str">
        <f>IF(F!Z121=-1,-1,F!AV121)</f>
        <v/>
      </c>
      <c r="J121" s="6"/>
      <c r="K121" s="6" t="str">
        <f>IF(F!AC121=-1,-1,F!AX121)</f>
        <v/>
      </c>
      <c r="L121" s="6"/>
      <c r="M121" s="6" t="str">
        <f>IF(F!AF121=-1,-1,F!AZ121)</f>
        <v/>
      </c>
      <c r="N121" s="6"/>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6" t="str">
        <f t="shared" si="46"/>
        <v/>
      </c>
      <c r="R121" s="5" t="str">
        <f>IF($B121="--","",IF($P121="toetsen",toetsen(F!$B121,Q121),IF($P121="toetsen alleen IW",toetsen_alleen_IW(F!$B121,Q121),IF($P121="toetsen alleen LN",toetsen_alleen_LN(F!$B121,Q121),IF($P121="toetsen geen MV en SV",toetsen_geen_MV_en_SV(F!$B121,Q121),IF($P121="toetsen alleen MV en SV",toetsen_alleen_MV_en_SV(F!$B121,Q121),""))))))</f>
        <v/>
      </c>
      <c r="S121" s="5" t="str">
        <f>IF($P121="toetsen",IF(OR(Q121="",VLOOKUP(F!$B121,E!$B$1:$AK$300,10,FALSE)=1000000000),"",IF(Q121&lt;=VLOOKUP(F!$B121,E!$B$1:$AK$300,10,FALSE),"ja","nee")),"")</f>
        <v/>
      </c>
      <c r="T121" s="87" t="str">
        <f t="shared" si="41"/>
        <v/>
      </c>
      <c r="U121" s="5" t="str">
        <f>IF($D121="--","",IF($P121="toetsen",toetsen(F!$B121,T121),IF($P121="toetsen alleen IW",toetsen_alleen_IW(F!$B121,T121),IF($P121="toetsen alleen LN",toetsen_alleen_LN(F!$B121,T121),IF($P121="toetsen geen MV en SV",toetsen_geen_MV_en_SV(F!$B121,T121),IF($P121="toetsen alleen MV en SV",toetsen_alleen_MV_en_SV(F!$B121,T121),""))))))</f>
        <v/>
      </c>
      <c r="V121" s="5" t="str">
        <f>IF($P121="toetsen",IF(OR(T121="",VLOOKUP(F!$B121,E!$B$1:$AK$300,10,FALSE)=1000000000),"",IF(T121&lt;=VLOOKUP(F!$B121,E!$B$1:$AK$300,10,FALSE),"ja","nee")),"")</f>
        <v/>
      </c>
      <c r="W121" s="6" t="str">
        <f t="shared" si="42"/>
        <v/>
      </c>
      <c r="X121" s="5" t="str">
        <f>IF($F121="--","",IF($P121="toetsen",toetsen(F!$B121,W121),IF($P121="toetsen alleen IW",toetsen_alleen_IW(F!$B121,W121),IF($P121="toetsen alleen LN",toetsen_alleen_LN(F!$B121,W121),IF($P121="toetsen geen MV en SV",toetsen_geen_MV_en_SV(F!$B121,W121),IF($P121="toetsen alleen MV en SV",toetsen_alleen_MV_en_SV(F!$B121,W121),""))))))</f>
        <v/>
      </c>
      <c r="Y121" s="5" t="str">
        <f>IF($P121="toetsen",IF(OR(W121="",VLOOKUP(F!$B121,E!$B$1:$AK$300,10,FALSE)=1000000000),"",IF(W121&lt;=VLOOKUP(F!$B121,E!$B$1:$AK$300,10,FALSE),"ja","nee")),"")</f>
        <v/>
      </c>
      <c r="AA121" s="4"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6" t="str">
        <f t="shared" si="43"/>
        <v>--</v>
      </c>
      <c r="AJ121" s="6"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6" t="str">
        <f t="shared" si="44"/>
        <v>--</v>
      </c>
      <c r="AL121" s="6"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6" t="str">
        <f t="shared" si="45"/>
        <v>--</v>
      </c>
      <c r="AN121" s="6"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6" t="str">
        <f t="shared" si="32"/>
        <v>--</v>
      </c>
      <c r="AQ121" s="6" t="str">
        <f t="shared" si="33"/>
        <v/>
      </c>
      <c r="AR121" s="6" t="str">
        <f t="shared" si="34"/>
        <v>--</v>
      </c>
      <c r="AS121" s="6" t="str">
        <f t="shared" si="35"/>
        <v/>
      </c>
      <c r="AT121" s="6" t="str">
        <f t="shared" si="36"/>
        <v/>
      </c>
      <c r="AU121" s="6" t="str">
        <f>IFERROR(IF(AR121="--","",IF(HLOOKUP(SMALL($Q$4:$Y$4,3),$Q$4:$Y$501,ROW(AP121)-3,FALSE)=0,"",IF(HLOOKUP(SMALL($Q$4:$Y$4,3),$Q$4:$Y$501,ROW(AP121)-3,FALSE)="nee",VLOOKUP("De kwaliteitseis emissiearme grond (maximale concentratie) wordt overschreden.",H!$O$10:'H'!$P$59,2,FALSE),""))),"")</f>
        <v/>
      </c>
      <c r="AV121" s="6" t="str">
        <f t="shared" si="26"/>
        <v>--</v>
      </c>
      <c r="AW121" s="6" t="str">
        <f t="shared" si="27"/>
        <v/>
      </c>
      <c r="AX121" s="6" t="str">
        <f t="shared" si="28"/>
        <v>--</v>
      </c>
      <c r="AY121" s="6" t="str">
        <f t="shared" si="37"/>
        <v/>
      </c>
      <c r="AZ121" s="6" t="str">
        <f t="shared" si="38"/>
        <v/>
      </c>
      <c r="BA121" s="6" t="str">
        <f>IFERROR(IF(AR121="--","",IF(HLOOKUP(SMALL($Q$4:$Y$4,6),$Q$4:$Y$501,ROW(AP121)-3,FALSE)=0,"",IF(HLOOKUP(SMALL($Q$4:$Y$4,6),$Q$4:$Y$501,ROW(AP121)-3,FALSE)="nee",VLOOKUP("De kwaliteitseis emissiearme grond (maximale concentratie) wordt overschreden.",H!$O$10:'H'!$P$59,2,FALSE),""))),"")</f>
        <v/>
      </c>
      <c r="BB121" s="6" t="str">
        <f t="shared" si="29"/>
        <v>--</v>
      </c>
      <c r="BC121" s="6" t="str">
        <f t="shared" si="30"/>
        <v/>
      </c>
      <c r="BD121" s="6" t="str">
        <f t="shared" si="31"/>
        <v>--</v>
      </c>
      <c r="BE121" s="6" t="str">
        <f t="shared" si="39"/>
        <v/>
      </c>
      <c r="BF121" s="6"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6" t="str">
        <f>IF(ISNUMBER(F!E122)=FALSE,"--",IF(F!E122=0,"--",F!E122))</f>
        <v>--</v>
      </c>
      <c r="C122" s="6" t="str">
        <f>IF(B122="--","",F!F122)</f>
        <v/>
      </c>
      <c r="D122" s="6" t="str">
        <f>IF(ISNUMBER(F!G122)=FALSE,"--",IF(F!G122=0,"--",F!G122))</f>
        <v>--</v>
      </c>
      <c r="E122" s="6" t="str">
        <f>IF(D122="--","",F!H122)</f>
        <v/>
      </c>
      <c r="F122" s="6" t="str">
        <f>IF(ISNUMBER(F!I122)=FALSE,"--",IF(F!I122=0,"--",F!I122))</f>
        <v>--</v>
      </c>
      <c r="G122" s="6" t="str">
        <f>IF(F122="--","",F!J122)</f>
        <v/>
      </c>
      <c r="H122" s="6"/>
      <c r="I122" s="6" t="str">
        <f>IF(F!Z122=-1,-1,F!AV122)</f>
        <v/>
      </c>
      <c r="J122" s="6"/>
      <c r="K122" s="6" t="str">
        <f>IF(F!AC122=-1,-1,F!AX122)</f>
        <v/>
      </c>
      <c r="L122" s="6"/>
      <c r="M122" s="6" t="str">
        <f>IF(F!AF122=-1,-1,F!AZ122)</f>
        <v/>
      </c>
      <c r="N122" s="6"/>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6" t="str">
        <f t="shared" si="46"/>
        <v/>
      </c>
      <c r="R122" s="5" t="str">
        <f>IF($B122="--","",IF($P122="toetsen",toetsen(F!$B122,Q122),IF($P122="toetsen alleen IW",toetsen_alleen_IW(F!$B122,Q122),IF($P122="toetsen alleen LN",toetsen_alleen_LN(F!$B122,Q122),IF($P122="toetsen geen MV en SV",toetsen_geen_MV_en_SV(F!$B122,Q122),IF($P122="toetsen alleen MV en SV",toetsen_alleen_MV_en_SV(F!$B122,Q122),""))))))</f>
        <v/>
      </c>
      <c r="S122" s="5" t="str">
        <f>IF($P122="toetsen",IF(OR(Q122="",VLOOKUP(F!$B122,E!$B$1:$AK$300,10,FALSE)=1000000000),"",IF(Q122&lt;=VLOOKUP(F!$B122,E!$B$1:$AK$300,10,FALSE),"ja","nee")),"")</f>
        <v/>
      </c>
      <c r="T122" s="87" t="str">
        <f t="shared" si="41"/>
        <v/>
      </c>
      <c r="U122" s="5" t="str">
        <f>IF($D122="--","",IF($P122="toetsen",toetsen(F!$B122,T122),IF($P122="toetsen alleen IW",toetsen_alleen_IW(F!$B122,T122),IF($P122="toetsen alleen LN",toetsen_alleen_LN(F!$B122,T122),IF($P122="toetsen geen MV en SV",toetsen_geen_MV_en_SV(F!$B122,T122),IF($P122="toetsen alleen MV en SV",toetsen_alleen_MV_en_SV(F!$B122,T122),""))))))</f>
        <v/>
      </c>
      <c r="V122" s="5" t="str">
        <f>IF($P122="toetsen",IF(OR(T122="",VLOOKUP(F!$B122,E!$B$1:$AK$300,10,FALSE)=1000000000),"",IF(T122&lt;=VLOOKUP(F!$B122,E!$B$1:$AK$300,10,FALSE),"ja","nee")),"")</f>
        <v/>
      </c>
      <c r="W122" s="6" t="str">
        <f t="shared" si="42"/>
        <v/>
      </c>
      <c r="X122" s="5" t="str">
        <f>IF($F122="--","",IF($P122="toetsen",toetsen(F!$B122,W122),IF($P122="toetsen alleen IW",toetsen_alleen_IW(F!$B122,W122),IF($P122="toetsen alleen LN",toetsen_alleen_LN(F!$B122,W122),IF($P122="toetsen geen MV en SV",toetsen_geen_MV_en_SV(F!$B122,W122),IF($P122="toetsen alleen MV en SV",toetsen_alleen_MV_en_SV(F!$B122,W122),""))))))</f>
        <v/>
      </c>
      <c r="Y122" s="5" t="str">
        <f>IF($P122="toetsen",IF(OR(W122="",VLOOKUP(F!$B122,E!$B$1:$AK$300,10,FALSE)=1000000000),"",IF(W122&lt;=VLOOKUP(F!$B122,E!$B$1:$AK$300,10,FALSE),"ja","nee")),"")</f>
        <v/>
      </c>
      <c r="AA122" s="4"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6" t="str">
        <f t="shared" si="43"/>
        <v>--</v>
      </c>
      <c r="AJ122" s="6"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6" t="str">
        <f t="shared" si="44"/>
        <v>--</v>
      </c>
      <c r="AL122" s="6"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6" t="str">
        <f t="shared" si="45"/>
        <v>--</v>
      </c>
      <c r="AN122" s="6"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6" t="str">
        <f t="shared" si="32"/>
        <v>--</v>
      </c>
      <c r="AQ122" s="6" t="str">
        <f t="shared" si="33"/>
        <v/>
      </c>
      <c r="AR122" s="6" t="str">
        <f t="shared" si="34"/>
        <v>--</v>
      </c>
      <c r="AS122" s="6" t="str">
        <f t="shared" si="35"/>
        <v/>
      </c>
      <c r="AT122" s="6" t="str">
        <f t="shared" si="36"/>
        <v/>
      </c>
      <c r="AU122" s="6" t="str">
        <f>IFERROR(IF(AR122="--","",IF(HLOOKUP(SMALL($Q$4:$Y$4,3),$Q$4:$Y$501,ROW(AP122)-3,FALSE)=0,"",IF(HLOOKUP(SMALL($Q$4:$Y$4,3),$Q$4:$Y$501,ROW(AP122)-3,FALSE)="nee",VLOOKUP("De kwaliteitseis emissiearme grond (maximale concentratie) wordt overschreden.",H!$O$10:'H'!$P$59,2,FALSE),""))),"")</f>
        <v/>
      </c>
      <c r="AV122" s="6" t="str">
        <f t="shared" si="26"/>
        <v>--</v>
      </c>
      <c r="AW122" s="6" t="str">
        <f t="shared" si="27"/>
        <v/>
      </c>
      <c r="AX122" s="6" t="str">
        <f t="shared" si="28"/>
        <v>--</v>
      </c>
      <c r="AY122" s="6" t="str">
        <f t="shared" si="37"/>
        <v/>
      </c>
      <c r="AZ122" s="6" t="str">
        <f t="shared" si="38"/>
        <v/>
      </c>
      <c r="BA122" s="6" t="str">
        <f>IFERROR(IF(AR122="--","",IF(HLOOKUP(SMALL($Q$4:$Y$4,6),$Q$4:$Y$501,ROW(AP122)-3,FALSE)=0,"",IF(HLOOKUP(SMALL($Q$4:$Y$4,6),$Q$4:$Y$501,ROW(AP122)-3,FALSE)="nee",VLOOKUP("De kwaliteitseis emissiearme grond (maximale concentratie) wordt overschreden.",H!$O$10:'H'!$P$59,2,FALSE),""))),"")</f>
        <v/>
      </c>
      <c r="BB122" s="6" t="str">
        <f t="shared" si="29"/>
        <v>--</v>
      </c>
      <c r="BC122" s="6" t="str">
        <f t="shared" si="30"/>
        <v/>
      </c>
      <c r="BD122" s="6" t="str">
        <f t="shared" si="31"/>
        <v>--</v>
      </c>
      <c r="BE122" s="6" t="str">
        <f t="shared" si="39"/>
        <v/>
      </c>
      <c r="BF122" s="6"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6" t="str">
        <f>IF(ISNUMBER(F!E123)=FALSE,"--",IF(F!E123=0,"--",F!E123))</f>
        <v>--</v>
      </c>
      <c r="C123" s="6" t="str">
        <f>IF(B123="--","",F!F123)</f>
        <v/>
      </c>
      <c r="D123" s="6" t="str">
        <f>IF(ISNUMBER(F!G123)=FALSE,"--",IF(F!G123=0,"--",F!G123))</f>
        <v>--</v>
      </c>
      <c r="E123" s="6" t="str">
        <f>IF(D123="--","",F!H123)</f>
        <v/>
      </c>
      <c r="F123" s="6" t="str">
        <f>IF(ISNUMBER(F!I123)=FALSE,"--",IF(F!I123=0,"--",F!I123))</f>
        <v>--</v>
      </c>
      <c r="G123" s="6" t="str">
        <f>IF(F123="--","",F!J123)</f>
        <v/>
      </c>
      <c r="H123" s="6"/>
      <c r="I123" s="101">
        <f>IF(F!Z123=0,-1,F!AV123)</f>
        <v>-1</v>
      </c>
      <c r="J123" s="6"/>
      <c r="K123" s="101">
        <f>IF(F!AC123=0,-1,F!AX123)</f>
        <v>-1</v>
      </c>
      <c r="L123" s="6"/>
      <c r="M123" s="101">
        <f>IF(F!AF123=0,-1,F!AZ123)</f>
        <v>-1</v>
      </c>
      <c r="N123" s="6"/>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6">
        <f t="shared" si="46"/>
        <v>-1</v>
      </c>
      <c r="R123" s="5" t="str">
        <f>IF($B123="--","",IF($P123="toetsen",toetsen(F!$B123,Q123),IF($P123="toetsen alleen IW",toetsen_alleen_IW(F!$B123,Q123),IF($P123="toetsen alleen LN",toetsen_alleen_LN(F!$B123,Q123),IF($P123="toetsen geen MV en SV",toetsen_geen_MV_en_SV(F!$B123,Q123),IF($P123="toetsen alleen MV en SV",toetsen_alleen_MV_en_SV(F!$B123,Q123),""))))))</f>
        <v/>
      </c>
      <c r="S123" s="5" t="str">
        <f>IF($P123="toetsen",IF(OR(Q123="",VLOOKUP(F!$B123,E!$B$1:$AK$300,10,FALSE)=1000000000),"",IF(Q123&lt;=VLOOKUP(F!$B123,E!$B$1:$AK$300,10,FALSE),"ja","nee")),"")</f>
        <v/>
      </c>
      <c r="T123" s="87">
        <f t="shared" si="41"/>
        <v>-1</v>
      </c>
      <c r="U123" s="5" t="str">
        <f>IF($D123="--","",IF($P123="toetsen",toetsen(F!$B123,T123),IF($P123="toetsen alleen IW",toetsen_alleen_IW(F!$B123,T123),IF($P123="toetsen alleen LN",toetsen_alleen_LN(F!$B123,T123),IF($P123="toetsen geen MV en SV",toetsen_geen_MV_en_SV(F!$B123,T123),IF($P123="toetsen alleen MV en SV",toetsen_alleen_MV_en_SV(F!$B123,T123),""))))))</f>
        <v/>
      </c>
      <c r="V123" s="5" t="str">
        <f>IF($P123="toetsen",IF(OR(T123="",VLOOKUP(F!$B123,E!$B$1:$AK$300,10,FALSE)=1000000000),"",IF(T123&lt;=VLOOKUP(F!$B123,E!$B$1:$AK$300,10,FALSE),"ja","nee")),"")</f>
        <v/>
      </c>
      <c r="W123" s="6">
        <f t="shared" si="42"/>
        <v>-1</v>
      </c>
      <c r="X123" s="5" t="str">
        <f>IF($F123="--","",IF($P123="toetsen",toetsen(F!$B123,W123),IF($P123="toetsen alleen IW",toetsen_alleen_IW(F!$B123,W123),IF($P123="toetsen alleen LN",toetsen_alleen_LN(F!$B123,W123),IF($P123="toetsen geen MV en SV",toetsen_geen_MV_en_SV(F!$B123,W123),IF($P123="toetsen alleen MV en SV",toetsen_alleen_MV_en_SV(F!$B123,W123),""))))))</f>
        <v/>
      </c>
      <c r="Y123" s="5" t="str">
        <f>IF($P123="toetsen",IF(OR(W123="",VLOOKUP(F!$B123,E!$B$1:$AK$300,10,FALSE)=1000000000),"",IF(W123&lt;=VLOOKUP(F!$B123,E!$B$1:$AK$300,10,FALSE),"ja","nee")),"")</f>
        <v/>
      </c>
      <c r="AA123" s="4">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6" t="str">
        <f t="shared" si="43"/>
        <v>--</v>
      </c>
      <c r="AJ123" s="6"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6" t="str">
        <f t="shared" si="44"/>
        <v>--</v>
      </c>
      <c r="AL123" s="6"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6" t="str">
        <f t="shared" si="45"/>
        <v>--</v>
      </c>
      <c r="AN123" s="6"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6" t="str">
        <f t="shared" si="32"/>
        <v>--</v>
      </c>
      <c r="AQ123" s="6" t="str">
        <f t="shared" si="33"/>
        <v/>
      </c>
      <c r="AR123" s="6" t="str">
        <f t="shared" si="34"/>
        <v>--</v>
      </c>
      <c r="AS123" s="6" t="str">
        <f t="shared" si="35"/>
        <v/>
      </c>
      <c r="AT123" s="6" t="str">
        <f t="shared" si="36"/>
        <v/>
      </c>
      <c r="AU123" s="6" t="str">
        <f>IFERROR(IF(AR123="--","",IF(HLOOKUP(SMALL($Q$4:$Y$4,3),$Q$4:$Y$501,ROW(AP123)-3,FALSE)=0,"",IF(HLOOKUP(SMALL($Q$4:$Y$4,3),$Q$4:$Y$501,ROW(AP123)-3,FALSE)="nee",VLOOKUP("De kwaliteitseis emissiearme grond (maximale concentratie) wordt overschreden.",H!$O$10:'H'!$P$59,2,FALSE),""))),"")</f>
        <v/>
      </c>
      <c r="AV123" s="6" t="str">
        <f t="shared" si="26"/>
        <v>--</v>
      </c>
      <c r="AW123" s="6" t="str">
        <f t="shared" si="27"/>
        <v/>
      </c>
      <c r="AX123" s="6" t="str">
        <f t="shared" si="28"/>
        <v>--</v>
      </c>
      <c r="AY123" s="6" t="str">
        <f t="shared" si="37"/>
        <v/>
      </c>
      <c r="AZ123" s="6" t="str">
        <f t="shared" si="38"/>
        <v/>
      </c>
      <c r="BA123" s="6" t="str">
        <f>IFERROR(IF(AR123="--","",IF(HLOOKUP(SMALL($Q$4:$Y$4,6),$Q$4:$Y$501,ROW(AP123)-3,FALSE)=0,"",IF(HLOOKUP(SMALL($Q$4:$Y$4,6),$Q$4:$Y$501,ROW(AP123)-3,FALSE)="nee",VLOOKUP("De kwaliteitseis emissiearme grond (maximale concentratie) wordt overschreden.",H!$O$10:'H'!$P$59,2,FALSE),""))),"")</f>
        <v/>
      </c>
      <c r="BB123" s="6" t="str">
        <f t="shared" si="29"/>
        <v>--</v>
      </c>
      <c r="BC123" s="6" t="str">
        <f t="shared" si="30"/>
        <v/>
      </c>
      <c r="BD123" s="6" t="str">
        <f t="shared" si="31"/>
        <v>--</v>
      </c>
      <c r="BE123" s="6" t="str">
        <f t="shared" si="39"/>
        <v/>
      </c>
      <c r="BF123" s="6"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6" t="str">
        <f>IF(ISNUMBER(F!E124)=FALSE,"--",IF(F!E124=0,"--",F!E124))</f>
        <v>--</v>
      </c>
      <c r="C124" s="6" t="str">
        <f>IF(B124="--","",F!F124)</f>
        <v/>
      </c>
      <c r="D124" s="6" t="str">
        <f>IF(ISNUMBER(F!G124)=FALSE,"--",IF(F!G124=0,"--",F!G124))</f>
        <v>--</v>
      </c>
      <c r="E124" s="6" t="str">
        <f>IF(D124="--","",F!H124)</f>
        <v/>
      </c>
      <c r="F124" s="6" t="str">
        <f>IF(ISNUMBER(F!I124)=FALSE,"--",IF(F!I124=0,"--",F!I124))</f>
        <v>--</v>
      </c>
      <c r="G124" s="6" t="str">
        <f>IF(F124="--","",F!J124)</f>
        <v/>
      </c>
      <c r="H124" s="6"/>
      <c r="I124" s="6">
        <f>IF(F!Z124=-1,-1,F!AV124)</f>
        <v>0</v>
      </c>
      <c r="J124" s="6"/>
      <c r="K124" s="6">
        <f>IF(F!AC124=-1,-1,F!AX124)</f>
        <v>0</v>
      </c>
      <c r="L124" s="6"/>
      <c r="M124" s="6">
        <f>IF(F!AF124=-1,-1,F!AZ124)</f>
        <v>0</v>
      </c>
      <c r="N124" s="6"/>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6">
        <f t="shared" si="46"/>
        <v>0</v>
      </c>
      <c r="R124" s="5" t="str">
        <f>IF($B124="--","",IF($P124="toetsen",toetsen(F!$B124,Q124),IF($P124="toetsen alleen IW",toetsen_alleen_IW(F!$B124,Q124),IF($P124="toetsen alleen LN",toetsen_alleen_LN(F!$B124,Q124),IF($P124="toetsen geen MV en SV",toetsen_geen_MV_en_SV(F!$B124,Q124),IF($P124="toetsen alleen MV en SV",toetsen_alleen_MV_en_SV(F!$B124,Q124),""))))))</f>
        <v/>
      </c>
      <c r="S124" s="5" t="str">
        <f>IF($P124="toetsen",IF(OR(Q124="",VLOOKUP(F!$B124,E!$B$1:$AK$300,10,FALSE)=1000000000),"",IF(Q124&lt;=VLOOKUP(F!$B124,E!$B$1:$AK$300,10,FALSE),"ja","nee")),"")</f>
        <v/>
      </c>
      <c r="T124" s="87">
        <f t="shared" si="41"/>
        <v>0</v>
      </c>
      <c r="U124" s="5" t="str">
        <f>IF($D124="--","",IF($P124="toetsen",toetsen(F!$B124,T124),IF($P124="toetsen alleen IW",toetsen_alleen_IW(F!$B124,T124),IF($P124="toetsen alleen LN",toetsen_alleen_LN(F!$B124,T124),IF($P124="toetsen geen MV en SV",toetsen_geen_MV_en_SV(F!$B124,T124),IF($P124="toetsen alleen MV en SV",toetsen_alleen_MV_en_SV(F!$B124,T124),""))))))</f>
        <v/>
      </c>
      <c r="V124" s="5" t="str">
        <f>IF($P124="toetsen",IF(OR(T124="",VLOOKUP(F!$B124,E!$B$1:$AK$300,10,FALSE)=1000000000),"",IF(T124&lt;=VLOOKUP(F!$B124,E!$B$1:$AK$300,10,FALSE),"ja","nee")),"")</f>
        <v/>
      </c>
      <c r="W124" s="6">
        <f t="shared" si="42"/>
        <v>0</v>
      </c>
      <c r="X124" s="5" t="str">
        <f>IF($F124="--","",IF($P124="toetsen",toetsen(F!$B124,W124),IF($P124="toetsen alleen IW",toetsen_alleen_IW(F!$B124,W124),IF($P124="toetsen alleen LN",toetsen_alleen_LN(F!$B124,W124),IF($P124="toetsen geen MV en SV",toetsen_geen_MV_en_SV(F!$B124,W124),IF($P124="toetsen alleen MV en SV",toetsen_alleen_MV_en_SV(F!$B124,W124),""))))))</f>
        <v/>
      </c>
      <c r="Y124" s="5" t="str">
        <f>IF($P124="toetsen",IF(OR(W124="",VLOOKUP(F!$B124,E!$B$1:$AK$300,10,FALSE)=1000000000),"",IF(W124&lt;=VLOOKUP(F!$B124,E!$B$1:$AK$300,10,FALSE),"ja","nee")),"")</f>
        <v/>
      </c>
      <c r="AA124" s="4"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6" t="str">
        <f t="shared" si="43"/>
        <v>--</v>
      </c>
      <c r="AJ124" s="6"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6" t="str">
        <f t="shared" si="44"/>
        <v>--</v>
      </c>
      <c r="AL124" s="6"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6" t="str">
        <f t="shared" si="45"/>
        <v>--</v>
      </c>
      <c r="AN124" s="6"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6" t="str">
        <f t="shared" si="32"/>
        <v>--</v>
      </c>
      <c r="AQ124" s="6" t="str">
        <f t="shared" si="33"/>
        <v/>
      </c>
      <c r="AR124" s="6" t="str">
        <f t="shared" si="34"/>
        <v>--</v>
      </c>
      <c r="AS124" s="6" t="str">
        <f t="shared" si="35"/>
        <v/>
      </c>
      <c r="AT124" s="6" t="str">
        <f t="shared" si="36"/>
        <v/>
      </c>
      <c r="AU124" s="6" t="str">
        <f>IFERROR(IF(AR124="--","",IF(HLOOKUP(SMALL($Q$4:$Y$4,3),$Q$4:$Y$501,ROW(AP124)-3,FALSE)=0,"",IF(HLOOKUP(SMALL($Q$4:$Y$4,3),$Q$4:$Y$501,ROW(AP124)-3,FALSE)="nee",VLOOKUP("De kwaliteitseis emissiearme grond (maximale concentratie) wordt overschreden.",H!$O$10:'H'!$P$59,2,FALSE),""))),"")</f>
        <v/>
      </c>
      <c r="AV124" s="6" t="str">
        <f t="shared" si="26"/>
        <v>--</v>
      </c>
      <c r="AW124" s="6" t="str">
        <f t="shared" si="27"/>
        <v/>
      </c>
      <c r="AX124" s="6" t="str">
        <f t="shared" si="28"/>
        <v>--</v>
      </c>
      <c r="AY124" s="6" t="str">
        <f t="shared" si="37"/>
        <v/>
      </c>
      <c r="AZ124" s="6" t="str">
        <f t="shared" si="38"/>
        <v/>
      </c>
      <c r="BA124" s="6" t="str">
        <f>IFERROR(IF(AR124="--","",IF(HLOOKUP(SMALL($Q$4:$Y$4,6),$Q$4:$Y$501,ROW(AP124)-3,FALSE)=0,"",IF(HLOOKUP(SMALL($Q$4:$Y$4,6),$Q$4:$Y$501,ROW(AP124)-3,FALSE)="nee",VLOOKUP("De kwaliteitseis emissiearme grond (maximale concentratie) wordt overschreden.",H!$O$10:'H'!$P$59,2,FALSE),""))),"")</f>
        <v/>
      </c>
      <c r="BB124" s="6" t="str">
        <f t="shared" si="29"/>
        <v>--</v>
      </c>
      <c r="BC124" s="6" t="str">
        <f t="shared" si="30"/>
        <v/>
      </c>
      <c r="BD124" s="6" t="str">
        <f t="shared" si="31"/>
        <v>--</v>
      </c>
      <c r="BE124" s="6" t="str">
        <f t="shared" si="39"/>
        <v/>
      </c>
      <c r="BF124" s="6"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6" t="str">
        <f>IF(ISNUMBER(F!E125)=FALSE,"--",IF(F!E125=0,"--",F!E125))</f>
        <v>--</v>
      </c>
      <c r="C125" s="6" t="str">
        <f>IF(B125="--","",F!F125)</f>
        <v/>
      </c>
      <c r="D125" s="6" t="str">
        <f>IF(ISNUMBER(F!G125)=FALSE,"--",IF(F!G125=0,"--",F!G125))</f>
        <v>--</v>
      </c>
      <c r="E125" s="6" t="str">
        <f>IF(D125="--","",F!H125)</f>
        <v/>
      </c>
      <c r="F125" s="6" t="str">
        <f>IF(ISNUMBER(F!I125)=FALSE,"--",IF(F!I125=0,"--",F!I125))</f>
        <v>--</v>
      </c>
      <c r="G125" s="6" t="str">
        <f>IF(F125="--","",F!J125)</f>
        <v/>
      </c>
      <c r="H125" s="6"/>
      <c r="I125" s="16" t="str">
        <f>IF(F!AA125=-1,-1,F!AV125)</f>
        <v/>
      </c>
      <c r="J125" s="6"/>
      <c r="K125" s="16" t="str">
        <f>IF(F!AD125=-1,-1,F!AX125)</f>
        <v/>
      </c>
      <c r="L125" s="6"/>
      <c r="M125" s="16" t="str">
        <f>IF(F!AG125=-1,-1,F!AZ125)</f>
        <v/>
      </c>
      <c r="N125" s="6"/>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6" t="str">
        <f t="shared" si="46"/>
        <v/>
      </c>
      <c r="R125" s="5" t="str">
        <f>IF($B125="--","",IF($P125="toetsen",toetsen(F!$B125,Q125),IF($P125="toetsen alleen IW",toetsen_alleen_IW(F!$B125,Q125),IF($P125="toetsen alleen LN",toetsen_alleen_LN(F!$B125,Q125),IF($P125="toetsen geen MV en SV",toetsen_geen_MV_en_SV(F!$B125,Q125),IF($P125="toetsen alleen MV en SV",toetsen_alleen_MV_en_SV(F!$B125,Q125),""))))))</f>
        <v/>
      </c>
      <c r="S125" s="5" t="str">
        <f>IF($P125="toetsen",IF(OR(Q125="",VLOOKUP(F!$B125,E!$B$1:$AK$300,10,FALSE)=1000000000),"",IF(Q125&lt;=VLOOKUP(F!$B125,E!$B$1:$AK$300,10,FALSE),"ja","nee")),"")</f>
        <v/>
      </c>
      <c r="T125" s="87" t="str">
        <f t="shared" si="41"/>
        <v/>
      </c>
      <c r="U125" s="5" t="str">
        <f>IF($D125="--","",IF($P125="toetsen",toetsen(F!$B125,T125),IF($P125="toetsen alleen IW",toetsen_alleen_IW(F!$B125,T125),IF($P125="toetsen alleen LN",toetsen_alleen_LN(F!$B125,T125),IF($P125="toetsen geen MV en SV",toetsen_geen_MV_en_SV(F!$B125,T125),IF($P125="toetsen alleen MV en SV",toetsen_alleen_MV_en_SV(F!$B125,T125),""))))))</f>
        <v/>
      </c>
      <c r="V125" s="5" t="str">
        <f>IF($P125="toetsen",IF(OR(T125="",VLOOKUP(F!$B125,E!$B$1:$AK$300,10,FALSE)=1000000000),"",IF(T125&lt;=VLOOKUP(F!$B125,E!$B$1:$AK$300,10,FALSE),"ja","nee")),"")</f>
        <v/>
      </c>
      <c r="W125" s="6" t="str">
        <f t="shared" si="42"/>
        <v/>
      </c>
      <c r="X125" s="5" t="str">
        <f>IF($F125="--","",IF($P125="toetsen",toetsen(F!$B125,W125),IF($P125="toetsen alleen IW",toetsen_alleen_IW(F!$B125,W125),IF($P125="toetsen alleen LN",toetsen_alleen_LN(F!$B125,W125),IF($P125="toetsen geen MV en SV",toetsen_geen_MV_en_SV(F!$B125,W125),IF($P125="toetsen alleen MV en SV",toetsen_alleen_MV_en_SV(F!$B125,W125),""))))))</f>
        <v/>
      </c>
      <c r="Y125" s="5" t="str">
        <f>IF($P125="toetsen",IF(OR(W125="",VLOOKUP(F!$B125,E!$B$1:$AK$300,10,FALSE)=1000000000),"",IF(W125&lt;=VLOOKUP(F!$B125,E!$B$1:$AK$300,10,FALSE),"ja","nee")),"")</f>
        <v/>
      </c>
      <c r="AA125" s="4"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6" t="str">
        <f t="shared" si="43"/>
        <v>--</v>
      </c>
      <c r="AJ125" s="6"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6" t="str">
        <f t="shared" si="44"/>
        <v>--</v>
      </c>
      <c r="AL125" s="6"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6" t="str">
        <f t="shared" si="45"/>
        <v>--</v>
      </c>
      <c r="AN125" s="6"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6" t="str">
        <f t="shared" si="32"/>
        <v>--</v>
      </c>
      <c r="AQ125" s="6" t="str">
        <f t="shared" si="33"/>
        <v/>
      </c>
      <c r="AR125" s="6" t="str">
        <f t="shared" si="34"/>
        <v>--</v>
      </c>
      <c r="AS125" s="6" t="str">
        <f t="shared" si="35"/>
        <v/>
      </c>
      <c r="AT125" s="6" t="str">
        <f t="shared" si="36"/>
        <v/>
      </c>
      <c r="AU125" s="6" t="str">
        <f>IFERROR(IF(AR125="--","",IF(HLOOKUP(SMALL($Q$4:$Y$4,3),$Q$4:$Y$501,ROW(AP125)-3,FALSE)=0,"",IF(HLOOKUP(SMALL($Q$4:$Y$4,3),$Q$4:$Y$501,ROW(AP125)-3,FALSE)="nee",VLOOKUP("De kwaliteitseis emissiearme grond (maximale concentratie) wordt overschreden.",H!$O$10:'H'!$P$59,2,FALSE),""))),"")</f>
        <v/>
      </c>
      <c r="AV125" s="6" t="str">
        <f t="shared" si="26"/>
        <v>--</v>
      </c>
      <c r="AW125" s="6" t="str">
        <f t="shared" si="27"/>
        <v/>
      </c>
      <c r="AX125" s="6" t="str">
        <f t="shared" si="28"/>
        <v>--</v>
      </c>
      <c r="AY125" s="6" t="str">
        <f t="shared" si="37"/>
        <v/>
      </c>
      <c r="AZ125" s="6" t="str">
        <f t="shared" si="38"/>
        <v/>
      </c>
      <c r="BA125" s="6" t="str">
        <f>IFERROR(IF(AR125="--","",IF(HLOOKUP(SMALL($Q$4:$Y$4,6),$Q$4:$Y$501,ROW(AP125)-3,FALSE)=0,"",IF(HLOOKUP(SMALL($Q$4:$Y$4,6),$Q$4:$Y$501,ROW(AP125)-3,FALSE)="nee",VLOOKUP("De kwaliteitseis emissiearme grond (maximale concentratie) wordt overschreden.",H!$O$10:'H'!$P$59,2,FALSE),""))),"")</f>
        <v/>
      </c>
      <c r="BB125" s="6" t="str">
        <f t="shared" si="29"/>
        <v>--</v>
      </c>
      <c r="BC125" s="6" t="str">
        <f t="shared" si="30"/>
        <v/>
      </c>
      <c r="BD125" s="6" t="str">
        <f t="shared" si="31"/>
        <v>--</v>
      </c>
      <c r="BE125" s="6" t="str">
        <f t="shared" si="39"/>
        <v/>
      </c>
      <c r="BF125" s="6"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6" t="str">
        <f>IF(ISNUMBER(F!E126)=FALSE,"--",IF(F!E126=0,"--",F!E126))</f>
        <v>--</v>
      </c>
      <c r="C126" s="6" t="str">
        <f>IF(B126="--","",F!F126)</f>
        <v/>
      </c>
      <c r="D126" s="6" t="str">
        <f>IF(ISNUMBER(F!G126)=FALSE,"--",IF(F!G126=0,"--",F!G126))</f>
        <v>--</v>
      </c>
      <c r="E126" s="6" t="str">
        <f>IF(D126="--","",F!H126)</f>
        <v/>
      </c>
      <c r="F126" s="6" t="str">
        <f>IF(ISNUMBER(F!I126)=FALSE,"--",IF(F!I126=0,"--",F!I126))</f>
        <v>--</v>
      </c>
      <c r="G126" s="6" t="str">
        <f>IF(F126="--","",F!J126)</f>
        <v/>
      </c>
      <c r="H126" s="6"/>
      <c r="I126" s="16" t="str">
        <f>IF(F!AA126=-1,-1,F!AV126)</f>
        <v/>
      </c>
      <c r="J126" s="6"/>
      <c r="K126" s="16" t="str">
        <f>IF(F!AD126=-1,-1,F!AX126)</f>
        <v/>
      </c>
      <c r="L126" s="6"/>
      <c r="M126" s="16" t="str">
        <f>IF(F!AG126=-1,-1,F!AZ126)</f>
        <v/>
      </c>
      <c r="N126" s="6"/>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6" t="str">
        <f t="shared" si="46"/>
        <v/>
      </c>
      <c r="R126" s="5" t="str">
        <f>IF($B126="--","",IF($P126="toetsen",toetsen(F!$B126,Q126),IF($P126="toetsen alleen IW",toetsen_alleen_IW(F!$B126,Q126),IF($P126="toetsen alleen LN",toetsen_alleen_LN(F!$B126,Q126),IF($P126="toetsen geen MV en SV",toetsen_geen_MV_en_SV(F!$B126,Q126),IF($P126="toetsen alleen MV en SV",toetsen_alleen_MV_en_SV(F!$B126,Q126),""))))))</f>
        <v/>
      </c>
      <c r="S126" s="5" t="str">
        <f>IF($P126="toetsen",IF(OR(Q126="",VLOOKUP(F!$B126,E!$B$1:$AK$300,10,FALSE)=1000000000),"",IF(Q126&lt;=VLOOKUP(F!$B126,E!$B$1:$AK$300,10,FALSE),"ja","nee")),"")</f>
        <v/>
      </c>
      <c r="T126" s="87" t="str">
        <f t="shared" si="41"/>
        <v/>
      </c>
      <c r="U126" s="5" t="str">
        <f>IF($D126="--","",IF($P126="toetsen",toetsen(F!$B126,T126),IF($P126="toetsen alleen IW",toetsen_alleen_IW(F!$B126,T126),IF($P126="toetsen alleen LN",toetsen_alleen_LN(F!$B126,T126),IF($P126="toetsen geen MV en SV",toetsen_geen_MV_en_SV(F!$B126,T126),IF($P126="toetsen alleen MV en SV",toetsen_alleen_MV_en_SV(F!$B126,T126),""))))))</f>
        <v/>
      </c>
      <c r="V126" s="5" t="str">
        <f>IF($P126="toetsen",IF(OR(T126="",VLOOKUP(F!$B126,E!$B$1:$AK$300,10,FALSE)=1000000000),"",IF(T126&lt;=VLOOKUP(F!$B126,E!$B$1:$AK$300,10,FALSE),"ja","nee")),"")</f>
        <v/>
      </c>
      <c r="W126" s="6" t="str">
        <f t="shared" si="42"/>
        <v/>
      </c>
      <c r="X126" s="5" t="str">
        <f>IF($F126="--","",IF($P126="toetsen",toetsen(F!$B126,W126),IF($P126="toetsen alleen IW",toetsen_alleen_IW(F!$B126,W126),IF($P126="toetsen alleen LN",toetsen_alleen_LN(F!$B126,W126),IF($P126="toetsen geen MV en SV",toetsen_geen_MV_en_SV(F!$B126,W126),IF($P126="toetsen alleen MV en SV",toetsen_alleen_MV_en_SV(F!$B126,W126),""))))))</f>
        <v/>
      </c>
      <c r="Y126" s="5" t="str">
        <f>IF($P126="toetsen",IF(OR(W126="",VLOOKUP(F!$B126,E!$B$1:$AK$300,10,FALSE)=1000000000),"",IF(W126&lt;=VLOOKUP(F!$B126,E!$B$1:$AK$300,10,FALSE),"ja","nee")),"")</f>
        <v/>
      </c>
      <c r="AA126" s="4"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6" t="str">
        <f t="shared" si="43"/>
        <v>--</v>
      </c>
      <c r="AJ126" s="6"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6" t="str">
        <f t="shared" si="44"/>
        <v>--</v>
      </c>
      <c r="AL126" s="6"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6" t="str">
        <f t="shared" si="45"/>
        <v>--</v>
      </c>
      <c r="AN126" s="6"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6" t="str">
        <f t="shared" si="32"/>
        <v>--</v>
      </c>
      <c r="AQ126" s="6" t="str">
        <f t="shared" si="33"/>
        <v/>
      </c>
      <c r="AR126" s="6" t="str">
        <f t="shared" si="34"/>
        <v>--</v>
      </c>
      <c r="AS126" s="6" t="str">
        <f t="shared" si="35"/>
        <v/>
      </c>
      <c r="AT126" s="6" t="str">
        <f t="shared" si="36"/>
        <v/>
      </c>
      <c r="AU126" s="6" t="str">
        <f>IFERROR(IF(AR126="--","",IF(HLOOKUP(SMALL($Q$4:$Y$4,3),$Q$4:$Y$501,ROW(AP126)-3,FALSE)=0,"",IF(HLOOKUP(SMALL($Q$4:$Y$4,3),$Q$4:$Y$501,ROW(AP126)-3,FALSE)="nee",VLOOKUP("De kwaliteitseis emissiearme grond (maximale concentratie) wordt overschreden.",H!$O$10:'H'!$P$59,2,FALSE),""))),"")</f>
        <v/>
      </c>
      <c r="AV126" s="6" t="str">
        <f t="shared" si="26"/>
        <v>--</v>
      </c>
      <c r="AW126" s="6" t="str">
        <f t="shared" si="27"/>
        <v/>
      </c>
      <c r="AX126" s="6" t="str">
        <f t="shared" si="28"/>
        <v>--</v>
      </c>
      <c r="AY126" s="6" t="str">
        <f t="shared" si="37"/>
        <v/>
      </c>
      <c r="AZ126" s="6" t="str">
        <f t="shared" si="38"/>
        <v/>
      </c>
      <c r="BA126" s="6" t="str">
        <f>IFERROR(IF(AR126="--","",IF(HLOOKUP(SMALL($Q$4:$Y$4,6),$Q$4:$Y$501,ROW(AP126)-3,FALSE)=0,"",IF(HLOOKUP(SMALL($Q$4:$Y$4,6),$Q$4:$Y$501,ROW(AP126)-3,FALSE)="nee",VLOOKUP("De kwaliteitseis emissiearme grond (maximale concentratie) wordt overschreden.",H!$O$10:'H'!$P$59,2,FALSE),""))),"")</f>
        <v/>
      </c>
      <c r="BB126" s="6" t="str">
        <f t="shared" si="29"/>
        <v>--</v>
      </c>
      <c r="BC126" s="6" t="str">
        <f t="shared" si="30"/>
        <v/>
      </c>
      <c r="BD126" s="6" t="str">
        <f t="shared" si="31"/>
        <v>--</v>
      </c>
      <c r="BE126" s="6" t="str">
        <f t="shared" si="39"/>
        <v/>
      </c>
      <c r="BF126" s="6"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6" t="str">
        <f>IF(ISNUMBER(F!E127)=FALSE,"--",IF(F!E127=0,"--",F!E127))</f>
        <v>--</v>
      </c>
      <c r="C127" s="6" t="str">
        <f>IF(B127="--","",F!F127)</f>
        <v/>
      </c>
      <c r="D127" s="6" t="str">
        <f>IF(ISNUMBER(F!G127)=FALSE,"--",IF(F!G127=0,"--",F!G127))</f>
        <v>--</v>
      </c>
      <c r="E127" s="6" t="str">
        <f>IF(D127="--","",F!H127)</f>
        <v/>
      </c>
      <c r="F127" s="6" t="str">
        <f>IF(ISNUMBER(F!I127)=FALSE,"--",IF(F!I127=0,"--",F!I127))</f>
        <v>--</v>
      </c>
      <c r="G127" s="6" t="str">
        <f>IF(F127="--","",F!J127)</f>
        <v/>
      </c>
      <c r="H127" s="6"/>
      <c r="I127" s="16" t="str">
        <f>IF(F!AA127=-1,-1,F!AV127)</f>
        <v/>
      </c>
      <c r="J127" s="6"/>
      <c r="K127" s="16" t="str">
        <f>IF(F!AD127=-1,-1,F!AX127)</f>
        <v/>
      </c>
      <c r="L127" s="6"/>
      <c r="M127" s="16" t="str">
        <f>IF(F!AG127=-1,-1,F!AZ127)</f>
        <v/>
      </c>
      <c r="N127" s="6"/>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6" t="str">
        <f t="shared" si="46"/>
        <v/>
      </c>
      <c r="R127" s="5" t="str">
        <f>IF($B127="--","",IF($P127="toetsen",toetsen(F!$B127,Q127),IF($P127="toetsen alleen IW",toetsen_alleen_IW(F!$B127,Q127),IF($P127="toetsen alleen LN",toetsen_alleen_LN(F!$B127,Q127),IF($P127="toetsen geen MV en SV",toetsen_geen_MV_en_SV(F!$B127,Q127),IF($P127="toetsen alleen MV en SV",toetsen_alleen_MV_en_SV(F!$B127,Q127),""))))))</f>
        <v/>
      </c>
      <c r="S127" s="5" t="str">
        <f>IF($P127="toetsen",IF(OR(Q127="",VLOOKUP(F!$B127,E!$B$1:$AK$300,10,FALSE)=1000000000),"",IF(Q127&lt;=VLOOKUP(F!$B127,E!$B$1:$AK$300,10,FALSE),"ja","nee")),"")</f>
        <v/>
      </c>
      <c r="T127" s="87" t="str">
        <f t="shared" si="41"/>
        <v/>
      </c>
      <c r="U127" s="5" t="str">
        <f>IF($D127="--","",IF($P127="toetsen",toetsen(F!$B127,T127),IF($P127="toetsen alleen IW",toetsen_alleen_IW(F!$B127,T127),IF($P127="toetsen alleen LN",toetsen_alleen_LN(F!$B127,T127),IF($P127="toetsen geen MV en SV",toetsen_geen_MV_en_SV(F!$B127,T127),IF($P127="toetsen alleen MV en SV",toetsen_alleen_MV_en_SV(F!$B127,T127),""))))))</f>
        <v/>
      </c>
      <c r="V127" s="5" t="str">
        <f>IF($P127="toetsen",IF(OR(T127="",VLOOKUP(F!$B127,E!$B$1:$AK$300,10,FALSE)=1000000000),"",IF(T127&lt;=VLOOKUP(F!$B127,E!$B$1:$AK$300,10,FALSE),"ja","nee")),"")</f>
        <v/>
      </c>
      <c r="W127" s="6" t="str">
        <f t="shared" si="42"/>
        <v/>
      </c>
      <c r="X127" s="5" t="str">
        <f>IF($F127="--","",IF($P127="toetsen",toetsen(F!$B127,W127),IF($P127="toetsen alleen IW",toetsen_alleen_IW(F!$B127,W127),IF($P127="toetsen alleen LN",toetsen_alleen_LN(F!$B127,W127),IF($P127="toetsen geen MV en SV",toetsen_geen_MV_en_SV(F!$B127,W127),IF($P127="toetsen alleen MV en SV",toetsen_alleen_MV_en_SV(F!$B127,W127),""))))))</f>
        <v/>
      </c>
      <c r="Y127" s="5" t="str">
        <f>IF($P127="toetsen",IF(OR(W127="",VLOOKUP(F!$B127,E!$B$1:$AK$300,10,FALSE)=1000000000),"",IF(W127&lt;=VLOOKUP(F!$B127,E!$B$1:$AK$300,10,FALSE),"ja","nee")),"")</f>
        <v/>
      </c>
      <c r="AA127" s="4"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6" t="str">
        <f t="shared" si="43"/>
        <v>--</v>
      </c>
      <c r="AJ127" s="6"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6" t="str">
        <f t="shared" si="44"/>
        <v>--</v>
      </c>
      <c r="AL127" s="6"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6" t="str">
        <f t="shared" si="45"/>
        <v>--</v>
      </c>
      <c r="AN127" s="6"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6" t="str">
        <f t="shared" si="32"/>
        <v>--</v>
      </c>
      <c r="AQ127" s="6" t="str">
        <f t="shared" si="33"/>
        <v/>
      </c>
      <c r="AR127" s="6" t="str">
        <f t="shared" si="34"/>
        <v>--</v>
      </c>
      <c r="AS127" s="6" t="str">
        <f t="shared" si="35"/>
        <v/>
      </c>
      <c r="AT127" s="6" t="str">
        <f t="shared" si="36"/>
        <v/>
      </c>
      <c r="AU127" s="6" t="str">
        <f>IFERROR(IF(AR127="--","",IF(HLOOKUP(SMALL($Q$4:$Y$4,3),$Q$4:$Y$501,ROW(AP127)-3,FALSE)=0,"",IF(HLOOKUP(SMALL($Q$4:$Y$4,3),$Q$4:$Y$501,ROW(AP127)-3,FALSE)="nee",VLOOKUP("De kwaliteitseis emissiearme grond (maximale concentratie) wordt overschreden.",H!$O$10:'H'!$P$59,2,FALSE),""))),"")</f>
        <v/>
      </c>
      <c r="AV127" s="6" t="str">
        <f t="shared" si="26"/>
        <v>--</v>
      </c>
      <c r="AW127" s="6" t="str">
        <f t="shared" si="27"/>
        <v/>
      </c>
      <c r="AX127" s="6" t="str">
        <f t="shared" si="28"/>
        <v>--</v>
      </c>
      <c r="AY127" s="6" t="str">
        <f t="shared" si="37"/>
        <v/>
      </c>
      <c r="AZ127" s="6" t="str">
        <f t="shared" si="38"/>
        <v/>
      </c>
      <c r="BA127" s="6" t="str">
        <f>IFERROR(IF(AR127="--","",IF(HLOOKUP(SMALL($Q$4:$Y$4,6),$Q$4:$Y$501,ROW(AP127)-3,FALSE)=0,"",IF(HLOOKUP(SMALL($Q$4:$Y$4,6),$Q$4:$Y$501,ROW(AP127)-3,FALSE)="nee",VLOOKUP("De kwaliteitseis emissiearme grond (maximale concentratie) wordt overschreden.",H!$O$10:'H'!$P$59,2,FALSE),""))),"")</f>
        <v/>
      </c>
      <c r="BB127" s="6" t="str">
        <f t="shared" si="29"/>
        <v>--</v>
      </c>
      <c r="BC127" s="6" t="str">
        <f t="shared" si="30"/>
        <v/>
      </c>
      <c r="BD127" s="6" t="str">
        <f t="shared" si="31"/>
        <v>--</v>
      </c>
      <c r="BE127" s="6" t="str">
        <f t="shared" si="39"/>
        <v/>
      </c>
      <c r="BF127" s="6"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6" t="str">
        <f>IF(ISNUMBER(F!E128)=FALSE,"--",IF(F!E128=0,"--",F!E128))</f>
        <v>--</v>
      </c>
      <c r="C128" s="6" t="str">
        <f>IF(B128="--","",F!F128)</f>
        <v/>
      </c>
      <c r="D128" s="6" t="str">
        <f>IF(ISNUMBER(F!G128)=FALSE,"--",IF(F!G128=0,"--",F!G128))</f>
        <v>--</v>
      </c>
      <c r="E128" s="6" t="str">
        <f>IF(D128="--","",F!H128)</f>
        <v/>
      </c>
      <c r="F128" s="6" t="str">
        <f>IF(ISNUMBER(F!I128)=FALSE,"--",IF(F!I128=0,"--",F!I128))</f>
        <v>--</v>
      </c>
      <c r="G128" s="6" t="str">
        <f>IF(F128="--","",F!J128)</f>
        <v/>
      </c>
      <c r="H128" s="6"/>
      <c r="I128" s="16" t="str">
        <f>IF(F!AA128=-1,-1,F!AV128)</f>
        <v/>
      </c>
      <c r="J128" s="6"/>
      <c r="K128" s="16" t="str">
        <f>IF(F!AD128=-1,-1,F!AX128)</f>
        <v/>
      </c>
      <c r="L128" s="6"/>
      <c r="M128" s="16" t="str">
        <f>IF(F!AG128=-1,-1,F!AZ128)</f>
        <v/>
      </c>
      <c r="N128" s="6"/>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6" t="str">
        <f t="shared" si="46"/>
        <v/>
      </c>
      <c r="R128" s="5" t="str">
        <f>IF($B128="--","",IF($P128="toetsen",toetsen(F!$B128,Q128),IF($P128="toetsen alleen IW",toetsen_alleen_IW(F!$B128,Q128),IF($P128="toetsen alleen LN",toetsen_alleen_LN(F!$B128,Q128),IF($P128="toetsen geen MV en SV",toetsen_geen_MV_en_SV(F!$B128,Q128),IF($P128="toetsen alleen MV en SV",toetsen_alleen_MV_en_SV(F!$B128,Q128),""))))))</f>
        <v/>
      </c>
      <c r="S128" s="5" t="str">
        <f>IF($P128="toetsen",IF(OR(Q128="",VLOOKUP(F!$B128,E!$B$1:$AK$300,10,FALSE)=1000000000),"",IF(Q128&lt;=VLOOKUP(F!$B128,E!$B$1:$AK$300,10,FALSE),"ja","nee")),"")</f>
        <v/>
      </c>
      <c r="T128" s="87" t="str">
        <f t="shared" si="41"/>
        <v/>
      </c>
      <c r="U128" s="5" t="str">
        <f>IF($D128="--","",IF($P128="toetsen",toetsen(F!$B128,T128),IF($P128="toetsen alleen IW",toetsen_alleen_IW(F!$B128,T128),IF($P128="toetsen alleen LN",toetsen_alleen_LN(F!$B128,T128),IF($P128="toetsen geen MV en SV",toetsen_geen_MV_en_SV(F!$B128,T128),IF($P128="toetsen alleen MV en SV",toetsen_alleen_MV_en_SV(F!$B128,T128),""))))))</f>
        <v/>
      </c>
      <c r="V128" s="5" t="str">
        <f>IF($P128="toetsen",IF(OR(T128="",VLOOKUP(F!$B128,E!$B$1:$AK$300,10,FALSE)=1000000000),"",IF(T128&lt;=VLOOKUP(F!$B128,E!$B$1:$AK$300,10,FALSE),"ja","nee")),"")</f>
        <v/>
      </c>
      <c r="W128" s="6" t="str">
        <f t="shared" si="42"/>
        <v/>
      </c>
      <c r="X128" s="5" t="str">
        <f>IF($F128="--","",IF($P128="toetsen",toetsen(F!$B128,W128),IF($P128="toetsen alleen IW",toetsen_alleen_IW(F!$B128,W128),IF($P128="toetsen alleen LN",toetsen_alleen_LN(F!$B128,W128),IF($P128="toetsen geen MV en SV",toetsen_geen_MV_en_SV(F!$B128,W128),IF($P128="toetsen alleen MV en SV",toetsen_alleen_MV_en_SV(F!$B128,W128),""))))))</f>
        <v/>
      </c>
      <c r="Y128" s="5" t="str">
        <f>IF($P128="toetsen",IF(OR(W128="",VLOOKUP(F!$B128,E!$B$1:$AK$300,10,FALSE)=1000000000),"",IF(W128&lt;=VLOOKUP(F!$B128,E!$B$1:$AK$300,10,FALSE),"ja","nee")),"")</f>
        <v/>
      </c>
      <c r="AA128" s="4"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6" t="str">
        <f t="shared" si="43"/>
        <v>--</v>
      </c>
      <c r="AJ128" s="6"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6" t="str">
        <f t="shared" si="44"/>
        <v>--</v>
      </c>
      <c r="AL128" s="6"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6" t="str">
        <f t="shared" si="45"/>
        <v>--</v>
      </c>
      <c r="AN128" s="6"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6" t="str">
        <f t="shared" si="32"/>
        <v>--</v>
      </c>
      <c r="AQ128" s="6" t="str">
        <f t="shared" si="33"/>
        <v/>
      </c>
      <c r="AR128" s="6" t="str">
        <f t="shared" si="34"/>
        <v>--</v>
      </c>
      <c r="AS128" s="6" t="str">
        <f t="shared" si="35"/>
        <v/>
      </c>
      <c r="AT128" s="6" t="str">
        <f t="shared" si="36"/>
        <v/>
      </c>
      <c r="AU128" s="6" t="str">
        <f>IFERROR(IF(AR128="--","",IF(HLOOKUP(SMALL($Q$4:$Y$4,3),$Q$4:$Y$501,ROW(AP128)-3,FALSE)=0,"",IF(HLOOKUP(SMALL($Q$4:$Y$4,3),$Q$4:$Y$501,ROW(AP128)-3,FALSE)="nee",VLOOKUP("De kwaliteitseis emissiearme grond (maximale concentratie) wordt overschreden.",H!$O$10:'H'!$P$59,2,FALSE),""))),"")</f>
        <v/>
      </c>
      <c r="AV128" s="6" t="str">
        <f t="shared" si="26"/>
        <v>--</v>
      </c>
      <c r="AW128" s="6" t="str">
        <f t="shared" si="27"/>
        <v/>
      </c>
      <c r="AX128" s="6" t="str">
        <f t="shared" si="28"/>
        <v>--</v>
      </c>
      <c r="AY128" s="6" t="str">
        <f t="shared" si="37"/>
        <v/>
      </c>
      <c r="AZ128" s="6" t="str">
        <f t="shared" si="38"/>
        <v/>
      </c>
      <c r="BA128" s="6" t="str">
        <f>IFERROR(IF(AR128="--","",IF(HLOOKUP(SMALL($Q$4:$Y$4,6),$Q$4:$Y$501,ROW(AP128)-3,FALSE)=0,"",IF(HLOOKUP(SMALL($Q$4:$Y$4,6),$Q$4:$Y$501,ROW(AP128)-3,FALSE)="nee",VLOOKUP("De kwaliteitseis emissiearme grond (maximale concentratie) wordt overschreden.",H!$O$10:'H'!$P$59,2,FALSE),""))),"")</f>
        <v/>
      </c>
      <c r="BB128" s="6" t="str">
        <f t="shared" si="29"/>
        <v>--</v>
      </c>
      <c r="BC128" s="6" t="str">
        <f t="shared" si="30"/>
        <v/>
      </c>
      <c r="BD128" s="6" t="str">
        <f t="shared" si="31"/>
        <v>--</v>
      </c>
      <c r="BE128" s="6" t="str">
        <f t="shared" si="39"/>
        <v/>
      </c>
      <c r="BF128" s="6"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6" t="str">
        <f>IF(ISNUMBER(F!E129)=FALSE,"--",IF(F!E129=0,"--",F!E129))</f>
        <v>--</v>
      </c>
      <c r="C129" s="6" t="str">
        <f>IF(B129="--","",F!F129)</f>
        <v/>
      </c>
      <c r="D129" s="6" t="str">
        <f>IF(ISNUMBER(F!G129)=FALSE,"--",IF(F!G129=0,"--",F!G129))</f>
        <v>--</v>
      </c>
      <c r="E129" s="6" t="str">
        <f>IF(D129="--","",F!H129)</f>
        <v/>
      </c>
      <c r="F129" s="6" t="str">
        <f>IF(ISNUMBER(F!I129)=FALSE,"--",IF(F!I129=0,"--",F!I129))</f>
        <v>--</v>
      </c>
      <c r="G129" s="6" t="str">
        <f>IF(F129="--","",F!J129)</f>
        <v/>
      </c>
      <c r="H129" s="6"/>
      <c r="I129" s="16" t="str">
        <f>IF(F!AA129=-1,-1,F!AV129)</f>
        <v/>
      </c>
      <c r="J129" s="6"/>
      <c r="K129" s="16" t="str">
        <f>IF(F!AD129=-1,-1,F!AX129)</f>
        <v/>
      </c>
      <c r="L129" s="6"/>
      <c r="M129" s="16" t="str">
        <f>IF(F!AG129=-1,-1,F!AZ129)</f>
        <v/>
      </c>
      <c r="N129" s="6"/>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6" t="str">
        <f t="shared" si="46"/>
        <v/>
      </c>
      <c r="R129" s="5" t="str">
        <f>IF($B129="--","",IF($P129="toetsen",toetsen(F!$B129,Q129),IF($P129="toetsen alleen IW",toetsen_alleen_IW(F!$B129,Q129),IF($P129="toetsen alleen LN",toetsen_alleen_LN(F!$B129,Q129),IF($P129="toetsen geen MV en SV",toetsen_geen_MV_en_SV(F!$B129,Q129),IF($P129="toetsen alleen MV en SV",toetsen_alleen_MV_en_SV(F!$B129,Q129),""))))))</f>
        <v/>
      </c>
      <c r="S129" s="5" t="str">
        <f>IF($P129="toetsen",IF(OR(Q129="",VLOOKUP(F!$B129,E!$B$1:$AK$300,10,FALSE)=1000000000),"",IF(Q129&lt;=VLOOKUP(F!$B129,E!$B$1:$AK$300,10,FALSE),"ja","nee")),"")</f>
        <v/>
      </c>
      <c r="T129" s="87" t="str">
        <f t="shared" si="41"/>
        <v/>
      </c>
      <c r="U129" s="5" t="str">
        <f>IF($D129="--","",IF($P129="toetsen",toetsen(F!$B129,T129),IF($P129="toetsen alleen IW",toetsen_alleen_IW(F!$B129,T129),IF($P129="toetsen alleen LN",toetsen_alleen_LN(F!$B129,T129),IF($P129="toetsen geen MV en SV",toetsen_geen_MV_en_SV(F!$B129,T129),IF($P129="toetsen alleen MV en SV",toetsen_alleen_MV_en_SV(F!$B129,T129),""))))))</f>
        <v/>
      </c>
      <c r="V129" s="5" t="str">
        <f>IF($P129="toetsen",IF(OR(T129="",VLOOKUP(F!$B129,E!$B$1:$AK$300,10,FALSE)=1000000000),"",IF(T129&lt;=VLOOKUP(F!$B129,E!$B$1:$AK$300,10,FALSE),"ja","nee")),"")</f>
        <v/>
      </c>
      <c r="W129" s="6" t="str">
        <f t="shared" si="42"/>
        <v/>
      </c>
      <c r="X129" s="5" t="str">
        <f>IF($F129="--","",IF($P129="toetsen",toetsen(F!$B129,W129),IF($P129="toetsen alleen IW",toetsen_alleen_IW(F!$B129,W129),IF($P129="toetsen alleen LN",toetsen_alleen_LN(F!$B129,W129),IF($P129="toetsen geen MV en SV",toetsen_geen_MV_en_SV(F!$B129,W129),IF($P129="toetsen alleen MV en SV",toetsen_alleen_MV_en_SV(F!$B129,W129),""))))))</f>
        <v/>
      </c>
      <c r="Y129" s="5" t="str">
        <f>IF($P129="toetsen",IF(OR(W129="",VLOOKUP(F!$B129,E!$B$1:$AK$300,10,FALSE)=1000000000),"",IF(W129&lt;=VLOOKUP(F!$B129,E!$B$1:$AK$300,10,FALSE),"ja","nee")),"")</f>
        <v/>
      </c>
      <c r="AA129" s="4"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6" t="str">
        <f t="shared" si="43"/>
        <v>--</v>
      </c>
      <c r="AJ129" s="6"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6" t="str">
        <f t="shared" si="44"/>
        <v>--</v>
      </c>
      <c r="AL129" s="6"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6" t="str">
        <f t="shared" si="45"/>
        <v>--</v>
      </c>
      <c r="AN129" s="6"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6" t="str">
        <f t="shared" si="32"/>
        <v>--</v>
      </c>
      <c r="AQ129" s="6" t="str">
        <f t="shared" si="33"/>
        <v/>
      </c>
      <c r="AR129" s="6" t="str">
        <f t="shared" si="34"/>
        <v>--</v>
      </c>
      <c r="AS129" s="6" t="str">
        <f t="shared" si="35"/>
        <v/>
      </c>
      <c r="AT129" s="6" t="str">
        <f t="shared" si="36"/>
        <v/>
      </c>
      <c r="AU129" s="6" t="str">
        <f>IFERROR(IF(AR129="--","",IF(HLOOKUP(SMALL($Q$4:$Y$4,3),$Q$4:$Y$501,ROW(AP129)-3,FALSE)=0,"",IF(HLOOKUP(SMALL($Q$4:$Y$4,3),$Q$4:$Y$501,ROW(AP129)-3,FALSE)="nee",VLOOKUP("De kwaliteitseis emissiearme grond (maximale concentratie) wordt overschreden.",H!$O$10:'H'!$P$59,2,FALSE),""))),"")</f>
        <v/>
      </c>
      <c r="AV129" s="6" t="str">
        <f t="shared" si="26"/>
        <v>--</v>
      </c>
      <c r="AW129" s="6" t="str">
        <f t="shared" si="27"/>
        <v/>
      </c>
      <c r="AX129" s="6" t="str">
        <f t="shared" si="28"/>
        <v>--</v>
      </c>
      <c r="AY129" s="6" t="str">
        <f t="shared" si="37"/>
        <v/>
      </c>
      <c r="AZ129" s="6" t="str">
        <f t="shared" si="38"/>
        <v/>
      </c>
      <c r="BA129" s="6" t="str">
        <f>IFERROR(IF(AR129="--","",IF(HLOOKUP(SMALL($Q$4:$Y$4,6),$Q$4:$Y$501,ROW(AP129)-3,FALSE)=0,"",IF(HLOOKUP(SMALL($Q$4:$Y$4,6),$Q$4:$Y$501,ROW(AP129)-3,FALSE)="nee",VLOOKUP("De kwaliteitseis emissiearme grond (maximale concentratie) wordt overschreden.",H!$O$10:'H'!$P$59,2,FALSE),""))),"")</f>
        <v/>
      </c>
      <c r="BB129" s="6" t="str">
        <f t="shared" si="29"/>
        <v>--</v>
      </c>
      <c r="BC129" s="6" t="str">
        <f t="shared" si="30"/>
        <v/>
      </c>
      <c r="BD129" s="6" t="str">
        <f t="shared" si="31"/>
        <v>--</v>
      </c>
      <c r="BE129" s="6" t="str">
        <f t="shared" si="39"/>
        <v/>
      </c>
      <c r="BF129" s="6"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6" t="str">
        <f>IF(ISNUMBER(F!E130)=FALSE,"--",IF(F!E130=0,"--",F!E130))</f>
        <v>--</v>
      </c>
      <c r="C130" s="6" t="str">
        <f>IF(B130="--","",F!F130)</f>
        <v/>
      </c>
      <c r="D130" s="6" t="str">
        <f>IF(ISNUMBER(F!G130)=FALSE,"--",IF(F!G130=0,"--",F!G130))</f>
        <v>--</v>
      </c>
      <c r="E130" s="6" t="str">
        <f>IF(D130="--","",F!H130)</f>
        <v/>
      </c>
      <c r="F130" s="6" t="str">
        <f>IF(ISNUMBER(F!I130)=FALSE,"--",IF(F!I130=0,"--",F!I130))</f>
        <v>--</v>
      </c>
      <c r="G130" s="6" t="str">
        <f>IF(F130="--","",F!J130)</f>
        <v/>
      </c>
      <c r="H130" s="6"/>
      <c r="I130" s="16" t="str">
        <f>IF(F!AA130=-1,-1,F!AV130)</f>
        <v/>
      </c>
      <c r="J130" s="6"/>
      <c r="K130" s="16" t="str">
        <f>IF(F!AD130=-1,-1,F!AX130)</f>
        <v/>
      </c>
      <c r="L130" s="6"/>
      <c r="M130" s="16" t="str">
        <f>IF(F!AG130=-1,-1,F!AZ130)</f>
        <v/>
      </c>
      <c r="N130" s="6"/>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6" t="str">
        <f t="shared" si="46"/>
        <v/>
      </c>
      <c r="R130" s="5" t="str">
        <f>IF($B130="--","",IF($P130="toetsen",toetsen(F!$B130,Q130),IF($P130="toetsen alleen IW",toetsen_alleen_IW(F!$B130,Q130),IF($P130="toetsen alleen LN",toetsen_alleen_LN(F!$B130,Q130),IF($P130="toetsen geen MV en SV",toetsen_geen_MV_en_SV(F!$B130,Q130),IF($P130="toetsen alleen MV en SV",toetsen_alleen_MV_en_SV(F!$B130,Q130),""))))))</f>
        <v/>
      </c>
      <c r="S130" s="5" t="str">
        <f>IF($P130="toetsen",IF(OR(Q130="",VLOOKUP(F!$B130,E!$B$1:$AK$300,10,FALSE)=1000000000),"",IF(Q130&lt;=VLOOKUP(F!$B130,E!$B$1:$AK$300,10,FALSE),"ja","nee")),"")</f>
        <v/>
      </c>
      <c r="T130" s="87" t="str">
        <f t="shared" si="41"/>
        <v/>
      </c>
      <c r="U130" s="5" t="str">
        <f>IF($D130="--","",IF($P130="toetsen",toetsen(F!$B130,T130),IF($P130="toetsen alleen IW",toetsen_alleen_IW(F!$B130,T130),IF($P130="toetsen alleen LN",toetsen_alleen_LN(F!$B130,T130),IF($P130="toetsen geen MV en SV",toetsen_geen_MV_en_SV(F!$B130,T130),IF($P130="toetsen alleen MV en SV",toetsen_alleen_MV_en_SV(F!$B130,T130),""))))))</f>
        <v/>
      </c>
      <c r="V130" s="5" t="str">
        <f>IF($P130="toetsen",IF(OR(T130="",VLOOKUP(F!$B130,E!$B$1:$AK$300,10,FALSE)=1000000000),"",IF(T130&lt;=VLOOKUP(F!$B130,E!$B$1:$AK$300,10,FALSE),"ja","nee")),"")</f>
        <v/>
      </c>
      <c r="W130" s="6" t="str">
        <f t="shared" si="42"/>
        <v/>
      </c>
      <c r="X130" s="5" t="str">
        <f>IF($F130="--","",IF($P130="toetsen",toetsen(F!$B130,W130),IF($P130="toetsen alleen IW",toetsen_alleen_IW(F!$B130,W130),IF($P130="toetsen alleen LN",toetsen_alleen_LN(F!$B130,W130),IF($P130="toetsen geen MV en SV",toetsen_geen_MV_en_SV(F!$B130,W130),IF($P130="toetsen alleen MV en SV",toetsen_alleen_MV_en_SV(F!$B130,W130),""))))))</f>
        <v/>
      </c>
      <c r="Y130" s="5" t="str">
        <f>IF($P130="toetsen",IF(OR(W130="",VLOOKUP(F!$B130,E!$B$1:$AK$300,10,FALSE)=1000000000),"",IF(W130&lt;=VLOOKUP(F!$B130,E!$B$1:$AK$300,10,FALSE),"ja","nee")),"")</f>
        <v/>
      </c>
      <c r="AA130" s="4"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6" t="str">
        <f t="shared" si="43"/>
        <v>--</v>
      </c>
      <c r="AJ130" s="6"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6" t="str">
        <f t="shared" si="44"/>
        <v>--</v>
      </c>
      <c r="AL130" s="6"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6" t="str">
        <f t="shared" si="45"/>
        <v>--</v>
      </c>
      <c r="AN130" s="6"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6" t="str">
        <f t="shared" si="32"/>
        <v>--</v>
      </c>
      <c r="AQ130" s="6" t="str">
        <f t="shared" si="33"/>
        <v/>
      </c>
      <c r="AR130" s="6" t="str">
        <f t="shared" si="34"/>
        <v>--</v>
      </c>
      <c r="AS130" s="6" t="str">
        <f t="shared" si="35"/>
        <v/>
      </c>
      <c r="AT130" s="6" t="str">
        <f t="shared" si="36"/>
        <v/>
      </c>
      <c r="AU130" s="6" t="str">
        <f>IFERROR(IF(AR130="--","",IF(HLOOKUP(SMALL($Q$4:$Y$4,3),$Q$4:$Y$501,ROW(AP130)-3,FALSE)=0,"",IF(HLOOKUP(SMALL($Q$4:$Y$4,3),$Q$4:$Y$501,ROW(AP130)-3,FALSE)="nee",VLOOKUP("De kwaliteitseis emissiearme grond (maximale concentratie) wordt overschreden.",H!$O$10:'H'!$P$59,2,FALSE),""))),"")</f>
        <v/>
      </c>
      <c r="AV130" s="6" t="str">
        <f t="shared" si="26"/>
        <v>--</v>
      </c>
      <c r="AW130" s="6" t="str">
        <f t="shared" si="27"/>
        <v/>
      </c>
      <c r="AX130" s="6" t="str">
        <f t="shared" si="28"/>
        <v>--</v>
      </c>
      <c r="AY130" s="6" t="str">
        <f t="shared" si="37"/>
        <v/>
      </c>
      <c r="AZ130" s="6" t="str">
        <f t="shared" si="38"/>
        <v/>
      </c>
      <c r="BA130" s="6" t="str">
        <f>IFERROR(IF(AR130="--","",IF(HLOOKUP(SMALL($Q$4:$Y$4,6),$Q$4:$Y$501,ROW(AP130)-3,FALSE)=0,"",IF(HLOOKUP(SMALL($Q$4:$Y$4,6),$Q$4:$Y$501,ROW(AP130)-3,FALSE)="nee",VLOOKUP("De kwaliteitseis emissiearme grond (maximale concentratie) wordt overschreden.",H!$O$10:'H'!$P$59,2,FALSE),""))),"")</f>
        <v/>
      </c>
      <c r="BB130" s="6" t="str">
        <f t="shared" si="29"/>
        <v>--</v>
      </c>
      <c r="BC130" s="6" t="str">
        <f t="shared" si="30"/>
        <v/>
      </c>
      <c r="BD130" s="6" t="str">
        <f t="shared" si="31"/>
        <v>--</v>
      </c>
      <c r="BE130" s="6" t="str">
        <f t="shared" si="39"/>
        <v/>
      </c>
      <c r="BF130" s="6"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6" t="str">
        <f>IF(ISNUMBER(F!E131)=FALSE,"--",IF(F!E131=0,"--",F!E131))</f>
        <v>--</v>
      </c>
      <c r="C131" s="6" t="str">
        <f>IF(B131="--","",F!F131)</f>
        <v/>
      </c>
      <c r="D131" s="6" t="str">
        <f>IF(ISNUMBER(F!G131)=FALSE,"--",IF(F!G131=0,"--",F!G131))</f>
        <v>--</v>
      </c>
      <c r="E131" s="6" t="str">
        <f>IF(D131="--","",F!H131)</f>
        <v/>
      </c>
      <c r="F131" s="6" t="str">
        <f>IF(ISNUMBER(F!I131)=FALSE,"--",IF(F!I131=0,"--",F!I131))</f>
        <v>--</v>
      </c>
      <c r="G131" s="6" t="str">
        <f>IF(F131="--","",F!J131)</f>
        <v/>
      </c>
      <c r="H131" s="6"/>
      <c r="I131" s="101">
        <f>IF(F!Z131=0,-1,F!AV131)</f>
        <v>-1</v>
      </c>
      <c r="J131" s="6"/>
      <c r="K131" s="101">
        <f>IF(F!AC131=0,-1,F!AX131)</f>
        <v>-1</v>
      </c>
      <c r="L131" s="6"/>
      <c r="M131" s="101">
        <f>IF(F!AF131=0,-1,F!AZ131)</f>
        <v>-1</v>
      </c>
      <c r="N131" s="6"/>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6">
        <f t="shared" si="46"/>
        <v>-1</v>
      </c>
      <c r="R131" s="5" t="str">
        <f>IF($B131="--","",IF($P131="toetsen",toetsen(F!$B131,Q131),IF($P131="toetsen alleen IW",toetsen_alleen_IW(F!$B131,Q131),IF($P131="toetsen alleen LN",toetsen_alleen_LN(F!$B131,Q131),IF($P131="toetsen geen MV en SV",toetsen_geen_MV_en_SV(F!$B131,Q131),IF($P131="toetsen alleen MV en SV",toetsen_alleen_MV_en_SV(F!$B131,Q131),""))))))</f>
        <v/>
      </c>
      <c r="S131" s="5" t="str">
        <f>IF($P131="toetsen",IF(OR(Q131="",VLOOKUP(F!$B131,E!$B$1:$AK$300,10,FALSE)=1000000000),"",IF(Q131&lt;=VLOOKUP(F!$B131,E!$B$1:$AK$300,10,FALSE),"ja","nee")),"")</f>
        <v/>
      </c>
      <c r="T131" s="87">
        <f t="shared" si="41"/>
        <v>-1</v>
      </c>
      <c r="U131" s="5" t="str">
        <f>IF($D131="--","",IF($P131="toetsen",toetsen(F!$B131,T131),IF($P131="toetsen alleen IW",toetsen_alleen_IW(F!$B131,T131),IF($P131="toetsen alleen LN",toetsen_alleen_LN(F!$B131,T131),IF($P131="toetsen geen MV en SV",toetsen_geen_MV_en_SV(F!$B131,T131),IF($P131="toetsen alleen MV en SV",toetsen_alleen_MV_en_SV(F!$B131,T131),""))))))</f>
        <v/>
      </c>
      <c r="V131" s="5" t="str">
        <f>IF($P131="toetsen",IF(OR(T131="",VLOOKUP(F!$B131,E!$B$1:$AK$300,10,FALSE)=1000000000),"",IF(T131&lt;=VLOOKUP(F!$B131,E!$B$1:$AK$300,10,FALSE),"ja","nee")),"")</f>
        <v/>
      </c>
      <c r="W131" s="6">
        <f t="shared" si="42"/>
        <v>-1</v>
      </c>
      <c r="X131" s="5" t="str">
        <f>IF($F131="--","",IF($P131="toetsen",toetsen(F!$B131,W131),IF($P131="toetsen alleen IW",toetsen_alleen_IW(F!$B131,W131),IF($P131="toetsen alleen LN",toetsen_alleen_LN(F!$B131,W131),IF($P131="toetsen geen MV en SV",toetsen_geen_MV_en_SV(F!$B131,W131),IF($P131="toetsen alleen MV en SV",toetsen_alleen_MV_en_SV(F!$B131,W131),""))))))</f>
        <v/>
      </c>
      <c r="Y131" s="5" t="str">
        <f>IF($P131="toetsen",IF(OR(W131="",VLOOKUP(F!$B131,E!$B$1:$AK$300,10,FALSE)=1000000000),"",IF(W131&lt;=VLOOKUP(F!$B131,E!$B$1:$AK$300,10,FALSE),"ja","nee")),"")</f>
        <v/>
      </c>
      <c r="AA131" s="4">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6" t="str">
        <f t="shared" si="43"/>
        <v>--</v>
      </c>
      <c r="AJ131" s="6"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6" t="str">
        <f t="shared" si="44"/>
        <v>--</v>
      </c>
      <c r="AL131" s="6"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6" t="str">
        <f t="shared" si="45"/>
        <v>--</v>
      </c>
      <c r="AN131" s="6"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6" t="str">
        <f t="shared" si="32"/>
        <v>--</v>
      </c>
      <c r="AQ131" s="6" t="str">
        <f t="shared" si="33"/>
        <v/>
      </c>
      <c r="AR131" s="6" t="str">
        <f t="shared" si="34"/>
        <v>--</v>
      </c>
      <c r="AS131" s="6" t="str">
        <f t="shared" si="35"/>
        <v/>
      </c>
      <c r="AT131" s="6" t="str">
        <f t="shared" si="36"/>
        <v/>
      </c>
      <c r="AU131" s="6" t="str">
        <f>IFERROR(IF(AR131="--","",IF(HLOOKUP(SMALL($Q$4:$Y$4,3),$Q$4:$Y$501,ROW(AP131)-3,FALSE)=0,"",IF(HLOOKUP(SMALL($Q$4:$Y$4,3),$Q$4:$Y$501,ROW(AP131)-3,FALSE)="nee",VLOOKUP("De kwaliteitseis emissiearme grond (maximale concentratie) wordt overschreden.",H!$O$10:'H'!$P$59,2,FALSE),""))),"")</f>
        <v/>
      </c>
      <c r="AV131" s="6" t="str">
        <f t="shared" si="26"/>
        <v>--</v>
      </c>
      <c r="AW131" s="6" t="str">
        <f t="shared" si="27"/>
        <v/>
      </c>
      <c r="AX131" s="6" t="str">
        <f t="shared" si="28"/>
        <v>--</v>
      </c>
      <c r="AY131" s="6" t="str">
        <f t="shared" si="37"/>
        <v/>
      </c>
      <c r="AZ131" s="6" t="str">
        <f t="shared" si="38"/>
        <v/>
      </c>
      <c r="BA131" s="6" t="str">
        <f>IFERROR(IF(AR131="--","",IF(HLOOKUP(SMALL($Q$4:$Y$4,6),$Q$4:$Y$501,ROW(AP131)-3,FALSE)=0,"",IF(HLOOKUP(SMALL($Q$4:$Y$4,6),$Q$4:$Y$501,ROW(AP131)-3,FALSE)="nee",VLOOKUP("De kwaliteitseis emissiearme grond (maximale concentratie) wordt overschreden.",H!$O$10:'H'!$P$59,2,FALSE),""))),"")</f>
        <v/>
      </c>
      <c r="BB131" s="6" t="str">
        <f t="shared" si="29"/>
        <v>--</v>
      </c>
      <c r="BC131" s="6" t="str">
        <f t="shared" si="30"/>
        <v/>
      </c>
      <c r="BD131" s="6" t="str">
        <f t="shared" si="31"/>
        <v>--</v>
      </c>
      <c r="BE131" s="6" t="str">
        <f t="shared" si="39"/>
        <v/>
      </c>
      <c r="BF131" s="6"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6" t="str">
        <f>IF(ISNUMBER(F!E132)=FALSE,"--",IF(F!E132=0,"--",F!E132))</f>
        <v>--</v>
      </c>
      <c r="C132" s="6" t="str">
        <f>IF(B132="--","",F!F132)</f>
        <v/>
      </c>
      <c r="D132" s="6" t="str">
        <f>IF(ISNUMBER(F!G132)=FALSE,"--",IF(F!G132=0,"--",F!G132))</f>
        <v>--</v>
      </c>
      <c r="E132" s="6" t="str">
        <f>IF(D132="--","",F!H132)</f>
        <v/>
      </c>
      <c r="F132" s="6" t="str">
        <f>IF(ISNUMBER(F!I132)=FALSE,"--",IF(F!I132=0,"--",F!I132))</f>
        <v>--</v>
      </c>
      <c r="G132" s="6" t="str">
        <f>IF(F132="--","",F!J132)</f>
        <v/>
      </c>
      <c r="H132" s="6"/>
      <c r="I132" s="6" t="str">
        <f>IF(F!Z132=-1,-1,F!AV132)</f>
        <v/>
      </c>
      <c r="J132" s="6"/>
      <c r="K132" s="6" t="str">
        <f>IF(F!AC132=-1,-1,F!AX132)</f>
        <v/>
      </c>
      <c r="L132" s="6"/>
      <c r="M132" s="6" t="str">
        <f>IF(F!AF132=-1,-1,F!AZ132)</f>
        <v/>
      </c>
      <c r="N132" s="6"/>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6" t="str">
        <f t="shared" si="46"/>
        <v/>
      </c>
      <c r="R132" s="5" t="str">
        <f>IF($B132="--","",IF($P132="toetsen",toetsen(F!$B132,Q132),IF($P132="toetsen alleen IW",toetsen_alleen_IW(F!$B132,Q132),IF($P132="toetsen alleen LN",toetsen_alleen_LN(F!$B132,Q132),IF($P132="toetsen geen MV en SV",toetsen_geen_MV_en_SV(F!$B132,Q132),IF($P132="toetsen alleen MV en SV",toetsen_alleen_MV_en_SV(F!$B132,Q132),""))))))</f>
        <v/>
      </c>
      <c r="S132" s="5" t="str">
        <f>IF($P132="toetsen",IF(OR(Q132="",VLOOKUP(F!$B132,E!$B$1:$AK$300,10,FALSE)=1000000000),"",IF(Q132&lt;=VLOOKUP(F!$B132,E!$B$1:$AK$300,10,FALSE),"ja","nee")),"")</f>
        <v/>
      </c>
      <c r="T132" s="87" t="str">
        <f t="shared" si="41"/>
        <v/>
      </c>
      <c r="U132" s="5" t="str">
        <f>IF($D132="--","",IF($P132="toetsen",toetsen(F!$B132,T132),IF($P132="toetsen alleen IW",toetsen_alleen_IW(F!$B132,T132),IF($P132="toetsen alleen LN",toetsen_alleen_LN(F!$B132,T132),IF($P132="toetsen geen MV en SV",toetsen_geen_MV_en_SV(F!$B132,T132),IF($P132="toetsen alleen MV en SV",toetsen_alleen_MV_en_SV(F!$B132,T132),""))))))</f>
        <v/>
      </c>
      <c r="V132" s="5" t="str">
        <f>IF($P132="toetsen",IF(OR(T132="",VLOOKUP(F!$B132,E!$B$1:$AK$300,10,FALSE)=1000000000),"",IF(T132&lt;=VLOOKUP(F!$B132,E!$B$1:$AK$300,10,FALSE),"ja","nee")),"")</f>
        <v/>
      </c>
      <c r="W132" s="6" t="str">
        <f t="shared" si="42"/>
        <v/>
      </c>
      <c r="X132" s="5" t="str">
        <f>IF($F132="--","",IF($P132="toetsen",toetsen(F!$B132,W132),IF($P132="toetsen alleen IW",toetsen_alleen_IW(F!$B132,W132),IF($P132="toetsen alleen LN",toetsen_alleen_LN(F!$B132,W132),IF($P132="toetsen geen MV en SV",toetsen_geen_MV_en_SV(F!$B132,W132),IF($P132="toetsen alleen MV en SV",toetsen_alleen_MV_en_SV(F!$B132,W132),""))))))</f>
        <v/>
      </c>
      <c r="Y132" s="5" t="str">
        <f>IF($P132="toetsen",IF(OR(W132="",VLOOKUP(F!$B132,E!$B$1:$AK$300,10,FALSE)=1000000000),"",IF(W132&lt;=VLOOKUP(F!$B132,E!$B$1:$AK$300,10,FALSE),"ja","nee")),"")</f>
        <v/>
      </c>
      <c r="AA132" s="4"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6" t="str">
        <f t="shared" si="43"/>
        <v>--</v>
      </c>
      <c r="AJ132" s="6"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6" t="str">
        <f t="shared" si="44"/>
        <v>--</v>
      </c>
      <c r="AL132" s="6"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6" t="str">
        <f t="shared" si="45"/>
        <v>--</v>
      </c>
      <c r="AN132" s="6"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6" t="str">
        <f t="shared" si="32"/>
        <v>--</v>
      </c>
      <c r="AQ132" s="6" t="str">
        <f t="shared" si="33"/>
        <v/>
      </c>
      <c r="AR132" s="6" t="str">
        <f t="shared" si="34"/>
        <v>--</v>
      </c>
      <c r="AS132" s="6" t="str">
        <f t="shared" si="35"/>
        <v/>
      </c>
      <c r="AT132" s="6" t="str">
        <f t="shared" si="36"/>
        <v/>
      </c>
      <c r="AU132" s="6" t="str">
        <f>IFERROR(IF(AR132="--","",IF(HLOOKUP(SMALL($Q$4:$Y$4,3),$Q$4:$Y$501,ROW(AP132)-3,FALSE)=0,"",IF(HLOOKUP(SMALL($Q$4:$Y$4,3),$Q$4:$Y$501,ROW(AP132)-3,FALSE)="nee",VLOOKUP("De kwaliteitseis emissiearme grond (maximale concentratie) wordt overschreden.",H!$O$10:'H'!$P$59,2,FALSE),""))),"")</f>
        <v/>
      </c>
      <c r="AV132" s="6" t="str">
        <f t="shared" si="26"/>
        <v>--</v>
      </c>
      <c r="AW132" s="6" t="str">
        <f t="shared" si="27"/>
        <v/>
      </c>
      <c r="AX132" s="6" t="str">
        <f t="shared" si="28"/>
        <v>--</v>
      </c>
      <c r="AY132" s="6" t="str">
        <f t="shared" si="37"/>
        <v/>
      </c>
      <c r="AZ132" s="6" t="str">
        <f t="shared" si="38"/>
        <v/>
      </c>
      <c r="BA132" s="6" t="str">
        <f>IFERROR(IF(AR132="--","",IF(HLOOKUP(SMALL($Q$4:$Y$4,6),$Q$4:$Y$501,ROW(AP132)-3,FALSE)=0,"",IF(HLOOKUP(SMALL($Q$4:$Y$4,6),$Q$4:$Y$501,ROW(AP132)-3,FALSE)="nee",VLOOKUP("De kwaliteitseis emissiearme grond (maximale concentratie) wordt overschreden.",H!$O$10:'H'!$P$59,2,FALSE),""))),"")</f>
        <v/>
      </c>
      <c r="BB132" s="6" t="str">
        <f t="shared" si="29"/>
        <v>--</v>
      </c>
      <c r="BC132" s="6" t="str">
        <f t="shared" si="30"/>
        <v/>
      </c>
      <c r="BD132" s="6" t="str">
        <f t="shared" si="31"/>
        <v>--</v>
      </c>
      <c r="BE132" s="6" t="str">
        <f t="shared" si="39"/>
        <v/>
      </c>
      <c r="BF132" s="6"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6" t="str">
        <f>IF(ISNUMBER(F!E133)=FALSE,"--",IF(F!E133=0,"--",F!E133))</f>
        <v>--</v>
      </c>
      <c r="C133" s="6" t="str">
        <f>IF(B133="--","",F!F133)</f>
        <v/>
      </c>
      <c r="D133" s="6" t="str">
        <f>IF(ISNUMBER(F!G133)=FALSE,"--",IF(F!G133=0,"--",F!G133))</f>
        <v>--</v>
      </c>
      <c r="E133" s="6" t="str">
        <f>IF(D133="--","",F!H133)</f>
        <v/>
      </c>
      <c r="F133" s="6" t="str">
        <f>IF(ISNUMBER(F!I133)=FALSE,"--",IF(F!I133=0,"--",F!I133))</f>
        <v>--</v>
      </c>
      <c r="G133" s="6" t="str">
        <f>IF(F133="--","",F!J133)</f>
        <v/>
      </c>
      <c r="H133" s="6"/>
      <c r="I133" s="16" t="str">
        <f>IF(F!AA133=-1,-1,F!AV133)</f>
        <v/>
      </c>
      <c r="J133" s="6"/>
      <c r="K133" s="16" t="str">
        <f>IF(F!AD133=-1,-1,F!AX133)</f>
        <v/>
      </c>
      <c r="L133" s="6"/>
      <c r="M133" s="16" t="str">
        <f>IF(F!AG133=-1,-1,F!AZ133)</f>
        <v/>
      </c>
      <c r="N133" s="6"/>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6" t="str">
        <f t="shared" si="46"/>
        <v/>
      </c>
      <c r="R133" s="5" t="str">
        <f>IF($B133="--","",IF($P133="toetsen",toetsen(F!$B133,Q133),IF($P133="toetsen alleen IW",toetsen_alleen_IW(F!$B133,Q133),IF($P133="toetsen alleen LN",toetsen_alleen_LN(F!$B133,Q133),IF($P133="toetsen geen MV en SV",toetsen_geen_MV_en_SV(F!$B133,Q133),IF($P133="toetsen alleen MV en SV",toetsen_alleen_MV_en_SV(F!$B133,Q133),""))))))</f>
        <v/>
      </c>
      <c r="S133" s="5" t="str">
        <f>IF($P133="toetsen",IF(OR(Q133="",VLOOKUP(F!$B133,E!$B$1:$AK$300,10,FALSE)=1000000000),"",IF(Q133&lt;=VLOOKUP(F!$B133,E!$B$1:$AK$300,10,FALSE),"ja","nee")),"")</f>
        <v/>
      </c>
      <c r="T133" s="87" t="str">
        <f t="shared" si="41"/>
        <v/>
      </c>
      <c r="U133" s="5" t="str">
        <f>IF($D133="--","",IF($P133="toetsen",toetsen(F!$B133,T133),IF($P133="toetsen alleen IW",toetsen_alleen_IW(F!$B133,T133),IF($P133="toetsen alleen LN",toetsen_alleen_LN(F!$B133,T133),IF($P133="toetsen geen MV en SV",toetsen_geen_MV_en_SV(F!$B133,T133),IF($P133="toetsen alleen MV en SV",toetsen_alleen_MV_en_SV(F!$B133,T133),""))))))</f>
        <v/>
      </c>
      <c r="V133" s="5" t="str">
        <f>IF($P133="toetsen",IF(OR(T133="",VLOOKUP(F!$B133,E!$B$1:$AK$300,10,FALSE)=1000000000),"",IF(T133&lt;=VLOOKUP(F!$B133,E!$B$1:$AK$300,10,FALSE),"ja","nee")),"")</f>
        <v/>
      </c>
      <c r="W133" s="6" t="str">
        <f t="shared" si="42"/>
        <v/>
      </c>
      <c r="X133" s="5" t="str">
        <f>IF($F133="--","",IF($P133="toetsen",toetsen(F!$B133,W133),IF($P133="toetsen alleen IW",toetsen_alleen_IW(F!$B133,W133),IF($P133="toetsen alleen LN",toetsen_alleen_LN(F!$B133,W133),IF($P133="toetsen geen MV en SV",toetsen_geen_MV_en_SV(F!$B133,W133),IF($P133="toetsen alleen MV en SV",toetsen_alleen_MV_en_SV(F!$B133,W133),""))))))</f>
        <v/>
      </c>
      <c r="Y133" s="5" t="str">
        <f>IF($P133="toetsen",IF(OR(W133="",VLOOKUP(F!$B133,E!$B$1:$AK$300,10,FALSE)=1000000000),"",IF(W133&lt;=VLOOKUP(F!$B133,E!$B$1:$AK$300,10,FALSE),"ja","nee")),"")</f>
        <v/>
      </c>
      <c r="AA133" s="4"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6" t="str">
        <f t="shared" si="43"/>
        <v>--</v>
      </c>
      <c r="AJ133" s="6"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6" t="str">
        <f t="shared" si="44"/>
        <v>--</v>
      </c>
      <c r="AL133" s="6"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6" t="str">
        <f t="shared" si="45"/>
        <v>--</v>
      </c>
      <c r="AN133" s="6"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6" t="str">
        <f t="shared" si="32"/>
        <v>--</v>
      </c>
      <c r="AQ133" s="6" t="str">
        <f t="shared" si="33"/>
        <v/>
      </c>
      <c r="AR133" s="6" t="str">
        <f t="shared" si="34"/>
        <v>--</v>
      </c>
      <c r="AS133" s="6" t="str">
        <f t="shared" si="35"/>
        <v/>
      </c>
      <c r="AT133" s="6" t="str">
        <f t="shared" si="36"/>
        <v/>
      </c>
      <c r="AU133" s="6" t="str">
        <f>IFERROR(IF(AR133="--","",IF(HLOOKUP(SMALL($Q$4:$Y$4,3),$Q$4:$Y$501,ROW(AP133)-3,FALSE)=0,"",IF(HLOOKUP(SMALL($Q$4:$Y$4,3),$Q$4:$Y$501,ROW(AP133)-3,FALSE)="nee",VLOOKUP("De kwaliteitseis emissiearme grond (maximale concentratie) wordt overschreden.",H!$O$10:'H'!$P$59,2,FALSE),""))),"")</f>
        <v/>
      </c>
      <c r="AV133" s="6" t="str">
        <f t="shared" si="26"/>
        <v>--</v>
      </c>
      <c r="AW133" s="6" t="str">
        <f t="shared" si="27"/>
        <v/>
      </c>
      <c r="AX133" s="6" t="str">
        <f t="shared" si="28"/>
        <v>--</v>
      </c>
      <c r="AY133" s="6" t="str">
        <f t="shared" si="37"/>
        <v/>
      </c>
      <c r="AZ133" s="6" t="str">
        <f t="shared" si="38"/>
        <v/>
      </c>
      <c r="BA133" s="6" t="str">
        <f>IFERROR(IF(AR133="--","",IF(HLOOKUP(SMALL($Q$4:$Y$4,6),$Q$4:$Y$501,ROW(AP133)-3,FALSE)=0,"",IF(HLOOKUP(SMALL($Q$4:$Y$4,6),$Q$4:$Y$501,ROW(AP133)-3,FALSE)="nee",VLOOKUP("De kwaliteitseis emissiearme grond (maximale concentratie) wordt overschreden.",H!$O$10:'H'!$P$59,2,FALSE),""))),"")</f>
        <v/>
      </c>
      <c r="BB133" s="6" t="str">
        <f t="shared" si="29"/>
        <v>--</v>
      </c>
      <c r="BC133" s="6" t="str">
        <f t="shared" si="30"/>
        <v/>
      </c>
      <c r="BD133" s="6" t="str">
        <f t="shared" si="31"/>
        <v>--</v>
      </c>
      <c r="BE133" s="6" t="str">
        <f t="shared" si="39"/>
        <v/>
      </c>
      <c r="BF133" s="6"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6" t="str">
        <f>IF(ISNUMBER(F!E134)=FALSE,"--",IF(F!E134=0,"--",F!E134))</f>
        <v>--</v>
      </c>
      <c r="C134" s="6" t="str">
        <f>IF(B134="--","",F!F134)</f>
        <v/>
      </c>
      <c r="D134" s="6" t="str">
        <f>IF(ISNUMBER(F!G134)=FALSE,"--",IF(F!G134=0,"--",F!G134))</f>
        <v>--</v>
      </c>
      <c r="E134" s="6" t="str">
        <f>IF(D134="--","",F!H134)</f>
        <v/>
      </c>
      <c r="F134" s="6" t="str">
        <f>IF(ISNUMBER(F!I134)=FALSE,"--",IF(F!I134=0,"--",F!I134))</f>
        <v>--</v>
      </c>
      <c r="G134" s="6" t="str">
        <f>IF(F134="--","",F!J134)</f>
        <v/>
      </c>
      <c r="H134" s="6"/>
      <c r="I134" s="16" t="str">
        <f>IF(F!AA134=-1,-1,F!AV134)</f>
        <v/>
      </c>
      <c r="J134" s="6"/>
      <c r="K134" s="16" t="str">
        <f>IF(F!AD134=-1,-1,F!AX134)</f>
        <v/>
      </c>
      <c r="L134" s="6"/>
      <c r="M134" s="16" t="str">
        <f>IF(F!AG134=-1,-1,F!AZ134)</f>
        <v/>
      </c>
      <c r="N134" s="6"/>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6" t="str">
        <f t="shared" si="46"/>
        <v/>
      </c>
      <c r="R134" s="5" t="str">
        <f>IF($B134="--","",IF($P134="toetsen",toetsen(F!$B134,Q134),IF($P134="toetsen alleen IW",toetsen_alleen_IW(F!$B134,Q134),IF($P134="toetsen alleen LN",toetsen_alleen_LN(F!$B134,Q134),IF($P134="toetsen geen MV en SV",toetsen_geen_MV_en_SV(F!$B134,Q134),IF($P134="toetsen alleen MV en SV",toetsen_alleen_MV_en_SV(F!$B134,Q134),""))))))</f>
        <v/>
      </c>
      <c r="S134" s="5" t="str">
        <f>IF($P134="toetsen",IF(OR(Q134="",VLOOKUP(F!$B134,E!$B$1:$AK$300,10,FALSE)=1000000000),"",IF(Q134&lt;=VLOOKUP(F!$B134,E!$B$1:$AK$300,10,FALSE),"ja","nee")),"")</f>
        <v/>
      </c>
      <c r="T134" s="87" t="str">
        <f t="shared" si="41"/>
        <v/>
      </c>
      <c r="U134" s="5" t="str">
        <f>IF($D134="--","",IF($P134="toetsen",toetsen(F!$B134,T134),IF($P134="toetsen alleen IW",toetsen_alleen_IW(F!$B134,T134),IF($P134="toetsen alleen LN",toetsen_alleen_LN(F!$B134,T134),IF($P134="toetsen geen MV en SV",toetsen_geen_MV_en_SV(F!$B134,T134),IF($P134="toetsen alleen MV en SV",toetsen_alleen_MV_en_SV(F!$B134,T134),""))))))</f>
        <v/>
      </c>
      <c r="V134" s="5" t="str">
        <f>IF($P134="toetsen",IF(OR(T134="",VLOOKUP(F!$B134,E!$B$1:$AK$300,10,FALSE)=1000000000),"",IF(T134&lt;=VLOOKUP(F!$B134,E!$B$1:$AK$300,10,FALSE),"ja","nee")),"")</f>
        <v/>
      </c>
      <c r="W134" s="6" t="str">
        <f t="shared" si="42"/>
        <v/>
      </c>
      <c r="X134" s="5" t="str">
        <f>IF($F134="--","",IF($P134="toetsen",toetsen(F!$B134,W134),IF($P134="toetsen alleen IW",toetsen_alleen_IW(F!$B134,W134),IF($P134="toetsen alleen LN",toetsen_alleen_LN(F!$B134,W134),IF($P134="toetsen geen MV en SV",toetsen_geen_MV_en_SV(F!$B134,W134),IF($P134="toetsen alleen MV en SV",toetsen_alleen_MV_en_SV(F!$B134,W134),""))))))</f>
        <v/>
      </c>
      <c r="Y134" s="5" t="str">
        <f>IF($P134="toetsen",IF(OR(W134="",VLOOKUP(F!$B134,E!$B$1:$AK$300,10,FALSE)=1000000000),"",IF(W134&lt;=VLOOKUP(F!$B134,E!$B$1:$AK$300,10,FALSE),"ja","nee")),"")</f>
        <v/>
      </c>
      <c r="AA134" s="4"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6" t="str">
        <f t="shared" si="43"/>
        <v>--</v>
      </c>
      <c r="AJ134" s="6"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6" t="str">
        <f t="shared" si="44"/>
        <v>--</v>
      </c>
      <c r="AL134" s="6"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6" t="str">
        <f t="shared" si="45"/>
        <v>--</v>
      </c>
      <c r="AN134" s="6"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6" t="str">
        <f t="shared" si="32"/>
        <v>--</v>
      </c>
      <c r="AQ134" s="6" t="str">
        <f t="shared" si="33"/>
        <v/>
      </c>
      <c r="AR134" s="6" t="str">
        <f t="shared" si="34"/>
        <v>--</v>
      </c>
      <c r="AS134" s="6" t="str">
        <f t="shared" si="35"/>
        <v/>
      </c>
      <c r="AT134" s="6" t="str">
        <f t="shared" si="36"/>
        <v/>
      </c>
      <c r="AU134" s="6" t="str">
        <f>IFERROR(IF(AR134="--","",IF(HLOOKUP(SMALL($Q$4:$Y$4,3),$Q$4:$Y$501,ROW(AP134)-3,FALSE)=0,"",IF(HLOOKUP(SMALL($Q$4:$Y$4,3),$Q$4:$Y$501,ROW(AP134)-3,FALSE)="nee",VLOOKUP("De kwaliteitseis emissiearme grond (maximale concentratie) wordt overschreden.",H!$O$10:'H'!$P$59,2,FALSE),""))),"")</f>
        <v/>
      </c>
      <c r="AV134" s="6" t="str">
        <f t="shared" si="26"/>
        <v>--</v>
      </c>
      <c r="AW134" s="6" t="str">
        <f t="shared" si="27"/>
        <v/>
      </c>
      <c r="AX134" s="6" t="str">
        <f t="shared" si="28"/>
        <v>--</v>
      </c>
      <c r="AY134" s="6" t="str">
        <f t="shared" si="37"/>
        <v/>
      </c>
      <c r="AZ134" s="6" t="str">
        <f t="shared" si="38"/>
        <v/>
      </c>
      <c r="BA134" s="6" t="str">
        <f>IFERROR(IF(AR134="--","",IF(HLOOKUP(SMALL($Q$4:$Y$4,6),$Q$4:$Y$501,ROW(AP134)-3,FALSE)=0,"",IF(HLOOKUP(SMALL($Q$4:$Y$4,6),$Q$4:$Y$501,ROW(AP134)-3,FALSE)="nee",VLOOKUP("De kwaliteitseis emissiearme grond (maximale concentratie) wordt overschreden.",H!$O$10:'H'!$P$59,2,FALSE),""))),"")</f>
        <v/>
      </c>
      <c r="BB134" s="6" t="str">
        <f t="shared" si="29"/>
        <v>--</v>
      </c>
      <c r="BC134" s="6" t="str">
        <f t="shared" si="30"/>
        <v/>
      </c>
      <c r="BD134" s="6" t="str">
        <f t="shared" si="31"/>
        <v>--</v>
      </c>
      <c r="BE134" s="6" t="str">
        <f t="shared" si="39"/>
        <v/>
      </c>
      <c r="BF134" s="6"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6" t="str">
        <f>IF(ISNUMBER(F!E135)=FALSE,"--",IF(F!E135=0,"--",F!E135))</f>
        <v>--</v>
      </c>
      <c r="C135" s="6" t="str">
        <f>IF(B135="--","",F!F135)</f>
        <v/>
      </c>
      <c r="D135" s="6" t="str">
        <f>IF(ISNUMBER(F!G135)=FALSE,"--",IF(F!G135=0,"--",F!G135))</f>
        <v>--</v>
      </c>
      <c r="E135" s="6" t="str">
        <f>IF(D135="--","",F!H135)</f>
        <v/>
      </c>
      <c r="F135" s="6" t="str">
        <f>IF(ISNUMBER(F!I135)=FALSE,"--",IF(F!I135=0,"--",F!I135))</f>
        <v>--</v>
      </c>
      <c r="G135" s="6" t="str">
        <f>IF(F135="--","",F!J135)</f>
        <v/>
      </c>
      <c r="H135" s="6"/>
      <c r="I135" s="101">
        <f>IF(F!Z135=0,-1,F!AV135)</f>
        <v>-1</v>
      </c>
      <c r="J135" s="6"/>
      <c r="K135" s="101">
        <f>IF(F!AC135=0,-1,F!AX135)</f>
        <v>-1</v>
      </c>
      <c r="L135" s="6"/>
      <c r="M135" s="101">
        <f>IF(F!AF135=0,-1,F!AZ135)</f>
        <v>-1</v>
      </c>
      <c r="N135" s="6"/>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6">
        <f t="shared" si="46"/>
        <v>-1</v>
      </c>
      <c r="R135" s="5" t="str">
        <f>IF($B135="--","",IF($P135="toetsen",toetsen(F!$B135,Q135),IF($P135="toetsen alleen IW",toetsen_alleen_IW(F!$B135,Q135),IF($P135="toetsen alleen LN",toetsen_alleen_LN(F!$B135,Q135),IF($P135="toetsen geen MV en SV",toetsen_geen_MV_en_SV(F!$B135,Q135),IF($P135="toetsen alleen MV en SV",toetsen_alleen_MV_en_SV(F!$B135,Q135),""))))))</f>
        <v/>
      </c>
      <c r="S135" s="5" t="str">
        <f>IF($P135="toetsen",IF(OR(Q135="",VLOOKUP(F!$B135,E!$B$1:$AK$300,10,FALSE)=1000000000),"",IF(Q135&lt;=VLOOKUP(F!$B135,E!$B$1:$AK$300,10,FALSE),"ja","nee")),"")</f>
        <v/>
      </c>
      <c r="T135" s="87">
        <f t="shared" si="41"/>
        <v>-1</v>
      </c>
      <c r="U135" s="5" t="str">
        <f>IF($D135="--","",IF($P135="toetsen",toetsen(F!$B135,T135),IF($P135="toetsen alleen IW",toetsen_alleen_IW(F!$B135,T135),IF($P135="toetsen alleen LN",toetsen_alleen_LN(F!$B135,T135),IF($P135="toetsen geen MV en SV",toetsen_geen_MV_en_SV(F!$B135,T135),IF($P135="toetsen alleen MV en SV",toetsen_alleen_MV_en_SV(F!$B135,T135),""))))))</f>
        <v/>
      </c>
      <c r="V135" s="5" t="str">
        <f>IF($P135="toetsen",IF(OR(T135="",VLOOKUP(F!$B135,E!$B$1:$AK$300,10,FALSE)=1000000000),"",IF(T135&lt;=VLOOKUP(F!$B135,E!$B$1:$AK$300,10,FALSE),"ja","nee")),"")</f>
        <v/>
      </c>
      <c r="W135" s="6">
        <f t="shared" si="42"/>
        <v>-1</v>
      </c>
      <c r="X135" s="5" t="str">
        <f>IF($F135="--","",IF($P135="toetsen",toetsen(F!$B135,W135),IF($P135="toetsen alleen IW",toetsen_alleen_IW(F!$B135,W135),IF($P135="toetsen alleen LN",toetsen_alleen_LN(F!$B135,W135),IF($P135="toetsen geen MV en SV",toetsen_geen_MV_en_SV(F!$B135,W135),IF($P135="toetsen alleen MV en SV",toetsen_alleen_MV_en_SV(F!$B135,W135),""))))))</f>
        <v/>
      </c>
      <c r="Y135" s="5" t="str">
        <f>IF($P135="toetsen",IF(OR(W135="",VLOOKUP(F!$B135,E!$B$1:$AK$300,10,FALSE)=1000000000),"",IF(W135&lt;=VLOOKUP(F!$B135,E!$B$1:$AK$300,10,FALSE),"ja","nee")),"")</f>
        <v/>
      </c>
      <c r="AA135" s="4">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6" t="str">
        <f t="shared" si="43"/>
        <v>--</v>
      </c>
      <c r="AJ135" s="6"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6" t="str">
        <f t="shared" si="44"/>
        <v>--</v>
      </c>
      <c r="AL135" s="6"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6" t="str">
        <f t="shared" si="45"/>
        <v>--</v>
      </c>
      <c r="AN135" s="6"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6" t="str">
        <f t="shared" si="32"/>
        <v>--</v>
      </c>
      <c r="AQ135" s="6" t="str">
        <f t="shared" si="33"/>
        <v/>
      </c>
      <c r="AR135" s="6" t="str">
        <f t="shared" si="34"/>
        <v>--</v>
      </c>
      <c r="AS135" s="6" t="str">
        <f t="shared" si="35"/>
        <v/>
      </c>
      <c r="AT135" s="6" t="str">
        <f t="shared" si="36"/>
        <v/>
      </c>
      <c r="AU135" s="6" t="str">
        <f>IFERROR(IF(AR135="--","",IF(HLOOKUP(SMALL($Q$4:$Y$4,3),$Q$4:$Y$501,ROW(AP135)-3,FALSE)=0,"",IF(HLOOKUP(SMALL($Q$4:$Y$4,3),$Q$4:$Y$501,ROW(AP135)-3,FALSE)="nee",VLOOKUP("De kwaliteitseis emissiearme grond (maximale concentratie) wordt overschreden.",H!$O$10:'H'!$P$59,2,FALSE),""))),"")</f>
        <v/>
      </c>
      <c r="AV135" s="6" t="str">
        <f t="shared" ref="AV135:AV198" si="47">HLOOKUP(SMALL($AI$4:$AN$4,3),$AI$4:$AN$501,ROW(AP135)-3,FALSE)</f>
        <v>--</v>
      </c>
      <c r="AW135" s="6" t="str">
        <f t="shared" ref="AW135:AW198" si="48">IF(HLOOKUP(SMALL($C$4:$G$4,2),$C$4:$G$501,ROW(AP135)-3,FALSE)="&lt;","&lt;","")</f>
        <v/>
      </c>
      <c r="AX135" s="6" t="str">
        <f t="shared" ref="AX135:AX198" si="49">HLOOKUP(SMALL($AI$4:$AN$4,4),$AI$4:$AN$501,ROW(AP135)-3,FALSE)</f>
        <v>--</v>
      </c>
      <c r="AY135" s="6" t="str">
        <f t="shared" si="37"/>
        <v/>
      </c>
      <c r="AZ135" s="6" t="str">
        <f t="shared" si="38"/>
        <v/>
      </c>
      <c r="BA135" s="6" t="str">
        <f>IFERROR(IF(AR135="--","",IF(HLOOKUP(SMALL($Q$4:$Y$4,6),$Q$4:$Y$501,ROW(AP135)-3,FALSE)=0,"",IF(HLOOKUP(SMALL($Q$4:$Y$4,6),$Q$4:$Y$501,ROW(AP135)-3,FALSE)="nee",VLOOKUP("De kwaliteitseis emissiearme grond (maximale concentratie) wordt overschreden.",H!$O$10:'H'!$P$59,2,FALSE),""))),"")</f>
        <v/>
      </c>
      <c r="BB135" s="6" t="str">
        <f t="shared" ref="BB135:BB198" si="50">HLOOKUP(SMALL($AI$4:$AN$4,5),$AI$4:$AN$501,ROW(AP135)-3,FALSE)</f>
        <v>--</v>
      </c>
      <c r="BC135" s="6" t="str">
        <f t="shared" ref="BC135:BC198" si="51">IF(HLOOKUP(SMALL($C$4:$G$4,3),$C$4:$G$501,ROW(AP135)-3,FALSE)="&lt;","&lt;","")</f>
        <v/>
      </c>
      <c r="BD135" s="6" t="str">
        <f t="shared" ref="BD135:BD198" si="52">HLOOKUP(SMALL($AI$4:$AN$4,6),$AI$4:$AN$501,ROW(AP135)-3,FALSE)</f>
        <v>--</v>
      </c>
      <c r="BE135" s="6" t="str">
        <f t="shared" si="39"/>
        <v/>
      </c>
      <c r="BF135" s="6"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6" t="str">
        <f>IF(ISNUMBER(F!E136)=FALSE,"--",IF(F!E136=0,"--",F!E136))</f>
        <v>--</v>
      </c>
      <c r="C136" s="6" t="str">
        <f>IF(B136="--","",F!F136)</f>
        <v/>
      </c>
      <c r="D136" s="6" t="str">
        <f>IF(ISNUMBER(F!G136)=FALSE,"--",IF(F!G136=0,"--",F!G136))</f>
        <v>--</v>
      </c>
      <c r="E136" s="6" t="str">
        <f>IF(D136="--","",F!H136)</f>
        <v/>
      </c>
      <c r="F136" s="6" t="str">
        <f>IF(ISNUMBER(F!I136)=FALSE,"--",IF(F!I136=0,"--",F!I136))</f>
        <v>--</v>
      </c>
      <c r="G136" s="6" t="str">
        <f>IF(F136="--","",F!J136)</f>
        <v/>
      </c>
      <c r="H136" s="6"/>
      <c r="I136" s="16" t="str">
        <f>IF(F!AA136=-1,-1,F!AV136)</f>
        <v/>
      </c>
      <c r="J136" s="6"/>
      <c r="K136" s="16" t="str">
        <f>IF(F!AD136=-1,-1,F!AX136)</f>
        <v/>
      </c>
      <c r="L136" s="6"/>
      <c r="M136" s="16" t="str">
        <f>IF(F!AG136=-1,-1,F!AZ136)</f>
        <v/>
      </c>
      <c r="N136" s="6"/>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6" t="str">
        <f t="shared" si="46"/>
        <v/>
      </c>
      <c r="R136" s="5" t="str">
        <f>IF($B136="--","",IF($P136="toetsen",toetsen(F!$B136,Q136),IF($P136="toetsen alleen IW",toetsen_alleen_IW(F!$B136,Q136),IF($P136="toetsen alleen LN",toetsen_alleen_LN(F!$B136,Q136),IF($P136="toetsen geen MV en SV",toetsen_geen_MV_en_SV(F!$B136,Q136),IF($P136="toetsen alleen MV en SV",toetsen_alleen_MV_en_SV(F!$B136,Q136),""))))))</f>
        <v/>
      </c>
      <c r="S136" s="5" t="str">
        <f>IF($P136="toetsen",IF(OR(Q136="",VLOOKUP(F!$B136,E!$B$1:$AK$300,10,FALSE)=1000000000),"",IF(Q136&lt;=VLOOKUP(F!$B136,E!$B$1:$AK$300,10,FALSE),"ja","nee")),"")</f>
        <v/>
      </c>
      <c r="T136" s="87" t="str">
        <f t="shared" si="41"/>
        <v/>
      </c>
      <c r="U136" s="5" t="str">
        <f>IF($D136="--","",IF($P136="toetsen",toetsen(F!$B136,T136),IF($P136="toetsen alleen IW",toetsen_alleen_IW(F!$B136,T136),IF($P136="toetsen alleen LN",toetsen_alleen_LN(F!$B136,T136),IF($P136="toetsen geen MV en SV",toetsen_geen_MV_en_SV(F!$B136,T136),IF($P136="toetsen alleen MV en SV",toetsen_alleen_MV_en_SV(F!$B136,T136),""))))))</f>
        <v/>
      </c>
      <c r="V136" s="5" t="str">
        <f>IF($P136="toetsen",IF(OR(T136="",VLOOKUP(F!$B136,E!$B$1:$AK$300,10,FALSE)=1000000000),"",IF(T136&lt;=VLOOKUP(F!$B136,E!$B$1:$AK$300,10,FALSE),"ja","nee")),"")</f>
        <v/>
      </c>
      <c r="W136" s="6" t="str">
        <f t="shared" si="42"/>
        <v/>
      </c>
      <c r="X136" s="5" t="str">
        <f>IF($F136="--","",IF($P136="toetsen",toetsen(F!$B136,W136),IF($P136="toetsen alleen IW",toetsen_alleen_IW(F!$B136,W136),IF($P136="toetsen alleen LN",toetsen_alleen_LN(F!$B136,W136),IF($P136="toetsen geen MV en SV",toetsen_geen_MV_en_SV(F!$B136,W136),IF($P136="toetsen alleen MV en SV",toetsen_alleen_MV_en_SV(F!$B136,W136),""))))))</f>
        <v/>
      </c>
      <c r="Y136" s="5" t="str">
        <f>IF($P136="toetsen",IF(OR(W136="",VLOOKUP(F!$B136,E!$B$1:$AK$300,10,FALSE)=1000000000),"",IF(W136&lt;=VLOOKUP(F!$B136,E!$B$1:$AK$300,10,FALSE),"ja","nee")),"")</f>
        <v/>
      </c>
      <c r="AA136" s="4"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6" t="str">
        <f t="shared" si="43"/>
        <v>--</v>
      </c>
      <c r="AJ136" s="6"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6" t="str">
        <f t="shared" si="44"/>
        <v>--</v>
      </c>
      <c r="AL136" s="6"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6" t="str">
        <f t="shared" si="45"/>
        <v>--</v>
      </c>
      <c r="AN136" s="6"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6" t="str">
        <f t="shared" ref="AP136:AP199" si="53">HLOOKUP(SMALL($AI$4:$AN$4,1),$AI$4:$AN$501,ROW(AP136)-3,FALSE)</f>
        <v>--</v>
      </c>
      <c r="AQ136" s="6" t="str">
        <f t="shared" ref="AQ136:AQ199" si="54">IF(HLOOKUP(SMALL($C$4:$G$4,1),$C$4:$G$501,ROW(AP136)-3,FALSE)="&lt;","&lt;","")</f>
        <v/>
      </c>
      <c r="AR136" s="6" t="str">
        <f t="shared" ref="AR136:AR199" si="55">HLOOKUP(SMALL($AI$4:$AN$4,2),$AI$4:$AN$501,ROW(AP136)-3,FALSE)</f>
        <v>--</v>
      </c>
      <c r="AS136" s="6" t="str">
        <f t="shared" ref="AS136:AS199" si="56">IF(AR136="rg","&lt;","")</f>
        <v/>
      </c>
      <c r="AT136" s="6" t="str">
        <f t="shared" ref="AT136:AT199" si="57">IF(AR136="--","",IF(HLOOKUP(SMALL($Q$4:$Y$4,2),$Q$4:$Y$501,ROW(AP136)-3,FALSE)=0,"",HLOOKUP(SMALL($Q$4:$Y$4,2),$Q$4:$Y$501,ROW(AP136)-3,FALSE)))</f>
        <v/>
      </c>
      <c r="AU136" s="6" t="str">
        <f>IFERROR(IF(AR136="--","",IF(HLOOKUP(SMALL($Q$4:$Y$4,3),$Q$4:$Y$501,ROW(AP136)-3,FALSE)=0,"",IF(HLOOKUP(SMALL($Q$4:$Y$4,3),$Q$4:$Y$501,ROW(AP136)-3,FALSE)="nee",VLOOKUP("De kwaliteitseis emissiearme grond (maximale concentratie) wordt overschreden.",H!$O$10:'H'!$P$59,2,FALSE),""))),"")</f>
        <v/>
      </c>
      <c r="AV136" s="6" t="str">
        <f t="shared" si="47"/>
        <v>--</v>
      </c>
      <c r="AW136" s="6" t="str">
        <f t="shared" si="48"/>
        <v/>
      </c>
      <c r="AX136" s="6" t="str">
        <f t="shared" si="49"/>
        <v>--</v>
      </c>
      <c r="AY136" s="6" t="str">
        <f t="shared" ref="AY136:AY199" si="58">IF(AX136="rg","&lt;","")</f>
        <v/>
      </c>
      <c r="AZ136" s="6" t="str">
        <f t="shared" ref="AZ136:AZ199" si="59">IF(AX136="--","",IF(HLOOKUP(SMALL($Q$4:$Y$4,5),$Q$4:$Y$501,ROW(AP136)-3,FALSE)=0,"",HLOOKUP(SMALL($Q$4:$Y$4,5),$Q$4:$Y$501,ROW(AP136)-3,FALSE)))</f>
        <v/>
      </c>
      <c r="BA136" s="6" t="str">
        <f>IFERROR(IF(AR136="--","",IF(HLOOKUP(SMALL($Q$4:$Y$4,6),$Q$4:$Y$501,ROW(AP136)-3,FALSE)=0,"",IF(HLOOKUP(SMALL($Q$4:$Y$4,6),$Q$4:$Y$501,ROW(AP136)-3,FALSE)="nee",VLOOKUP("De kwaliteitseis emissiearme grond (maximale concentratie) wordt overschreden.",H!$O$10:'H'!$P$59,2,FALSE),""))),"")</f>
        <v/>
      </c>
      <c r="BB136" s="6" t="str">
        <f t="shared" si="50"/>
        <v>--</v>
      </c>
      <c r="BC136" s="6" t="str">
        <f t="shared" si="51"/>
        <v/>
      </c>
      <c r="BD136" s="6" t="str">
        <f t="shared" si="52"/>
        <v>--</v>
      </c>
      <c r="BE136" s="6" t="str">
        <f t="shared" ref="BE136:BE199" si="60">IF(BD136="rg","&lt;","")</f>
        <v/>
      </c>
      <c r="BF136" s="6"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6" t="str">
        <f>IF(ISNUMBER(F!E137)=FALSE,"--",IF(F!E137=0,"--",F!E137))</f>
        <v>--</v>
      </c>
      <c r="C137" s="6" t="str">
        <f>IF(B137="--","",F!F137)</f>
        <v/>
      </c>
      <c r="D137" s="6" t="str">
        <f>IF(ISNUMBER(F!G137)=FALSE,"--",IF(F!G137=0,"--",F!G137))</f>
        <v>--</v>
      </c>
      <c r="E137" s="6" t="str">
        <f>IF(D137="--","",F!H137)</f>
        <v/>
      </c>
      <c r="F137" s="6" t="str">
        <f>IF(ISNUMBER(F!I137)=FALSE,"--",IF(F!I137=0,"--",F!I137))</f>
        <v>--</v>
      </c>
      <c r="G137" s="6" t="str">
        <f>IF(F137="--","",F!J137)</f>
        <v/>
      </c>
      <c r="H137" s="6"/>
      <c r="I137" s="16" t="str">
        <f>IF(F!AA137=-1,-1,F!AV137)</f>
        <v/>
      </c>
      <c r="J137" s="6"/>
      <c r="K137" s="16" t="str">
        <f>IF(F!AD137=-1,-1,F!AX137)</f>
        <v/>
      </c>
      <c r="L137" s="6"/>
      <c r="M137" s="16" t="str">
        <f>IF(F!AG137=-1,-1,F!AZ137)</f>
        <v/>
      </c>
      <c r="N137" s="6"/>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6" t="str">
        <f t="shared" si="46"/>
        <v/>
      </c>
      <c r="R137" s="5" t="str">
        <f>IF($B137="--","",IF($P137="toetsen",toetsen(F!$B137,Q137),IF($P137="toetsen alleen IW",toetsen_alleen_IW(F!$B137,Q137),IF($P137="toetsen alleen LN",toetsen_alleen_LN(F!$B137,Q137),IF($P137="toetsen geen MV en SV",toetsen_geen_MV_en_SV(F!$B137,Q137),IF($P137="toetsen alleen MV en SV",toetsen_alleen_MV_en_SV(F!$B137,Q137),""))))))</f>
        <v/>
      </c>
      <c r="S137" s="5" t="str">
        <f>IF($P137="toetsen",IF(OR(Q137="",VLOOKUP(F!$B137,E!$B$1:$AK$300,10,FALSE)=1000000000),"",IF(Q137&lt;=VLOOKUP(F!$B137,E!$B$1:$AK$300,10,FALSE),"ja","nee")),"")</f>
        <v/>
      </c>
      <c r="T137" s="87" t="str">
        <f t="shared" si="41"/>
        <v/>
      </c>
      <c r="U137" s="5" t="str">
        <f>IF($D137="--","",IF($P137="toetsen",toetsen(F!$B137,T137),IF($P137="toetsen alleen IW",toetsen_alleen_IW(F!$B137,T137),IF($P137="toetsen alleen LN",toetsen_alleen_LN(F!$B137,T137),IF($P137="toetsen geen MV en SV",toetsen_geen_MV_en_SV(F!$B137,T137),IF($P137="toetsen alleen MV en SV",toetsen_alleen_MV_en_SV(F!$B137,T137),""))))))</f>
        <v/>
      </c>
      <c r="V137" s="5" t="str">
        <f>IF($P137="toetsen",IF(OR(T137="",VLOOKUP(F!$B137,E!$B$1:$AK$300,10,FALSE)=1000000000),"",IF(T137&lt;=VLOOKUP(F!$B137,E!$B$1:$AK$300,10,FALSE),"ja","nee")),"")</f>
        <v/>
      </c>
      <c r="W137" s="6" t="str">
        <f t="shared" si="42"/>
        <v/>
      </c>
      <c r="X137" s="5" t="str">
        <f>IF($F137="--","",IF($P137="toetsen",toetsen(F!$B137,W137),IF($P137="toetsen alleen IW",toetsen_alleen_IW(F!$B137,W137),IF($P137="toetsen alleen LN",toetsen_alleen_LN(F!$B137,W137),IF($P137="toetsen geen MV en SV",toetsen_geen_MV_en_SV(F!$B137,W137),IF($P137="toetsen alleen MV en SV",toetsen_alleen_MV_en_SV(F!$B137,W137),""))))))</f>
        <v/>
      </c>
      <c r="Y137" s="5" t="str">
        <f>IF($P137="toetsen",IF(OR(W137="",VLOOKUP(F!$B137,E!$B$1:$AK$300,10,FALSE)=1000000000),"",IF(W137&lt;=VLOOKUP(F!$B137,E!$B$1:$AK$300,10,FALSE),"ja","nee")),"")</f>
        <v/>
      </c>
      <c r="AA137" s="4"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6" t="str">
        <f t="shared" si="43"/>
        <v>--</v>
      </c>
      <c r="AJ137" s="6"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6" t="str">
        <f t="shared" si="44"/>
        <v>--</v>
      </c>
      <c r="AL137" s="6"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6" t="str">
        <f t="shared" si="45"/>
        <v>--</v>
      </c>
      <c r="AN137" s="6"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6" t="str">
        <f t="shared" si="53"/>
        <v>--</v>
      </c>
      <c r="AQ137" s="6" t="str">
        <f t="shared" si="54"/>
        <v/>
      </c>
      <c r="AR137" s="6" t="str">
        <f t="shared" si="55"/>
        <v>--</v>
      </c>
      <c r="AS137" s="6" t="str">
        <f t="shared" si="56"/>
        <v/>
      </c>
      <c r="AT137" s="6" t="str">
        <f t="shared" si="57"/>
        <v/>
      </c>
      <c r="AU137" s="6" t="str">
        <f>IFERROR(IF(AR137="--","",IF(HLOOKUP(SMALL($Q$4:$Y$4,3),$Q$4:$Y$501,ROW(AP137)-3,FALSE)=0,"",IF(HLOOKUP(SMALL($Q$4:$Y$4,3),$Q$4:$Y$501,ROW(AP137)-3,FALSE)="nee",VLOOKUP("De kwaliteitseis emissiearme grond (maximale concentratie) wordt overschreden.",H!$O$10:'H'!$P$59,2,FALSE),""))),"")</f>
        <v/>
      </c>
      <c r="AV137" s="6" t="str">
        <f t="shared" si="47"/>
        <v>--</v>
      </c>
      <c r="AW137" s="6" t="str">
        <f t="shared" si="48"/>
        <v/>
      </c>
      <c r="AX137" s="6" t="str">
        <f t="shared" si="49"/>
        <v>--</v>
      </c>
      <c r="AY137" s="6" t="str">
        <f t="shared" si="58"/>
        <v/>
      </c>
      <c r="AZ137" s="6" t="str">
        <f t="shared" si="59"/>
        <v/>
      </c>
      <c r="BA137" s="6" t="str">
        <f>IFERROR(IF(AR137="--","",IF(HLOOKUP(SMALL($Q$4:$Y$4,6),$Q$4:$Y$501,ROW(AP137)-3,FALSE)=0,"",IF(HLOOKUP(SMALL($Q$4:$Y$4,6),$Q$4:$Y$501,ROW(AP137)-3,FALSE)="nee",VLOOKUP("De kwaliteitseis emissiearme grond (maximale concentratie) wordt overschreden.",H!$O$10:'H'!$P$59,2,FALSE),""))),"")</f>
        <v/>
      </c>
      <c r="BB137" s="6" t="str">
        <f t="shared" si="50"/>
        <v>--</v>
      </c>
      <c r="BC137" s="6" t="str">
        <f t="shared" si="51"/>
        <v/>
      </c>
      <c r="BD137" s="6" t="str">
        <f t="shared" si="52"/>
        <v>--</v>
      </c>
      <c r="BE137" s="6" t="str">
        <f t="shared" si="60"/>
        <v/>
      </c>
      <c r="BF137" s="6"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6" t="str">
        <f>IF(ISNUMBER(F!E138)=FALSE,"--",IF(F!E138=0,"--",F!E138))</f>
        <v>--</v>
      </c>
      <c r="C138" s="6" t="str">
        <f>IF(B138="--","",F!F138)</f>
        <v/>
      </c>
      <c r="D138" s="6" t="str">
        <f>IF(ISNUMBER(F!G138)=FALSE,"--",IF(F!G138=0,"--",F!G138))</f>
        <v>--</v>
      </c>
      <c r="E138" s="6" t="str">
        <f>IF(D138="--","",F!H138)</f>
        <v/>
      </c>
      <c r="F138" s="6" t="str">
        <f>IF(ISNUMBER(F!I138)=FALSE,"--",IF(F!I138=0,"--",F!I138))</f>
        <v>--</v>
      </c>
      <c r="G138" s="6" t="str">
        <f>IF(F138="--","",F!J138)</f>
        <v/>
      </c>
      <c r="H138" s="6"/>
      <c r="I138" s="16" t="str">
        <f>IF(F!AA138=-1,-1,F!AV138)</f>
        <v/>
      </c>
      <c r="J138" s="6"/>
      <c r="K138" s="16" t="str">
        <f>IF(F!AD138=-1,-1,F!AX138)</f>
        <v/>
      </c>
      <c r="L138" s="6"/>
      <c r="M138" s="16" t="str">
        <f>IF(F!AG138=-1,-1,F!AZ138)</f>
        <v/>
      </c>
      <c r="N138" s="6"/>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6" t="str">
        <f t="shared" si="46"/>
        <v/>
      </c>
      <c r="R138" s="5" t="str">
        <f>IF($B138="--","",IF($P138="toetsen",toetsen(F!$B138,Q138),IF($P138="toetsen alleen IW",toetsen_alleen_IW(F!$B138,Q138),IF($P138="toetsen alleen LN",toetsen_alleen_LN(F!$B138,Q138),IF($P138="toetsen geen MV en SV",toetsen_geen_MV_en_SV(F!$B138,Q138),IF($P138="toetsen alleen MV en SV",toetsen_alleen_MV_en_SV(F!$B138,Q138),""))))))</f>
        <v/>
      </c>
      <c r="S138" s="5" t="str">
        <f>IF($P138="toetsen",IF(OR(Q138="",VLOOKUP(F!$B138,E!$B$1:$AK$300,10,FALSE)=1000000000),"",IF(Q138&lt;=VLOOKUP(F!$B138,E!$B$1:$AK$300,10,FALSE),"ja","nee")),"")</f>
        <v/>
      </c>
      <c r="T138" s="87" t="str">
        <f t="shared" si="41"/>
        <v/>
      </c>
      <c r="U138" s="5" t="str">
        <f>IF($D138="--","",IF($P138="toetsen",toetsen(F!$B138,T138),IF($P138="toetsen alleen IW",toetsen_alleen_IW(F!$B138,T138),IF($P138="toetsen alleen LN",toetsen_alleen_LN(F!$B138,T138),IF($P138="toetsen geen MV en SV",toetsen_geen_MV_en_SV(F!$B138,T138),IF($P138="toetsen alleen MV en SV",toetsen_alleen_MV_en_SV(F!$B138,T138),""))))))</f>
        <v/>
      </c>
      <c r="V138" s="5" t="str">
        <f>IF($P138="toetsen",IF(OR(T138="",VLOOKUP(F!$B138,E!$B$1:$AK$300,10,FALSE)=1000000000),"",IF(T138&lt;=VLOOKUP(F!$B138,E!$B$1:$AK$300,10,FALSE),"ja","nee")),"")</f>
        <v/>
      </c>
      <c r="W138" s="6" t="str">
        <f t="shared" si="42"/>
        <v/>
      </c>
      <c r="X138" s="5" t="str">
        <f>IF($F138="--","",IF($P138="toetsen",toetsen(F!$B138,W138),IF($P138="toetsen alleen IW",toetsen_alleen_IW(F!$B138,W138),IF($P138="toetsen alleen LN",toetsen_alleen_LN(F!$B138,W138),IF($P138="toetsen geen MV en SV",toetsen_geen_MV_en_SV(F!$B138,W138),IF($P138="toetsen alleen MV en SV",toetsen_alleen_MV_en_SV(F!$B138,W138),""))))))</f>
        <v/>
      </c>
      <c r="Y138" s="5" t="str">
        <f>IF($P138="toetsen",IF(OR(W138="",VLOOKUP(F!$B138,E!$B$1:$AK$300,10,FALSE)=1000000000),"",IF(W138&lt;=VLOOKUP(F!$B138,E!$B$1:$AK$300,10,FALSE),"ja","nee")),"")</f>
        <v/>
      </c>
      <c r="AA138" s="4"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6" t="str">
        <f t="shared" si="43"/>
        <v>--</v>
      </c>
      <c r="AJ138" s="6"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6" t="str">
        <f t="shared" si="44"/>
        <v>--</v>
      </c>
      <c r="AL138" s="6"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6" t="str">
        <f t="shared" si="45"/>
        <v>--</v>
      </c>
      <c r="AN138" s="6"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6" t="str">
        <f t="shared" si="53"/>
        <v>--</v>
      </c>
      <c r="AQ138" s="6" t="str">
        <f t="shared" si="54"/>
        <v/>
      </c>
      <c r="AR138" s="6" t="str">
        <f t="shared" si="55"/>
        <v>--</v>
      </c>
      <c r="AS138" s="6" t="str">
        <f t="shared" si="56"/>
        <v/>
      </c>
      <c r="AT138" s="6" t="str">
        <f t="shared" si="57"/>
        <v/>
      </c>
      <c r="AU138" s="6" t="str">
        <f>IFERROR(IF(AR138="--","",IF(HLOOKUP(SMALL($Q$4:$Y$4,3),$Q$4:$Y$501,ROW(AP138)-3,FALSE)=0,"",IF(HLOOKUP(SMALL($Q$4:$Y$4,3),$Q$4:$Y$501,ROW(AP138)-3,FALSE)="nee",VLOOKUP("De kwaliteitseis emissiearme grond (maximale concentratie) wordt overschreden.",H!$O$10:'H'!$P$59,2,FALSE),""))),"")</f>
        <v/>
      </c>
      <c r="AV138" s="6" t="str">
        <f t="shared" si="47"/>
        <v>--</v>
      </c>
      <c r="AW138" s="6" t="str">
        <f t="shared" si="48"/>
        <v/>
      </c>
      <c r="AX138" s="6" t="str">
        <f t="shared" si="49"/>
        <v>--</v>
      </c>
      <c r="AY138" s="6" t="str">
        <f t="shared" si="58"/>
        <v/>
      </c>
      <c r="AZ138" s="6" t="str">
        <f t="shared" si="59"/>
        <v/>
      </c>
      <c r="BA138" s="6" t="str">
        <f>IFERROR(IF(AR138="--","",IF(HLOOKUP(SMALL($Q$4:$Y$4,6),$Q$4:$Y$501,ROW(AP138)-3,FALSE)=0,"",IF(HLOOKUP(SMALL($Q$4:$Y$4,6),$Q$4:$Y$501,ROW(AP138)-3,FALSE)="nee",VLOOKUP("De kwaliteitseis emissiearme grond (maximale concentratie) wordt overschreden.",H!$O$10:'H'!$P$59,2,FALSE),""))),"")</f>
        <v/>
      </c>
      <c r="BB138" s="6" t="str">
        <f t="shared" si="50"/>
        <v>--</v>
      </c>
      <c r="BC138" s="6" t="str">
        <f t="shared" si="51"/>
        <v/>
      </c>
      <c r="BD138" s="6" t="str">
        <f t="shared" si="52"/>
        <v>--</v>
      </c>
      <c r="BE138" s="6" t="str">
        <f t="shared" si="60"/>
        <v/>
      </c>
      <c r="BF138" s="6"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6" t="str">
        <f>IF(ISNUMBER(F!E139)=FALSE,"--",IF(F!E139=0,"--",F!E139))</f>
        <v>--</v>
      </c>
      <c r="C139" s="6" t="str">
        <f>IF(B139="--","",F!F139)</f>
        <v/>
      </c>
      <c r="D139" s="6" t="str">
        <f>IF(ISNUMBER(F!G139)=FALSE,"--",IF(F!G139=0,"--",F!G139))</f>
        <v>--</v>
      </c>
      <c r="E139" s="6" t="str">
        <f>IF(D139="--","",F!H139)</f>
        <v/>
      </c>
      <c r="F139" s="6" t="str">
        <f>IF(ISNUMBER(F!I139)=FALSE,"--",IF(F!I139=0,"--",F!I139))</f>
        <v>--</v>
      </c>
      <c r="G139" s="6" t="str">
        <f>IF(F139="--","",F!J139)</f>
        <v/>
      </c>
      <c r="H139" s="6"/>
      <c r="I139" s="16" t="str">
        <f>IF(F!AA139=-1,-1,F!AV139)</f>
        <v/>
      </c>
      <c r="J139" s="6"/>
      <c r="K139" s="16" t="str">
        <f>IF(F!AD139=-1,-1,F!AX139)</f>
        <v/>
      </c>
      <c r="L139" s="6"/>
      <c r="M139" s="16" t="str">
        <f>IF(F!AG139=-1,-1,F!AZ139)</f>
        <v/>
      </c>
      <c r="N139" s="6"/>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6" t="str">
        <f t="shared" si="46"/>
        <v/>
      </c>
      <c r="R139" s="5" t="str">
        <f>IF($B139="--","",IF($P139="toetsen",toetsen(F!$B139,Q139),IF($P139="toetsen alleen IW",toetsen_alleen_IW(F!$B139,Q139),IF($P139="toetsen alleen LN",toetsen_alleen_LN(F!$B139,Q139),IF($P139="toetsen geen MV en SV",toetsen_geen_MV_en_SV(F!$B139,Q139),IF($P139="toetsen alleen MV en SV",toetsen_alleen_MV_en_SV(F!$B139,Q139),""))))))</f>
        <v/>
      </c>
      <c r="S139" s="5" t="str">
        <f>IF($P139="toetsen",IF(OR(Q139="",VLOOKUP(F!$B139,E!$B$1:$AK$300,10,FALSE)=1000000000),"",IF(Q139&lt;=VLOOKUP(F!$B139,E!$B$1:$AK$300,10,FALSE),"ja","nee")),"")</f>
        <v/>
      </c>
      <c r="T139" s="87" t="str">
        <f t="shared" si="41"/>
        <v/>
      </c>
      <c r="U139" s="5" t="str">
        <f>IF($D139="--","",IF($P139="toetsen",toetsen(F!$B139,T139),IF($P139="toetsen alleen IW",toetsen_alleen_IW(F!$B139,T139),IF($P139="toetsen alleen LN",toetsen_alleen_LN(F!$B139,T139),IF($P139="toetsen geen MV en SV",toetsen_geen_MV_en_SV(F!$B139,T139),IF($P139="toetsen alleen MV en SV",toetsen_alleen_MV_en_SV(F!$B139,T139),""))))))</f>
        <v/>
      </c>
      <c r="V139" s="5" t="str">
        <f>IF($P139="toetsen",IF(OR(T139="",VLOOKUP(F!$B139,E!$B$1:$AK$300,10,FALSE)=1000000000),"",IF(T139&lt;=VLOOKUP(F!$B139,E!$B$1:$AK$300,10,FALSE),"ja","nee")),"")</f>
        <v/>
      </c>
      <c r="W139" s="6" t="str">
        <f t="shared" si="42"/>
        <v/>
      </c>
      <c r="X139" s="5" t="str">
        <f>IF($F139="--","",IF($P139="toetsen",toetsen(F!$B139,W139),IF($P139="toetsen alleen IW",toetsen_alleen_IW(F!$B139,W139),IF($P139="toetsen alleen LN",toetsen_alleen_LN(F!$B139,W139),IF($P139="toetsen geen MV en SV",toetsen_geen_MV_en_SV(F!$B139,W139),IF($P139="toetsen alleen MV en SV",toetsen_alleen_MV_en_SV(F!$B139,W139),""))))))</f>
        <v/>
      </c>
      <c r="Y139" s="5" t="str">
        <f>IF($P139="toetsen",IF(OR(W139="",VLOOKUP(F!$B139,E!$B$1:$AK$300,10,FALSE)=1000000000),"",IF(W139&lt;=VLOOKUP(F!$B139,E!$B$1:$AK$300,10,FALSE),"ja","nee")),"")</f>
        <v/>
      </c>
      <c r="AA139" s="4"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6" t="str">
        <f t="shared" si="43"/>
        <v>--</v>
      </c>
      <c r="AJ139" s="6"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6" t="str">
        <f t="shared" si="44"/>
        <v>--</v>
      </c>
      <c r="AL139" s="6"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6" t="str">
        <f t="shared" si="45"/>
        <v>--</v>
      </c>
      <c r="AN139" s="6"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6" t="str">
        <f t="shared" si="53"/>
        <v>--</v>
      </c>
      <c r="AQ139" s="6" t="str">
        <f t="shared" si="54"/>
        <v/>
      </c>
      <c r="AR139" s="6" t="str">
        <f t="shared" si="55"/>
        <v>--</v>
      </c>
      <c r="AS139" s="6" t="str">
        <f t="shared" si="56"/>
        <v/>
      </c>
      <c r="AT139" s="6" t="str">
        <f t="shared" si="57"/>
        <v/>
      </c>
      <c r="AU139" s="6" t="str">
        <f>IFERROR(IF(AR139="--","",IF(HLOOKUP(SMALL($Q$4:$Y$4,3),$Q$4:$Y$501,ROW(AP139)-3,FALSE)=0,"",IF(HLOOKUP(SMALL($Q$4:$Y$4,3),$Q$4:$Y$501,ROW(AP139)-3,FALSE)="nee",VLOOKUP("De kwaliteitseis emissiearme grond (maximale concentratie) wordt overschreden.",H!$O$10:'H'!$P$59,2,FALSE),""))),"")</f>
        <v/>
      </c>
      <c r="AV139" s="6" t="str">
        <f t="shared" si="47"/>
        <v>--</v>
      </c>
      <c r="AW139" s="6" t="str">
        <f t="shared" si="48"/>
        <v/>
      </c>
      <c r="AX139" s="6" t="str">
        <f t="shared" si="49"/>
        <v>--</v>
      </c>
      <c r="AY139" s="6" t="str">
        <f t="shared" si="58"/>
        <v/>
      </c>
      <c r="AZ139" s="6" t="str">
        <f t="shared" si="59"/>
        <v/>
      </c>
      <c r="BA139" s="6" t="str">
        <f>IFERROR(IF(AR139="--","",IF(HLOOKUP(SMALL($Q$4:$Y$4,6),$Q$4:$Y$501,ROW(AP139)-3,FALSE)=0,"",IF(HLOOKUP(SMALL($Q$4:$Y$4,6),$Q$4:$Y$501,ROW(AP139)-3,FALSE)="nee",VLOOKUP("De kwaliteitseis emissiearme grond (maximale concentratie) wordt overschreden.",H!$O$10:'H'!$P$59,2,FALSE),""))),"")</f>
        <v/>
      </c>
      <c r="BB139" s="6" t="str">
        <f t="shared" si="50"/>
        <v>--</v>
      </c>
      <c r="BC139" s="6" t="str">
        <f t="shared" si="51"/>
        <v/>
      </c>
      <c r="BD139" s="6" t="str">
        <f t="shared" si="52"/>
        <v>--</v>
      </c>
      <c r="BE139" s="6" t="str">
        <f t="shared" si="60"/>
        <v/>
      </c>
      <c r="BF139" s="6"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6" t="str">
        <f>IF(ISNUMBER(F!E140)=FALSE,"--",IF(F!E140=0,"--",F!E140))</f>
        <v>--</v>
      </c>
      <c r="C140" s="6" t="str">
        <f>IF(B140="--","",F!F140)</f>
        <v/>
      </c>
      <c r="D140" s="6" t="str">
        <f>IF(ISNUMBER(F!G140)=FALSE,"--",IF(F!G140=0,"--",F!G140))</f>
        <v>--</v>
      </c>
      <c r="E140" s="6" t="str">
        <f>IF(D140="--","",F!H140)</f>
        <v/>
      </c>
      <c r="F140" s="6" t="str">
        <f>IF(ISNUMBER(F!I140)=FALSE,"--",IF(F!I140=0,"--",F!I140))</f>
        <v>--</v>
      </c>
      <c r="G140" s="6" t="str">
        <f>IF(F140="--","",F!J140)</f>
        <v/>
      </c>
      <c r="H140" s="6"/>
      <c r="I140" s="16" t="str">
        <f>IF(F!AA140=-1,-1,F!AV140)</f>
        <v/>
      </c>
      <c r="J140" s="6"/>
      <c r="K140" s="16" t="str">
        <f>IF(F!AD140=-1,-1,F!AX140)</f>
        <v/>
      </c>
      <c r="L140" s="6"/>
      <c r="M140" s="16" t="str">
        <f>IF(F!AG140=-1,-1,F!AZ140)</f>
        <v/>
      </c>
      <c r="N140" s="6"/>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6" t="str">
        <f t="shared" si="46"/>
        <v/>
      </c>
      <c r="R140" s="5" t="str">
        <f>IF($B140="--","",IF($P140="toetsen",toetsen(F!$B140,Q140),IF($P140="toetsen alleen IW",toetsen_alleen_IW(F!$B140,Q140),IF($P140="toetsen alleen LN",toetsen_alleen_LN(F!$B140,Q140),IF($P140="toetsen geen MV en SV",toetsen_geen_MV_en_SV(F!$B140,Q140),IF($P140="toetsen alleen MV en SV",toetsen_alleen_MV_en_SV(F!$B140,Q140),""))))))</f>
        <v/>
      </c>
      <c r="S140" s="5" t="str">
        <f>IF($P140="toetsen",IF(OR(Q140="",VLOOKUP(F!$B140,E!$B$1:$AK$300,10,FALSE)=1000000000),"",IF(Q140&lt;=VLOOKUP(F!$B140,E!$B$1:$AK$300,10,FALSE),"ja","nee")),"")</f>
        <v/>
      </c>
      <c r="T140" s="87" t="str">
        <f t="shared" ref="T140:T203" si="62">K140</f>
        <v/>
      </c>
      <c r="U140" s="5" t="str">
        <f>IF($D140="--","",IF($P140="toetsen",toetsen(F!$B140,T140),IF($P140="toetsen alleen IW",toetsen_alleen_IW(F!$B140,T140),IF($P140="toetsen alleen LN",toetsen_alleen_LN(F!$B140,T140),IF($P140="toetsen geen MV en SV",toetsen_geen_MV_en_SV(F!$B140,T140),IF($P140="toetsen alleen MV en SV",toetsen_alleen_MV_en_SV(F!$B140,T140),""))))))</f>
        <v/>
      </c>
      <c r="V140" s="5" t="str">
        <f>IF($P140="toetsen",IF(OR(T140="",VLOOKUP(F!$B140,E!$B$1:$AK$300,10,FALSE)=1000000000),"",IF(T140&lt;=VLOOKUP(F!$B140,E!$B$1:$AK$300,10,FALSE),"ja","nee")),"")</f>
        <v/>
      </c>
      <c r="W140" s="6" t="str">
        <f t="shared" ref="W140:W203" si="63">M140</f>
        <v/>
      </c>
      <c r="X140" s="5" t="str">
        <f>IF($F140="--","",IF($P140="toetsen",toetsen(F!$B140,W140),IF($P140="toetsen alleen IW",toetsen_alleen_IW(F!$B140,W140),IF($P140="toetsen alleen LN",toetsen_alleen_LN(F!$B140,W140),IF($P140="toetsen geen MV en SV",toetsen_geen_MV_en_SV(F!$B140,W140),IF($P140="toetsen alleen MV en SV",toetsen_alleen_MV_en_SV(F!$B140,W140),""))))))</f>
        <v/>
      </c>
      <c r="Y140" s="5" t="str">
        <f>IF($P140="toetsen",IF(OR(W140="",VLOOKUP(F!$B140,E!$B$1:$AK$300,10,FALSE)=1000000000),"",IF(W140&lt;=VLOOKUP(F!$B140,E!$B$1:$AK$300,10,FALSE),"ja","nee")),"")</f>
        <v/>
      </c>
      <c r="AA140" s="4"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6" t="str">
        <f t="shared" ref="AI140:AI203" si="64">IF(B140="--",B140,(IF(B140&lt;1,FIXED(B140,2),IF(B140&lt;10,FIXED(B140,1),IF(B140&lt;100,FIXED(B140,0),IF(B140&lt;1000,MROUND(B140,10),MROUND(B140,100)))))))</f>
        <v>--</v>
      </c>
      <c r="AJ140" s="6"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6" t="str">
        <f t="shared" ref="AK140:AK203" si="65">IF(D140="--",D140,(IF(D140&lt;1,FIXED(D140,2),IF(D140&lt;10,FIXED(D140,1),IF(D140&lt;100,FIXED(D140,0),IF(D140&lt;1000,MROUND(D140,10),MROUND(D140,100)))))))</f>
        <v>--</v>
      </c>
      <c r="AL140" s="6"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6" t="str">
        <f t="shared" ref="AM140:AM203" si="66">IF(F140="--",F140,(IF(F140&lt;1,FIXED(F140,2),IF(F140&lt;10,FIXED(F140,1),IF(F140&lt;100,FIXED(F140,0),IF(F140&lt;1000,MROUND(F140,10),MROUND(F140,100)))))))</f>
        <v>--</v>
      </c>
      <c r="AN140" s="6"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6" t="str">
        <f t="shared" si="53"/>
        <v>--</v>
      </c>
      <c r="AQ140" s="6" t="str">
        <f t="shared" si="54"/>
        <v/>
      </c>
      <c r="AR140" s="6" t="str">
        <f t="shared" si="55"/>
        <v>--</v>
      </c>
      <c r="AS140" s="6" t="str">
        <f t="shared" si="56"/>
        <v/>
      </c>
      <c r="AT140" s="6" t="str">
        <f t="shared" si="57"/>
        <v/>
      </c>
      <c r="AU140" s="6" t="str">
        <f>IFERROR(IF(AR140="--","",IF(HLOOKUP(SMALL($Q$4:$Y$4,3),$Q$4:$Y$501,ROW(AP140)-3,FALSE)=0,"",IF(HLOOKUP(SMALL($Q$4:$Y$4,3),$Q$4:$Y$501,ROW(AP140)-3,FALSE)="nee",VLOOKUP("De kwaliteitseis emissiearme grond (maximale concentratie) wordt overschreden.",H!$O$10:'H'!$P$59,2,FALSE),""))),"")</f>
        <v/>
      </c>
      <c r="AV140" s="6" t="str">
        <f t="shared" si="47"/>
        <v>--</v>
      </c>
      <c r="AW140" s="6" t="str">
        <f t="shared" si="48"/>
        <v/>
      </c>
      <c r="AX140" s="6" t="str">
        <f t="shared" si="49"/>
        <v>--</v>
      </c>
      <c r="AY140" s="6" t="str">
        <f t="shared" si="58"/>
        <v/>
      </c>
      <c r="AZ140" s="6" t="str">
        <f t="shared" si="59"/>
        <v/>
      </c>
      <c r="BA140" s="6" t="str">
        <f>IFERROR(IF(AR140="--","",IF(HLOOKUP(SMALL($Q$4:$Y$4,6),$Q$4:$Y$501,ROW(AP140)-3,FALSE)=0,"",IF(HLOOKUP(SMALL($Q$4:$Y$4,6),$Q$4:$Y$501,ROW(AP140)-3,FALSE)="nee",VLOOKUP("De kwaliteitseis emissiearme grond (maximale concentratie) wordt overschreden.",H!$O$10:'H'!$P$59,2,FALSE),""))),"")</f>
        <v/>
      </c>
      <c r="BB140" s="6" t="str">
        <f t="shared" si="50"/>
        <v>--</v>
      </c>
      <c r="BC140" s="6" t="str">
        <f t="shared" si="51"/>
        <v/>
      </c>
      <c r="BD140" s="6" t="str">
        <f t="shared" si="52"/>
        <v>--</v>
      </c>
      <c r="BE140" s="6" t="str">
        <f t="shared" si="60"/>
        <v/>
      </c>
      <c r="BF140" s="6"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6" t="str">
        <f>IF(ISNUMBER(F!E141)=FALSE,"--",IF(F!E141=0,"--",F!E141))</f>
        <v>--</v>
      </c>
      <c r="C141" s="6" t="str">
        <f>IF(B141="--","",F!F141)</f>
        <v/>
      </c>
      <c r="D141" s="6" t="str">
        <f>IF(ISNUMBER(F!G141)=FALSE,"--",IF(F!G141=0,"--",F!G141))</f>
        <v>--</v>
      </c>
      <c r="E141" s="6" t="str">
        <f>IF(D141="--","",F!H141)</f>
        <v/>
      </c>
      <c r="F141" s="6" t="str">
        <f>IF(ISNUMBER(F!I141)=FALSE,"--",IF(F!I141=0,"--",F!I141))</f>
        <v>--</v>
      </c>
      <c r="G141" s="6" t="str">
        <f>IF(F141="--","",F!J141)</f>
        <v/>
      </c>
      <c r="H141" s="6"/>
      <c r="I141" s="16" t="str">
        <f>IF(F!AA141=-1,-1,F!AV141)</f>
        <v/>
      </c>
      <c r="J141" s="6"/>
      <c r="K141" s="16" t="str">
        <f>IF(F!AD141=-1,-1,F!AX141)</f>
        <v/>
      </c>
      <c r="L141" s="6"/>
      <c r="M141" s="16" t="str">
        <f>IF(F!AG141=-1,-1,F!AZ141)</f>
        <v/>
      </c>
      <c r="N141" s="6"/>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6" t="str">
        <f t="shared" ref="Q141:Q204" si="67">I141</f>
        <v/>
      </c>
      <c r="R141" s="5" t="str">
        <f>IF($B141="--","",IF($P141="toetsen",toetsen(F!$B141,Q141),IF($P141="toetsen alleen IW",toetsen_alleen_IW(F!$B141,Q141),IF($P141="toetsen alleen LN",toetsen_alleen_LN(F!$B141,Q141),IF($P141="toetsen geen MV en SV",toetsen_geen_MV_en_SV(F!$B141,Q141),IF($P141="toetsen alleen MV en SV",toetsen_alleen_MV_en_SV(F!$B141,Q141),""))))))</f>
        <v/>
      </c>
      <c r="S141" s="5" t="str">
        <f>IF($P141="toetsen",IF(OR(Q141="",VLOOKUP(F!$B141,E!$B$1:$AK$300,10,FALSE)=1000000000),"",IF(Q141&lt;=VLOOKUP(F!$B141,E!$B$1:$AK$300,10,FALSE),"ja","nee")),"")</f>
        <v/>
      </c>
      <c r="T141" s="87" t="str">
        <f t="shared" si="62"/>
        <v/>
      </c>
      <c r="U141" s="5" t="str">
        <f>IF($D141="--","",IF($P141="toetsen",toetsen(F!$B141,T141),IF($P141="toetsen alleen IW",toetsen_alleen_IW(F!$B141,T141),IF($P141="toetsen alleen LN",toetsen_alleen_LN(F!$B141,T141),IF($P141="toetsen geen MV en SV",toetsen_geen_MV_en_SV(F!$B141,T141),IF($P141="toetsen alleen MV en SV",toetsen_alleen_MV_en_SV(F!$B141,T141),""))))))</f>
        <v/>
      </c>
      <c r="V141" s="5" t="str">
        <f>IF($P141="toetsen",IF(OR(T141="",VLOOKUP(F!$B141,E!$B$1:$AK$300,10,FALSE)=1000000000),"",IF(T141&lt;=VLOOKUP(F!$B141,E!$B$1:$AK$300,10,FALSE),"ja","nee")),"")</f>
        <v/>
      </c>
      <c r="W141" s="6" t="str">
        <f t="shared" si="63"/>
        <v/>
      </c>
      <c r="X141" s="5" t="str">
        <f>IF($F141="--","",IF($P141="toetsen",toetsen(F!$B141,W141),IF($P141="toetsen alleen IW",toetsen_alleen_IW(F!$B141,W141),IF($P141="toetsen alleen LN",toetsen_alleen_LN(F!$B141,W141),IF($P141="toetsen geen MV en SV",toetsen_geen_MV_en_SV(F!$B141,W141),IF($P141="toetsen alleen MV en SV",toetsen_alleen_MV_en_SV(F!$B141,W141),""))))))</f>
        <v/>
      </c>
      <c r="Y141" s="5" t="str">
        <f>IF($P141="toetsen",IF(OR(W141="",VLOOKUP(F!$B141,E!$B$1:$AK$300,10,FALSE)=1000000000),"",IF(W141&lt;=VLOOKUP(F!$B141,E!$B$1:$AK$300,10,FALSE),"ja","nee")),"")</f>
        <v/>
      </c>
      <c r="AA141" s="4"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6" t="str">
        <f t="shared" si="64"/>
        <v>--</v>
      </c>
      <c r="AJ141" s="6"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6" t="str">
        <f t="shared" si="65"/>
        <v>--</v>
      </c>
      <c r="AL141" s="6"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6" t="str">
        <f t="shared" si="66"/>
        <v>--</v>
      </c>
      <c r="AN141" s="6"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6" t="str">
        <f t="shared" si="53"/>
        <v>--</v>
      </c>
      <c r="AQ141" s="6" t="str">
        <f t="shared" si="54"/>
        <v/>
      </c>
      <c r="AR141" s="6" t="str">
        <f t="shared" si="55"/>
        <v>--</v>
      </c>
      <c r="AS141" s="6" t="str">
        <f t="shared" si="56"/>
        <v/>
      </c>
      <c r="AT141" s="6" t="str">
        <f t="shared" si="57"/>
        <v/>
      </c>
      <c r="AU141" s="6" t="str">
        <f>IFERROR(IF(AR141="--","",IF(HLOOKUP(SMALL($Q$4:$Y$4,3),$Q$4:$Y$501,ROW(AP141)-3,FALSE)=0,"",IF(HLOOKUP(SMALL($Q$4:$Y$4,3),$Q$4:$Y$501,ROW(AP141)-3,FALSE)="nee",VLOOKUP("De kwaliteitseis emissiearme grond (maximale concentratie) wordt overschreden.",H!$O$10:'H'!$P$59,2,FALSE),""))),"")</f>
        <v/>
      </c>
      <c r="AV141" s="6" t="str">
        <f t="shared" si="47"/>
        <v>--</v>
      </c>
      <c r="AW141" s="6" t="str">
        <f t="shared" si="48"/>
        <v/>
      </c>
      <c r="AX141" s="6" t="str">
        <f t="shared" si="49"/>
        <v>--</v>
      </c>
      <c r="AY141" s="6" t="str">
        <f t="shared" si="58"/>
        <v/>
      </c>
      <c r="AZ141" s="6" t="str">
        <f t="shared" si="59"/>
        <v/>
      </c>
      <c r="BA141" s="6" t="str">
        <f>IFERROR(IF(AR141="--","",IF(HLOOKUP(SMALL($Q$4:$Y$4,6),$Q$4:$Y$501,ROW(AP141)-3,FALSE)=0,"",IF(HLOOKUP(SMALL($Q$4:$Y$4,6),$Q$4:$Y$501,ROW(AP141)-3,FALSE)="nee",VLOOKUP("De kwaliteitseis emissiearme grond (maximale concentratie) wordt overschreden.",H!$O$10:'H'!$P$59,2,FALSE),""))),"")</f>
        <v/>
      </c>
      <c r="BB141" s="6" t="str">
        <f t="shared" si="50"/>
        <v>--</v>
      </c>
      <c r="BC141" s="6" t="str">
        <f t="shared" si="51"/>
        <v/>
      </c>
      <c r="BD141" s="6" t="str">
        <f t="shared" si="52"/>
        <v>--</v>
      </c>
      <c r="BE141" s="6" t="str">
        <f t="shared" si="60"/>
        <v/>
      </c>
      <c r="BF141" s="6"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6" t="str">
        <f>IF(ISNUMBER(F!E142)=FALSE,"--",IF(F!E142=0,"--",F!E142))</f>
        <v>--</v>
      </c>
      <c r="C142" s="6" t="str">
        <f>IF(B142="--","",F!F142)</f>
        <v/>
      </c>
      <c r="D142" s="6" t="str">
        <f>IF(ISNUMBER(F!G142)=FALSE,"--",IF(F!G142=0,"--",F!G142))</f>
        <v>--</v>
      </c>
      <c r="E142" s="6" t="str">
        <f>IF(D142="--","",F!H142)</f>
        <v/>
      </c>
      <c r="F142" s="6" t="str">
        <f>IF(ISNUMBER(F!I142)=FALSE,"--",IF(F!I142=0,"--",F!I142))</f>
        <v>--</v>
      </c>
      <c r="G142" s="6" t="str">
        <f>IF(F142="--","",F!J142)</f>
        <v/>
      </c>
      <c r="H142" s="6"/>
      <c r="I142" s="101">
        <f>IF(F!Z142=0,-1,F!AV142)</f>
        <v>-1</v>
      </c>
      <c r="J142" s="6"/>
      <c r="K142" s="101">
        <f>IF(F!AC142=0,-1,F!AX142)</f>
        <v>-1</v>
      </c>
      <c r="L142" s="6"/>
      <c r="M142" s="101">
        <f>IF(F!AF142=0,-1,F!AZ142)</f>
        <v>-1</v>
      </c>
      <c r="N142" s="6"/>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6">
        <f t="shared" si="67"/>
        <v>-1</v>
      </c>
      <c r="R142" s="5" t="str">
        <f>IF($B142="--","",IF($P142="toetsen",toetsen(F!$B142,Q142),IF($P142="toetsen alleen IW",toetsen_alleen_IW(F!$B142,Q142),IF($P142="toetsen alleen LN",toetsen_alleen_LN(F!$B142,Q142),IF($P142="toetsen geen MV en SV",toetsen_geen_MV_en_SV(F!$B142,Q142),IF($P142="toetsen alleen MV en SV",toetsen_alleen_MV_en_SV(F!$B142,Q142),""))))))</f>
        <v/>
      </c>
      <c r="S142" s="5" t="str">
        <f>IF($P142="toetsen",IF(OR(Q142="",VLOOKUP(F!$B142,E!$B$1:$AK$300,10,FALSE)=1000000000),"",IF(Q142&lt;=VLOOKUP(F!$B142,E!$B$1:$AK$300,10,FALSE),"ja","nee")),"")</f>
        <v/>
      </c>
      <c r="T142" s="87">
        <f t="shared" si="62"/>
        <v>-1</v>
      </c>
      <c r="U142" s="5" t="str">
        <f>IF($D142="--","",IF($P142="toetsen",toetsen(F!$B142,T142),IF($P142="toetsen alleen IW",toetsen_alleen_IW(F!$B142,T142),IF($P142="toetsen alleen LN",toetsen_alleen_LN(F!$B142,T142),IF($P142="toetsen geen MV en SV",toetsen_geen_MV_en_SV(F!$B142,T142),IF($P142="toetsen alleen MV en SV",toetsen_alleen_MV_en_SV(F!$B142,T142),""))))))</f>
        <v/>
      </c>
      <c r="V142" s="5" t="str">
        <f>IF($P142="toetsen",IF(OR(T142="",VLOOKUP(F!$B142,E!$B$1:$AK$300,10,FALSE)=1000000000),"",IF(T142&lt;=VLOOKUP(F!$B142,E!$B$1:$AK$300,10,FALSE),"ja","nee")),"")</f>
        <v/>
      </c>
      <c r="W142" s="6">
        <f t="shared" si="63"/>
        <v>-1</v>
      </c>
      <c r="X142" s="5" t="str">
        <f>IF($F142="--","",IF($P142="toetsen",toetsen(F!$B142,W142),IF($P142="toetsen alleen IW",toetsen_alleen_IW(F!$B142,W142),IF($P142="toetsen alleen LN",toetsen_alleen_LN(F!$B142,W142),IF($P142="toetsen geen MV en SV",toetsen_geen_MV_en_SV(F!$B142,W142),IF($P142="toetsen alleen MV en SV",toetsen_alleen_MV_en_SV(F!$B142,W142),""))))))</f>
        <v/>
      </c>
      <c r="Y142" s="5" t="str">
        <f>IF($P142="toetsen",IF(OR(W142="",VLOOKUP(F!$B142,E!$B$1:$AK$300,10,FALSE)=1000000000),"",IF(W142&lt;=VLOOKUP(F!$B142,E!$B$1:$AK$300,10,FALSE),"ja","nee")),"")</f>
        <v/>
      </c>
      <c r="AA142" s="4">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6" t="str">
        <f t="shared" si="64"/>
        <v>--</v>
      </c>
      <c r="AJ142" s="6"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6" t="str">
        <f t="shared" si="65"/>
        <v>--</v>
      </c>
      <c r="AL142" s="6"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6" t="str">
        <f t="shared" si="66"/>
        <v>--</v>
      </c>
      <c r="AN142" s="6"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6" t="str">
        <f t="shared" si="53"/>
        <v>--</v>
      </c>
      <c r="AQ142" s="6" t="str">
        <f t="shared" si="54"/>
        <v/>
      </c>
      <c r="AR142" s="6" t="str">
        <f t="shared" si="55"/>
        <v>--</v>
      </c>
      <c r="AS142" s="6" t="str">
        <f t="shared" si="56"/>
        <v/>
      </c>
      <c r="AT142" s="6" t="str">
        <f t="shared" si="57"/>
        <v/>
      </c>
      <c r="AU142" s="6" t="str">
        <f>IFERROR(IF(AR142="--","",IF(HLOOKUP(SMALL($Q$4:$Y$4,3),$Q$4:$Y$501,ROW(AP142)-3,FALSE)=0,"",IF(HLOOKUP(SMALL($Q$4:$Y$4,3),$Q$4:$Y$501,ROW(AP142)-3,FALSE)="nee",VLOOKUP("De kwaliteitseis emissiearme grond (maximale concentratie) wordt overschreden.",H!$O$10:'H'!$P$59,2,FALSE),""))),"")</f>
        <v/>
      </c>
      <c r="AV142" s="6" t="str">
        <f t="shared" si="47"/>
        <v>--</v>
      </c>
      <c r="AW142" s="6" t="str">
        <f t="shared" si="48"/>
        <v/>
      </c>
      <c r="AX142" s="6" t="str">
        <f t="shared" si="49"/>
        <v>--</v>
      </c>
      <c r="AY142" s="6" t="str">
        <f t="shared" si="58"/>
        <v/>
      </c>
      <c r="AZ142" s="6" t="str">
        <f t="shared" si="59"/>
        <v/>
      </c>
      <c r="BA142" s="6" t="str">
        <f>IFERROR(IF(AR142="--","",IF(HLOOKUP(SMALL($Q$4:$Y$4,6),$Q$4:$Y$501,ROW(AP142)-3,FALSE)=0,"",IF(HLOOKUP(SMALL($Q$4:$Y$4,6),$Q$4:$Y$501,ROW(AP142)-3,FALSE)="nee",VLOOKUP("De kwaliteitseis emissiearme grond (maximale concentratie) wordt overschreden.",H!$O$10:'H'!$P$59,2,FALSE),""))),"")</f>
        <v/>
      </c>
      <c r="BB142" s="6" t="str">
        <f t="shared" si="50"/>
        <v>--</v>
      </c>
      <c r="BC142" s="6" t="str">
        <f t="shared" si="51"/>
        <v/>
      </c>
      <c r="BD142" s="6" t="str">
        <f t="shared" si="52"/>
        <v>--</v>
      </c>
      <c r="BE142" s="6" t="str">
        <f t="shared" si="60"/>
        <v/>
      </c>
      <c r="BF142" s="6"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6" t="str">
        <f>IF(ISNUMBER(F!E143)=FALSE,"--",IF(F!E143=0,"--",F!E143))</f>
        <v>--</v>
      </c>
      <c r="C143" s="6" t="str">
        <f>IF(B143="--","",F!F143)</f>
        <v/>
      </c>
      <c r="D143" s="6" t="str">
        <f>IF(ISNUMBER(F!G143)=FALSE,"--",IF(F!G143=0,"--",F!G143))</f>
        <v>--</v>
      </c>
      <c r="E143" s="6" t="str">
        <f>IF(D143="--","",F!H143)</f>
        <v/>
      </c>
      <c r="F143" s="6" t="str">
        <f>IF(ISNUMBER(F!I143)=FALSE,"--",IF(F!I143=0,"--",F!I143))</f>
        <v>--</v>
      </c>
      <c r="G143" s="6" t="str">
        <f>IF(F143="--","",F!J143)</f>
        <v/>
      </c>
      <c r="H143" s="6"/>
      <c r="I143" s="16" t="str">
        <f>IF(F!AA143=-1,-1,F!AV143)</f>
        <v/>
      </c>
      <c r="J143" s="6"/>
      <c r="K143" s="16" t="str">
        <f>IF(F!AD143=-1,-1,F!AX143)</f>
        <v/>
      </c>
      <c r="L143" s="6"/>
      <c r="M143" s="16" t="str">
        <f>IF(F!AG143=-1,-1,F!AZ143)</f>
        <v/>
      </c>
      <c r="N143" s="6"/>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6" t="str">
        <f t="shared" si="67"/>
        <v/>
      </c>
      <c r="R143" s="5" t="str">
        <f>IF($B143="--","",IF($P143="toetsen",toetsen(F!$B143,Q143),IF($P143="toetsen alleen IW",toetsen_alleen_IW(F!$B143,Q143),IF($P143="toetsen alleen LN",toetsen_alleen_LN(F!$B143,Q143),IF($P143="toetsen geen MV en SV",toetsen_geen_MV_en_SV(F!$B143,Q143),IF($P143="toetsen alleen MV en SV",toetsen_alleen_MV_en_SV(F!$B143,Q143),""))))))</f>
        <v/>
      </c>
      <c r="S143" s="5" t="str">
        <f>IF($P143="toetsen",IF(OR(Q143="",VLOOKUP(F!$B143,E!$B$1:$AK$300,10,FALSE)=1000000000),"",IF(Q143&lt;=VLOOKUP(F!$B143,E!$B$1:$AK$300,10,FALSE),"ja","nee")),"")</f>
        <v/>
      </c>
      <c r="T143" s="87" t="str">
        <f t="shared" si="62"/>
        <v/>
      </c>
      <c r="U143" s="5" t="str">
        <f>IF($D143="--","",IF($P143="toetsen",toetsen(F!$B143,T143),IF($P143="toetsen alleen IW",toetsen_alleen_IW(F!$B143,T143),IF($P143="toetsen alleen LN",toetsen_alleen_LN(F!$B143,T143),IF($P143="toetsen geen MV en SV",toetsen_geen_MV_en_SV(F!$B143,T143),IF($P143="toetsen alleen MV en SV",toetsen_alleen_MV_en_SV(F!$B143,T143),""))))))</f>
        <v/>
      </c>
      <c r="V143" s="5" t="str">
        <f>IF($P143="toetsen",IF(OR(T143="",VLOOKUP(F!$B143,E!$B$1:$AK$300,10,FALSE)=1000000000),"",IF(T143&lt;=VLOOKUP(F!$B143,E!$B$1:$AK$300,10,FALSE),"ja","nee")),"")</f>
        <v/>
      </c>
      <c r="W143" s="6" t="str">
        <f t="shared" si="63"/>
        <v/>
      </c>
      <c r="X143" s="5" t="str">
        <f>IF($F143="--","",IF($P143="toetsen",toetsen(F!$B143,W143),IF($P143="toetsen alleen IW",toetsen_alleen_IW(F!$B143,W143),IF($P143="toetsen alleen LN",toetsen_alleen_LN(F!$B143,W143),IF($P143="toetsen geen MV en SV",toetsen_geen_MV_en_SV(F!$B143,W143),IF($P143="toetsen alleen MV en SV",toetsen_alleen_MV_en_SV(F!$B143,W143),""))))))</f>
        <v/>
      </c>
      <c r="Y143" s="5" t="str">
        <f>IF($P143="toetsen",IF(OR(W143="",VLOOKUP(F!$B143,E!$B$1:$AK$300,10,FALSE)=1000000000),"",IF(W143&lt;=VLOOKUP(F!$B143,E!$B$1:$AK$300,10,FALSE),"ja","nee")),"")</f>
        <v/>
      </c>
      <c r="AA143" s="4"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6" t="str">
        <f t="shared" si="64"/>
        <v>--</v>
      </c>
      <c r="AJ143" s="6"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6" t="str">
        <f t="shared" si="65"/>
        <v>--</v>
      </c>
      <c r="AL143" s="6"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6" t="str">
        <f t="shared" si="66"/>
        <v>--</v>
      </c>
      <c r="AN143" s="6"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6" t="str">
        <f t="shared" si="53"/>
        <v>--</v>
      </c>
      <c r="AQ143" s="6" t="str">
        <f t="shared" si="54"/>
        <v/>
      </c>
      <c r="AR143" s="6" t="str">
        <f t="shared" si="55"/>
        <v>--</v>
      </c>
      <c r="AS143" s="6" t="str">
        <f t="shared" si="56"/>
        <v/>
      </c>
      <c r="AT143" s="6" t="str">
        <f t="shared" si="57"/>
        <v/>
      </c>
      <c r="AU143" s="6" t="str">
        <f>IFERROR(IF(AR143="--","",IF(HLOOKUP(SMALL($Q$4:$Y$4,3),$Q$4:$Y$501,ROW(AP143)-3,FALSE)=0,"",IF(HLOOKUP(SMALL($Q$4:$Y$4,3),$Q$4:$Y$501,ROW(AP143)-3,FALSE)="nee",VLOOKUP("De kwaliteitseis emissiearme grond (maximale concentratie) wordt overschreden.",H!$O$10:'H'!$P$59,2,FALSE),""))),"")</f>
        <v/>
      </c>
      <c r="AV143" s="6" t="str">
        <f t="shared" si="47"/>
        <v>--</v>
      </c>
      <c r="AW143" s="6" t="str">
        <f t="shared" si="48"/>
        <v/>
      </c>
      <c r="AX143" s="6" t="str">
        <f t="shared" si="49"/>
        <v>--</v>
      </c>
      <c r="AY143" s="6" t="str">
        <f t="shared" si="58"/>
        <v/>
      </c>
      <c r="AZ143" s="6" t="str">
        <f t="shared" si="59"/>
        <v/>
      </c>
      <c r="BA143" s="6" t="str">
        <f>IFERROR(IF(AR143="--","",IF(HLOOKUP(SMALL($Q$4:$Y$4,6),$Q$4:$Y$501,ROW(AP143)-3,FALSE)=0,"",IF(HLOOKUP(SMALL($Q$4:$Y$4,6),$Q$4:$Y$501,ROW(AP143)-3,FALSE)="nee",VLOOKUP("De kwaliteitseis emissiearme grond (maximale concentratie) wordt overschreden.",H!$O$10:'H'!$P$59,2,FALSE),""))),"")</f>
        <v/>
      </c>
      <c r="BB143" s="6" t="str">
        <f t="shared" si="50"/>
        <v>--</v>
      </c>
      <c r="BC143" s="6" t="str">
        <f t="shared" si="51"/>
        <v/>
      </c>
      <c r="BD143" s="6" t="str">
        <f t="shared" si="52"/>
        <v>--</v>
      </c>
      <c r="BE143" s="6" t="str">
        <f t="shared" si="60"/>
        <v/>
      </c>
      <c r="BF143" s="6"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6" t="str">
        <f>IF(ISNUMBER(F!E144)=FALSE,"--",IF(F!E144=0,"--",F!E144))</f>
        <v>--</v>
      </c>
      <c r="C144" s="6" t="str">
        <f>IF(B144="--","",F!F144)</f>
        <v/>
      </c>
      <c r="D144" s="6" t="str">
        <f>IF(ISNUMBER(F!G144)=FALSE,"--",IF(F!G144=0,"--",F!G144))</f>
        <v>--</v>
      </c>
      <c r="E144" s="6" t="str">
        <f>IF(D144="--","",F!H144)</f>
        <v/>
      </c>
      <c r="F144" s="6" t="str">
        <f>IF(ISNUMBER(F!I144)=FALSE,"--",IF(F!I144=0,"--",F!I144))</f>
        <v>--</v>
      </c>
      <c r="G144" s="6" t="str">
        <f>IF(F144="--","",F!J144)</f>
        <v/>
      </c>
      <c r="H144" s="6"/>
      <c r="I144" s="16" t="str">
        <f>IF(F!AA144=-1,-1,F!AV144)</f>
        <v/>
      </c>
      <c r="J144" s="6"/>
      <c r="K144" s="16" t="str">
        <f>IF(F!AD144=-1,-1,F!AX144)</f>
        <v/>
      </c>
      <c r="L144" s="6"/>
      <c r="M144" s="16" t="str">
        <f>IF(F!AG144=-1,-1,F!AZ144)</f>
        <v/>
      </c>
      <c r="N144" s="6"/>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6" t="str">
        <f t="shared" si="67"/>
        <v/>
      </c>
      <c r="R144" s="5" t="str">
        <f>IF($B144="--","",IF($P144="toetsen",toetsen(F!$B144,Q144),IF($P144="toetsen alleen IW",toetsen_alleen_IW(F!$B144,Q144),IF($P144="toetsen alleen LN",toetsen_alleen_LN(F!$B144,Q144),IF($P144="toetsen geen MV en SV",toetsen_geen_MV_en_SV(F!$B144,Q144),IF($P144="toetsen alleen MV en SV",toetsen_alleen_MV_en_SV(F!$B144,Q144),""))))))</f>
        <v/>
      </c>
      <c r="S144" s="5" t="str">
        <f>IF($P144="toetsen",IF(OR(Q144="",VLOOKUP(F!$B144,E!$B$1:$AK$300,10,FALSE)=1000000000),"",IF(Q144&lt;=VLOOKUP(F!$B144,E!$B$1:$AK$300,10,FALSE),"ja","nee")),"")</f>
        <v/>
      </c>
      <c r="T144" s="87" t="str">
        <f t="shared" si="62"/>
        <v/>
      </c>
      <c r="U144" s="5" t="str">
        <f>IF($D144="--","",IF($P144="toetsen",toetsen(F!$B144,T144),IF($P144="toetsen alleen IW",toetsen_alleen_IW(F!$B144,T144),IF($P144="toetsen alleen LN",toetsen_alleen_LN(F!$B144,T144),IF($P144="toetsen geen MV en SV",toetsen_geen_MV_en_SV(F!$B144,T144),IF($P144="toetsen alleen MV en SV",toetsen_alleen_MV_en_SV(F!$B144,T144),""))))))</f>
        <v/>
      </c>
      <c r="V144" s="5" t="str">
        <f>IF($P144="toetsen",IF(OR(T144="",VLOOKUP(F!$B144,E!$B$1:$AK$300,10,FALSE)=1000000000),"",IF(T144&lt;=VLOOKUP(F!$B144,E!$B$1:$AK$300,10,FALSE),"ja","nee")),"")</f>
        <v/>
      </c>
      <c r="W144" s="6" t="str">
        <f t="shared" si="63"/>
        <v/>
      </c>
      <c r="X144" s="5" t="str">
        <f>IF($F144="--","",IF($P144="toetsen",toetsen(F!$B144,W144),IF($P144="toetsen alleen IW",toetsen_alleen_IW(F!$B144,W144),IF($P144="toetsen alleen LN",toetsen_alleen_LN(F!$B144,W144),IF($P144="toetsen geen MV en SV",toetsen_geen_MV_en_SV(F!$B144,W144),IF($P144="toetsen alleen MV en SV",toetsen_alleen_MV_en_SV(F!$B144,W144),""))))))</f>
        <v/>
      </c>
      <c r="Y144" s="5" t="str">
        <f>IF($P144="toetsen",IF(OR(W144="",VLOOKUP(F!$B144,E!$B$1:$AK$300,10,FALSE)=1000000000),"",IF(W144&lt;=VLOOKUP(F!$B144,E!$B$1:$AK$300,10,FALSE),"ja","nee")),"")</f>
        <v/>
      </c>
      <c r="AA144" s="4"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6" t="str">
        <f t="shared" si="64"/>
        <v>--</v>
      </c>
      <c r="AJ144" s="6"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6" t="str">
        <f t="shared" si="65"/>
        <v>--</v>
      </c>
      <c r="AL144" s="6"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6" t="str">
        <f t="shared" si="66"/>
        <v>--</v>
      </c>
      <c r="AN144" s="6"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6" t="str">
        <f t="shared" si="53"/>
        <v>--</v>
      </c>
      <c r="AQ144" s="6" t="str">
        <f t="shared" si="54"/>
        <v/>
      </c>
      <c r="AR144" s="6" t="str">
        <f t="shared" si="55"/>
        <v>--</v>
      </c>
      <c r="AS144" s="6" t="str">
        <f t="shared" si="56"/>
        <v/>
      </c>
      <c r="AT144" s="6" t="str">
        <f t="shared" si="57"/>
        <v/>
      </c>
      <c r="AU144" s="6" t="str">
        <f>IFERROR(IF(AR144="--","",IF(HLOOKUP(SMALL($Q$4:$Y$4,3),$Q$4:$Y$501,ROW(AP144)-3,FALSE)=0,"",IF(HLOOKUP(SMALL($Q$4:$Y$4,3),$Q$4:$Y$501,ROW(AP144)-3,FALSE)="nee",VLOOKUP("De kwaliteitseis emissiearme grond (maximale concentratie) wordt overschreden.",H!$O$10:'H'!$P$59,2,FALSE),""))),"")</f>
        <v/>
      </c>
      <c r="AV144" s="6" t="str">
        <f t="shared" si="47"/>
        <v>--</v>
      </c>
      <c r="AW144" s="6" t="str">
        <f t="shared" si="48"/>
        <v/>
      </c>
      <c r="AX144" s="6" t="str">
        <f t="shared" si="49"/>
        <v>--</v>
      </c>
      <c r="AY144" s="6" t="str">
        <f t="shared" si="58"/>
        <v/>
      </c>
      <c r="AZ144" s="6" t="str">
        <f t="shared" si="59"/>
        <v/>
      </c>
      <c r="BA144" s="6" t="str">
        <f>IFERROR(IF(AR144="--","",IF(HLOOKUP(SMALL($Q$4:$Y$4,6),$Q$4:$Y$501,ROW(AP144)-3,FALSE)=0,"",IF(HLOOKUP(SMALL($Q$4:$Y$4,6),$Q$4:$Y$501,ROW(AP144)-3,FALSE)="nee",VLOOKUP("De kwaliteitseis emissiearme grond (maximale concentratie) wordt overschreden.",H!$O$10:'H'!$P$59,2,FALSE),""))),"")</f>
        <v/>
      </c>
      <c r="BB144" s="6" t="str">
        <f t="shared" si="50"/>
        <v>--</v>
      </c>
      <c r="BC144" s="6" t="str">
        <f t="shared" si="51"/>
        <v/>
      </c>
      <c r="BD144" s="6" t="str">
        <f t="shared" si="52"/>
        <v>--</v>
      </c>
      <c r="BE144" s="6" t="str">
        <f t="shared" si="60"/>
        <v/>
      </c>
      <c r="BF144" s="6"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6" t="str">
        <f>IF(ISNUMBER(F!E145)=FALSE,"--",IF(F!E145=0,"--",F!E145))</f>
        <v>--</v>
      </c>
      <c r="C145" s="6" t="str">
        <f>IF(B145="--","",F!F145)</f>
        <v/>
      </c>
      <c r="D145" s="6" t="str">
        <f>IF(ISNUMBER(F!G145)=FALSE,"--",IF(F!G145=0,"--",F!G145))</f>
        <v>--</v>
      </c>
      <c r="E145" s="6" t="str">
        <f>IF(D145="--","",F!H145)</f>
        <v/>
      </c>
      <c r="F145" s="6" t="str">
        <f>IF(ISNUMBER(F!I145)=FALSE,"--",IF(F!I145=0,"--",F!I145))</f>
        <v>--</v>
      </c>
      <c r="G145" s="6" t="str">
        <f>IF(F145="--","",F!J145)</f>
        <v/>
      </c>
      <c r="H145" s="6"/>
      <c r="I145" s="16" t="str">
        <f>IF(F!AA145=-1,-1,F!AV145)</f>
        <v/>
      </c>
      <c r="J145" s="6"/>
      <c r="K145" s="16" t="str">
        <f>IF(F!AD145=-1,-1,F!AX145)</f>
        <v/>
      </c>
      <c r="L145" s="6"/>
      <c r="M145" s="16" t="str">
        <f>IF(F!AG145=-1,-1,F!AZ145)</f>
        <v/>
      </c>
      <c r="N145" s="6"/>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6" t="str">
        <f t="shared" si="67"/>
        <v/>
      </c>
      <c r="R145" s="5" t="str">
        <f>IF($B145="--","",IF($P145="toetsen",toetsen(F!$B145,Q145),IF($P145="toetsen alleen IW",toetsen_alleen_IW(F!$B145,Q145),IF($P145="toetsen alleen LN",toetsen_alleen_LN(F!$B145,Q145),IF($P145="toetsen geen MV en SV",toetsen_geen_MV_en_SV(F!$B145,Q145),IF($P145="toetsen alleen MV en SV",toetsen_alleen_MV_en_SV(F!$B145,Q145),""))))))</f>
        <v/>
      </c>
      <c r="S145" s="5" t="str">
        <f>IF($P145="toetsen",IF(OR(Q145="",VLOOKUP(F!$B145,E!$B$1:$AK$300,10,FALSE)=1000000000),"",IF(Q145&lt;=VLOOKUP(F!$B145,E!$B$1:$AK$300,10,FALSE),"ja","nee")),"")</f>
        <v/>
      </c>
      <c r="T145" s="87" t="str">
        <f t="shared" si="62"/>
        <v/>
      </c>
      <c r="U145" s="5" t="str">
        <f>IF($D145="--","",IF($P145="toetsen",toetsen(F!$B145,T145),IF($P145="toetsen alleen IW",toetsen_alleen_IW(F!$B145,T145),IF($P145="toetsen alleen LN",toetsen_alleen_LN(F!$B145,T145),IF($P145="toetsen geen MV en SV",toetsen_geen_MV_en_SV(F!$B145,T145),IF($P145="toetsen alleen MV en SV",toetsen_alleen_MV_en_SV(F!$B145,T145),""))))))</f>
        <v/>
      </c>
      <c r="V145" s="5" t="str">
        <f>IF($P145="toetsen",IF(OR(T145="",VLOOKUP(F!$B145,E!$B$1:$AK$300,10,FALSE)=1000000000),"",IF(T145&lt;=VLOOKUP(F!$B145,E!$B$1:$AK$300,10,FALSE),"ja","nee")),"")</f>
        <v/>
      </c>
      <c r="W145" s="6" t="str">
        <f t="shared" si="63"/>
        <v/>
      </c>
      <c r="X145" s="5" t="str">
        <f>IF($F145="--","",IF($P145="toetsen",toetsen(F!$B145,W145),IF($P145="toetsen alleen IW",toetsen_alleen_IW(F!$B145,W145),IF($P145="toetsen alleen LN",toetsen_alleen_LN(F!$B145,W145),IF($P145="toetsen geen MV en SV",toetsen_geen_MV_en_SV(F!$B145,W145),IF($P145="toetsen alleen MV en SV",toetsen_alleen_MV_en_SV(F!$B145,W145),""))))))</f>
        <v/>
      </c>
      <c r="Y145" s="5" t="str">
        <f>IF($P145="toetsen",IF(OR(W145="",VLOOKUP(F!$B145,E!$B$1:$AK$300,10,FALSE)=1000000000),"",IF(W145&lt;=VLOOKUP(F!$B145,E!$B$1:$AK$300,10,FALSE),"ja","nee")),"")</f>
        <v/>
      </c>
      <c r="AA145" s="4"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6" t="str">
        <f t="shared" si="64"/>
        <v>--</v>
      </c>
      <c r="AJ145" s="6"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6" t="str">
        <f t="shared" si="65"/>
        <v>--</v>
      </c>
      <c r="AL145" s="6"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6" t="str">
        <f t="shared" si="66"/>
        <v>--</v>
      </c>
      <c r="AN145" s="6"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6" t="str">
        <f t="shared" si="53"/>
        <v>--</v>
      </c>
      <c r="AQ145" s="6" t="str">
        <f t="shared" si="54"/>
        <v/>
      </c>
      <c r="AR145" s="6" t="str">
        <f t="shared" si="55"/>
        <v>--</v>
      </c>
      <c r="AS145" s="6" t="str">
        <f t="shared" si="56"/>
        <v/>
      </c>
      <c r="AT145" s="6" t="str">
        <f t="shared" si="57"/>
        <v/>
      </c>
      <c r="AU145" s="6" t="str">
        <f>IFERROR(IF(AR145="--","",IF(HLOOKUP(SMALL($Q$4:$Y$4,3),$Q$4:$Y$501,ROW(AP145)-3,FALSE)=0,"",IF(HLOOKUP(SMALL($Q$4:$Y$4,3),$Q$4:$Y$501,ROW(AP145)-3,FALSE)="nee",VLOOKUP("De kwaliteitseis emissiearme grond (maximale concentratie) wordt overschreden.",H!$O$10:'H'!$P$59,2,FALSE),""))),"")</f>
        <v/>
      </c>
      <c r="AV145" s="6" t="str">
        <f t="shared" si="47"/>
        <v>--</v>
      </c>
      <c r="AW145" s="6" t="str">
        <f t="shared" si="48"/>
        <v/>
      </c>
      <c r="AX145" s="6" t="str">
        <f t="shared" si="49"/>
        <v>--</v>
      </c>
      <c r="AY145" s="6" t="str">
        <f t="shared" si="58"/>
        <v/>
      </c>
      <c r="AZ145" s="6" t="str">
        <f t="shared" si="59"/>
        <v/>
      </c>
      <c r="BA145" s="6" t="str">
        <f>IFERROR(IF(AR145="--","",IF(HLOOKUP(SMALL($Q$4:$Y$4,6),$Q$4:$Y$501,ROW(AP145)-3,FALSE)=0,"",IF(HLOOKUP(SMALL($Q$4:$Y$4,6),$Q$4:$Y$501,ROW(AP145)-3,FALSE)="nee",VLOOKUP("De kwaliteitseis emissiearme grond (maximale concentratie) wordt overschreden.",H!$O$10:'H'!$P$59,2,FALSE),""))),"")</f>
        <v/>
      </c>
      <c r="BB145" s="6" t="str">
        <f t="shared" si="50"/>
        <v>--</v>
      </c>
      <c r="BC145" s="6" t="str">
        <f t="shared" si="51"/>
        <v/>
      </c>
      <c r="BD145" s="6" t="str">
        <f t="shared" si="52"/>
        <v>--</v>
      </c>
      <c r="BE145" s="6" t="str">
        <f t="shared" si="60"/>
        <v/>
      </c>
      <c r="BF145" s="6"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6" t="str">
        <f>IF(ISNUMBER(F!E146)=FALSE,"--",IF(F!E146=0,"--",F!E146))</f>
        <v>--</v>
      </c>
      <c r="C146" s="6" t="str">
        <f>IF(B146="--","",F!F146)</f>
        <v/>
      </c>
      <c r="D146" s="6" t="str">
        <f>IF(ISNUMBER(F!G146)=FALSE,"--",IF(F!G146=0,"--",F!G146))</f>
        <v>--</v>
      </c>
      <c r="E146" s="6" t="str">
        <f>IF(D146="--","",F!H146)</f>
        <v/>
      </c>
      <c r="F146" s="6" t="str">
        <f>IF(ISNUMBER(F!I146)=FALSE,"--",IF(F!I146=0,"--",F!I146))</f>
        <v>--</v>
      </c>
      <c r="G146" s="6" t="str">
        <f>IF(F146="--","",F!J146)</f>
        <v/>
      </c>
      <c r="H146" s="6"/>
      <c r="I146" s="101">
        <f>IF(F!Z146=0,-1,F!AV146)</f>
        <v>-1</v>
      </c>
      <c r="J146" s="6"/>
      <c r="K146" s="101">
        <f>IF(F!AC146=0,-1,F!AX146)</f>
        <v>-1</v>
      </c>
      <c r="L146" s="6"/>
      <c r="M146" s="101">
        <f>IF(F!AF146=0,-1,F!AZ146)</f>
        <v>-1</v>
      </c>
      <c r="N146" s="6"/>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6">
        <f t="shared" si="67"/>
        <v>-1</v>
      </c>
      <c r="R146" s="5" t="str">
        <f>IF($B146="--","",IF($P146="toetsen",toetsen(F!$B146,Q146),IF($P146="toetsen alleen IW",toetsen_alleen_IW(F!$B146,Q146),IF($P146="toetsen alleen LN",toetsen_alleen_LN(F!$B146,Q146),IF($P146="toetsen geen MV en SV",toetsen_geen_MV_en_SV(F!$B146,Q146),IF($P146="toetsen alleen MV en SV",toetsen_alleen_MV_en_SV(F!$B146,Q146),""))))))</f>
        <v/>
      </c>
      <c r="S146" s="5" t="str">
        <f>IF($P146="toetsen",IF(OR(Q146="",VLOOKUP(F!$B146,E!$B$1:$AK$300,10,FALSE)=1000000000),"",IF(Q146&lt;=VLOOKUP(F!$B146,E!$B$1:$AK$300,10,FALSE),"ja","nee")),"")</f>
        <v/>
      </c>
      <c r="T146" s="87">
        <f t="shared" si="62"/>
        <v>-1</v>
      </c>
      <c r="U146" s="5" t="str">
        <f>IF($D146="--","",IF($P146="toetsen",toetsen(F!$B146,T146),IF($P146="toetsen alleen IW",toetsen_alleen_IW(F!$B146,T146),IF($P146="toetsen alleen LN",toetsen_alleen_LN(F!$B146,T146),IF($P146="toetsen geen MV en SV",toetsen_geen_MV_en_SV(F!$B146,T146),IF($P146="toetsen alleen MV en SV",toetsen_alleen_MV_en_SV(F!$B146,T146),""))))))</f>
        <v/>
      </c>
      <c r="V146" s="5" t="str">
        <f>IF($P146="toetsen",IF(OR(T146="",VLOOKUP(F!$B146,E!$B$1:$AK$300,10,FALSE)=1000000000),"",IF(T146&lt;=VLOOKUP(F!$B146,E!$B$1:$AK$300,10,FALSE),"ja","nee")),"")</f>
        <v/>
      </c>
      <c r="W146" s="6">
        <f t="shared" si="63"/>
        <v>-1</v>
      </c>
      <c r="X146" s="5" t="str">
        <f>IF($F146="--","",IF($P146="toetsen",toetsen(F!$B146,W146),IF($P146="toetsen alleen IW",toetsen_alleen_IW(F!$B146,W146),IF($P146="toetsen alleen LN",toetsen_alleen_LN(F!$B146,W146),IF($P146="toetsen geen MV en SV",toetsen_geen_MV_en_SV(F!$B146,W146),IF($P146="toetsen alleen MV en SV",toetsen_alleen_MV_en_SV(F!$B146,W146),""))))))</f>
        <v/>
      </c>
      <c r="Y146" s="5" t="str">
        <f>IF($P146="toetsen",IF(OR(W146="",VLOOKUP(F!$B146,E!$B$1:$AK$300,10,FALSE)=1000000000),"",IF(W146&lt;=VLOOKUP(F!$B146,E!$B$1:$AK$300,10,FALSE),"ja","nee")),"")</f>
        <v/>
      </c>
      <c r="AA146" s="4">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6" t="str">
        <f t="shared" si="64"/>
        <v>--</v>
      </c>
      <c r="AJ146" s="6"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6" t="str">
        <f t="shared" si="65"/>
        <v>--</v>
      </c>
      <c r="AL146" s="6"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6" t="str">
        <f t="shared" si="66"/>
        <v>--</v>
      </c>
      <c r="AN146" s="6"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6" t="str">
        <f t="shared" si="53"/>
        <v>--</v>
      </c>
      <c r="AQ146" s="6" t="str">
        <f t="shared" si="54"/>
        <v/>
      </c>
      <c r="AR146" s="6" t="str">
        <f t="shared" si="55"/>
        <v>--</v>
      </c>
      <c r="AS146" s="6" t="str">
        <f t="shared" si="56"/>
        <v/>
      </c>
      <c r="AT146" s="6" t="str">
        <f t="shared" si="57"/>
        <v/>
      </c>
      <c r="AU146" s="6" t="str">
        <f>IFERROR(IF(AR146="--","",IF(HLOOKUP(SMALL($Q$4:$Y$4,3),$Q$4:$Y$501,ROW(AP146)-3,FALSE)=0,"",IF(HLOOKUP(SMALL($Q$4:$Y$4,3),$Q$4:$Y$501,ROW(AP146)-3,FALSE)="nee",VLOOKUP("De kwaliteitseis emissiearme grond (maximale concentratie) wordt overschreden.",H!$O$10:'H'!$P$59,2,FALSE),""))),"")</f>
        <v/>
      </c>
      <c r="AV146" s="6" t="str">
        <f t="shared" si="47"/>
        <v>--</v>
      </c>
      <c r="AW146" s="6" t="str">
        <f t="shared" si="48"/>
        <v/>
      </c>
      <c r="AX146" s="6" t="str">
        <f t="shared" si="49"/>
        <v>--</v>
      </c>
      <c r="AY146" s="6" t="str">
        <f t="shared" si="58"/>
        <v/>
      </c>
      <c r="AZ146" s="6" t="str">
        <f t="shared" si="59"/>
        <v/>
      </c>
      <c r="BA146" s="6" t="str">
        <f>IFERROR(IF(AR146="--","",IF(HLOOKUP(SMALL($Q$4:$Y$4,6),$Q$4:$Y$501,ROW(AP146)-3,FALSE)=0,"",IF(HLOOKUP(SMALL($Q$4:$Y$4,6),$Q$4:$Y$501,ROW(AP146)-3,FALSE)="nee",VLOOKUP("De kwaliteitseis emissiearme grond (maximale concentratie) wordt overschreden.",H!$O$10:'H'!$P$59,2,FALSE),""))),"")</f>
        <v/>
      </c>
      <c r="BB146" s="6" t="str">
        <f t="shared" si="50"/>
        <v>--</v>
      </c>
      <c r="BC146" s="6" t="str">
        <f t="shared" si="51"/>
        <v/>
      </c>
      <c r="BD146" s="6" t="str">
        <f t="shared" si="52"/>
        <v>--</v>
      </c>
      <c r="BE146" s="6" t="str">
        <f t="shared" si="60"/>
        <v/>
      </c>
      <c r="BF146" s="6"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6" t="str">
        <f>IF(ISNUMBER(F!E147)=FALSE,"--",IF(F!E147=0,"--",F!E147))</f>
        <v>--</v>
      </c>
      <c r="C147" s="6" t="str">
        <f>IF(B147="--","",F!F147)</f>
        <v/>
      </c>
      <c r="D147" s="6" t="str">
        <f>IF(ISNUMBER(F!G147)=FALSE,"--",IF(F!G147=0,"--",F!G147))</f>
        <v>--</v>
      </c>
      <c r="E147" s="6" t="str">
        <f>IF(D147="--","",F!H147)</f>
        <v/>
      </c>
      <c r="F147" s="6" t="str">
        <f>IF(ISNUMBER(F!I147)=FALSE,"--",IF(F!I147=0,"--",F!I147))</f>
        <v>--</v>
      </c>
      <c r="G147" s="6" t="str">
        <f>IF(F147="--","",F!J147)</f>
        <v/>
      </c>
      <c r="H147" s="6"/>
      <c r="I147" s="6" t="str">
        <f>IF(F!Z147=-1,-1,F!AV147)</f>
        <v/>
      </c>
      <c r="J147" s="6"/>
      <c r="K147" s="6" t="str">
        <f>IF(F!AC147=-1,-1,F!AX147)</f>
        <v/>
      </c>
      <c r="L147" s="6"/>
      <c r="M147" s="6" t="str">
        <f>IF(F!AF147=-1,-1,F!AZ147)</f>
        <v/>
      </c>
      <c r="N147" s="6"/>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6" t="str">
        <f t="shared" si="67"/>
        <v/>
      </c>
      <c r="R147" s="5" t="str">
        <f>IF($B147="--","",IF($P147="toetsen",toetsen(F!$B147,Q147),IF($P147="toetsen alleen IW",toetsen_alleen_IW(F!$B147,Q147),IF($P147="toetsen alleen LN",toetsen_alleen_LN(F!$B147,Q147),IF($P147="toetsen geen MV en SV",toetsen_geen_MV_en_SV(F!$B147,Q147),IF($P147="toetsen alleen MV en SV",toetsen_alleen_MV_en_SV(F!$B147,Q147),""))))))</f>
        <v/>
      </c>
      <c r="S147" s="5" t="str">
        <f>IF($P147="toetsen",IF(OR(Q147="",VLOOKUP(F!$B147,E!$B$1:$AK$300,10,FALSE)=1000000000),"",IF(Q147&lt;=VLOOKUP(F!$B147,E!$B$1:$AK$300,10,FALSE),"ja","nee")),"")</f>
        <v/>
      </c>
      <c r="T147" s="87" t="str">
        <f t="shared" si="62"/>
        <v/>
      </c>
      <c r="U147" s="5" t="str">
        <f>IF($D147="--","",IF($P147="toetsen",toetsen(F!$B147,T147),IF($P147="toetsen alleen IW",toetsen_alleen_IW(F!$B147,T147),IF($P147="toetsen alleen LN",toetsen_alleen_LN(F!$B147,T147),IF($P147="toetsen geen MV en SV",toetsen_geen_MV_en_SV(F!$B147,T147),IF($P147="toetsen alleen MV en SV",toetsen_alleen_MV_en_SV(F!$B147,T147),""))))))</f>
        <v/>
      </c>
      <c r="V147" s="5" t="str">
        <f>IF($P147="toetsen",IF(OR(T147="",VLOOKUP(F!$B147,E!$B$1:$AK$300,10,FALSE)=1000000000),"",IF(T147&lt;=VLOOKUP(F!$B147,E!$B$1:$AK$300,10,FALSE),"ja","nee")),"")</f>
        <v/>
      </c>
      <c r="W147" s="6" t="str">
        <f t="shared" si="63"/>
        <v/>
      </c>
      <c r="X147" s="5" t="str">
        <f>IF($F147="--","",IF($P147="toetsen",toetsen(F!$B147,W147),IF($P147="toetsen alleen IW",toetsen_alleen_IW(F!$B147,W147),IF($P147="toetsen alleen LN",toetsen_alleen_LN(F!$B147,W147),IF($P147="toetsen geen MV en SV",toetsen_geen_MV_en_SV(F!$B147,W147),IF($P147="toetsen alleen MV en SV",toetsen_alleen_MV_en_SV(F!$B147,W147),""))))))</f>
        <v/>
      </c>
      <c r="Y147" s="5" t="str">
        <f>IF($P147="toetsen",IF(OR(W147="",VLOOKUP(F!$B147,E!$B$1:$AK$300,10,FALSE)=1000000000),"",IF(W147&lt;=VLOOKUP(F!$B147,E!$B$1:$AK$300,10,FALSE),"ja","nee")),"")</f>
        <v/>
      </c>
      <c r="AA147" s="4"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6" t="str">
        <f t="shared" si="64"/>
        <v>--</v>
      </c>
      <c r="AJ147" s="6"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6" t="str">
        <f t="shared" si="65"/>
        <v>--</v>
      </c>
      <c r="AL147" s="6"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6" t="str">
        <f t="shared" si="66"/>
        <v>--</v>
      </c>
      <c r="AN147" s="6"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6" t="str">
        <f t="shared" si="53"/>
        <v>--</v>
      </c>
      <c r="AQ147" s="6" t="str">
        <f t="shared" si="54"/>
        <v/>
      </c>
      <c r="AR147" s="6" t="str">
        <f t="shared" si="55"/>
        <v>--</v>
      </c>
      <c r="AS147" s="6" t="str">
        <f t="shared" si="56"/>
        <v/>
      </c>
      <c r="AT147" s="6" t="str">
        <f t="shared" si="57"/>
        <v/>
      </c>
      <c r="AU147" s="6" t="str">
        <f>IFERROR(IF(AR147="--","",IF(HLOOKUP(SMALL($Q$4:$Y$4,3),$Q$4:$Y$501,ROW(AP147)-3,FALSE)=0,"",IF(HLOOKUP(SMALL($Q$4:$Y$4,3),$Q$4:$Y$501,ROW(AP147)-3,FALSE)="nee",VLOOKUP("De kwaliteitseis emissiearme grond (maximale concentratie) wordt overschreden.",H!$O$10:'H'!$P$59,2,FALSE),""))),"")</f>
        <v/>
      </c>
      <c r="AV147" s="6" t="str">
        <f t="shared" si="47"/>
        <v>--</v>
      </c>
      <c r="AW147" s="6" t="str">
        <f t="shared" si="48"/>
        <v/>
      </c>
      <c r="AX147" s="6" t="str">
        <f t="shared" si="49"/>
        <v>--</v>
      </c>
      <c r="AY147" s="6" t="str">
        <f t="shared" si="58"/>
        <v/>
      </c>
      <c r="AZ147" s="6" t="str">
        <f t="shared" si="59"/>
        <v/>
      </c>
      <c r="BA147" s="6" t="str">
        <f>IFERROR(IF(AR147="--","",IF(HLOOKUP(SMALL($Q$4:$Y$4,6),$Q$4:$Y$501,ROW(AP147)-3,FALSE)=0,"",IF(HLOOKUP(SMALL($Q$4:$Y$4,6),$Q$4:$Y$501,ROW(AP147)-3,FALSE)="nee",VLOOKUP("De kwaliteitseis emissiearme grond (maximale concentratie) wordt overschreden.",H!$O$10:'H'!$P$59,2,FALSE),""))),"")</f>
        <v/>
      </c>
      <c r="BB147" s="6" t="str">
        <f t="shared" si="50"/>
        <v>--</v>
      </c>
      <c r="BC147" s="6" t="str">
        <f t="shared" si="51"/>
        <v/>
      </c>
      <c r="BD147" s="6" t="str">
        <f t="shared" si="52"/>
        <v>--</v>
      </c>
      <c r="BE147" s="6" t="str">
        <f t="shared" si="60"/>
        <v/>
      </c>
      <c r="BF147" s="6"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6" t="str">
        <f>IF(ISNUMBER(F!E148)=FALSE,"--",IF(F!E148=0,"--",F!E148))</f>
        <v>--</v>
      </c>
      <c r="C148" s="6" t="str">
        <f>IF(B148="--","",F!F148)</f>
        <v/>
      </c>
      <c r="D148" s="6" t="str">
        <f>IF(ISNUMBER(F!G148)=FALSE,"--",IF(F!G148=0,"--",F!G148))</f>
        <v>--</v>
      </c>
      <c r="E148" s="6" t="str">
        <f>IF(D148="--","",F!H148)</f>
        <v/>
      </c>
      <c r="F148" s="6" t="str">
        <f>IF(ISNUMBER(F!I148)=FALSE,"--",IF(F!I148=0,"--",F!I148))</f>
        <v>--</v>
      </c>
      <c r="G148" s="6" t="str">
        <f>IF(F148="--","",F!J148)</f>
        <v/>
      </c>
      <c r="H148" s="6"/>
      <c r="I148" s="6" t="str">
        <f>IF(F!Z148=-1,-1,F!AV148)</f>
        <v/>
      </c>
      <c r="J148" s="6"/>
      <c r="K148" s="6" t="str">
        <f>IF(F!AC148=-1,-1,F!AX148)</f>
        <v/>
      </c>
      <c r="L148" s="6"/>
      <c r="M148" s="6" t="str">
        <f>IF(F!AF148=-1,-1,F!AZ148)</f>
        <v/>
      </c>
      <c r="N148" s="6"/>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6" t="str">
        <f t="shared" si="67"/>
        <v/>
      </c>
      <c r="R148" s="5" t="str">
        <f>IF($B148="--","",IF($P148="toetsen",toetsen(F!$B148,Q148),IF($P148="toetsen alleen IW",toetsen_alleen_IW(F!$B148,Q148),IF($P148="toetsen alleen LN",toetsen_alleen_LN(F!$B148,Q148),IF($P148="toetsen geen MV en SV",toetsen_geen_MV_en_SV(F!$B148,Q148),IF($P148="toetsen alleen MV en SV",toetsen_alleen_MV_en_SV(F!$B148,Q148),""))))))</f>
        <v/>
      </c>
      <c r="S148" s="5" t="str">
        <f>IF($P148="toetsen",IF(OR(Q148="",VLOOKUP(F!$B148,E!$B$1:$AK$300,10,FALSE)=1000000000),"",IF(Q148&lt;=VLOOKUP(F!$B148,E!$B$1:$AK$300,10,FALSE),"ja","nee")),"")</f>
        <v/>
      </c>
      <c r="T148" s="87" t="str">
        <f t="shared" si="62"/>
        <v/>
      </c>
      <c r="U148" s="5" t="str">
        <f>IF($D148="--","",IF($P148="toetsen",toetsen(F!$B148,T148),IF($P148="toetsen alleen IW",toetsen_alleen_IW(F!$B148,T148),IF($P148="toetsen alleen LN",toetsen_alleen_LN(F!$B148,T148),IF($P148="toetsen geen MV en SV",toetsen_geen_MV_en_SV(F!$B148,T148),IF($P148="toetsen alleen MV en SV",toetsen_alleen_MV_en_SV(F!$B148,T148),""))))))</f>
        <v/>
      </c>
      <c r="V148" s="5" t="str">
        <f>IF($P148="toetsen",IF(OR(T148="",VLOOKUP(F!$B148,E!$B$1:$AK$300,10,FALSE)=1000000000),"",IF(T148&lt;=VLOOKUP(F!$B148,E!$B$1:$AK$300,10,FALSE),"ja","nee")),"")</f>
        <v/>
      </c>
      <c r="W148" s="6" t="str">
        <f t="shared" si="63"/>
        <v/>
      </c>
      <c r="X148" s="5" t="str">
        <f>IF($F148="--","",IF($P148="toetsen",toetsen(F!$B148,W148),IF($P148="toetsen alleen IW",toetsen_alleen_IW(F!$B148,W148),IF($P148="toetsen alleen LN",toetsen_alleen_LN(F!$B148,W148),IF($P148="toetsen geen MV en SV",toetsen_geen_MV_en_SV(F!$B148,W148),IF($P148="toetsen alleen MV en SV",toetsen_alleen_MV_en_SV(F!$B148,W148),""))))))</f>
        <v/>
      </c>
      <c r="Y148" s="5" t="str">
        <f>IF($P148="toetsen",IF(OR(W148="",VLOOKUP(F!$B148,E!$B$1:$AK$300,10,FALSE)=1000000000),"",IF(W148&lt;=VLOOKUP(F!$B148,E!$B$1:$AK$300,10,FALSE),"ja","nee")),"")</f>
        <v/>
      </c>
      <c r="AA148" s="4"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6" t="str">
        <f t="shared" si="64"/>
        <v>--</v>
      </c>
      <c r="AJ148" s="6"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6" t="str">
        <f t="shared" si="65"/>
        <v>--</v>
      </c>
      <c r="AL148" s="6"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6" t="str">
        <f t="shared" si="66"/>
        <v>--</v>
      </c>
      <c r="AN148" s="6"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6" t="str">
        <f t="shared" si="53"/>
        <v>--</v>
      </c>
      <c r="AQ148" s="6" t="str">
        <f t="shared" si="54"/>
        <v/>
      </c>
      <c r="AR148" s="6" t="str">
        <f t="shared" si="55"/>
        <v>--</v>
      </c>
      <c r="AS148" s="6" t="str">
        <f t="shared" si="56"/>
        <v/>
      </c>
      <c r="AT148" s="6" t="str">
        <f t="shared" si="57"/>
        <v/>
      </c>
      <c r="AU148" s="6" t="str">
        <f>IFERROR(IF(AR148="--","",IF(HLOOKUP(SMALL($Q$4:$Y$4,3),$Q$4:$Y$501,ROW(AP148)-3,FALSE)=0,"",IF(HLOOKUP(SMALL($Q$4:$Y$4,3),$Q$4:$Y$501,ROW(AP148)-3,FALSE)="nee",VLOOKUP("De kwaliteitseis emissiearme grond (maximale concentratie) wordt overschreden.",H!$O$10:'H'!$P$59,2,FALSE),""))),"")</f>
        <v/>
      </c>
      <c r="AV148" s="6" t="str">
        <f t="shared" si="47"/>
        <v>--</v>
      </c>
      <c r="AW148" s="6" t="str">
        <f t="shared" si="48"/>
        <v/>
      </c>
      <c r="AX148" s="6" t="str">
        <f t="shared" si="49"/>
        <v>--</v>
      </c>
      <c r="AY148" s="6" t="str">
        <f t="shared" si="58"/>
        <v/>
      </c>
      <c r="AZ148" s="6" t="str">
        <f t="shared" si="59"/>
        <v/>
      </c>
      <c r="BA148" s="6" t="str">
        <f>IFERROR(IF(AR148="--","",IF(HLOOKUP(SMALL($Q$4:$Y$4,6),$Q$4:$Y$501,ROW(AP148)-3,FALSE)=0,"",IF(HLOOKUP(SMALL($Q$4:$Y$4,6),$Q$4:$Y$501,ROW(AP148)-3,FALSE)="nee",VLOOKUP("De kwaliteitseis emissiearme grond (maximale concentratie) wordt overschreden.",H!$O$10:'H'!$P$59,2,FALSE),""))),"")</f>
        <v/>
      </c>
      <c r="BB148" s="6" t="str">
        <f t="shared" si="50"/>
        <v>--</v>
      </c>
      <c r="BC148" s="6" t="str">
        <f t="shared" si="51"/>
        <v/>
      </c>
      <c r="BD148" s="6" t="str">
        <f t="shared" si="52"/>
        <v>--</v>
      </c>
      <c r="BE148" s="6" t="str">
        <f t="shared" si="60"/>
        <v/>
      </c>
      <c r="BF148" s="6"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6" t="str">
        <f>IF(ISNUMBER(F!E149)=FALSE,"--",IF(F!E149=0,"--",F!E149))</f>
        <v>--</v>
      </c>
      <c r="C149" s="6" t="str">
        <f>IF(B149="--","",F!F149)</f>
        <v/>
      </c>
      <c r="D149" s="6" t="str">
        <f>IF(ISNUMBER(F!G149)=FALSE,"--",IF(F!G149=0,"--",F!G149))</f>
        <v>--</v>
      </c>
      <c r="E149" s="6" t="str">
        <f>IF(D149="--","",F!H149)</f>
        <v/>
      </c>
      <c r="F149" s="6" t="str">
        <f>IF(ISNUMBER(F!I149)=FALSE,"--",IF(F!I149=0,"--",F!I149))</f>
        <v>--</v>
      </c>
      <c r="G149" s="6" t="str">
        <f>IF(F149="--","",F!J149)</f>
        <v/>
      </c>
      <c r="H149" s="6"/>
      <c r="I149" s="16" t="str">
        <f>IF(F!AA149=-1,-1,F!AV149)</f>
        <v/>
      </c>
      <c r="J149" s="6"/>
      <c r="K149" s="16" t="str">
        <f>IF(F!AD149=-1,-1,F!AX149)</f>
        <v/>
      </c>
      <c r="L149" s="6"/>
      <c r="M149" s="16" t="str">
        <f>IF(F!AG149=-1,-1,F!AZ149)</f>
        <v/>
      </c>
      <c r="N149" s="6"/>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6" t="str">
        <f t="shared" si="67"/>
        <v/>
      </c>
      <c r="R149" s="5" t="str">
        <f>IF($B149="--","",IF($P149="toetsen",toetsen(F!$B149,Q149),IF($P149="toetsen alleen IW",toetsen_alleen_IW(F!$B149,Q149),IF($P149="toetsen alleen LN",toetsen_alleen_LN(F!$B149,Q149),IF($P149="toetsen geen MV en SV",toetsen_geen_MV_en_SV(F!$B149,Q149),IF($P149="toetsen alleen MV en SV",toetsen_alleen_MV_en_SV(F!$B149,Q149),""))))))</f>
        <v/>
      </c>
      <c r="S149" s="5" t="str">
        <f>IF($P149="toetsen",IF(OR(Q149="",VLOOKUP(F!$B149,E!$B$1:$AK$300,10,FALSE)=1000000000),"",IF(Q149&lt;=VLOOKUP(F!$B149,E!$B$1:$AK$300,10,FALSE),"ja","nee")),"")</f>
        <v/>
      </c>
      <c r="T149" s="87" t="str">
        <f t="shared" si="62"/>
        <v/>
      </c>
      <c r="U149" s="5" t="str">
        <f>IF($D149="--","",IF($P149="toetsen",toetsen(F!$B149,T149),IF($P149="toetsen alleen IW",toetsen_alleen_IW(F!$B149,T149),IF($P149="toetsen alleen LN",toetsen_alleen_LN(F!$B149,T149),IF($P149="toetsen geen MV en SV",toetsen_geen_MV_en_SV(F!$B149,T149),IF($P149="toetsen alleen MV en SV",toetsen_alleen_MV_en_SV(F!$B149,T149),""))))))</f>
        <v/>
      </c>
      <c r="V149" s="5" t="str">
        <f>IF($P149="toetsen",IF(OR(T149="",VLOOKUP(F!$B149,E!$B$1:$AK$300,10,FALSE)=1000000000),"",IF(T149&lt;=VLOOKUP(F!$B149,E!$B$1:$AK$300,10,FALSE),"ja","nee")),"")</f>
        <v/>
      </c>
      <c r="W149" s="6" t="str">
        <f t="shared" si="63"/>
        <v/>
      </c>
      <c r="X149" s="5" t="str">
        <f>IF($F149="--","",IF($P149="toetsen",toetsen(F!$B149,W149),IF($P149="toetsen alleen IW",toetsen_alleen_IW(F!$B149,W149),IF($P149="toetsen alleen LN",toetsen_alleen_LN(F!$B149,W149),IF($P149="toetsen geen MV en SV",toetsen_geen_MV_en_SV(F!$B149,W149),IF($P149="toetsen alleen MV en SV",toetsen_alleen_MV_en_SV(F!$B149,W149),""))))))</f>
        <v/>
      </c>
      <c r="Y149" s="5" t="str">
        <f>IF($P149="toetsen",IF(OR(W149="",VLOOKUP(F!$B149,E!$B$1:$AK$300,10,FALSE)=1000000000),"",IF(W149&lt;=VLOOKUP(F!$B149,E!$B$1:$AK$300,10,FALSE),"ja","nee")),"")</f>
        <v/>
      </c>
      <c r="AA149" s="4"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6" t="str">
        <f t="shared" si="64"/>
        <v>--</v>
      </c>
      <c r="AJ149" s="6"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6" t="str">
        <f t="shared" si="65"/>
        <v>--</v>
      </c>
      <c r="AL149" s="6"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6" t="str">
        <f t="shared" si="66"/>
        <v>--</v>
      </c>
      <c r="AN149" s="6"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6" t="str">
        <f t="shared" si="53"/>
        <v>--</v>
      </c>
      <c r="AQ149" s="6" t="str">
        <f t="shared" si="54"/>
        <v/>
      </c>
      <c r="AR149" s="6" t="str">
        <f t="shared" si="55"/>
        <v>--</v>
      </c>
      <c r="AS149" s="6" t="str">
        <f t="shared" si="56"/>
        <v/>
      </c>
      <c r="AT149" s="6" t="str">
        <f t="shared" si="57"/>
        <v/>
      </c>
      <c r="AU149" s="6" t="str">
        <f>IFERROR(IF(AR149="--","",IF(HLOOKUP(SMALL($Q$4:$Y$4,3),$Q$4:$Y$501,ROW(AP149)-3,FALSE)=0,"",IF(HLOOKUP(SMALL($Q$4:$Y$4,3),$Q$4:$Y$501,ROW(AP149)-3,FALSE)="nee",VLOOKUP("De kwaliteitseis emissiearme grond (maximale concentratie) wordt overschreden.",H!$O$10:'H'!$P$59,2,FALSE),""))),"")</f>
        <v/>
      </c>
      <c r="AV149" s="6" t="str">
        <f t="shared" si="47"/>
        <v>--</v>
      </c>
      <c r="AW149" s="6" t="str">
        <f t="shared" si="48"/>
        <v/>
      </c>
      <c r="AX149" s="6" t="str">
        <f t="shared" si="49"/>
        <v>--</v>
      </c>
      <c r="AY149" s="6" t="str">
        <f t="shared" si="58"/>
        <v/>
      </c>
      <c r="AZ149" s="6" t="str">
        <f t="shared" si="59"/>
        <v/>
      </c>
      <c r="BA149" s="6" t="str">
        <f>IFERROR(IF(AR149="--","",IF(HLOOKUP(SMALL($Q$4:$Y$4,6),$Q$4:$Y$501,ROW(AP149)-3,FALSE)=0,"",IF(HLOOKUP(SMALL($Q$4:$Y$4,6),$Q$4:$Y$501,ROW(AP149)-3,FALSE)="nee",VLOOKUP("De kwaliteitseis emissiearme grond (maximale concentratie) wordt overschreden.",H!$O$10:'H'!$P$59,2,FALSE),""))),"")</f>
        <v/>
      </c>
      <c r="BB149" s="6" t="str">
        <f t="shared" si="50"/>
        <v>--</v>
      </c>
      <c r="BC149" s="6" t="str">
        <f t="shared" si="51"/>
        <v/>
      </c>
      <c r="BD149" s="6" t="str">
        <f t="shared" si="52"/>
        <v>--</v>
      </c>
      <c r="BE149" s="6" t="str">
        <f t="shared" si="60"/>
        <v/>
      </c>
      <c r="BF149" s="6"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6" t="str">
        <f>IF(ISNUMBER(F!E150)=FALSE,"--",IF(F!E150=0,"--",F!E150))</f>
        <v>--</v>
      </c>
      <c r="C150" s="6" t="str">
        <f>IF(B150="--","",F!F150)</f>
        <v/>
      </c>
      <c r="D150" s="6" t="str">
        <f>IF(ISNUMBER(F!G150)=FALSE,"--",IF(F!G150=0,"--",F!G150))</f>
        <v>--</v>
      </c>
      <c r="E150" s="6" t="str">
        <f>IF(D150="--","",F!H150)</f>
        <v/>
      </c>
      <c r="F150" s="6" t="str">
        <f>IF(ISNUMBER(F!I150)=FALSE,"--",IF(F!I150=0,"--",F!I150))</f>
        <v>--</v>
      </c>
      <c r="G150" s="6" t="str">
        <f>IF(F150="--","",F!J150)</f>
        <v/>
      </c>
      <c r="H150" s="6"/>
      <c r="I150" s="16" t="str">
        <f>IF(F!AA150=-1,-1,F!AV150)</f>
        <v/>
      </c>
      <c r="J150" s="6"/>
      <c r="K150" s="16" t="str">
        <f>IF(F!AD150=-1,-1,F!AX150)</f>
        <v/>
      </c>
      <c r="L150" s="6"/>
      <c r="M150" s="16" t="str">
        <f>IF(F!AG150=-1,-1,F!AZ150)</f>
        <v/>
      </c>
      <c r="N150" s="6"/>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6" t="str">
        <f t="shared" si="67"/>
        <v/>
      </c>
      <c r="R150" s="5" t="str">
        <f>IF($B150="--","",IF($P150="toetsen",toetsen(F!$B150,Q150),IF($P150="toetsen alleen IW",toetsen_alleen_IW(F!$B150,Q150),IF($P150="toetsen alleen LN",toetsen_alleen_LN(F!$B150,Q150),IF($P150="toetsen geen MV en SV",toetsen_geen_MV_en_SV(F!$B150,Q150),IF($P150="toetsen alleen MV en SV",toetsen_alleen_MV_en_SV(F!$B150,Q150),""))))))</f>
        <v/>
      </c>
      <c r="S150" s="5" t="str">
        <f>IF($P150="toetsen",IF(OR(Q150="",VLOOKUP(F!$B150,E!$B$1:$AK$300,10,FALSE)=1000000000),"",IF(Q150&lt;=VLOOKUP(F!$B150,E!$B$1:$AK$300,10,FALSE),"ja","nee")),"")</f>
        <v/>
      </c>
      <c r="T150" s="87" t="str">
        <f t="shared" si="62"/>
        <v/>
      </c>
      <c r="U150" s="5" t="str">
        <f>IF($D150="--","",IF($P150="toetsen",toetsen(F!$B150,T150),IF($P150="toetsen alleen IW",toetsen_alleen_IW(F!$B150,T150),IF($P150="toetsen alleen LN",toetsen_alleen_LN(F!$B150,T150),IF($P150="toetsen geen MV en SV",toetsen_geen_MV_en_SV(F!$B150,T150),IF($P150="toetsen alleen MV en SV",toetsen_alleen_MV_en_SV(F!$B150,T150),""))))))</f>
        <v/>
      </c>
      <c r="V150" s="5" t="str">
        <f>IF($P150="toetsen",IF(OR(T150="",VLOOKUP(F!$B150,E!$B$1:$AK$300,10,FALSE)=1000000000),"",IF(T150&lt;=VLOOKUP(F!$B150,E!$B$1:$AK$300,10,FALSE),"ja","nee")),"")</f>
        <v/>
      </c>
      <c r="W150" s="6" t="str">
        <f t="shared" si="63"/>
        <v/>
      </c>
      <c r="X150" s="5" t="str">
        <f>IF($F150="--","",IF($P150="toetsen",toetsen(F!$B150,W150),IF($P150="toetsen alleen IW",toetsen_alleen_IW(F!$B150,W150),IF($P150="toetsen alleen LN",toetsen_alleen_LN(F!$B150,W150),IF($P150="toetsen geen MV en SV",toetsen_geen_MV_en_SV(F!$B150,W150),IF($P150="toetsen alleen MV en SV",toetsen_alleen_MV_en_SV(F!$B150,W150),""))))))</f>
        <v/>
      </c>
      <c r="Y150" s="5" t="str">
        <f>IF($P150="toetsen",IF(OR(W150="",VLOOKUP(F!$B150,E!$B$1:$AK$300,10,FALSE)=1000000000),"",IF(W150&lt;=VLOOKUP(F!$B150,E!$B$1:$AK$300,10,FALSE),"ja","nee")),"")</f>
        <v/>
      </c>
      <c r="AA150" s="4"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6" t="str">
        <f t="shared" si="64"/>
        <v>--</v>
      </c>
      <c r="AJ150" s="6"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6" t="str">
        <f t="shared" si="65"/>
        <v>--</v>
      </c>
      <c r="AL150" s="6"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6" t="str">
        <f t="shared" si="66"/>
        <v>--</v>
      </c>
      <c r="AN150" s="6"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6" t="str">
        <f t="shared" si="53"/>
        <v>--</v>
      </c>
      <c r="AQ150" s="6" t="str">
        <f t="shared" si="54"/>
        <v/>
      </c>
      <c r="AR150" s="6" t="str">
        <f t="shared" si="55"/>
        <v>--</v>
      </c>
      <c r="AS150" s="6" t="str">
        <f t="shared" si="56"/>
        <v/>
      </c>
      <c r="AT150" s="6" t="str">
        <f t="shared" si="57"/>
        <v/>
      </c>
      <c r="AU150" s="6" t="str">
        <f>IFERROR(IF(AR150="--","",IF(HLOOKUP(SMALL($Q$4:$Y$4,3),$Q$4:$Y$501,ROW(AP150)-3,FALSE)=0,"",IF(HLOOKUP(SMALL($Q$4:$Y$4,3),$Q$4:$Y$501,ROW(AP150)-3,FALSE)="nee",VLOOKUP("De kwaliteitseis emissiearme grond (maximale concentratie) wordt overschreden.",H!$O$10:'H'!$P$59,2,FALSE),""))),"")</f>
        <v/>
      </c>
      <c r="AV150" s="6" t="str">
        <f t="shared" si="47"/>
        <v>--</v>
      </c>
      <c r="AW150" s="6" t="str">
        <f t="shared" si="48"/>
        <v/>
      </c>
      <c r="AX150" s="6" t="str">
        <f t="shared" si="49"/>
        <v>--</v>
      </c>
      <c r="AY150" s="6" t="str">
        <f t="shared" si="58"/>
        <v/>
      </c>
      <c r="AZ150" s="6" t="str">
        <f t="shared" si="59"/>
        <v/>
      </c>
      <c r="BA150" s="6" t="str">
        <f>IFERROR(IF(AR150="--","",IF(HLOOKUP(SMALL($Q$4:$Y$4,6),$Q$4:$Y$501,ROW(AP150)-3,FALSE)=0,"",IF(HLOOKUP(SMALL($Q$4:$Y$4,6),$Q$4:$Y$501,ROW(AP150)-3,FALSE)="nee",VLOOKUP("De kwaliteitseis emissiearme grond (maximale concentratie) wordt overschreden.",H!$O$10:'H'!$P$59,2,FALSE),""))),"")</f>
        <v/>
      </c>
      <c r="BB150" s="6" t="str">
        <f t="shared" si="50"/>
        <v>--</v>
      </c>
      <c r="BC150" s="6" t="str">
        <f t="shared" si="51"/>
        <v/>
      </c>
      <c r="BD150" s="6" t="str">
        <f t="shared" si="52"/>
        <v>--</v>
      </c>
      <c r="BE150" s="6" t="str">
        <f t="shared" si="60"/>
        <v/>
      </c>
      <c r="BF150" s="6"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6" t="str">
        <f>IF(ISNUMBER(F!E151)=FALSE,"--",IF(F!E151=0,"--",F!E151))</f>
        <v>--</v>
      </c>
      <c r="C151" s="6" t="str">
        <f>IF(B151="--","",F!F151)</f>
        <v/>
      </c>
      <c r="D151" s="6" t="str">
        <f>IF(ISNUMBER(F!G151)=FALSE,"--",IF(F!G151=0,"--",F!G151))</f>
        <v>--</v>
      </c>
      <c r="E151" s="6" t="str">
        <f>IF(D151="--","",F!H151)</f>
        <v/>
      </c>
      <c r="F151" s="6" t="str">
        <f>IF(ISNUMBER(F!I151)=FALSE,"--",IF(F!I151=0,"--",F!I151))</f>
        <v>--</v>
      </c>
      <c r="G151" s="6" t="str">
        <f>IF(F151="--","",F!J151)</f>
        <v/>
      </c>
      <c r="H151" s="6"/>
      <c r="I151" s="101">
        <f>IF(F!Z151=0,-1,F!AV151)</f>
        <v>-1</v>
      </c>
      <c r="J151" s="6"/>
      <c r="K151" s="101">
        <f>IF(F!AC151=0,-1,F!AX151)</f>
        <v>-1</v>
      </c>
      <c r="L151" s="6"/>
      <c r="M151" s="101">
        <f>IF(F!AF151=0,-1,F!AZ151)</f>
        <v>-1</v>
      </c>
      <c r="N151" s="6"/>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6">
        <f t="shared" si="67"/>
        <v>-1</v>
      </c>
      <c r="R151" s="5" t="str">
        <f>IF($B151="--","",IF($P151="toetsen",toetsen(F!$B151,Q151),IF($P151="toetsen alleen IW",toetsen_alleen_IW(F!$B151,Q151),IF($P151="toetsen alleen LN",toetsen_alleen_LN(F!$B151,Q151),IF($P151="toetsen geen MV en SV",toetsen_geen_MV_en_SV(F!$B151,Q151),IF($P151="toetsen alleen MV en SV",toetsen_alleen_MV_en_SV(F!$B151,Q151),""))))))</f>
        <v/>
      </c>
      <c r="S151" s="5" t="str">
        <f>IF($P151="toetsen",IF(OR(Q151="",VLOOKUP(F!$B151,E!$B$1:$AK$300,10,FALSE)=1000000000),"",IF(Q151&lt;=VLOOKUP(F!$B151,E!$B$1:$AK$300,10,FALSE),"ja","nee")),"")</f>
        <v/>
      </c>
      <c r="T151" s="87">
        <f t="shared" si="62"/>
        <v>-1</v>
      </c>
      <c r="U151" s="5" t="str">
        <f>IF($D151="--","",IF($P151="toetsen",toetsen(F!$B151,T151),IF($P151="toetsen alleen IW",toetsen_alleen_IW(F!$B151,T151),IF($P151="toetsen alleen LN",toetsen_alleen_LN(F!$B151,T151),IF($P151="toetsen geen MV en SV",toetsen_geen_MV_en_SV(F!$B151,T151),IF($P151="toetsen alleen MV en SV",toetsen_alleen_MV_en_SV(F!$B151,T151),""))))))</f>
        <v/>
      </c>
      <c r="V151" s="5" t="str">
        <f>IF($P151="toetsen",IF(OR(T151="",VLOOKUP(F!$B151,E!$B$1:$AK$300,10,FALSE)=1000000000),"",IF(T151&lt;=VLOOKUP(F!$B151,E!$B$1:$AK$300,10,FALSE),"ja","nee")),"")</f>
        <v/>
      </c>
      <c r="W151" s="6">
        <f t="shared" si="63"/>
        <v>-1</v>
      </c>
      <c r="X151" s="5" t="str">
        <f>IF($F151="--","",IF($P151="toetsen",toetsen(F!$B151,W151),IF($P151="toetsen alleen IW",toetsen_alleen_IW(F!$B151,W151),IF($P151="toetsen alleen LN",toetsen_alleen_LN(F!$B151,W151),IF($P151="toetsen geen MV en SV",toetsen_geen_MV_en_SV(F!$B151,W151),IF($P151="toetsen alleen MV en SV",toetsen_alleen_MV_en_SV(F!$B151,W151),""))))))</f>
        <v/>
      </c>
      <c r="Y151" s="5" t="str">
        <f>IF($P151="toetsen",IF(OR(W151="",VLOOKUP(F!$B151,E!$B$1:$AK$300,10,FALSE)=1000000000),"",IF(W151&lt;=VLOOKUP(F!$B151,E!$B$1:$AK$300,10,FALSE),"ja","nee")),"")</f>
        <v/>
      </c>
      <c r="AA151" s="4">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6" t="str">
        <f t="shared" si="64"/>
        <v>--</v>
      </c>
      <c r="AJ151" s="6"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6" t="str">
        <f t="shared" si="65"/>
        <v>--</v>
      </c>
      <c r="AL151" s="6"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6" t="str">
        <f t="shared" si="66"/>
        <v>--</v>
      </c>
      <c r="AN151" s="6"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6" t="str">
        <f t="shared" si="53"/>
        <v>--</v>
      </c>
      <c r="AQ151" s="6" t="str">
        <f t="shared" si="54"/>
        <v/>
      </c>
      <c r="AR151" s="6" t="str">
        <f t="shared" si="55"/>
        <v>--</v>
      </c>
      <c r="AS151" s="6" t="str">
        <f t="shared" si="56"/>
        <v/>
      </c>
      <c r="AT151" s="6" t="str">
        <f t="shared" si="57"/>
        <v/>
      </c>
      <c r="AU151" s="6" t="str">
        <f>IFERROR(IF(AR151="--","",IF(HLOOKUP(SMALL($Q$4:$Y$4,3),$Q$4:$Y$501,ROW(AP151)-3,FALSE)=0,"",IF(HLOOKUP(SMALL($Q$4:$Y$4,3),$Q$4:$Y$501,ROW(AP151)-3,FALSE)="nee",VLOOKUP("De kwaliteitseis emissiearme grond (maximale concentratie) wordt overschreden.",H!$O$10:'H'!$P$59,2,FALSE),""))),"")</f>
        <v/>
      </c>
      <c r="AV151" s="6" t="str">
        <f t="shared" si="47"/>
        <v>--</v>
      </c>
      <c r="AW151" s="6" t="str">
        <f t="shared" si="48"/>
        <v/>
      </c>
      <c r="AX151" s="6" t="str">
        <f t="shared" si="49"/>
        <v>--</v>
      </c>
      <c r="AY151" s="6" t="str">
        <f t="shared" si="58"/>
        <v/>
      </c>
      <c r="AZ151" s="6" t="str">
        <f t="shared" si="59"/>
        <v/>
      </c>
      <c r="BA151" s="6" t="str">
        <f>IFERROR(IF(AR151="--","",IF(HLOOKUP(SMALL($Q$4:$Y$4,6),$Q$4:$Y$501,ROW(AP151)-3,FALSE)=0,"",IF(HLOOKUP(SMALL($Q$4:$Y$4,6),$Q$4:$Y$501,ROW(AP151)-3,FALSE)="nee",VLOOKUP("De kwaliteitseis emissiearme grond (maximale concentratie) wordt overschreden.",H!$O$10:'H'!$P$59,2,FALSE),""))),"")</f>
        <v/>
      </c>
      <c r="BB151" s="6" t="str">
        <f t="shared" si="50"/>
        <v>--</v>
      </c>
      <c r="BC151" s="6" t="str">
        <f t="shared" si="51"/>
        <v/>
      </c>
      <c r="BD151" s="6" t="str">
        <f t="shared" si="52"/>
        <v>--</v>
      </c>
      <c r="BE151" s="6" t="str">
        <f t="shared" si="60"/>
        <v/>
      </c>
      <c r="BF151" s="6"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6" t="str">
        <f>IF(ISNUMBER(F!E152)=FALSE,"--",IF(F!E152=0,"--",F!E152))</f>
        <v>--</v>
      </c>
      <c r="C152" s="6" t="str">
        <f>IF(B152="--","",F!F152)</f>
        <v/>
      </c>
      <c r="D152" s="6" t="str">
        <f>IF(ISNUMBER(F!G152)=FALSE,"--",IF(F!G152=0,"--",F!G152))</f>
        <v>--</v>
      </c>
      <c r="E152" s="6" t="str">
        <f>IF(D152="--","",F!H152)</f>
        <v/>
      </c>
      <c r="F152" s="6" t="str">
        <f>IF(ISNUMBER(F!I152)=FALSE,"--",IF(F!I152=0,"--",F!I152))</f>
        <v>--</v>
      </c>
      <c r="G152" s="6" t="str">
        <f>IF(F152="--","",F!J152)</f>
        <v/>
      </c>
      <c r="H152" s="6"/>
      <c r="I152" s="16" t="str">
        <f>IF(F!AA152=-1,-1,F!AV152)</f>
        <v/>
      </c>
      <c r="J152" s="6"/>
      <c r="K152" s="16" t="str">
        <f>IF(F!AD152=-1,-1,F!AX152)</f>
        <v/>
      </c>
      <c r="L152" s="6"/>
      <c r="M152" s="16" t="str">
        <f>IF(F!AG152=-1,-1,F!AZ152)</f>
        <v/>
      </c>
      <c r="N152" s="6"/>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6" t="str">
        <f t="shared" si="67"/>
        <v/>
      </c>
      <c r="R152" s="5" t="str">
        <f>IF($B152="--","",IF($P152="toetsen",toetsen(F!$B152,Q152),IF($P152="toetsen alleen IW",toetsen_alleen_IW(F!$B152,Q152),IF($P152="toetsen alleen LN",toetsen_alleen_LN(F!$B152,Q152),IF($P152="toetsen geen MV en SV",toetsen_geen_MV_en_SV(F!$B152,Q152),IF($P152="toetsen alleen MV en SV",toetsen_alleen_MV_en_SV(F!$B152,Q152),""))))))</f>
        <v/>
      </c>
      <c r="S152" s="5" t="str">
        <f>IF($P152="toetsen",IF(OR(Q152="",VLOOKUP(F!$B152,E!$B$1:$AK$300,10,FALSE)=1000000000),"",IF(Q152&lt;=VLOOKUP(F!$B152,E!$B$1:$AK$300,10,FALSE),"ja","nee")),"")</f>
        <v/>
      </c>
      <c r="T152" s="87" t="str">
        <f t="shared" si="62"/>
        <v/>
      </c>
      <c r="U152" s="5" t="str">
        <f>IF($D152="--","",IF($P152="toetsen",toetsen(F!$B152,T152),IF($P152="toetsen alleen IW",toetsen_alleen_IW(F!$B152,T152),IF($P152="toetsen alleen LN",toetsen_alleen_LN(F!$B152,T152),IF($P152="toetsen geen MV en SV",toetsen_geen_MV_en_SV(F!$B152,T152),IF($P152="toetsen alleen MV en SV",toetsen_alleen_MV_en_SV(F!$B152,T152),""))))))</f>
        <v/>
      </c>
      <c r="V152" s="5" t="str">
        <f>IF($P152="toetsen",IF(OR(T152="",VLOOKUP(F!$B152,E!$B$1:$AK$300,10,FALSE)=1000000000),"",IF(T152&lt;=VLOOKUP(F!$B152,E!$B$1:$AK$300,10,FALSE),"ja","nee")),"")</f>
        <v/>
      </c>
      <c r="W152" s="6" t="str">
        <f t="shared" si="63"/>
        <v/>
      </c>
      <c r="X152" s="5" t="str">
        <f>IF($F152="--","",IF($P152="toetsen",toetsen(F!$B152,W152),IF($P152="toetsen alleen IW",toetsen_alleen_IW(F!$B152,W152),IF($P152="toetsen alleen LN",toetsen_alleen_LN(F!$B152,W152),IF($P152="toetsen geen MV en SV",toetsen_geen_MV_en_SV(F!$B152,W152),IF($P152="toetsen alleen MV en SV",toetsen_alleen_MV_en_SV(F!$B152,W152),""))))))</f>
        <v/>
      </c>
      <c r="Y152" s="5" t="str">
        <f>IF($P152="toetsen",IF(OR(W152="",VLOOKUP(F!$B152,E!$B$1:$AK$300,10,FALSE)=1000000000),"",IF(W152&lt;=VLOOKUP(F!$B152,E!$B$1:$AK$300,10,FALSE),"ja","nee")),"")</f>
        <v/>
      </c>
      <c r="AA152" s="4"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6" t="str">
        <f t="shared" si="64"/>
        <v>--</v>
      </c>
      <c r="AJ152" s="6"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6" t="str">
        <f t="shared" si="65"/>
        <v>--</v>
      </c>
      <c r="AL152" s="6"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6" t="str">
        <f t="shared" si="66"/>
        <v>--</v>
      </c>
      <c r="AN152" s="6"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6" t="str">
        <f t="shared" si="53"/>
        <v>--</v>
      </c>
      <c r="AQ152" s="6" t="str">
        <f t="shared" si="54"/>
        <v/>
      </c>
      <c r="AR152" s="6" t="str">
        <f t="shared" si="55"/>
        <v>--</v>
      </c>
      <c r="AS152" s="6" t="str">
        <f t="shared" si="56"/>
        <v/>
      </c>
      <c r="AT152" s="6" t="str">
        <f t="shared" si="57"/>
        <v/>
      </c>
      <c r="AU152" s="6" t="str">
        <f>IFERROR(IF(AR152="--","",IF(HLOOKUP(SMALL($Q$4:$Y$4,3),$Q$4:$Y$501,ROW(AP152)-3,FALSE)=0,"",IF(HLOOKUP(SMALL($Q$4:$Y$4,3),$Q$4:$Y$501,ROW(AP152)-3,FALSE)="nee",VLOOKUP("De kwaliteitseis emissiearme grond (maximale concentratie) wordt overschreden.",H!$O$10:'H'!$P$59,2,FALSE),""))),"")</f>
        <v/>
      </c>
      <c r="AV152" s="6" t="str">
        <f t="shared" si="47"/>
        <v>--</v>
      </c>
      <c r="AW152" s="6" t="str">
        <f t="shared" si="48"/>
        <v/>
      </c>
      <c r="AX152" s="6" t="str">
        <f t="shared" si="49"/>
        <v>--</v>
      </c>
      <c r="AY152" s="6" t="str">
        <f t="shared" si="58"/>
        <v/>
      </c>
      <c r="AZ152" s="6" t="str">
        <f t="shared" si="59"/>
        <v/>
      </c>
      <c r="BA152" s="6" t="str">
        <f>IFERROR(IF(AR152="--","",IF(HLOOKUP(SMALL($Q$4:$Y$4,6),$Q$4:$Y$501,ROW(AP152)-3,FALSE)=0,"",IF(HLOOKUP(SMALL($Q$4:$Y$4,6),$Q$4:$Y$501,ROW(AP152)-3,FALSE)="nee",VLOOKUP("De kwaliteitseis emissiearme grond (maximale concentratie) wordt overschreden.",H!$O$10:'H'!$P$59,2,FALSE),""))),"")</f>
        <v/>
      </c>
      <c r="BB152" s="6" t="str">
        <f t="shared" si="50"/>
        <v>--</v>
      </c>
      <c r="BC152" s="6" t="str">
        <f t="shared" si="51"/>
        <v/>
      </c>
      <c r="BD152" s="6" t="str">
        <f t="shared" si="52"/>
        <v>--</v>
      </c>
      <c r="BE152" s="6" t="str">
        <f t="shared" si="60"/>
        <v/>
      </c>
      <c r="BF152" s="6"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6" t="str">
        <f>IF(ISNUMBER(F!E153)=FALSE,"--",IF(F!E153=0,"--",F!E153))</f>
        <v>--</v>
      </c>
      <c r="C153" s="6" t="str">
        <f>IF(B153="--","",F!F153)</f>
        <v/>
      </c>
      <c r="D153" s="6" t="str">
        <f>IF(ISNUMBER(F!G153)=FALSE,"--",IF(F!G153=0,"--",F!G153))</f>
        <v>--</v>
      </c>
      <c r="E153" s="6" t="str">
        <f>IF(D153="--","",F!H153)</f>
        <v/>
      </c>
      <c r="F153" s="6" t="str">
        <f>IF(ISNUMBER(F!I153)=FALSE,"--",IF(F!I153=0,"--",F!I153))</f>
        <v>--</v>
      </c>
      <c r="G153" s="6" t="str">
        <f>IF(F153="--","",F!J153)</f>
        <v/>
      </c>
      <c r="H153" s="6"/>
      <c r="I153" s="16" t="str">
        <f>IF(F!AA153=-1,-1,F!AV153)</f>
        <v/>
      </c>
      <c r="J153" s="6"/>
      <c r="K153" s="16" t="str">
        <f>IF(F!AD153=-1,-1,F!AX153)</f>
        <v/>
      </c>
      <c r="L153" s="6"/>
      <c r="M153" s="16" t="str">
        <f>IF(F!AG153=-1,-1,F!AZ153)</f>
        <v/>
      </c>
      <c r="N153" s="6"/>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6" t="str">
        <f t="shared" si="67"/>
        <v/>
      </c>
      <c r="R153" s="5" t="str">
        <f>IF($B153="--","",IF($P153="toetsen",toetsen(F!$B153,Q153),IF($P153="toetsen alleen IW",toetsen_alleen_IW(F!$B153,Q153),IF($P153="toetsen alleen LN",toetsen_alleen_LN(F!$B153,Q153),IF($P153="toetsen geen MV en SV",toetsen_geen_MV_en_SV(F!$B153,Q153),IF($P153="toetsen alleen MV en SV",toetsen_alleen_MV_en_SV(F!$B153,Q153),""))))))</f>
        <v/>
      </c>
      <c r="S153" s="5" t="str">
        <f>IF($P153="toetsen",IF(OR(Q153="",VLOOKUP(F!$B153,E!$B$1:$AK$300,10,FALSE)=1000000000),"",IF(Q153&lt;=VLOOKUP(F!$B153,E!$B$1:$AK$300,10,FALSE),"ja","nee")),"")</f>
        <v/>
      </c>
      <c r="T153" s="87" t="str">
        <f t="shared" si="62"/>
        <v/>
      </c>
      <c r="U153" s="5" t="str">
        <f>IF($D153="--","",IF($P153="toetsen",toetsen(F!$B153,T153),IF($P153="toetsen alleen IW",toetsen_alleen_IW(F!$B153,T153),IF($P153="toetsen alleen LN",toetsen_alleen_LN(F!$B153,T153),IF($P153="toetsen geen MV en SV",toetsen_geen_MV_en_SV(F!$B153,T153),IF($P153="toetsen alleen MV en SV",toetsen_alleen_MV_en_SV(F!$B153,T153),""))))))</f>
        <v/>
      </c>
      <c r="V153" s="5" t="str">
        <f>IF($P153="toetsen",IF(OR(T153="",VLOOKUP(F!$B153,E!$B$1:$AK$300,10,FALSE)=1000000000),"",IF(T153&lt;=VLOOKUP(F!$B153,E!$B$1:$AK$300,10,FALSE),"ja","nee")),"")</f>
        <v/>
      </c>
      <c r="W153" s="6" t="str">
        <f t="shared" si="63"/>
        <v/>
      </c>
      <c r="X153" s="5" t="str">
        <f>IF($F153="--","",IF($P153="toetsen",toetsen(F!$B153,W153),IF($P153="toetsen alleen IW",toetsen_alleen_IW(F!$B153,W153),IF($P153="toetsen alleen LN",toetsen_alleen_LN(F!$B153,W153),IF($P153="toetsen geen MV en SV",toetsen_geen_MV_en_SV(F!$B153,W153),IF($P153="toetsen alleen MV en SV",toetsen_alleen_MV_en_SV(F!$B153,W153),""))))))</f>
        <v/>
      </c>
      <c r="Y153" s="5" t="str">
        <f>IF($P153="toetsen",IF(OR(W153="",VLOOKUP(F!$B153,E!$B$1:$AK$300,10,FALSE)=1000000000),"",IF(W153&lt;=VLOOKUP(F!$B153,E!$B$1:$AK$300,10,FALSE),"ja","nee")),"")</f>
        <v/>
      </c>
      <c r="AA153" s="4"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6" t="str">
        <f t="shared" si="64"/>
        <v>--</v>
      </c>
      <c r="AJ153" s="6"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6" t="str">
        <f t="shared" si="65"/>
        <v>--</v>
      </c>
      <c r="AL153" s="6"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6" t="str">
        <f t="shared" si="66"/>
        <v>--</v>
      </c>
      <c r="AN153" s="6"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6" t="str">
        <f t="shared" si="53"/>
        <v>--</v>
      </c>
      <c r="AQ153" s="6" t="str">
        <f t="shared" si="54"/>
        <v/>
      </c>
      <c r="AR153" s="6" t="str">
        <f t="shared" si="55"/>
        <v>--</v>
      </c>
      <c r="AS153" s="6" t="str">
        <f t="shared" si="56"/>
        <v/>
      </c>
      <c r="AT153" s="6" t="str">
        <f t="shared" si="57"/>
        <v/>
      </c>
      <c r="AU153" s="6" t="str">
        <f>IFERROR(IF(AR153="--","",IF(HLOOKUP(SMALL($Q$4:$Y$4,3),$Q$4:$Y$501,ROW(AP153)-3,FALSE)=0,"",IF(HLOOKUP(SMALL($Q$4:$Y$4,3),$Q$4:$Y$501,ROW(AP153)-3,FALSE)="nee",VLOOKUP("De kwaliteitseis emissiearme grond (maximale concentratie) wordt overschreden.",H!$O$10:'H'!$P$59,2,FALSE),""))),"")</f>
        <v/>
      </c>
      <c r="AV153" s="6" t="str">
        <f t="shared" si="47"/>
        <v>--</v>
      </c>
      <c r="AW153" s="6" t="str">
        <f t="shared" si="48"/>
        <v/>
      </c>
      <c r="AX153" s="6" t="str">
        <f t="shared" si="49"/>
        <v>--</v>
      </c>
      <c r="AY153" s="6" t="str">
        <f t="shared" si="58"/>
        <v/>
      </c>
      <c r="AZ153" s="6" t="str">
        <f t="shared" si="59"/>
        <v/>
      </c>
      <c r="BA153" s="6" t="str">
        <f>IFERROR(IF(AR153="--","",IF(HLOOKUP(SMALL($Q$4:$Y$4,6),$Q$4:$Y$501,ROW(AP153)-3,FALSE)=0,"",IF(HLOOKUP(SMALL($Q$4:$Y$4,6),$Q$4:$Y$501,ROW(AP153)-3,FALSE)="nee",VLOOKUP("De kwaliteitseis emissiearme grond (maximale concentratie) wordt overschreden.",H!$O$10:'H'!$P$59,2,FALSE),""))),"")</f>
        <v/>
      </c>
      <c r="BB153" s="6" t="str">
        <f t="shared" si="50"/>
        <v>--</v>
      </c>
      <c r="BC153" s="6" t="str">
        <f t="shared" si="51"/>
        <v/>
      </c>
      <c r="BD153" s="6" t="str">
        <f t="shared" si="52"/>
        <v>--</v>
      </c>
      <c r="BE153" s="6" t="str">
        <f t="shared" si="60"/>
        <v/>
      </c>
      <c r="BF153" s="6"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6" t="str">
        <f>IF(ISNUMBER(F!E154)=FALSE,"--",IF(F!E154=0,"--",F!E154))</f>
        <v>--</v>
      </c>
      <c r="C154" s="6" t="str">
        <f>IF(B154="--","",F!F154)</f>
        <v/>
      </c>
      <c r="D154" s="6" t="str">
        <f>IF(ISNUMBER(F!G154)=FALSE,"--",IF(F!G154=0,"--",F!G154))</f>
        <v>--</v>
      </c>
      <c r="E154" s="6" t="str">
        <f>IF(D154="--","",F!H154)</f>
        <v/>
      </c>
      <c r="F154" s="6" t="str">
        <f>IF(ISNUMBER(F!I154)=FALSE,"--",IF(F!I154=0,"--",F!I154))</f>
        <v>--</v>
      </c>
      <c r="G154" s="6" t="str">
        <f>IF(F154="--","",F!J154)</f>
        <v/>
      </c>
      <c r="H154" s="6"/>
      <c r="I154" s="101">
        <f>IF(F!Z154=0,-1,F!AV154)</f>
        <v>-1</v>
      </c>
      <c r="J154" s="6"/>
      <c r="K154" s="101">
        <f>IF(F!AC154=0,-1,F!AX154)</f>
        <v>-1</v>
      </c>
      <c r="L154" s="6"/>
      <c r="M154" s="101">
        <f>IF(F!AF154=0,-1,F!AZ154)</f>
        <v>-1</v>
      </c>
      <c r="N154" s="6"/>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6">
        <f t="shared" si="67"/>
        <v>-1</v>
      </c>
      <c r="R154" s="5" t="str">
        <f>IF($B154="--","",IF($P154="toetsen",toetsen(F!$B154,Q154),IF($P154="toetsen alleen IW",toetsen_alleen_IW(F!$B154,Q154),IF($P154="toetsen alleen LN",toetsen_alleen_LN(F!$B154,Q154),IF($P154="toetsen geen MV en SV",toetsen_geen_MV_en_SV(F!$B154,Q154),IF($P154="toetsen alleen MV en SV",toetsen_alleen_MV_en_SV(F!$B154,Q154),""))))))</f>
        <v/>
      </c>
      <c r="S154" s="5" t="str">
        <f>IF($P154="toetsen",IF(OR(Q154="",VLOOKUP(F!$B154,E!$B$1:$AK$300,10,FALSE)=1000000000),"",IF(Q154&lt;=VLOOKUP(F!$B154,E!$B$1:$AK$300,10,FALSE),"ja","nee")),"")</f>
        <v/>
      </c>
      <c r="T154" s="87">
        <f t="shared" si="62"/>
        <v>-1</v>
      </c>
      <c r="U154" s="5" t="str">
        <f>IF($D154="--","",IF($P154="toetsen",toetsen(F!$B154,T154),IF($P154="toetsen alleen IW",toetsen_alleen_IW(F!$B154,T154),IF($P154="toetsen alleen LN",toetsen_alleen_LN(F!$B154,T154),IF($P154="toetsen geen MV en SV",toetsen_geen_MV_en_SV(F!$B154,T154),IF($P154="toetsen alleen MV en SV",toetsen_alleen_MV_en_SV(F!$B154,T154),""))))))</f>
        <v/>
      </c>
      <c r="V154" s="5" t="str">
        <f>IF($P154="toetsen",IF(OR(T154="",VLOOKUP(F!$B154,E!$B$1:$AK$300,10,FALSE)=1000000000),"",IF(T154&lt;=VLOOKUP(F!$B154,E!$B$1:$AK$300,10,FALSE),"ja","nee")),"")</f>
        <v/>
      </c>
      <c r="W154" s="6">
        <f t="shared" si="63"/>
        <v>-1</v>
      </c>
      <c r="X154" s="5" t="str">
        <f>IF($F154="--","",IF($P154="toetsen",toetsen(F!$B154,W154),IF($P154="toetsen alleen IW",toetsen_alleen_IW(F!$B154,W154),IF($P154="toetsen alleen LN",toetsen_alleen_LN(F!$B154,W154),IF($P154="toetsen geen MV en SV",toetsen_geen_MV_en_SV(F!$B154,W154),IF($P154="toetsen alleen MV en SV",toetsen_alleen_MV_en_SV(F!$B154,W154),""))))))</f>
        <v/>
      </c>
      <c r="Y154" s="5" t="str">
        <f>IF($P154="toetsen",IF(OR(W154="",VLOOKUP(F!$B154,E!$B$1:$AK$300,10,FALSE)=1000000000),"",IF(W154&lt;=VLOOKUP(F!$B154,E!$B$1:$AK$300,10,FALSE),"ja","nee")),"")</f>
        <v/>
      </c>
      <c r="AA154" s="4">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6" t="str">
        <f t="shared" si="64"/>
        <v>--</v>
      </c>
      <c r="AJ154" s="6"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6" t="str">
        <f t="shared" si="65"/>
        <v>--</v>
      </c>
      <c r="AL154" s="6"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6" t="str">
        <f t="shared" si="66"/>
        <v>--</v>
      </c>
      <c r="AN154" s="6"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6" t="str">
        <f t="shared" si="53"/>
        <v>--</v>
      </c>
      <c r="AQ154" s="6" t="str">
        <f t="shared" si="54"/>
        <v/>
      </c>
      <c r="AR154" s="6" t="str">
        <f t="shared" si="55"/>
        <v>--</v>
      </c>
      <c r="AS154" s="6" t="str">
        <f t="shared" si="56"/>
        <v/>
      </c>
      <c r="AT154" s="6" t="str">
        <f t="shared" si="57"/>
        <v/>
      </c>
      <c r="AU154" s="6" t="str">
        <f>IFERROR(IF(AR154="--","",IF(HLOOKUP(SMALL($Q$4:$Y$4,3),$Q$4:$Y$501,ROW(AP154)-3,FALSE)=0,"",IF(HLOOKUP(SMALL($Q$4:$Y$4,3),$Q$4:$Y$501,ROW(AP154)-3,FALSE)="nee",VLOOKUP("De kwaliteitseis emissiearme grond (maximale concentratie) wordt overschreden.",H!$O$10:'H'!$P$59,2,FALSE),""))),"")</f>
        <v/>
      </c>
      <c r="AV154" s="6" t="str">
        <f t="shared" si="47"/>
        <v>--</v>
      </c>
      <c r="AW154" s="6" t="str">
        <f t="shared" si="48"/>
        <v/>
      </c>
      <c r="AX154" s="6" t="str">
        <f t="shared" si="49"/>
        <v>--</v>
      </c>
      <c r="AY154" s="6" t="str">
        <f t="shared" si="58"/>
        <v/>
      </c>
      <c r="AZ154" s="6" t="str">
        <f t="shared" si="59"/>
        <v/>
      </c>
      <c r="BA154" s="6" t="str">
        <f>IFERROR(IF(AR154="--","",IF(HLOOKUP(SMALL($Q$4:$Y$4,6),$Q$4:$Y$501,ROW(AP154)-3,FALSE)=0,"",IF(HLOOKUP(SMALL($Q$4:$Y$4,6),$Q$4:$Y$501,ROW(AP154)-3,FALSE)="nee",VLOOKUP("De kwaliteitseis emissiearme grond (maximale concentratie) wordt overschreden.",H!$O$10:'H'!$P$59,2,FALSE),""))),"")</f>
        <v/>
      </c>
      <c r="BB154" s="6" t="str">
        <f t="shared" si="50"/>
        <v>--</v>
      </c>
      <c r="BC154" s="6" t="str">
        <f t="shared" si="51"/>
        <v/>
      </c>
      <c r="BD154" s="6" t="str">
        <f t="shared" si="52"/>
        <v>--</v>
      </c>
      <c r="BE154" s="6" t="str">
        <f t="shared" si="60"/>
        <v/>
      </c>
      <c r="BF154" s="6"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6" t="str">
        <f>IF(ISNUMBER(F!E155)=FALSE,"--",IF(F!E155=0,"--",F!E155))</f>
        <v>--</v>
      </c>
      <c r="C155" s="6" t="str">
        <f>IF(B155="--","",F!F155)</f>
        <v/>
      </c>
      <c r="D155" s="6" t="str">
        <f>IF(ISNUMBER(F!G155)=FALSE,"--",IF(F!G155=0,"--",F!G155))</f>
        <v>--</v>
      </c>
      <c r="E155" s="6" t="str">
        <f>IF(D155="--","",F!H155)</f>
        <v/>
      </c>
      <c r="F155" s="6" t="str">
        <f>IF(ISNUMBER(F!I155)=FALSE,"--",IF(F!I155=0,"--",F!I155))</f>
        <v>--</v>
      </c>
      <c r="G155" s="6" t="str">
        <f>IF(F155="--","",F!J155)</f>
        <v/>
      </c>
      <c r="H155" s="6"/>
      <c r="I155" s="16" t="str">
        <f>IF(F!AA155=-1,-1,F!AV155)</f>
        <v/>
      </c>
      <c r="J155" s="6"/>
      <c r="K155" s="16" t="str">
        <f>IF(F!AD155=-1,-1,F!AX155)</f>
        <v/>
      </c>
      <c r="L155" s="6"/>
      <c r="M155" s="16" t="str">
        <f>IF(F!AG155=-1,-1,F!AZ155)</f>
        <v/>
      </c>
      <c r="N155" s="6"/>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6" t="str">
        <f t="shared" si="67"/>
        <v/>
      </c>
      <c r="R155" s="5" t="str">
        <f>IF($B155="--","",IF($P155="toetsen",toetsen(F!$B155,Q155),IF($P155="toetsen alleen IW",toetsen_alleen_IW(F!$B155,Q155),IF($P155="toetsen alleen LN",toetsen_alleen_LN(F!$B155,Q155),IF($P155="toetsen geen MV en SV",toetsen_geen_MV_en_SV(F!$B155,Q155),IF($P155="toetsen alleen MV en SV",toetsen_alleen_MV_en_SV(F!$B155,Q155),""))))))</f>
        <v/>
      </c>
      <c r="S155" s="5" t="str">
        <f>IF($P155="toetsen",IF(OR(Q155="",VLOOKUP(F!$B155,E!$B$1:$AK$300,10,FALSE)=1000000000),"",IF(Q155&lt;=VLOOKUP(F!$B155,E!$B$1:$AK$300,10,FALSE),"ja","nee")),"")</f>
        <v/>
      </c>
      <c r="T155" s="87" t="str">
        <f t="shared" si="62"/>
        <v/>
      </c>
      <c r="U155" s="5" t="str">
        <f>IF($D155="--","",IF($P155="toetsen",toetsen(F!$B155,T155),IF($P155="toetsen alleen IW",toetsen_alleen_IW(F!$B155,T155),IF($P155="toetsen alleen LN",toetsen_alleen_LN(F!$B155,T155),IF($P155="toetsen geen MV en SV",toetsen_geen_MV_en_SV(F!$B155,T155),IF($P155="toetsen alleen MV en SV",toetsen_alleen_MV_en_SV(F!$B155,T155),""))))))</f>
        <v/>
      </c>
      <c r="V155" s="5" t="str">
        <f>IF($P155="toetsen",IF(OR(T155="",VLOOKUP(F!$B155,E!$B$1:$AK$300,10,FALSE)=1000000000),"",IF(T155&lt;=VLOOKUP(F!$B155,E!$B$1:$AK$300,10,FALSE),"ja","nee")),"")</f>
        <v/>
      </c>
      <c r="W155" s="6" t="str">
        <f t="shared" si="63"/>
        <v/>
      </c>
      <c r="X155" s="5" t="str">
        <f>IF($F155="--","",IF($P155="toetsen",toetsen(F!$B155,W155),IF($P155="toetsen alleen IW",toetsen_alleen_IW(F!$B155,W155),IF($P155="toetsen alleen LN",toetsen_alleen_LN(F!$B155,W155),IF($P155="toetsen geen MV en SV",toetsen_geen_MV_en_SV(F!$B155,W155),IF($P155="toetsen alleen MV en SV",toetsen_alleen_MV_en_SV(F!$B155,W155),""))))))</f>
        <v/>
      </c>
      <c r="Y155" s="5" t="str">
        <f>IF($P155="toetsen",IF(OR(W155="",VLOOKUP(F!$B155,E!$B$1:$AK$300,10,FALSE)=1000000000),"",IF(W155&lt;=VLOOKUP(F!$B155,E!$B$1:$AK$300,10,FALSE),"ja","nee")),"")</f>
        <v/>
      </c>
      <c r="AA155" s="4"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6" t="str">
        <f t="shared" si="64"/>
        <v>--</v>
      </c>
      <c r="AJ155" s="6"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6" t="str">
        <f t="shared" si="65"/>
        <v>--</v>
      </c>
      <c r="AL155" s="6"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6" t="str">
        <f t="shared" si="66"/>
        <v>--</v>
      </c>
      <c r="AN155" s="6"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6" t="str">
        <f t="shared" si="53"/>
        <v>--</v>
      </c>
      <c r="AQ155" s="6" t="str">
        <f t="shared" si="54"/>
        <v/>
      </c>
      <c r="AR155" s="6" t="str">
        <f t="shared" si="55"/>
        <v>--</v>
      </c>
      <c r="AS155" s="6" t="str">
        <f t="shared" si="56"/>
        <v/>
      </c>
      <c r="AT155" s="6" t="str">
        <f t="shared" si="57"/>
        <v/>
      </c>
      <c r="AU155" s="6" t="str">
        <f>IFERROR(IF(AR155="--","",IF(HLOOKUP(SMALL($Q$4:$Y$4,3),$Q$4:$Y$501,ROW(AP155)-3,FALSE)=0,"",IF(HLOOKUP(SMALL($Q$4:$Y$4,3),$Q$4:$Y$501,ROW(AP155)-3,FALSE)="nee",VLOOKUP("De kwaliteitseis emissiearme grond (maximale concentratie) wordt overschreden.",H!$O$10:'H'!$P$59,2,FALSE),""))),"")</f>
        <v/>
      </c>
      <c r="AV155" s="6" t="str">
        <f t="shared" si="47"/>
        <v>--</v>
      </c>
      <c r="AW155" s="6" t="str">
        <f t="shared" si="48"/>
        <v/>
      </c>
      <c r="AX155" s="6" t="str">
        <f t="shared" si="49"/>
        <v>--</v>
      </c>
      <c r="AY155" s="6" t="str">
        <f t="shared" si="58"/>
        <v/>
      </c>
      <c r="AZ155" s="6" t="str">
        <f t="shared" si="59"/>
        <v/>
      </c>
      <c r="BA155" s="6" t="str">
        <f>IFERROR(IF(AR155="--","",IF(HLOOKUP(SMALL($Q$4:$Y$4,6),$Q$4:$Y$501,ROW(AP155)-3,FALSE)=0,"",IF(HLOOKUP(SMALL($Q$4:$Y$4,6),$Q$4:$Y$501,ROW(AP155)-3,FALSE)="nee",VLOOKUP("De kwaliteitseis emissiearme grond (maximale concentratie) wordt overschreden.",H!$O$10:'H'!$P$59,2,FALSE),""))),"")</f>
        <v/>
      </c>
      <c r="BB155" s="6" t="str">
        <f t="shared" si="50"/>
        <v>--</v>
      </c>
      <c r="BC155" s="6" t="str">
        <f t="shared" si="51"/>
        <v/>
      </c>
      <c r="BD155" s="6" t="str">
        <f t="shared" si="52"/>
        <v>--</v>
      </c>
      <c r="BE155" s="6" t="str">
        <f t="shared" si="60"/>
        <v/>
      </c>
      <c r="BF155" s="6"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6" t="str">
        <f>IF(ISNUMBER(F!E156)=FALSE,"--",IF(F!E156=0,"--",F!E156))</f>
        <v>--</v>
      </c>
      <c r="C156" s="6" t="str">
        <f>IF(B156="--","",F!F156)</f>
        <v/>
      </c>
      <c r="D156" s="6" t="str">
        <f>IF(ISNUMBER(F!G156)=FALSE,"--",IF(F!G156=0,"--",F!G156))</f>
        <v>--</v>
      </c>
      <c r="E156" s="6" t="str">
        <f>IF(D156="--","",F!H156)</f>
        <v/>
      </c>
      <c r="F156" s="6" t="str">
        <f>IF(ISNUMBER(F!I156)=FALSE,"--",IF(F!I156=0,"--",F!I156))</f>
        <v>--</v>
      </c>
      <c r="G156" s="6" t="str">
        <f>IF(F156="--","",F!J156)</f>
        <v/>
      </c>
      <c r="H156" s="6"/>
      <c r="I156" s="16" t="str">
        <f>IF(F!AA156=-1,-1,F!AV156)</f>
        <v/>
      </c>
      <c r="J156" s="6"/>
      <c r="K156" s="16" t="str">
        <f>IF(F!AD156=-1,-1,F!AX156)</f>
        <v/>
      </c>
      <c r="L156" s="6"/>
      <c r="M156" s="16" t="str">
        <f>IF(F!AG156=-1,-1,F!AZ156)</f>
        <v/>
      </c>
      <c r="N156" s="6"/>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6" t="str">
        <f t="shared" si="67"/>
        <v/>
      </c>
      <c r="R156" s="5" t="str">
        <f>IF($B156="--","",IF($P156="toetsen",toetsen(F!$B156,Q156),IF($P156="toetsen alleen IW",toetsen_alleen_IW(F!$B156,Q156),IF($P156="toetsen alleen LN",toetsen_alleen_LN(F!$B156,Q156),IF($P156="toetsen geen MV en SV",toetsen_geen_MV_en_SV(F!$B156,Q156),IF($P156="toetsen alleen MV en SV",toetsen_alleen_MV_en_SV(F!$B156,Q156),""))))))</f>
        <v/>
      </c>
      <c r="S156" s="5" t="str">
        <f>IF($P156="toetsen",IF(OR(Q156="",VLOOKUP(F!$B156,E!$B$1:$AK$300,10,FALSE)=1000000000),"",IF(Q156&lt;=VLOOKUP(F!$B156,E!$B$1:$AK$300,10,FALSE),"ja","nee")),"")</f>
        <v/>
      </c>
      <c r="T156" s="87" t="str">
        <f t="shared" si="62"/>
        <v/>
      </c>
      <c r="U156" s="5" t="str">
        <f>IF($D156="--","",IF($P156="toetsen",toetsen(F!$B156,T156),IF($P156="toetsen alleen IW",toetsen_alleen_IW(F!$B156,T156),IF($P156="toetsen alleen LN",toetsen_alleen_LN(F!$B156,T156),IF($P156="toetsen geen MV en SV",toetsen_geen_MV_en_SV(F!$B156,T156),IF($P156="toetsen alleen MV en SV",toetsen_alleen_MV_en_SV(F!$B156,T156),""))))))</f>
        <v/>
      </c>
      <c r="V156" s="5" t="str">
        <f>IF($P156="toetsen",IF(OR(T156="",VLOOKUP(F!$B156,E!$B$1:$AK$300,10,FALSE)=1000000000),"",IF(T156&lt;=VLOOKUP(F!$B156,E!$B$1:$AK$300,10,FALSE),"ja","nee")),"")</f>
        <v/>
      </c>
      <c r="W156" s="6" t="str">
        <f t="shared" si="63"/>
        <v/>
      </c>
      <c r="X156" s="5" t="str">
        <f>IF($F156="--","",IF($P156="toetsen",toetsen(F!$B156,W156),IF($P156="toetsen alleen IW",toetsen_alleen_IW(F!$B156,W156),IF($P156="toetsen alleen LN",toetsen_alleen_LN(F!$B156,W156),IF($P156="toetsen geen MV en SV",toetsen_geen_MV_en_SV(F!$B156,W156),IF($P156="toetsen alleen MV en SV",toetsen_alleen_MV_en_SV(F!$B156,W156),""))))))</f>
        <v/>
      </c>
      <c r="Y156" s="5" t="str">
        <f>IF($P156="toetsen",IF(OR(W156="",VLOOKUP(F!$B156,E!$B$1:$AK$300,10,FALSE)=1000000000),"",IF(W156&lt;=VLOOKUP(F!$B156,E!$B$1:$AK$300,10,FALSE),"ja","nee")),"")</f>
        <v/>
      </c>
      <c r="AA156" s="4"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6" t="str">
        <f t="shared" si="64"/>
        <v>--</v>
      </c>
      <c r="AJ156" s="6"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6" t="str">
        <f t="shared" si="65"/>
        <v>--</v>
      </c>
      <c r="AL156" s="6"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6" t="str">
        <f t="shared" si="66"/>
        <v>--</v>
      </c>
      <c r="AN156" s="6"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6" t="str">
        <f t="shared" si="53"/>
        <v>--</v>
      </c>
      <c r="AQ156" s="6" t="str">
        <f t="shared" si="54"/>
        <v/>
      </c>
      <c r="AR156" s="6" t="str">
        <f t="shared" si="55"/>
        <v>--</v>
      </c>
      <c r="AS156" s="6" t="str">
        <f t="shared" si="56"/>
        <v/>
      </c>
      <c r="AT156" s="6" t="str">
        <f t="shared" si="57"/>
        <v/>
      </c>
      <c r="AU156" s="6" t="str">
        <f>IFERROR(IF(AR156="--","",IF(HLOOKUP(SMALL($Q$4:$Y$4,3),$Q$4:$Y$501,ROW(AP156)-3,FALSE)=0,"",IF(HLOOKUP(SMALL($Q$4:$Y$4,3),$Q$4:$Y$501,ROW(AP156)-3,FALSE)="nee",VLOOKUP("De kwaliteitseis emissiearme grond (maximale concentratie) wordt overschreden.",H!$O$10:'H'!$P$59,2,FALSE),""))),"")</f>
        <v/>
      </c>
      <c r="AV156" s="6" t="str">
        <f t="shared" si="47"/>
        <v>--</v>
      </c>
      <c r="AW156" s="6" t="str">
        <f t="shared" si="48"/>
        <v/>
      </c>
      <c r="AX156" s="6" t="str">
        <f t="shared" si="49"/>
        <v>--</v>
      </c>
      <c r="AY156" s="6" t="str">
        <f t="shared" si="58"/>
        <v/>
      </c>
      <c r="AZ156" s="6" t="str">
        <f t="shared" si="59"/>
        <v/>
      </c>
      <c r="BA156" s="6" t="str">
        <f>IFERROR(IF(AR156="--","",IF(HLOOKUP(SMALL($Q$4:$Y$4,6),$Q$4:$Y$501,ROW(AP156)-3,FALSE)=0,"",IF(HLOOKUP(SMALL($Q$4:$Y$4,6),$Q$4:$Y$501,ROW(AP156)-3,FALSE)="nee",VLOOKUP("De kwaliteitseis emissiearme grond (maximale concentratie) wordt overschreden.",H!$O$10:'H'!$P$59,2,FALSE),""))),"")</f>
        <v/>
      </c>
      <c r="BB156" s="6" t="str">
        <f t="shared" si="50"/>
        <v>--</v>
      </c>
      <c r="BC156" s="6" t="str">
        <f t="shared" si="51"/>
        <v/>
      </c>
      <c r="BD156" s="6" t="str">
        <f t="shared" si="52"/>
        <v>--</v>
      </c>
      <c r="BE156" s="6" t="str">
        <f t="shared" si="60"/>
        <v/>
      </c>
      <c r="BF156" s="6"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6" t="str">
        <f>IF(ISNUMBER(F!E157)=FALSE,"--",IF(F!E157=0,"--",F!E157))</f>
        <v>--</v>
      </c>
      <c r="C157" s="6" t="str">
        <f>IF(B157="--","",F!F157)</f>
        <v/>
      </c>
      <c r="D157" s="6" t="str">
        <f>IF(ISNUMBER(F!G157)=FALSE,"--",IF(F!G157=0,"--",F!G157))</f>
        <v>--</v>
      </c>
      <c r="E157" s="6" t="str">
        <f>IF(D157="--","",F!H157)</f>
        <v/>
      </c>
      <c r="F157" s="6" t="str">
        <f>IF(ISNUMBER(F!I157)=FALSE,"--",IF(F!I157=0,"--",F!I157))</f>
        <v>--</v>
      </c>
      <c r="G157" s="6" t="str">
        <f>IF(F157="--","",F!J157)</f>
        <v/>
      </c>
      <c r="H157" s="6"/>
      <c r="I157" s="101">
        <f>IF(F!Z157=0,-1,F!AV157)</f>
        <v>-1</v>
      </c>
      <c r="J157" s="6"/>
      <c r="K157" s="101">
        <f>IF(F!AC157=0,-1,F!AX157)</f>
        <v>-1</v>
      </c>
      <c r="L157" s="6"/>
      <c r="M157" s="101">
        <f>IF(F!AF157=0,-1,F!AZ157)</f>
        <v>-1</v>
      </c>
      <c r="N157" s="6"/>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6">
        <f t="shared" si="67"/>
        <v>-1</v>
      </c>
      <c r="R157" s="5" t="str">
        <f>IF($B157="--","",IF($P157="toetsen",toetsen(F!$B157,Q157),IF($P157="toetsen alleen IW",toetsen_alleen_IW(F!$B157,Q157),IF($P157="toetsen alleen LN",toetsen_alleen_LN(F!$B157,Q157),IF($P157="toetsen geen MV en SV",toetsen_geen_MV_en_SV(F!$B157,Q157),IF($P157="toetsen alleen MV en SV",toetsen_alleen_MV_en_SV(F!$B157,Q157),""))))))</f>
        <v/>
      </c>
      <c r="S157" s="5" t="str">
        <f>IF($P157="toetsen",IF(OR(Q157="",VLOOKUP(F!$B157,E!$B$1:$AK$300,10,FALSE)=1000000000),"",IF(Q157&lt;=VLOOKUP(F!$B157,E!$B$1:$AK$300,10,FALSE),"ja","nee")),"")</f>
        <v/>
      </c>
      <c r="T157" s="87">
        <f t="shared" si="62"/>
        <v>-1</v>
      </c>
      <c r="U157" s="5" t="str">
        <f>IF($D157="--","",IF($P157="toetsen",toetsen(F!$B157,T157),IF($P157="toetsen alleen IW",toetsen_alleen_IW(F!$B157,T157),IF($P157="toetsen alleen LN",toetsen_alleen_LN(F!$B157,T157),IF($P157="toetsen geen MV en SV",toetsen_geen_MV_en_SV(F!$B157,T157),IF($P157="toetsen alleen MV en SV",toetsen_alleen_MV_en_SV(F!$B157,T157),""))))))</f>
        <v/>
      </c>
      <c r="V157" s="5" t="str">
        <f>IF($P157="toetsen",IF(OR(T157="",VLOOKUP(F!$B157,E!$B$1:$AK$300,10,FALSE)=1000000000),"",IF(T157&lt;=VLOOKUP(F!$B157,E!$B$1:$AK$300,10,FALSE),"ja","nee")),"")</f>
        <v/>
      </c>
      <c r="W157" s="6">
        <f t="shared" si="63"/>
        <v>-1</v>
      </c>
      <c r="X157" s="5" t="str">
        <f>IF($F157="--","",IF($P157="toetsen",toetsen(F!$B157,W157),IF($P157="toetsen alleen IW",toetsen_alleen_IW(F!$B157,W157),IF($P157="toetsen alleen LN",toetsen_alleen_LN(F!$B157,W157),IF($P157="toetsen geen MV en SV",toetsen_geen_MV_en_SV(F!$B157,W157),IF($P157="toetsen alleen MV en SV",toetsen_alleen_MV_en_SV(F!$B157,W157),""))))))</f>
        <v/>
      </c>
      <c r="Y157" s="5" t="str">
        <f>IF($P157="toetsen",IF(OR(W157="",VLOOKUP(F!$B157,E!$B$1:$AK$300,10,FALSE)=1000000000),"",IF(W157&lt;=VLOOKUP(F!$B157,E!$B$1:$AK$300,10,FALSE),"ja","nee")),"")</f>
        <v/>
      </c>
      <c r="AA157" s="4">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6" t="str">
        <f t="shared" si="64"/>
        <v>--</v>
      </c>
      <c r="AJ157" s="6"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6" t="str">
        <f t="shared" si="65"/>
        <v>--</v>
      </c>
      <c r="AL157" s="6"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6" t="str">
        <f t="shared" si="66"/>
        <v>--</v>
      </c>
      <c r="AN157" s="6"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6" t="str">
        <f t="shared" si="53"/>
        <v>--</v>
      </c>
      <c r="AQ157" s="6" t="str">
        <f t="shared" si="54"/>
        <v/>
      </c>
      <c r="AR157" s="6" t="str">
        <f t="shared" si="55"/>
        <v>--</v>
      </c>
      <c r="AS157" s="6" t="str">
        <f t="shared" si="56"/>
        <v/>
      </c>
      <c r="AT157" s="6" t="str">
        <f t="shared" si="57"/>
        <v/>
      </c>
      <c r="AU157" s="6" t="str">
        <f>IFERROR(IF(AR157="--","",IF(HLOOKUP(SMALL($Q$4:$Y$4,3),$Q$4:$Y$501,ROW(AP157)-3,FALSE)=0,"",IF(HLOOKUP(SMALL($Q$4:$Y$4,3),$Q$4:$Y$501,ROW(AP157)-3,FALSE)="nee",VLOOKUP("De kwaliteitseis emissiearme grond (maximale concentratie) wordt overschreden.",H!$O$10:'H'!$P$59,2,FALSE),""))),"")</f>
        <v/>
      </c>
      <c r="AV157" s="6" t="str">
        <f t="shared" si="47"/>
        <v>--</v>
      </c>
      <c r="AW157" s="6" t="str">
        <f t="shared" si="48"/>
        <v/>
      </c>
      <c r="AX157" s="6" t="str">
        <f t="shared" si="49"/>
        <v>--</v>
      </c>
      <c r="AY157" s="6" t="str">
        <f t="shared" si="58"/>
        <v/>
      </c>
      <c r="AZ157" s="6" t="str">
        <f t="shared" si="59"/>
        <v/>
      </c>
      <c r="BA157" s="6" t="str">
        <f>IFERROR(IF(AR157="--","",IF(HLOOKUP(SMALL($Q$4:$Y$4,6),$Q$4:$Y$501,ROW(AP157)-3,FALSE)=0,"",IF(HLOOKUP(SMALL($Q$4:$Y$4,6),$Q$4:$Y$501,ROW(AP157)-3,FALSE)="nee",VLOOKUP("De kwaliteitseis emissiearme grond (maximale concentratie) wordt overschreden.",H!$O$10:'H'!$P$59,2,FALSE),""))),"")</f>
        <v/>
      </c>
      <c r="BB157" s="6" t="str">
        <f t="shared" si="50"/>
        <v>--</v>
      </c>
      <c r="BC157" s="6" t="str">
        <f t="shared" si="51"/>
        <v/>
      </c>
      <c r="BD157" s="6" t="str">
        <f t="shared" si="52"/>
        <v>--</v>
      </c>
      <c r="BE157" s="6" t="str">
        <f t="shared" si="60"/>
        <v/>
      </c>
      <c r="BF157" s="6"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6" t="str">
        <f>IF(ISNUMBER(F!E158)=FALSE,"--",IF(F!E158=0,"--",F!E158))</f>
        <v>--</v>
      </c>
      <c r="C158" s="6" t="str">
        <f>IF(B158="--","",F!F158)</f>
        <v/>
      </c>
      <c r="D158" s="6" t="str">
        <f>IF(ISNUMBER(F!G158)=FALSE,"--",IF(F!G158=0,"--",F!G158))</f>
        <v>--</v>
      </c>
      <c r="E158" s="6" t="str">
        <f>IF(D158="--","",F!H158)</f>
        <v/>
      </c>
      <c r="F158" s="6" t="str">
        <f>IF(ISNUMBER(F!I158)=FALSE,"--",IF(F!I158=0,"--",F!I158))</f>
        <v>--</v>
      </c>
      <c r="G158" s="6" t="str">
        <f>IF(F158="--","",F!J158)</f>
        <v/>
      </c>
      <c r="H158" s="6"/>
      <c r="I158" s="6" t="str">
        <f>IF(F!Z158=-1,-1,F!AV158)</f>
        <v/>
      </c>
      <c r="J158" s="6"/>
      <c r="K158" s="6" t="str">
        <f>IF(F!AC158=-1,-1,F!AX158)</f>
        <v/>
      </c>
      <c r="L158" s="6"/>
      <c r="M158" s="6" t="str">
        <f>IF(F!AF158=-1,-1,F!AZ158)</f>
        <v/>
      </c>
      <c r="N158" s="6"/>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6" t="str">
        <f t="shared" si="67"/>
        <v/>
      </c>
      <c r="R158" s="5" t="str">
        <f>IF($B158="--","",IF($P158="toetsen",toetsen(F!$B158,Q158),IF($P158="toetsen alleen IW",toetsen_alleen_IW(F!$B158,Q158),IF($P158="toetsen alleen LN",toetsen_alleen_LN(F!$B158,Q158),IF($P158="toetsen geen MV en SV",toetsen_geen_MV_en_SV(F!$B158,Q158),IF($P158="toetsen alleen MV en SV",toetsen_alleen_MV_en_SV(F!$B158,Q158),""))))))</f>
        <v/>
      </c>
      <c r="S158" s="5" t="str">
        <f>IF($P158="toetsen",IF(OR(Q158="",VLOOKUP(F!$B158,E!$B$1:$AK$300,10,FALSE)=1000000000),"",IF(Q158&lt;=VLOOKUP(F!$B158,E!$B$1:$AK$300,10,FALSE),"ja","nee")),"")</f>
        <v/>
      </c>
      <c r="T158" s="87" t="str">
        <f t="shared" si="62"/>
        <v/>
      </c>
      <c r="U158" s="5" t="str">
        <f>IF($D158="--","",IF($P158="toetsen",toetsen(F!$B158,T158),IF($P158="toetsen alleen IW",toetsen_alleen_IW(F!$B158,T158),IF($P158="toetsen alleen LN",toetsen_alleen_LN(F!$B158,T158),IF($P158="toetsen geen MV en SV",toetsen_geen_MV_en_SV(F!$B158,T158),IF($P158="toetsen alleen MV en SV",toetsen_alleen_MV_en_SV(F!$B158,T158),""))))))</f>
        <v/>
      </c>
      <c r="V158" s="5" t="str">
        <f>IF($P158="toetsen",IF(OR(T158="",VLOOKUP(F!$B158,E!$B$1:$AK$300,10,FALSE)=1000000000),"",IF(T158&lt;=VLOOKUP(F!$B158,E!$B$1:$AK$300,10,FALSE),"ja","nee")),"")</f>
        <v/>
      </c>
      <c r="W158" s="6" t="str">
        <f t="shared" si="63"/>
        <v/>
      </c>
      <c r="X158" s="5" t="str">
        <f>IF($F158="--","",IF($P158="toetsen",toetsen(F!$B158,W158),IF($P158="toetsen alleen IW",toetsen_alleen_IW(F!$B158,W158),IF($P158="toetsen alleen LN",toetsen_alleen_LN(F!$B158,W158),IF($P158="toetsen geen MV en SV",toetsen_geen_MV_en_SV(F!$B158,W158),IF($P158="toetsen alleen MV en SV",toetsen_alleen_MV_en_SV(F!$B158,W158),""))))))</f>
        <v/>
      </c>
      <c r="Y158" s="5" t="str">
        <f>IF($P158="toetsen",IF(OR(W158="",VLOOKUP(F!$B158,E!$B$1:$AK$300,10,FALSE)=1000000000),"",IF(W158&lt;=VLOOKUP(F!$B158,E!$B$1:$AK$300,10,FALSE),"ja","nee")),"")</f>
        <v/>
      </c>
      <c r="AA158" s="4"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6" t="str">
        <f t="shared" si="64"/>
        <v>--</v>
      </c>
      <c r="AJ158" s="6"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6" t="str">
        <f t="shared" si="65"/>
        <v>--</v>
      </c>
      <c r="AL158" s="6"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6" t="str">
        <f t="shared" si="66"/>
        <v>--</v>
      </c>
      <c r="AN158" s="6"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6" t="str">
        <f t="shared" si="53"/>
        <v>--</v>
      </c>
      <c r="AQ158" s="6" t="str">
        <f t="shared" si="54"/>
        <v/>
      </c>
      <c r="AR158" s="6" t="str">
        <f t="shared" si="55"/>
        <v>--</v>
      </c>
      <c r="AS158" s="6" t="str">
        <f t="shared" si="56"/>
        <v/>
      </c>
      <c r="AT158" s="6" t="str">
        <f t="shared" si="57"/>
        <v/>
      </c>
      <c r="AU158" s="6" t="str">
        <f>IFERROR(IF(AR158="--","",IF(HLOOKUP(SMALL($Q$4:$Y$4,3),$Q$4:$Y$501,ROW(AP158)-3,FALSE)=0,"",IF(HLOOKUP(SMALL($Q$4:$Y$4,3),$Q$4:$Y$501,ROW(AP158)-3,FALSE)="nee",VLOOKUP("De kwaliteitseis emissiearme grond (maximale concentratie) wordt overschreden.",H!$O$10:'H'!$P$59,2,FALSE),""))),"")</f>
        <v/>
      </c>
      <c r="AV158" s="6" t="str">
        <f t="shared" si="47"/>
        <v>--</v>
      </c>
      <c r="AW158" s="6" t="str">
        <f t="shared" si="48"/>
        <v/>
      </c>
      <c r="AX158" s="6" t="str">
        <f t="shared" si="49"/>
        <v>--</v>
      </c>
      <c r="AY158" s="6" t="str">
        <f t="shared" si="58"/>
        <v/>
      </c>
      <c r="AZ158" s="6" t="str">
        <f t="shared" si="59"/>
        <v/>
      </c>
      <c r="BA158" s="6" t="str">
        <f>IFERROR(IF(AR158="--","",IF(HLOOKUP(SMALL($Q$4:$Y$4,6),$Q$4:$Y$501,ROW(AP158)-3,FALSE)=0,"",IF(HLOOKUP(SMALL($Q$4:$Y$4,6),$Q$4:$Y$501,ROW(AP158)-3,FALSE)="nee",VLOOKUP("De kwaliteitseis emissiearme grond (maximale concentratie) wordt overschreden.",H!$O$10:'H'!$P$59,2,FALSE),""))),"")</f>
        <v/>
      </c>
      <c r="BB158" s="6" t="str">
        <f t="shared" si="50"/>
        <v>--</v>
      </c>
      <c r="BC158" s="6" t="str">
        <f t="shared" si="51"/>
        <v/>
      </c>
      <c r="BD158" s="6" t="str">
        <f t="shared" si="52"/>
        <v>--</v>
      </c>
      <c r="BE158" s="6" t="str">
        <f t="shared" si="60"/>
        <v/>
      </c>
      <c r="BF158" s="6"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6" t="str">
        <f>IF(ISNUMBER(F!E159)=FALSE,"--",IF(F!E159=0,"--",F!E159))</f>
        <v>--</v>
      </c>
      <c r="C159" s="6" t="str">
        <f>IF(B159="--","",F!F159)</f>
        <v/>
      </c>
      <c r="D159" s="6" t="str">
        <f>IF(ISNUMBER(F!G159)=FALSE,"--",IF(F!G159=0,"--",F!G159))</f>
        <v>--</v>
      </c>
      <c r="E159" s="6" t="str">
        <f>IF(D159="--","",F!H159)</f>
        <v/>
      </c>
      <c r="F159" s="6" t="str">
        <f>IF(ISNUMBER(F!I159)=FALSE,"--",IF(F!I159=0,"--",F!I159))</f>
        <v>--</v>
      </c>
      <c r="G159" s="6" t="str">
        <f>IF(F159="--","",F!J159)</f>
        <v/>
      </c>
      <c r="H159" s="6"/>
      <c r="I159" s="6" t="str">
        <f>IF(F!Z159=-1,-1,F!AV159)</f>
        <v/>
      </c>
      <c r="J159" s="6"/>
      <c r="K159" s="16" t="str">
        <f>IF(F!AD159=-1,-1,F!AX159)</f>
        <v/>
      </c>
      <c r="L159" s="6"/>
      <c r="M159" s="16" t="str">
        <f>IF(F!AG159=-1,-1,F!AZ159)</f>
        <v/>
      </c>
      <c r="N159" s="6"/>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6" t="str">
        <f t="shared" si="67"/>
        <v/>
      </c>
      <c r="R159" s="5" t="str">
        <f>IF($B159="--","",IF($P159="toetsen",toetsen(F!$B159,Q159),IF($P159="toetsen alleen IW",toetsen_alleen_IW(F!$B159,Q159),IF($P159="toetsen alleen LN",toetsen_alleen_LN(F!$B159,Q159),IF($P159="toetsen geen MV en SV",toetsen_geen_MV_en_SV(F!$B159,Q159),IF($P159="toetsen alleen MV en SV",toetsen_alleen_MV_en_SV(F!$B159,Q159),""))))))</f>
        <v/>
      </c>
      <c r="S159" s="5" t="str">
        <f>IF($P159="toetsen",IF(OR(Q159="",VLOOKUP(F!$B159,E!$B$1:$AK$300,10,FALSE)=1000000000),"",IF(Q159&lt;=VLOOKUP(F!$B159,E!$B$1:$AK$300,10,FALSE),"ja","nee")),"")</f>
        <v/>
      </c>
      <c r="T159" s="87" t="str">
        <f t="shared" si="62"/>
        <v/>
      </c>
      <c r="U159" s="5" t="str">
        <f>IF($D159="--","",IF($P159="toetsen",toetsen(F!$B159,T159),IF($P159="toetsen alleen IW",toetsen_alleen_IW(F!$B159,T159),IF($P159="toetsen alleen LN",toetsen_alleen_LN(F!$B159,T159),IF($P159="toetsen geen MV en SV",toetsen_geen_MV_en_SV(F!$B159,T159),IF($P159="toetsen alleen MV en SV",toetsen_alleen_MV_en_SV(F!$B159,T159),""))))))</f>
        <v/>
      </c>
      <c r="V159" s="5" t="str">
        <f>IF($P159="toetsen",IF(OR(T159="",VLOOKUP(F!$B159,E!$B$1:$AK$300,10,FALSE)=1000000000),"",IF(T159&lt;=VLOOKUP(F!$B159,E!$B$1:$AK$300,10,FALSE),"ja","nee")),"")</f>
        <v/>
      </c>
      <c r="W159" s="6" t="str">
        <f t="shared" si="63"/>
        <v/>
      </c>
      <c r="X159" s="5" t="str">
        <f>IF($F159="--","",IF($P159="toetsen",toetsen(F!$B159,W159),IF($P159="toetsen alleen IW",toetsen_alleen_IW(F!$B159,W159),IF($P159="toetsen alleen LN",toetsen_alleen_LN(F!$B159,W159),IF($P159="toetsen geen MV en SV",toetsen_geen_MV_en_SV(F!$B159,W159),IF($P159="toetsen alleen MV en SV",toetsen_alleen_MV_en_SV(F!$B159,W159),""))))))</f>
        <v/>
      </c>
      <c r="Y159" s="5" t="str">
        <f>IF($P159="toetsen",IF(OR(W159="",VLOOKUP(F!$B159,E!$B$1:$AK$300,10,FALSE)=1000000000),"",IF(W159&lt;=VLOOKUP(F!$B159,E!$B$1:$AK$300,10,FALSE),"ja","nee")),"")</f>
        <v/>
      </c>
      <c r="AA159" s="4"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6" t="str">
        <f t="shared" si="64"/>
        <v>--</v>
      </c>
      <c r="AJ159" s="6"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6" t="str">
        <f t="shared" si="65"/>
        <v>--</v>
      </c>
      <c r="AL159" s="6"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6" t="str">
        <f t="shared" si="66"/>
        <v>--</v>
      </c>
      <c r="AN159" s="6"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6" t="str">
        <f t="shared" si="53"/>
        <v>--</v>
      </c>
      <c r="AQ159" s="6" t="str">
        <f t="shared" si="54"/>
        <v/>
      </c>
      <c r="AR159" s="6" t="str">
        <f t="shared" si="55"/>
        <v>--</v>
      </c>
      <c r="AS159" s="6" t="str">
        <f t="shared" si="56"/>
        <v/>
      </c>
      <c r="AT159" s="6" t="str">
        <f t="shared" si="57"/>
        <v/>
      </c>
      <c r="AU159" s="6" t="str">
        <f>IFERROR(IF(AR159="--","",IF(HLOOKUP(SMALL($Q$4:$Y$4,3),$Q$4:$Y$501,ROW(AP159)-3,FALSE)=0,"",IF(HLOOKUP(SMALL($Q$4:$Y$4,3),$Q$4:$Y$501,ROW(AP159)-3,FALSE)="nee",VLOOKUP("De kwaliteitseis emissiearme grond (maximale concentratie) wordt overschreden.",H!$O$10:'H'!$P$59,2,FALSE),""))),"")</f>
        <v/>
      </c>
      <c r="AV159" s="6" t="str">
        <f t="shared" si="47"/>
        <v>--</v>
      </c>
      <c r="AW159" s="6" t="str">
        <f t="shared" si="48"/>
        <v/>
      </c>
      <c r="AX159" s="6" t="str">
        <f t="shared" si="49"/>
        <v>--</v>
      </c>
      <c r="AY159" s="6" t="str">
        <f t="shared" si="58"/>
        <v/>
      </c>
      <c r="AZ159" s="6" t="str">
        <f t="shared" si="59"/>
        <v/>
      </c>
      <c r="BA159" s="6" t="str">
        <f>IFERROR(IF(AR159="--","",IF(HLOOKUP(SMALL($Q$4:$Y$4,6),$Q$4:$Y$501,ROW(AP159)-3,FALSE)=0,"",IF(HLOOKUP(SMALL($Q$4:$Y$4,6),$Q$4:$Y$501,ROW(AP159)-3,FALSE)="nee",VLOOKUP("De kwaliteitseis emissiearme grond (maximale concentratie) wordt overschreden.",H!$O$10:'H'!$P$59,2,FALSE),""))),"")</f>
        <v/>
      </c>
      <c r="BB159" s="6" t="str">
        <f t="shared" si="50"/>
        <v>--</v>
      </c>
      <c r="BC159" s="6" t="str">
        <f t="shared" si="51"/>
        <v/>
      </c>
      <c r="BD159" s="6" t="str">
        <f t="shared" si="52"/>
        <v>--</v>
      </c>
      <c r="BE159" s="6" t="str">
        <f t="shared" si="60"/>
        <v/>
      </c>
      <c r="BF159" s="6"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6" t="str">
        <f>IF(ISNUMBER(F!E160)=FALSE,"--",IF(F!E160=0,"--",F!E160))</f>
        <v>--</v>
      </c>
      <c r="C160" s="6" t="str">
        <f>IF(B160="--","",F!F160)</f>
        <v/>
      </c>
      <c r="D160" s="6" t="str">
        <f>IF(ISNUMBER(F!G160)=FALSE,"--",IF(F!G160=0,"--",F!G160))</f>
        <v>--</v>
      </c>
      <c r="E160" s="6" t="str">
        <f>IF(D160="--","",F!H160)</f>
        <v/>
      </c>
      <c r="F160" s="6" t="str">
        <f>IF(ISNUMBER(F!I160)=FALSE,"--",IF(F!I160=0,"--",F!I160))</f>
        <v>--</v>
      </c>
      <c r="G160" s="6" t="str">
        <f>IF(F160="--","",F!J160)</f>
        <v/>
      </c>
      <c r="H160" s="6"/>
      <c r="I160" s="16" t="str">
        <f>IF(F!AA160=-1,-1,F!AV160)</f>
        <v/>
      </c>
      <c r="J160" s="6"/>
      <c r="K160" s="16" t="str">
        <f>IF(F!AD160=-1,-1,F!AX160)</f>
        <v/>
      </c>
      <c r="L160" s="6"/>
      <c r="M160" s="16" t="str">
        <f>IF(F!AG160=-1,-1,F!AZ160)</f>
        <v/>
      </c>
      <c r="N160" s="6"/>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6" t="str">
        <f t="shared" si="67"/>
        <v/>
      </c>
      <c r="R160" s="5" t="str">
        <f>IF($B160="--","",IF($P160="toetsen",toetsen(F!$B160,Q160),IF($P160="toetsen alleen IW",toetsen_alleen_IW(F!$B160,Q160),IF($P160="toetsen alleen LN",toetsen_alleen_LN(F!$B160,Q160),IF($P160="toetsen geen MV en SV",toetsen_geen_MV_en_SV(F!$B160,Q160),IF($P160="toetsen alleen MV en SV",toetsen_alleen_MV_en_SV(F!$B160,Q160),""))))))</f>
        <v/>
      </c>
      <c r="S160" s="5" t="str">
        <f>IF($P160="toetsen",IF(OR(Q160="",VLOOKUP(F!$B160,E!$B$1:$AK$300,10,FALSE)=1000000000),"",IF(Q160&lt;=VLOOKUP(F!$B160,E!$B$1:$AK$300,10,FALSE),"ja","nee")),"")</f>
        <v/>
      </c>
      <c r="T160" s="87" t="str">
        <f t="shared" si="62"/>
        <v/>
      </c>
      <c r="U160" s="5" t="str">
        <f>IF($D160="--","",IF($P160="toetsen",toetsen(F!$B160,T160),IF($P160="toetsen alleen IW",toetsen_alleen_IW(F!$B160,T160),IF($P160="toetsen alleen LN",toetsen_alleen_LN(F!$B160,T160),IF($P160="toetsen geen MV en SV",toetsen_geen_MV_en_SV(F!$B160,T160),IF($P160="toetsen alleen MV en SV",toetsen_alleen_MV_en_SV(F!$B160,T160),""))))))</f>
        <v/>
      </c>
      <c r="V160" s="5" t="str">
        <f>IF($P160="toetsen",IF(OR(T160="",VLOOKUP(F!$B160,E!$B$1:$AK$300,10,FALSE)=1000000000),"",IF(T160&lt;=VLOOKUP(F!$B160,E!$B$1:$AK$300,10,FALSE),"ja","nee")),"")</f>
        <v/>
      </c>
      <c r="W160" s="6" t="str">
        <f t="shared" si="63"/>
        <v/>
      </c>
      <c r="X160" s="5" t="str">
        <f>IF($F160="--","",IF($P160="toetsen",toetsen(F!$B160,W160),IF($P160="toetsen alleen IW",toetsen_alleen_IW(F!$B160,W160),IF($P160="toetsen alleen LN",toetsen_alleen_LN(F!$B160,W160),IF($P160="toetsen geen MV en SV",toetsen_geen_MV_en_SV(F!$B160,W160),IF($P160="toetsen alleen MV en SV",toetsen_alleen_MV_en_SV(F!$B160,W160),""))))))</f>
        <v/>
      </c>
      <c r="Y160" s="5" t="str">
        <f>IF($P160="toetsen",IF(OR(W160="",VLOOKUP(F!$B160,E!$B$1:$AK$300,10,FALSE)=1000000000),"",IF(W160&lt;=VLOOKUP(F!$B160,E!$B$1:$AK$300,10,FALSE),"ja","nee")),"")</f>
        <v/>
      </c>
      <c r="AA160" s="4"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6" t="str">
        <f t="shared" si="64"/>
        <v>--</v>
      </c>
      <c r="AJ160" s="6"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6" t="str">
        <f t="shared" si="65"/>
        <v>--</v>
      </c>
      <c r="AL160" s="6"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6" t="str">
        <f t="shared" si="66"/>
        <v>--</v>
      </c>
      <c r="AN160" s="6"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6" t="str">
        <f t="shared" si="53"/>
        <v>--</v>
      </c>
      <c r="AQ160" s="6" t="str">
        <f t="shared" si="54"/>
        <v/>
      </c>
      <c r="AR160" s="6" t="str">
        <f t="shared" si="55"/>
        <v>--</v>
      </c>
      <c r="AS160" s="6" t="str">
        <f t="shared" si="56"/>
        <v/>
      </c>
      <c r="AT160" s="6" t="str">
        <f t="shared" si="57"/>
        <v/>
      </c>
      <c r="AU160" s="6" t="str">
        <f>IFERROR(IF(AR160="--","",IF(HLOOKUP(SMALL($Q$4:$Y$4,3),$Q$4:$Y$501,ROW(AP160)-3,FALSE)=0,"",IF(HLOOKUP(SMALL($Q$4:$Y$4,3),$Q$4:$Y$501,ROW(AP160)-3,FALSE)="nee",VLOOKUP("De kwaliteitseis emissiearme grond (maximale concentratie) wordt overschreden.",H!$O$10:'H'!$P$59,2,FALSE),""))),"")</f>
        <v/>
      </c>
      <c r="AV160" s="6" t="str">
        <f t="shared" si="47"/>
        <v>--</v>
      </c>
      <c r="AW160" s="6" t="str">
        <f t="shared" si="48"/>
        <v/>
      </c>
      <c r="AX160" s="6" t="str">
        <f t="shared" si="49"/>
        <v>--</v>
      </c>
      <c r="AY160" s="6" t="str">
        <f t="shared" si="58"/>
        <v/>
      </c>
      <c r="AZ160" s="6" t="str">
        <f t="shared" si="59"/>
        <v/>
      </c>
      <c r="BA160" s="6" t="str">
        <f>IFERROR(IF(AR160="--","",IF(HLOOKUP(SMALL($Q$4:$Y$4,6),$Q$4:$Y$501,ROW(AP160)-3,FALSE)=0,"",IF(HLOOKUP(SMALL($Q$4:$Y$4,6),$Q$4:$Y$501,ROW(AP160)-3,FALSE)="nee",VLOOKUP("De kwaliteitseis emissiearme grond (maximale concentratie) wordt overschreden.",H!$O$10:'H'!$P$59,2,FALSE),""))),"")</f>
        <v/>
      </c>
      <c r="BB160" s="6" t="str">
        <f t="shared" si="50"/>
        <v>--</v>
      </c>
      <c r="BC160" s="6" t="str">
        <f t="shared" si="51"/>
        <v/>
      </c>
      <c r="BD160" s="6" t="str">
        <f t="shared" si="52"/>
        <v>--</v>
      </c>
      <c r="BE160" s="6" t="str">
        <f t="shared" si="60"/>
        <v/>
      </c>
      <c r="BF160" s="6"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6" t="str">
        <f>IF(ISNUMBER(F!E161)=FALSE,"--",IF(F!E161=0,"--",F!E161))</f>
        <v>--</v>
      </c>
      <c r="C161" s="6" t="str">
        <f>IF(B161="--","",F!F161)</f>
        <v/>
      </c>
      <c r="D161" s="6" t="str">
        <f>IF(ISNUMBER(F!G161)=FALSE,"--",IF(F!G161=0,"--",F!G161))</f>
        <v>--</v>
      </c>
      <c r="E161" s="6" t="str">
        <f>IF(D161="--","",F!H161)</f>
        <v/>
      </c>
      <c r="F161" s="6" t="str">
        <f>IF(ISNUMBER(F!I161)=FALSE,"--",IF(F!I161=0,"--",F!I161))</f>
        <v>--</v>
      </c>
      <c r="G161" s="6" t="str">
        <f>IF(F161="--","",F!J161)</f>
        <v/>
      </c>
      <c r="H161" s="6"/>
      <c r="I161" s="16" t="str">
        <f>IF(F!AA161=-1,-1,F!AV161)</f>
        <v/>
      </c>
      <c r="J161" s="6"/>
      <c r="K161" s="16" t="str">
        <f>IF(F!AD161=-1,-1,F!AX161)</f>
        <v/>
      </c>
      <c r="L161" s="6"/>
      <c r="M161" s="16" t="str">
        <f>IF(F!AG161=-1,-1,F!AZ161)</f>
        <v/>
      </c>
      <c r="N161" s="6"/>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6" t="str">
        <f t="shared" si="67"/>
        <v/>
      </c>
      <c r="R161" s="5" t="str">
        <f>IF($B161="--","",IF($P161="toetsen",toetsen(F!$B161,Q161),IF($P161="toetsen alleen IW",toetsen_alleen_IW(F!$B161,Q161),IF($P161="toetsen alleen LN",toetsen_alleen_LN(F!$B161,Q161),IF($P161="toetsen geen MV en SV",toetsen_geen_MV_en_SV(F!$B161,Q161),IF($P161="toetsen alleen MV en SV",toetsen_alleen_MV_en_SV(F!$B161,Q161),""))))))</f>
        <v/>
      </c>
      <c r="S161" s="5" t="str">
        <f>IF($P161="toetsen",IF(OR(Q161="",VLOOKUP(F!$B161,E!$B$1:$AK$300,10,FALSE)=1000000000),"",IF(Q161&lt;=VLOOKUP(F!$B161,E!$B$1:$AK$300,10,FALSE),"ja","nee")),"")</f>
        <v/>
      </c>
      <c r="T161" s="87" t="str">
        <f t="shared" si="62"/>
        <v/>
      </c>
      <c r="U161" s="5" t="str">
        <f>IF($D161="--","",IF($P161="toetsen",toetsen(F!$B161,T161),IF($P161="toetsen alleen IW",toetsen_alleen_IW(F!$B161,T161),IF($P161="toetsen alleen LN",toetsen_alleen_LN(F!$B161,T161),IF($P161="toetsen geen MV en SV",toetsen_geen_MV_en_SV(F!$B161,T161),IF($P161="toetsen alleen MV en SV",toetsen_alleen_MV_en_SV(F!$B161,T161),""))))))</f>
        <v/>
      </c>
      <c r="V161" s="5" t="str">
        <f>IF($P161="toetsen",IF(OR(T161="",VLOOKUP(F!$B161,E!$B$1:$AK$300,10,FALSE)=1000000000),"",IF(T161&lt;=VLOOKUP(F!$B161,E!$B$1:$AK$300,10,FALSE),"ja","nee")),"")</f>
        <v/>
      </c>
      <c r="W161" s="6" t="str">
        <f t="shared" si="63"/>
        <v/>
      </c>
      <c r="X161" s="5" t="str">
        <f>IF($F161="--","",IF($P161="toetsen",toetsen(F!$B161,W161),IF($P161="toetsen alleen IW",toetsen_alleen_IW(F!$B161,W161),IF($P161="toetsen alleen LN",toetsen_alleen_LN(F!$B161,W161),IF($P161="toetsen geen MV en SV",toetsen_geen_MV_en_SV(F!$B161,W161),IF($P161="toetsen alleen MV en SV",toetsen_alleen_MV_en_SV(F!$B161,W161),""))))))</f>
        <v/>
      </c>
      <c r="Y161" s="5" t="str">
        <f>IF($P161="toetsen",IF(OR(W161="",VLOOKUP(F!$B161,E!$B$1:$AK$300,10,FALSE)=1000000000),"",IF(W161&lt;=VLOOKUP(F!$B161,E!$B$1:$AK$300,10,FALSE),"ja","nee")),"")</f>
        <v/>
      </c>
      <c r="AA161" s="4"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6" t="str">
        <f t="shared" si="64"/>
        <v>--</v>
      </c>
      <c r="AJ161" s="6"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6" t="str">
        <f t="shared" si="65"/>
        <v>--</v>
      </c>
      <c r="AL161" s="6"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6" t="str">
        <f t="shared" si="66"/>
        <v>--</v>
      </c>
      <c r="AN161" s="6"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6" t="str">
        <f t="shared" si="53"/>
        <v>--</v>
      </c>
      <c r="AQ161" s="6" t="str">
        <f t="shared" si="54"/>
        <v/>
      </c>
      <c r="AR161" s="6" t="str">
        <f t="shared" si="55"/>
        <v>--</v>
      </c>
      <c r="AS161" s="6" t="str">
        <f t="shared" si="56"/>
        <v/>
      </c>
      <c r="AT161" s="6" t="str">
        <f t="shared" si="57"/>
        <v/>
      </c>
      <c r="AU161" s="6" t="str">
        <f>IFERROR(IF(AR161="--","",IF(HLOOKUP(SMALL($Q$4:$Y$4,3),$Q$4:$Y$501,ROW(AP161)-3,FALSE)=0,"",IF(HLOOKUP(SMALL($Q$4:$Y$4,3),$Q$4:$Y$501,ROW(AP161)-3,FALSE)="nee",VLOOKUP("De kwaliteitseis emissiearme grond (maximale concentratie) wordt overschreden.",H!$O$10:'H'!$P$59,2,FALSE),""))),"")</f>
        <v/>
      </c>
      <c r="AV161" s="6" t="str">
        <f t="shared" si="47"/>
        <v>--</v>
      </c>
      <c r="AW161" s="6" t="str">
        <f t="shared" si="48"/>
        <v/>
      </c>
      <c r="AX161" s="6" t="str">
        <f t="shared" si="49"/>
        <v>--</v>
      </c>
      <c r="AY161" s="6" t="str">
        <f t="shared" si="58"/>
        <v/>
      </c>
      <c r="AZ161" s="6" t="str">
        <f t="shared" si="59"/>
        <v/>
      </c>
      <c r="BA161" s="6" t="str">
        <f>IFERROR(IF(AR161="--","",IF(HLOOKUP(SMALL($Q$4:$Y$4,6),$Q$4:$Y$501,ROW(AP161)-3,FALSE)=0,"",IF(HLOOKUP(SMALL($Q$4:$Y$4,6),$Q$4:$Y$501,ROW(AP161)-3,FALSE)="nee",VLOOKUP("De kwaliteitseis emissiearme grond (maximale concentratie) wordt overschreden.",H!$O$10:'H'!$P$59,2,FALSE),""))),"")</f>
        <v/>
      </c>
      <c r="BB161" s="6" t="str">
        <f t="shared" si="50"/>
        <v>--</v>
      </c>
      <c r="BC161" s="6" t="str">
        <f t="shared" si="51"/>
        <v/>
      </c>
      <c r="BD161" s="6" t="str">
        <f t="shared" si="52"/>
        <v>--</v>
      </c>
      <c r="BE161" s="6" t="str">
        <f t="shared" si="60"/>
        <v/>
      </c>
      <c r="BF161" s="6"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6" t="str">
        <f>IF(ISNUMBER(F!E162)=FALSE,"--",IF(F!E162=0,"--",F!E162))</f>
        <v>--</v>
      </c>
      <c r="C162" s="6" t="str">
        <f>IF(B162="--","",F!F162)</f>
        <v/>
      </c>
      <c r="D162" s="6" t="str">
        <f>IF(ISNUMBER(F!G162)=FALSE,"--",IF(F!G162=0,"--",F!G162))</f>
        <v>--</v>
      </c>
      <c r="E162" s="6" t="str">
        <f>IF(D162="--","",F!H162)</f>
        <v/>
      </c>
      <c r="F162" s="6" t="str">
        <f>IF(ISNUMBER(F!I162)=FALSE,"--",IF(F!I162=0,"--",F!I162))</f>
        <v>--</v>
      </c>
      <c r="G162" s="6" t="str">
        <f>IF(F162="--","",F!J162)</f>
        <v/>
      </c>
      <c r="H162" s="6"/>
      <c r="I162" s="101">
        <f>IF(F!Z162=0,-1,F!AV162)</f>
        <v>-1</v>
      </c>
      <c r="J162" s="6"/>
      <c r="K162" s="101">
        <f>IF(F!AC162=0,-1,F!AX162)</f>
        <v>-1</v>
      </c>
      <c r="L162" s="6"/>
      <c r="M162" s="101">
        <f>IF(F!AF162=0,-1,F!AZ162)</f>
        <v>-1</v>
      </c>
      <c r="N162" s="6"/>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6">
        <f t="shared" si="67"/>
        <v>-1</v>
      </c>
      <c r="R162" s="5" t="str">
        <f>IF($B162="--","",IF($P162="toetsen",toetsen(F!$B162,Q162),IF($P162="toetsen alleen IW",toetsen_alleen_IW(F!$B162,Q162),IF($P162="toetsen alleen LN",toetsen_alleen_LN(F!$B162,Q162),IF($P162="toetsen geen MV en SV",toetsen_geen_MV_en_SV(F!$B162,Q162),IF($P162="toetsen alleen MV en SV",toetsen_alleen_MV_en_SV(F!$B162,Q162),""))))))</f>
        <v/>
      </c>
      <c r="S162" s="5" t="str">
        <f>IF($P162="toetsen",IF(OR(Q162="",VLOOKUP(F!$B162,E!$B$1:$AK$300,10,FALSE)=1000000000),"",IF(Q162&lt;=VLOOKUP(F!$B162,E!$B$1:$AK$300,10,FALSE),"ja","nee")),"")</f>
        <v/>
      </c>
      <c r="T162" s="87">
        <f t="shared" si="62"/>
        <v>-1</v>
      </c>
      <c r="U162" s="5" t="str">
        <f>IF($D162="--","",IF($P162="toetsen",toetsen(F!$B162,T162),IF($P162="toetsen alleen IW",toetsen_alleen_IW(F!$B162,T162),IF($P162="toetsen alleen LN",toetsen_alleen_LN(F!$B162,T162),IF($P162="toetsen geen MV en SV",toetsen_geen_MV_en_SV(F!$B162,T162),IF($P162="toetsen alleen MV en SV",toetsen_alleen_MV_en_SV(F!$B162,T162),""))))))</f>
        <v/>
      </c>
      <c r="V162" s="5" t="str">
        <f>IF($P162="toetsen",IF(OR(T162="",VLOOKUP(F!$B162,E!$B$1:$AK$300,10,FALSE)=1000000000),"",IF(T162&lt;=VLOOKUP(F!$B162,E!$B$1:$AK$300,10,FALSE),"ja","nee")),"")</f>
        <v/>
      </c>
      <c r="W162" s="6">
        <f t="shared" si="63"/>
        <v>-1</v>
      </c>
      <c r="X162" s="5" t="str">
        <f>IF($F162="--","",IF($P162="toetsen",toetsen(F!$B162,W162),IF($P162="toetsen alleen IW",toetsen_alleen_IW(F!$B162,W162),IF($P162="toetsen alleen LN",toetsen_alleen_LN(F!$B162,W162),IF($P162="toetsen geen MV en SV",toetsen_geen_MV_en_SV(F!$B162,W162),IF($P162="toetsen alleen MV en SV",toetsen_alleen_MV_en_SV(F!$B162,W162),""))))))</f>
        <v/>
      </c>
      <c r="Y162" s="5" t="str">
        <f>IF($P162="toetsen",IF(OR(W162="",VLOOKUP(F!$B162,E!$B$1:$AK$300,10,FALSE)=1000000000),"",IF(W162&lt;=VLOOKUP(F!$B162,E!$B$1:$AK$300,10,FALSE),"ja","nee")),"")</f>
        <v/>
      </c>
      <c r="AA162" s="4">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6" t="str">
        <f t="shared" si="64"/>
        <v>--</v>
      </c>
      <c r="AJ162" s="6"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6" t="str">
        <f t="shared" si="65"/>
        <v>--</v>
      </c>
      <c r="AL162" s="6"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6" t="str">
        <f t="shared" si="66"/>
        <v>--</v>
      </c>
      <c r="AN162" s="6"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6" t="str">
        <f t="shared" si="53"/>
        <v>--</v>
      </c>
      <c r="AQ162" s="6" t="str">
        <f t="shared" si="54"/>
        <v/>
      </c>
      <c r="AR162" s="6" t="str">
        <f t="shared" si="55"/>
        <v>--</v>
      </c>
      <c r="AS162" s="6" t="str">
        <f t="shared" si="56"/>
        <v/>
      </c>
      <c r="AT162" s="6" t="str">
        <f t="shared" si="57"/>
        <v/>
      </c>
      <c r="AU162" s="6" t="str">
        <f>IFERROR(IF(AR162="--","",IF(HLOOKUP(SMALL($Q$4:$Y$4,3),$Q$4:$Y$501,ROW(AP162)-3,FALSE)=0,"",IF(HLOOKUP(SMALL($Q$4:$Y$4,3),$Q$4:$Y$501,ROW(AP162)-3,FALSE)="nee",VLOOKUP("De kwaliteitseis emissiearme grond (maximale concentratie) wordt overschreden.",H!$O$10:'H'!$P$59,2,FALSE),""))),"")</f>
        <v/>
      </c>
      <c r="AV162" s="6" t="str">
        <f t="shared" si="47"/>
        <v>--</v>
      </c>
      <c r="AW162" s="6" t="str">
        <f t="shared" si="48"/>
        <v/>
      </c>
      <c r="AX162" s="6" t="str">
        <f t="shared" si="49"/>
        <v>--</v>
      </c>
      <c r="AY162" s="6" t="str">
        <f t="shared" si="58"/>
        <v/>
      </c>
      <c r="AZ162" s="6" t="str">
        <f t="shared" si="59"/>
        <v/>
      </c>
      <c r="BA162" s="6" t="str">
        <f>IFERROR(IF(AR162="--","",IF(HLOOKUP(SMALL($Q$4:$Y$4,6),$Q$4:$Y$501,ROW(AP162)-3,FALSE)=0,"",IF(HLOOKUP(SMALL($Q$4:$Y$4,6),$Q$4:$Y$501,ROW(AP162)-3,FALSE)="nee",VLOOKUP("De kwaliteitseis emissiearme grond (maximale concentratie) wordt overschreden.",H!$O$10:'H'!$P$59,2,FALSE),""))),"")</f>
        <v/>
      </c>
      <c r="BB162" s="6" t="str">
        <f t="shared" si="50"/>
        <v>--</v>
      </c>
      <c r="BC162" s="6" t="str">
        <f t="shared" si="51"/>
        <v/>
      </c>
      <c r="BD162" s="6" t="str">
        <f t="shared" si="52"/>
        <v>--</v>
      </c>
      <c r="BE162" s="6" t="str">
        <f t="shared" si="60"/>
        <v/>
      </c>
      <c r="BF162" s="6"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6" t="str">
        <f>IF(ISNUMBER(F!E163)=FALSE,"--",IF(F!E163=0,"--",F!E163))</f>
        <v>--</v>
      </c>
      <c r="C163" s="6" t="str">
        <f>IF(B163="--","",F!F163)</f>
        <v/>
      </c>
      <c r="D163" s="6" t="str">
        <f>IF(ISNUMBER(F!G163)=FALSE,"--",IF(F!G163=0,"--",F!G163))</f>
        <v>--</v>
      </c>
      <c r="E163" s="6" t="str">
        <f>IF(D163="--","",F!H163)</f>
        <v/>
      </c>
      <c r="F163" s="6" t="str">
        <f>IF(ISNUMBER(F!I163)=FALSE,"--",IF(F!I163=0,"--",F!I163))</f>
        <v>--</v>
      </c>
      <c r="G163" s="6" t="str">
        <f>IF(F163="--","",F!J163)</f>
        <v/>
      </c>
      <c r="H163" s="6"/>
      <c r="I163" s="6" t="str">
        <f>IF(F!Z163=-1,-1,F!AV163)</f>
        <v/>
      </c>
      <c r="J163" s="6"/>
      <c r="K163" s="6" t="str">
        <f>IF(F!AC163=-1,-1,F!AX163)</f>
        <v/>
      </c>
      <c r="L163" s="6"/>
      <c r="M163" s="6" t="str">
        <f>IF(F!AF163=-1,-1,F!AZ163)</f>
        <v/>
      </c>
      <c r="N163" s="6"/>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6" t="str">
        <f t="shared" si="67"/>
        <v/>
      </c>
      <c r="R163" s="5" t="str">
        <f>IF($B163="--","",IF($P163="toetsen",toetsen(F!$B163,Q163),IF($P163="toetsen alleen IW",toetsen_alleen_IW(F!$B163,Q163),IF($P163="toetsen alleen LN",toetsen_alleen_LN(F!$B163,Q163),IF($P163="toetsen geen MV en SV",toetsen_geen_MV_en_SV(F!$B163,Q163),IF($P163="toetsen alleen MV en SV",toetsen_alleen_MV_en_SV(F!$B163,Q163),""))))))</f>
        <v/>
      </c>
      <c r="S163" s="5" t="str">
        <f>IF($P163="toetsen",IF(OR(Q163="",VLOOKUP(F!$B163,E!$B$1:$AK$300,10,FALSE)=1000000000),"",IF(Q163&lt;=VLOOKUP(F!$B163,E!$B$1:$AK$300,10,FALSE),"ja","nee")),"")</f>
        <v/>
      </c>
      <c r="T163" s="87" t="str">
        <f t="shared" si="62"/>
        <v/>
      </c>
      <c r="U163" s="5" t="str">
        <f>IF($D163="--","",IF($P163="toetsen",toetsen(F!$B163,T163),IF($P163="toetsen alleen IW",toetsen_alleen_IW(F!$B163,T163),IF($P163="toetsen alleen LN",toetsen_alleen_LN(F!$B163,T163),IF($P163="toetsen geen MV en SV",toetsen_geen_MV_en_SV(F!$B163,T163),IF($P163="toetsen alleen MV en SV",toetsen_alleen_MV_en_SV(F!$B163,T163),""))))))</f>
        <v/>
      </c>
      <c r="V163" s="5" t="str">
        <f>IF($P163="toetsen",IF(OR(T163="",VLOOKUP(F!$B163,E!$B$1:$AK$300,10,FALSE)=1000000000),"",IF(T163&lt;=VLOOKUP(F!$B163,E!$B$1:$AK$300,10,FALSE),"ja","nee")),"")</f>
        <v/>
      </c>
      <c r="W163" s="6" t="str">
        <f t="shared" si="63"/>
        <v/>
      </c>
      <c r="X163" s="5" t="str">
        <f>IF($F163="--","",IF($P163="toetsen",toetsen(F!$B163,W163),IF($P163="toetsen alleen IW",toetsen_alleen_IW(F!$B163,W163),IF($P163="toetsen alleen LN",toetsen_alleen_LN(F!$B163,W163),IF($P163="toetsen geen MV en SV",toetsen_geen_MV_en_SV(F!$B163,W163),IF($P163="toetsen alleen MV en SV",toetsen_alleen_MV_en_SV(F!$B163,W163),""))))))</f>
        <v/>
      </c>
      <c r="Y163" s="5" t="str">
        <f>IF($P163="toetsen",IF(OR(W163="",VLOOKUP(F!$B163,E!$B$1:$AK$300,10,FALSE)=1000000000),"",IF(W163&lt;=VLOOKUP(F!$B163,E!$B$1:$AK$300,10,FALSE),"ja","nee")),"")</f>
        <v/>
      </c>
      <c r="AA163" s="4"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6" t="str">
        <f t="shared" si="64"/>
        <v>--</v>
      </c>
      <c r="AJ163" s="6"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6" t="str">
        <f t="shared" si="65"/>
        <v>--</v>
      </c>
      <c r="AL163" s="6"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6" t="str">
        <f t="shared" si="66"/>
        <v>--</v>
      </c>
      <c r="AN163" s="6"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6" t="str">
        <f t="shared" si="53"/>
        <v>--</v>
      </c>
      <c r="AQ163" s="6" t="str">
        <f t="shared" si="54"/>
        <v/>
      </c>
      <c r="AR163" s="6" t="str">
        <f t="shared" si="55"/>
        <v>--</v>
      </c>
      <c r="AS163" s="6" t="str">
        <f t="shared" si="56"/>
        <v/>
      </c>
      <c r="AT163" s="6" t="str">
        <f t="shared" si="57"/>
        <v/>
      </c>
      <c r="AU163" s="6" t="str">
        <f>IFERROR(IF(AR163="--","",IF(HLOOKUP(SMALL($Q$4:$Y$4,3),$Q$4:$Y$501,ROW(AP163)-3,FALSE)=0,"",IF(HLOOKUP(SMALL($Q$4:$Y$4,3),$Q$4:$Y$501,ROW(AP163)-3,FALSE)="nee",VLOOKUP("De kwaliteitseis emissiearme grond (maximale concentratie) wordt overschreden.",H!$O$10:'H'!$P$59,2,FALSE),""))),"")</f>
        <v/>
      </c>
      <c r="AV163" s="6" t="str">
        <f t="shared" si="47"/>
        <v>--</v>
      </c>
      <c r="AW163" s="6" t="str">
        <f t="shared" si="48"/>
        <v/>
      </c>
      <c r="AX163" s="6" t="str">
        <f t="shared" si="49"/>
        <v>--</v>
      </c>
      <c r="AY163" s="6" t="str">
        <f t="shared" si="58"/>
        <v/>
      </c>
      <c r="AZ163" s="6" t="str">
        <f t="shared" si="59"/>
        <v/>
      </c>
      <c r="BA163" s="6" t="str">
        <f>IFERROR(IF(AR163="--","",IF(HLOOKUP(SMALL($Q$4:$Y$4,6),$Q$4:$Y$501,ROW(AP163)-3,FALSE)=0,"",IF(HLOOKUP(SMALL($Q$4:$Y$4,6),$Q$4:$Y$501,ROW(AP163)-3,FALSE)="nee",VLOOKUP("De kwaliteitseis emissiearme grond (maximale concentratie) wordt overschreden.",H!$O$10:'H'!$P$59,2,FALSE),""))),"")</f>
        <v/>
      </c>
      <c r="BB163" s="6" t="str">
        <f t="shared" si="50"/>
        <v>--</v>
      </c>
      <c r="BC163" s="6" t="str">
        <f t="shared" si="51"/>
        <v/>
      </c>
      <c r="BD163" s="6" t="str">
        <f t="shared" si="52"/>
        <v>--</v>
      </c>
      <c r="BE163" s="6" t="str">
        <f t="shared" si="60"/>
        <v/>
      </c>
      <c r="BF163" s="6"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6" t="str">
        <f>IF(ISNUMBER(F!E164)=FALSE,"--",IF(F!E164=0,"--",F!E164))</f>
        <v>--</v>
      </c>
      <c r="C164" s="6" t="str">
        <f>IF(B164="--","",F!F164)</f>
        <v/>
      </c>
      <c r="D164" s="6" t="str">
        <f>IF(ISNUMBER(F!G164)=FALSE,"--",IF(F!G164=0,"--",F!G164))</f>
        <v>--</v>
      </c>
      <c r="E164" s="6" t="str">
        <f>IF(D164="--","",F!H164)</f>
        <v/>
      </c>
      <c r="F164" s="6" t="str">
        <f>IF(ISNUMBER(F!I164)=FALSE,"--",IF(F!I164=0,"--",F!I164))</f>
        <v>--</v>
      </c>
      <c r="G164" s="6" t="str">
        <f>IF(F164="--","",F!J164)</f>
        <v/>
      </c>
      <c r="H164" s="6"/>
      <c r="I164" s="6" t="str">
        <f>IF(F!Z164=-1,-1,F!AV164)</f>
        <v/>
      </c>
      <c r="J164" s="6"/>
      <c r="K164" s="6" t="str">
        <f>IF(F!AC164=-1,-1,F!AX164)</f>
        <v/>
      </c>
      <c r="L164" s="6"/>
      <c r="M164" s="6" t="str">
        <f>IF(F!AF164=-1,-1,F!AZ164)</f>
        <v/>
      </c>
      <c r="N164" s="6"/>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6" t="str">
        <f t="shared" si="67"/>
        <v/>
      </c>
      <c r="R164" s="5" t="str">
        <f>IF($B164="--","",IF($P164="toetsen",toetsen(F!$B164,Q164),IF($P164="toetsen alleen IW",toetsen_alleen_IW(F!$B164,Q164),IF($P164="toetsen alleen LN",toetsen_alleen_LN(F!$B164,Q164),IF($P164="toetsen geen MV en SV",toetsen_geen_MV_en_SV(F!$B164,Q164),IF($P164="toetsen alleen MV en SV",toetsen_alleen_MV_en_SV(F!$B164,Q164),""))))))</f>
        <v/>
      </c>
      <c r="S164" s="5" t="str">
        <f>IF($P164="toetsen",IF(OR(Q164="",VLOOKUP(F!$B164,E!$B$1:$AK$300,10,FALSE)=1000000000),"",IF(Q164&lt;=VLOOKUP(F!$B164,E!$B$1:$AK$300,10,FALSE),"ja","nee")),"")</f>
        <v/>
      </c>
      <c r="T164" s="87" t="str">
        <f t="shared" si="62"/>
        <v/>
      </c>
      <c r="U164" s="5" t="str">
        <f>IF($D164="--","",IF($P164="toetsen",toetsen(F!$B164,T164),IF($P164="toetsen alleen IW",toetsen_alleen_IW(F!$B164,T164),IF($P164="toetsen alleen LN",toetsen_alleen_LN(F!$B164,T164),IF($P164="toetsen geen MV en SV",toetsen_geen_MV_en_SV(F!$B164,T164),IF($P164="toetsen alleen MV en SV",toetsen_alleen_MV_en_SV(F!$B164,T164),""))))))</f>
        <v/>
      </c>
      <c r="V164" s="5" t="str">
        <f>IF($P164="toetsen",IF(OR(T164="",VLOOKUP(F!$B164,E!$B$1:$AK$300,10,FALSE)=1000000000),"",IF(T164&lt;=VLOOKUP(F!$B164,E!$B$1:$AK$300,10,FALSE),"ja","nee")),"")</f>
        <v/>
      </c>
      <c r="W164" s="6" t="str">
        <f t="shared" si="63"/>
        <v/>
      </c>
      <c r="X164" s="5" t="str">
        <f>IF($F164="--","",IF($P164="toetsen",toetsen(F!$B164,W164),IF($P164="toetsen alleen IW",toetsen_alleen_IW(F!$B164,W164),IF($P164="toetsen alleen LN",toetsen_alleen_LN(F!$B164,W164),IF($P164="toetsen geen MV en SV",toetsen_geen_MV_en_SV(F!$B164,W164),IF($P164="toetsen alleen MV en SV",toetsen_alleen_MV_en_SV(F!$B164,W164),""))))))</f>
        <v/>
      </c>
      <c r="Y164" s="5" t="str">
        <f>IF($P164="toetsen",IF(OR(W164="",VLOOKUP(F!$B164,E!$B$1:$AK$300,10,FALSE)=1000000000),"",IF(W164&lt;=VLOOKUP(F!$B164,E!$B$1:$AK$300,10,FALSE),"ja","nee")),"")</f>
        <v/>
      </c>
      <c r="AA164" s="4"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6" t="str">
        <f t="shared" si="64"/>
        <v>--</v>
      </c>
      <c r="AJ164" s="6"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6" t="str">
        <f t="shared" si="65"/>
        <v>--</v>
      </c>
      <c r="AL164" s="6"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6" t="str">
        <f t="shared" si="66"/>
        <v>--</v>
      </c>
      <c r="AN164" s="6"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6" t="str">
        <f t="shared" si="53"/>
        <v>--</v>
      </c>
      <c r="AQ164" s="6" t="str">
        <f t="shared" si="54"/>
        <v/>
      </c>
      <c r="AR164" s="6" t="str">
        <f t="shared" si="55"/>
        <v>--</v>
      </c>
      <c r="AS164" s="6" t="str">
        <f t="shared" si="56"/>
        <v/>
      </c>
      <c r="AT164" s="6" t="str">
        <f t="shared" si="57"/>
        <v/>
      </c>
      <c r="AU164" s="6" t="str">
        <f>IFERROR(IF(AR164="--","",IF(HLOOKUP(SMALL($Q$4:$Y$4,3),$Q$4:$Y$501,ROW(AP164)-3,FALSE)=0,"",IF(HLOOKUP(SMALL($Q$4:$Y$4,3),$Q$4:$Y$501,ROW(AP164)-3,FALSE)="nee",VLOOKUP("De kwaliteitseis emissiearme grond (maximale concentratie) wordt overschreden.",H!$O$10:'H'!$P$59,2,FALSE),""))),"")</f>
        <v/>
      </c>
      <c r="AV164" s="6" t="str">
        <f t="shared" si="47"/>
        <v>--</v>
      </c>
      <c r="AW164" s="6" t="str">
        <f t="shared" si="48"/>
        <v/>
      </c>
      <c r="AX164" s="6" t="str">
        <f t="shared" si="49"/>
        <v>--</v>
      </c>
      <c r="AY164" s="6" t="str">
        <f t="shared" si="58"/>
        <v/>
      </c>
      <c r="AZ164" s="6" t="str">
        <f t="shared" si="59"/>
        <v/>
      </c>
      <c r="BA164" s="6" t="str">
        <f>IFERROR(IF(AR164="--","",IF(HLOOKUP(SMALL($Q$4:$Y$4,6),$Q$4:$Y$501,ROW(AP164)-3,FALSE)=0,"",IF(HLOOKUP(SMALL($Q$4:$Y$4,6),$Q$4:$Y$501,ROW(AP164)-3,FALSE)="nee",VLOOKUP("De kwaliteitseis emissiearme grond (maximale concentratie) wordt overschreden.",H!$O$10:'H'!$P$59,2,FALSE),""))),"")</f>
        <v/>
      </c>
      <c r="BB164" s="6" t="str">
        <f t="shared" si="50"/>
        <v>--</v>
      </c>
      <c r="BC164" s="6" t="str">
        <f t="shared" si="51"/>
        <v/>
      </c>
      <c r="BD164" s="6" t="str">
        <f t="shared" si="52"/>
        <v>--</v>
      </c>
      <c r="BE164" s="6" t="str">
        <f t="shared" si="60"/>
        <v/>
      </c>
      <c r="BF164" s="6"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6" t="str">
        <f>IF(ISNUMBER(F!E165)=FALSE,"--",IF(F!E165=0,"--",F!E165))</f>
        <v>--</v>
      </c>
      <c r="C165" s="6" t="str">
        <f>IF(B165="--","",F!F165)</f>
        <v/>
      </c>
      <c r="D165" s="6" t="str">
        <f>IF(ISNUMBER(F!G165)=FALSE,"--",IF(F!G165=0,"--",F!G165))</f>
        <v>--</v>
      </c>
      <c r="E165" s="6" t="str">
        <f>IF(D165="--","",F!H165)</f>
        <v/>
      </c>
      <c r="F165" s="6" t="str">
        <f>IF(ISNUMBER(F!I165)=FALSE,"--",IF(F!I165=0,"--",F!I165))</f>
        <v>--</v>
      </c>
      <c r="G165" s="6" t="str">
        <f>IF(F165="--","",F!J165)</f>
        <v/>
      </c>
      <c r="H165" s="6"/>
      <c r="I165" s="16" t="str">
        <f>IF(F!AA165=-1,-1,F!AV165)</f>
        <v/>
      </c>
      <c r="J165" s="6"/>
      <c r="K165" s="16" t="str">
        <f>IF(F!AD165=-1,-1,F!AX165)</f>
        <v/>
      </c>
      <c r="L165" s="6"/>
      <c r="M165" s="16" t="str">
        <f>IF(F!AG165=-1,-1,F!AZ165)</f>
        <v/>
      </c>
      <c r="N165" s="6"/>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6" t="str">
        <f t="shared" si="67"/>
        <v/>
      </c>
      <c r="R165" s="5" t="str">
        <f>IF($B165="--","",IF($P165="toetsen",toetsen(F!$B165,Q165),IF($P165="toetsen alleen IW",toetsen_alleen_IW(F!$B165,Q165),IF($P165="toetsen alleen LN",toetsen_alleen_LN(F!$B165,Q165),IF($P165="toetsen geen MV en SV",toetsen_geen_MV_en_SV(F!$B165,Q165),IF($P165="toetsen alleen MV en SV",toetsen_alleen_MV_en_SV(F!$B165,Q165),""))))))</f>
        <v/>
      </c>
      <c r="S165" s="5" t="str">
        <f>IF($P165="toetsen",IF(OR(Q165="",VLOOKUP(F!$B165,E!$B$1:$AK$300,10,FALSE)=1000000000),"",IF(Q165&lt;=VLOOKUP(F!$B165,E!$B$1:$AK$300,10,FALSE),"ja","nee")),"")</f>
        <v/>
      </c>
      <c r="T165" s="87" t="str">
        <f t="shared" si="62"/>
        <v/>
      </c>
      <c r="U165" s="5" t="str">
        <f>IF($D165="--","",IF($P165="toetsen",toetsen(F!$B165,T165),IF($P165="toetsen alleen IW",toetsen_alleen_IW(F!$B165,T165),IF($P165="toetsen alleen LN",toetsen_alleen_LN(F!$B165,T165),IF($P165="toetsen geen MV en SV",toetsen_geen_MV_en_SV(F!$B165,T165),IF($P165="toetsen alleen MV en SV",toetsen_alleen_MV_en_SV(F!$B165,T165),""))))))</f>
        <v/>
      </c>
      <c r="V165" s="5" t="str">
        <f>IF($P165="toetsen",IF(OR(T165="",VLOOKUP(F!$B165,E!$B$1:$AK$300,10,FALSE)=1000000000),"",IF(T165&lt;=VLOOKUP(F!$B165,E!$B$1:$AK$300,10,FALSE),"ja","nee")),"")</f>
        <v/>
      </c>
      <c r="W165" s="6" t="str">
        <f t="shared" si="63"/>
        <v/>
      </c>
      <c r="X165" s="5" t="str">
        <f>IF($F165="--","",IF($P165="toetsen",toetsen(F!$B165,W165),IF($P165="toetsen alleen IW",toetsen_alleen_IW(F!$B165,W165),IF($P165="toetsen alleen LN",toetsen_alleen_LN(F!$B165,W165),IF($P165="toetsen geen MV en SV",toetsen_geen_MV_en_SV(F!$B165,W165),IF($P165="toetsen alleen MV en SV",toetsen_alleen_MV_en_SV(F!$B165,W165),""))))))</f>
        <v/>
      </c>
      <c r="Y165" s="5" t="str">
        <f>IF($P165="toetsen",IF(OR(W165="",VLOOKUP(F!$B165,E!$B$1:$AK$300,10,FALSE)=1000000000),"",IF(W165&lt;=VLOOKUP(F!$B165,E!$B$1:$AK$300,10,FALSE),"ja","nee")),"")</f>
        <v/>
      </c>
      <c r="AA165" s="4"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6" t="str">
        <f t="shared" si="64"/>
        <v>--</v>
      </c>
      <c r="AJ165" s="6"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6" t="str">
        <f t="shared" si="65"/>
        <v>--</v>
      </c>
      <c r="AL165" s="6"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6" t="str">
        <f t="shared" si="66"/>
        <v>--</v>
      </c>
      <c r="AN165" s="6"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6" t="str">
        <f t="shared" si="53"/>
        <v>--</v>
      </c>
      <c r="AQ165" s="6" t="str">
        <f t="shared" si="54"/>
        <v/>
      </c>
      <c r="AR165" s="6" t="str">
        <f t="shared" si="55"/>
        <v>--</v>
      </c>
      <c r="AS165" s="6" t="str">
        <f t="shared" si="56"/>
        <v/>
      </c>
      <c r="AT165" s="6" t="str">
        <f t="shared" si="57"/>
        <v/>
      </c>
      <c r="AU165" s="6" t="str">
        <f>IFERROR(IF(AR165="--","",IF(HLOOKUP(SMALL($Q$4:$Y$4,3),$Q$4:$Y$501,ROW(AP165)-3,FALSE)=0,"",IF(HLOOKUP(SMALL($Q$4:$Y$4,3),$Q$4:$Y$501,ROW(AP165)-3,FALSE)="nee",VLOOKUP("De kwaliteitseis emissiearme grond (maximale concentratie) wordt overschreden.",H!$O$10:'H'!$P$59,2,FALSE),""))),"")</f>
        <v/>
      </c>
      <c r="AV165" s="6" t="str">
        <f t="shared" si="47"/>
        <v>--</v>
      </c>
      <c r="AW165" s="6" t="str">
        <f t="shared" si="48"/>
        <v/>
      </c>
      <c r="AX165" s="6" t="str">
        <f t="shared" si="49"/>
        <v>--</v>
      </c>
      <c r="AY165" s="6" t="str">
        <f t="shared" si="58"/>
        <v/>
      </c>
      <c r="AZ165" s="6" t="str">
        <f t="shared" si="59"/>
        <v/>
      </c>
      <c r="BA165" s="6" t="str">
        <f>IFERROR(IF(AR165="--","",IF(HLOOKUP(SMALL($Q$4:$Y$4,6),$Q$4:$Y$501,ROW(AP165)-3,FALSE)=0,"",IF(HLOOKUP(SMALL($Q$4:$Y$4,6),$Q$4:$Y$501,ROW(AP165)-3,FALSE)="nee",VLOOKUP("De kwaliteitseis emissiearme grond (maximale concentratie) wordt overschreden.",H!$O$10:'H'!$P$59,2,FALSE),""))),"")</f>
        <v/>
      </c>
      <c r="BB165" s="6" t="str">
        <f t="shared" si="50"/>
        <v>--</v>
      </c>
      <c r="BC165" s="6" t="str">
        <f t="shared" si="51"/>
        <v/>
      </c>
      <c r="BD165" s="6" t="str">
        <f t="shared" si="52"/>
        <v>--</v>
      </c>
      <c r="BE165" s="6" t="str">
        <f t="shared" si="60"/>
        <v/>
      </c>
      <c r="BF165" s="6"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6" t="str">
        <f>IF(ISNUMBER(F!E166)=FALSE,"--",IF(F!E166=0,"--",F!E166))</f>
        <v>--</v>
      </c>
      <c r="C166" s="6" t="str">
        <f>IF(B166="--","",F!F166)</f>
        <v/>
      </c>
      <c r="D166" s="6" t="str">
        <f>IF(ISNUMBER(F!G166)=FALSE,"--",IF(F!G166=0,"--",F!G166))</f>
        <v>--</v>
      </c>
      <c r="E166" s="6" t="str">
        <f>IF(D166="--","",F!H166)</f>
        <v/>
      </c>
      <c r="F166" s="6" t="str">
        <f>IF(ISNUMBER(F!I166)=FALSE,"--",IF(F!I166=0,"--",F!I166))</f>
        <v>--</v>
      </c>
      <c r="G166" s="6" t="str">
        <f>IF(F166="--","",F!J166)</f>
        <v/>
      </c>
      <c r="H166" s="6"/>
      <c r="I166" s="16" t="str">
        <f>IF(F!AA166=-1,-1,F!AV166)</f>
        <v/>
      </c>
      <c r="J166" s="6"/>
      <c r="K166" s="16" t="str">
        <f>IF(F!AD166=-1,-1,F!AX166)</f>
        <v/>
      </c>
      <c r="L166" s="6"/>
      <c r="M166" s="16" t="str">
        <f>IF(F!AG166=-1,-1,F!AZ166)</f>
        <v/>
      </c>
      <c r="N166" s="6"/>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6" t="str">
        <f t="shared" si="67"/>
        <v/>
      </c>
      <c r="R166" s="5" t="str">
        <f>IF($B166="--","",IF($P166="toetsen",toetsen(F!$B166,Q166),IF($P166="toetsen alleen IW",toetsen_alleen_IW(F!$B166,Q166),IF($P166="toetsen alleen LN",toetsen_alleen_LN(F!$B166,Q166),IF($P166="toetsen geen MV en SV",toetsen_geen_MV_en_SV(F!$B166,Q166),IF($P166="toetsen alleen MV en SV",toetsen_alleen_MV_en_SV(F!$B166,Q166),""))))))</f>
        <v/>
      </c>
      <c r="S166" s="5" t="str">
        <f>IF($P166="toetsen",IF(OR(Q166="",VLOOKUP(F!$B166,E!$B$1:$AK$300,10,FALSE)=1000000000),"",IF(Q166&lt;=VLOOKUP(F!$B166,E!$B$1:$AK$300,10,FALSE),"ja","nee")),"")</f>
        <v/>
      </c>
      <c r="T166" s="87" t="str">
        <f t="shared" si="62"/>
        <v/>
      </c>
      <c r="U166" s="5" t="str">
        <f>IF($D166="--","",IF($P166="toetsen",toetsen(F!$B166,T166),IF($P166="toetsen alleen IW",toetsen_alleen_IW(F!$B166,T166),IF($P166="toetsen alleen LN",toetsen_alleen_LN(F!$B166,T166),IF($P166="toetsen geen MV en SV",toetsen_geen_MV_en_SV(F!$B166,T166),IF($P166="toetsen alleen MV en SV",toetsen_alleen_MV_en_SV(F!$B166,T166),""))))))</f>
        <v/>
      </c>
      <c r="V166" s="5" t="str">
        <f>IF($P166="toetsen",IF(OR(T166="",VLOOKUP(F!$B166,E!$B$1:$AK$300,10,FALSE)=1000000000),"",IF(T166&lt;=VLOOKUP(F!$B166,E!$B$1:$AK$300,10,FALSE),"ja","nee")),"")</f>
        <v/>
      </c>
      <c r="W166" s="6" t="str">
        <f t="shared" si="63"/>
        <v/>
      </c>
      <c r="X166" s="5" t="str">
        <f>IF($F166="--","",IF($P166="toetsen",toetsen(F!$B166,W166),IF($P166="toetsen alleen IW",toetsen_alleen_IW(F!$B166,W166),IF($P166="toetsen alleen LN",toetsen_alleen_LN(F!$B166,W166),IF($P166="toetsen geen MV en SV",toetsen_geen_MV_en_SV(F!$B166,W166),IF($P166="toetsen alleen MV en SV",toetsen_alleen_MV_en_SV(F!$B166,W166),""))))))</f>
        <v/>
      </c>
      <c r="Y166" s="5" t="str">
        <f>IF($P166="toetsen",IF(OR(W166="",VLOOKUP(F!$B166,E!$B$1:$AK$300,10,FALSE)=1000000000),"",IF(W166&lt;=VLOOKUP(F!$B166,E!$B$1:$AK$300,10,FALSE),"ja","nee")),"")</f>
        <v/>
      </c>
      <c r="AA166" s="4"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6" t="str">
        <f t="shared" si="64"/>
        <v>--</v>
      </c>
      <c r="AJ166" s="6"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6" t="str">
        <f t="shared" si="65"/>
        <v>--</v>
      </c>
      <c r="AL166" s="6"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6" t="str">
        <f t="shared" si="66"/>
        <v>--</v>
      </c>
      <c r="AN166" s="6"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6" t="str">
        <f t="shared" si="53"/>
        <v>--</v>
      </c>
      <c r="AQ166" s="6" t="str">
        <f t="shared" si="54"/>
        <v/>
      </c>
      <c r="AR166" s="6" t="str">
        <f t="shared" si="55"/>
        <v>--</v>
      </c>
      <c r="AS166" s="6" t="str">
        <f t="shared" si="56"/>
        <v/>
      </c>
      <c r="AT166" s="6" t="str">
        <f t="shared" si="57"/>
        <v/>
      </c>
      <c r="AU166" s="6" t="str">
        <f>IFERROR(IF(AR166="--","",IF(HLOOKUP(SMALL($Q$4:$Y$4,3),$Q$4:$Y$501,ROW(AP166)-3,FALSE)=0,"",IF(HLOOKUP(SMALL($Q$4:$Y$4,3),$Q$4:$Y$501,ROW(AP166)-3,FALSE)="nee",VLOOKUP("De kwaliteitseis emissiearme grond (maximale concentratie) wordt overschreden.",H!$O$10:'H'!$P$59,2,FALSE),""))),"")</f>
        <v/>
      </c>
      <c r="AV166" s="6" t="str">
        <f t="shared" si="47"/>
        <v>--</v>
      </c>
      <c r="AW166" s="6" t="str">
        <f t="shared" si="48"/>
        <v/>
      </c>
      <c r="AX166" s="6" t="str">
        <f t="shared" si="49"/>
        <v>--</v>
      </c>
      <c r="AY166" s="6" t="str">
        <f t="shared" si="58"/>
        <v/>
      </c>
      <c r="AZ166" s="6" t="str">
        <f t="shared" si="59"/>
        <v/>
      </c>
      <c r="BA166" s="6" t="str">
        <f>IFERROR(IF(AR166="--","",IF(HLOOKUP(SMALL($Q$4:$Y$4,6),$Q$4:$Y$501,ROW(AP166)-3,FALSE)=0,"",IF(HLOOKUP(SMALL($Q$4:$Y$4,6),$Q$4:$Y$501,ROW(AP166)-3,FALSE)="nee",VLOOKUP("De kwaliteitseis emissiearme grond (maximale concentratie) wordt overschreden.",H!$O$10:'H'!$P$59,2,FALSE),""))),"")</f>
        <v/>
      </c>
      <c r="BB166" s="6" t="str">
        <f t="shared" si="50"/>
        <v>--</v>
      </c>
      <c r="BC166" s="6" t="str">
        <f t="shared" si="51"/>
        <v/>
      </c>
      <c r="BD166" s="6" t="str">
        <f t="shared" si="52"/>
        <v>--</v>
      </c>
      <c r="BE166" s="6" t="str">
        <f t="shared" si="60"/>
        <v/>
      </c>
      <c r="BF166" s="6"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6" t="str">
        <f>IF(ISNUMBER(F!E167)=FALSE,"--",IF(F!E167=0,"--",F!E167))</f>
        <v>--</v>
      </c>
      <c r="C167" s="6" t="str">
        <f>IF(B167="--","",F!F167)</f>
        <v/>
      </c>
      <c r="D167" s="6" t="str">
        <f>IF(ISNUMBER(F!G167)=FALSE,"--",IF(F!G167=0,"--",F!G167))</f>
        <v>--</v>
      </c>
      <c r="E167" s="6" t="str">
        <f>IF(D167="--","",F!H167)</f>
        <v/>
      </c>
      <c r="F167" s="6" t="str">
        <f>IF(ISNUMBER(F!I167)=FALSE,"--",IF(F!I167=0,"--",F!I167))</f>
        <v>--</v>
      </c>
      <c r="G167" s="6" t="str">
        <f>IF(F167="--","",F!J167)</f>
        <v/>
      </c>
      <c r="H167" s="6"/>
      <c r="I167" s="16" t="str">
        <f>IF(F!AA167=-1,-1,F!AV167)</f>
        <v/>
      </c>
      <c r="J167" s="6"/>
      <c r="K167" s="16" t="str">
        <f>IF(F!AD167=-1,-1,F!AX167)</f>
        <v/>
      </c>
      <c r="L167" s="6"/>
      <c r="M167" s="16" t="str">
        <f>IF(F!AG167=-1,-1,F!AZ167)</f>
        <v/>
      </c>
      <c r="N167" s="6"/>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6" t="str">
        <f t="shared" si="67"/>
        <v/>
      </c>
      <c r="R167" s="5" t="str">
        <f>IF($B167="--","",IF($P167="toetsen",toetsen(F!$B167,Q167),IF($P167="toetsen alleen IW",toetsen_alleen_IW(F!$B167,Q167),IF($P167="toetsen alleen LN",toetsen_alleen_LN(F!$B167,Q167),IF($P167="toetsen geen MV en SV",toetsen_geen_MV_en_SV(F!$B167,Q167),IF($P167="toetsen alleen MV en SV",toetsen_alleen_MV_en_SV(F!$B167,Q167),""))))))</f>
        <v/>
      </c>
      <c r="S167" s="5" t="str">
        <f>IF($P167="toetsen",IF(OR(Q167="",VLOOKUP(F!$B167,E!$B$1:$AK$300,10,FALSE)=1000000000),"",IF(Q167&lt;=VLOOKUP(F!$B167,E!$B$1:$AK$300,10,FALSE),"ja","nee")),"")</f>
        <v/>
      </c>
      <c r="T167" s="87" t="str">
        <f t="shared" si="62"/>
        <v/>
      </c>
      <c r="U167" s="5" t="str">
        <f>IF($D167="--","",IF($P167="toetsen",toetsen(F!$B167,T167),IF($P167="toetsen alleen IW",toetsen_alleen_IW(F!$B167,T167),IF($P167="toetsen alleen LN",toetsen_alleen_LN(F!$B167,T167),IF($P167="toetsen geen MV en SV",toetsen_geen_MV_en_SV(F!$B167,T167),IF($P167="toetsen alleen MV en SV",toetsen_alleen_MV_en_SV(F!$B167,T167),""))))))</f>
        <v/>
      </c>
      <c r="V167" s="5" t="str">
        <f>IF($P167="toetsen",IF(OR(T167="",VLOOKUP(F!$B167,E!$B$1:$AK$300,10,FALSE)=1000000000),"",IF(T167&lt;=VLOOKUP(F!$B167,E!$B$1:$AK$300,10,FALSE),"ja","nee")),"")</f>
        <v/>
      </c>
      <c r="W167" s="6" t="str">
        <f t="shared" si="63"/>
        <v/>
      </c>
      <c r="X167" s="5" t="str">
        <f>IF($F167="--","",IF($P167="toetsen",toetsen(F!$B167,W167),IF($P167="toetsen alleen IW",toetsen_alleen_IW(F!$B167,W167),IF($P167="toetsen alleen LN",toetsen_alleen_LN(F!$B167,W167),IF($P167="toetsen geen MV en SV",toetsen_geen_MV_en_SV(F!$B167,W167),IF($P167="toetsen alleen MV en SV",toetsen_alleen_MV_en_SV(F!$B167,W167),""))))))</f>
        <v/>
      </c>
      <c r="Y167" s="5" t="str">
        <f>IF($P167="toetsen",IF(OR(W167="",VLOOKUP(F!$B167,E!$B$1:$AK$300,10,FALSE)=1000000000),"",IF(W167&lt;=VLOOKUP(F!$B167,E!$B$1:$AK$300,10,FALSE),"ja","nee")),"")</f>
        <v/>
      </c>
      <c r="AA167" s="4"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6" t="str">
        <f t="shared" si="64"/>
        <v>--</v>
      </c>
      <c r="AJ167" s="6"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6" t="str">
        <f t="shared" si="65"/>
        <v>--</v>
      </c>
      <c r="AL167" s="6"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6" t="str">
        <f t="shared" si="66"/>
        <v>--</v>
      </c>
      <c r="AN167" s="6"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6" t="str">
        <f t="shared" si="53"/>
        <v>--</v>
      </c>
      <c r="AQ167" s="6" t="str">
        <f t="shared" si="54"/>
        <v/>
      </c>
      <c r="AR167" s="6" t="str">
        <f t="shared" si="55"/>
        <v>--</v>
      </c>
      <c r="AS167" s="6" t="str">
        <f t="shared" si="56"/>
        <v/>
      </c>
      <c r="AT167" s="6" t="str">
        <f t="shared" si="57"/>
        <v/>
      </c>
      <c r="AU167" s="6" t="str">
        <f>IFERROR(IF(AR167="--","",IF(HLOOKUP(SMALL($Q$4:$Y$4,3),$Q$4:$Y$501,ROW(AP167)-3,FALSE)=0,"",IF(HLOOKUP(SMALL($Q$4:$Y$4,3),$Q$4:$Y$501,ROW(AP167)-3,FALSE)="nee",VLOOKUP("De kwaliteitseis emissiearme grond (maximale concentratie) wordt overschreden.",H!$O$10:'H'!$P$59,2,FALSE),""))),"")</f>
        <v/>
      </c>
      <c r="AV167" s="6" t="str">
        <f t="shared" si="47"/>
        <v>--</v>
      </c>
      <c r="AW167" s="6" t="str">
        <f t="shared" si="48"/>
        <v/>
      </c>
      <c r="AX167" s="6" t="str">
        <f t="shared" si="49"/>
        <v>--</v>
      </c>
      <c r="AY167" s="6" t="str">
        <f t="shared" si="58"/>
        <v/>
      </c>
      <c r="AZ167" s="6" t="str">
        <f t="shared" si="59"/>
        <v/>
      </c>
      <c r="BA167" s="6" t="str">
        <f>IFERROR(IF(AR167="--","",IF(HLOOKUP(SMALL($Q$4:$Y$4,6),$Q$4:$Y$501,ROW(AP167)-3,FALSE)=0,"",IF(HLOOKUP(SMALL($Q$4:$Y$4,6),$Q$4:$Y$501,ROW(AP167)-3,FALSE)="nee",VLOOKUP("De kwaliteitseis emissiearme grond (maximale concentratie) wordt overschreden.",H!$O$10:'H'!$P$59,2,FALSE),""))),"")</f>
        <v/>
      </c>
      <c r="BB167" s="6" t="str">
        <f t="shared" si="50"/>
        <v>--</v>
      </c>
      <c r="BC167" s="6" t="str">
        <f t="shared" si="51"/>
        <v/>
      </c>
      <c r="BD167" s="6" t="str">
        <f t="shared" si="52"/>
        <v>--</v>
      </c>
      <c r="BE167" s="6" t="str">
        <f t="shared" si="60"/>
        <v/>
      </c>
      <c r="BF167" s="6"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6" t="str">
        <f>IF(ISNUMBER(F!E168)=FALSE,"--",IF(F!E168=0,"--",F!E168))</f>
        <v>--</v>
      </c>
      <c r="C168" s="6" t="str">
        <f>IF(B168="--","",F!F168)</f>
        <v/>
      </c>
      <c r="D168" s="6" t="str">
        <f>IF(ISNUMBER(F!G168)=FALSE,"--",IF(F!G168=0,"--",F!G168))</f>
        <v>--</v>
      </c>
      <c r="E168" s="6" t="str">
        <f>IF(D168="--","",F!H168)</f>
        <v/>
      </c>
      <c r="F168" s="6" t="str">
        <f>IF(ISNUMBER(F!I168)=FALSE,"--",IF(F!I168=0,"--",F!I168))</f>
        <v>--</v>
      </c>
      <c r="G168" s="6" t="str">
        <f>IF(F168="--","",F!J168)</f>
        <v/>
      </c>
      <c r="H168" s="6"/>
      <c r="I168" s="16" t="str">
        <f>IF(F!AA168=-1,-1,F!AV168)</f>
        <v/>
      </c>
      <c r="J168" s="6"/>
      <c r="K168" s="16" t="str">
        <f>IF(F!AD168=-1,-1,F!AX168)</f>
        <v/>
      </c>
      <c r="L168" s="6"/>
      <c r="M168" s="16" t="str">
        <f>IF(F!AG168=-1,-1,F!AZ168)</f>
        <v/>
      </c>
      <c r="N168" s="6"/>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6" t="str">
        <f t="shared" si="67"/>
        <v/>
      </c>
      <c r="R168" s="5" t="str">
        <f>IF($B168="--","",IF($P168="toetsen",toetsen(F!$B168,Q168),IF($P168="toetsen alleen IW",toetsen_alleen_IW(F!$B168,Q168),IF($P168="toetsen alleen LN",toetsen_alleen_LN(F!$B168,Q168),IF($P168="toetsen geen MV en SV",toetsen_geen_MV_en_SV(F!$B168,Q168),IF($P168="toetsen alleen MV en SV",toetsen_alleen_MV_en_SV(F!$B168,Q168),""))))))</f>
        <v/>
      </c>
      <c r="S168" s="5" t="str">
        <f>IF($P168="toetsen",IF(OR(Q168="",VLOOKUP(F!$B168,E!$B$1:$AK$300,10,FALSE)=1000000000),"",IF(Q168&lt;=VLOOKUP(F!$B168,E!$B$1:$AK$300,10,FALSE),"ja","nee")),"")</f>
        <v/>
      </c>
      <c r="T168" s="87" t="str">
        <f t="shared" si="62"/>
        <v/>
      </c>
      <c r="U168" s="5" t="str">
        <f>IF($D168="--","",IF($P168="toetsen",toetsen(F!$B168,T168),IF($P168="toetsen alleen IW",toetsen_alleen_IW(F!$B168,T168),IF($P168="toetsen alleen LN",toetsen_alleen_LN(F!$B168,T168),IF($P168="toetsen geen MV en SV",toetsen_geen_MV_en_SV(F!$B168,T168),IF($P168="toetsen alleen MV en SV",toetsen_alleen_MV_en_SV(F!$B168,T168),""))))))</f>
        <v/>
      </c>
      <c r="V168" s="5" t="str">
        <f>IF($P168="toetsen",IF(OR(T168="",VLOOKUP(F!$B168,E!$B$1:$AK$300,10,FALSE)=1000000000),"",IF(T168&lt;=VLOOKUP(F!$B168,E!$B$1:$AK$300,10,FALSE),"ja","nee")),"")</f>
        <v/>
      </c>
      <c r="W168" s="6" t="str">
        <f t="shared" si="63"/>
        <v/>
      </c>
      <c r="X168" s="5" t="str">
        <f>IF($F168="--","",IF($P168="toetsen",toetsen(F!$B168,W168),IF($P168="toetsen alleen IW",toetsen_alleen_IW(F!$B168,W168),IF($P168="toetsen alleen LN",toetsen_alleen_LN(F!$B168,W168),IF($P168="toetsen geen MV en SV",toetsen_geen_MV_en_SV(F!$B168,W168),IF($P168="toetsen alleen MV en SV",toetsen_alleen_MV_en_SV(F!$B168,W168),""))))))</f>
        <v/>
      </c>
      <c r="Y168" s="5" t="str">
        <f>IF($P168="toetsen",IF(OR(W168="",VLOOKUP(F!$B168,E!$B$1:$AK$300,10,FALSE)=1000000000),"",IF(W168&lt;=VLOOKUP(F!$B168,E!$B$1:$AK$300,10,FALSE),"ja","nee")),"")</f>
        <v/>
      </c>
      <c r="AA168" s="4"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6" t="str">
        <f t="shared" si="64"/>
        <v>--</v>
      </c>
      <c r="AJ168" s="6"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6" t="str">
        <f t="shared" si="65"/>
        <v>--</v>
      </c>
      <c r="AL168" s="6"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6" t="str">
        <f t="shared" si="66"/>
        <v>--</v>
      </c>
      <c r="AN168" s="6"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6" t="str">
        <f t="shared" si="53"/>
        <v>--</v>
      </c>
      <c r="AQ168" s="6" t="str">
        <f t="shared" si="54"/>
        <v/>
      </c>
      <c r="AR168" s="6" t="str">
        <f t="shared" si="55"/>
        <v>--</v>
      </c>
      <c r="AS168" s="6" t="str">
        <f t="shared" si="56"/>
        <v/>
      </c>
      <c r="AT168" s="6" t="str">
        <f t="shared" si="57"/>
        <v/>
      </c>
      <c r="AU168" s="6" t="str">
        <f>IFERROR(IF(AR168="--","",IF(HLOOKUP(SMALL($Q$4:$Y$4,3),$Q$4:$Y$501,ROW(AP168)-3,FALSE)=0,"",IF(HLOOKUP(SMALL($Q$4:$Y$4,3),$Q$4:$Y$501,ROW(AP168)-3,FALSE)="nee",VLOOKUP("De kwaliteitseis emissiearme grond (maximale concentratie) wordt overschreden.",H!$O$10:'H'!$P$59,2,FALSE),""))),"")</f>
        <v/>
      </c>
      <c r="AV168" s="6" t="str">
        <f t="shared" si="47"/>
        <v>--</v>
      </c>
      <c r="AW168" s="6" t="str">
        <f t="shared" si="48"/>
        <v/>
      </c>
      <c r="AX168" s="6" t="str">
        <f t="shared" si="49"/>
        <v>--</v>
      </c>
      <c r="AY168" s="6" t="str">
        <f t="shared" si="58"/>
        <v/>
      </c>
      <c r="AZ168" s="6" t="str">
        <f t="shared" si="59"/>
        <v/>
      </c>
      <c r="BA168" s="6" t="str">
        <f>IFERROR(IF(AR168="--","",IF(HLOOKUP(SMALL($Q$4:$Y$4,6),$Q$4:$Y$501,ROW(AP168)-3,FALSE)=0,"",IF(HLOOKUP(SMALL($Q$4:$Y$4,6),$Q$4:$Y$501,ROW(AP168)-3,FALSE)="nee",VLOOKUP("De kwaliteitseis emissiearme grond (maximale concentratie) wordt overschreden.",H!$O$10:'H'!$P$59,2,FALSE),""))),"")</f>
        <v/>
      </c>
      <c r="BB168" s="6" t="str">
        <f t="shared" si="50"/>
        <v>--</v>
      </c>
      <c r="BC168" s="6" t="str">
        <f t="shared" si="51"/>
        <v/>
      </c>
      <c r="BD168" s="6" t="str">
        <f t="shared" si="52"/>
        <v>--</v>
      </c>
      <c r="BE168" s="6" t="str">
        <f t="shared" si="60"/>
        <v/>
      </c>
      <c r="BF168" s="6"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6" t="str">
        <f>IF(ISNUMBER(F!E169)=FALSE,"--",IF(F!E169=0,"--",F!E169))</f>
        <v>--</v>
      </c>
      <c r="C169" s="6" t="str">
        <f>IF(B169="--","",F!F169)</f>
        <v/>
      </c>
      <c r="D169" s="6" t="str">
        <f>IF(ISNUMBER(F!G169)=FALSE,"--",IF(F!G169=0,"--",F!G169))</f>
        <v>--</v>
      </c>
      <c r="E169" s="6" t="str">
        <f>IF(D169="--","",F!H169)</f>
        <v/>
      </c>
      <c r="F169" s="6" t="str">
        <f>IF(ISNUMBER(F!I169)=FALSE,"--",IF(F!I169=0,"--",F!I169))</f>
        <v>--</v>
      </c>
      <c r="G169" s="6" t="str">
        <f>IF(F169="--","",F!J169)</f>
        <v/>
      </c>
      <c r="H169" s="6"/>
      <c r="I169" s="101">
        <f>IF(F!Z169=0,-1,F!AV169)</f>
        <v>-1</v>
      </c>
      <c r="J169" s="6"/>
      <c r="K169" s="101">
        <f>IF(F!AC169=0,-1,F!AX169)</f>
        <v>-1</v>
      </c>
      <c r="L169" s="6"/>
      <c r="M169" s="101">
        <f>IF(F!AF169=0,-1,F!AZ169)</f>
        <v>-1</v>
      </c>
      <c r="N169" s="6"/>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6">
        <f t="shared" si="67"/>
        <v>-1</v>
      </c>
      <c r="R169" s="5" t="str">
        <f>IF($B169="--","",IF($P169="toetsen",toetsen(F!$B169,Q169),IF($P169="toetsen alleen IW",toetsen_alleen_IW(F!$B169,Q169),IF($P169="toetsen alleen LN",toetsen_alleen_LN(F!$B169,Q169),IF($P169="toetsen geen MV en SV",toetsen_geen_MV_en_SV(F!$B169,Q169),IF($P169="toetsen alleen MV en SV",toetsen_alleen_MV_en_SV(F!$B169,Q169),""))))))</f>
        <v/>
      </c>
      <c r="S169" s="5" t="str">
        <f>IF($P169="toetsen",IF(OR(Q169="",VLOOKUP(F!$B169,E!$B$1:$AK$300,10,FALSE)=1000000000),"",IF(Q169&lt;=VLOOKUP(F!$B169,E!$B$1:$AK$300,10,FALSE),"ja","nee")),"")</f>
        <v/>
      </c>
      <c r="T169" s="87">
        <f t="shared" si="62"/>
        <v>-1</v>
      </c>
      <c r="U169" s="5" t="str">
        <f>IF($D169="--","",IF($P169="toetsen",toetsen(F!$B169,T169),IF($P169="toetsen alleen IW",toetsen_alleen_IW(F!$B169,T169),IF($P169="toetsen alleen LN",toetsen_alleen_LN(F!$B169,T169),IF($P169="toetsen geen MV en SV",toetsen_geen_MV_en_SV(F!$B169,T169),IF($P169="toetsen alleen MV en SV",toetsen_alleen_MV_en_SV(F!$B169,T169),""))))))</f>
        <v/>
      </c>
      <c r="V169" s="5" t="str">
        <f>IF($P169="toetsen",IF(OR(T169="",VLOOKUP(F!$B169,E!$B$1:$AK$300,10,FALSE)=1000000000),"",IF(T169&lt;=VLOOKUP(F!$B169,E!$B$1:$AK$300,10,FALSE),"ja","nee")),"")</f>
        <v/>
      </c>
      <c r="W169" s="6">
        <f t="shared" si="63"/>
        <v>-1</v>
      </c>
      <c r="X169" s="5" t="str">
        <f>IF($F169="--","",IF($P169="toetsen",toetsen(F!$B169,W169),IF($P169="toetsen alleen IW",toetsen_alleen_IW(F!$B169,W169),IF($P169="toetsen alleen LN",toetsen_alleen_LN(F!$B169,W169),IF($P169="toetsen geen MV en SV",toetsen_geen_MV_en_SV(F!$B169,W169),IF($P169="toetsen alleen MV en SV",toetsen_alleen_MV_en_SV(F!$B169,W169),""))))))</f>
        <v/>
      </c>
      <c r="Y169" s="5" t="str">
        <f>IF($P169="toetsen",IF(OR(W169="",VLOOKUP(F!$B169,E!$B$1:$AK$300,10,FALSE)=1000000000),"",IF(W169&lt;=VLOOKUP(F!$B169,E!$B$1:$AK$300,10,FALSE),"ja","nee")),"")</f>
        <v/>
      </c>
      <c r="AA169" s="4">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6" t="str">
        <f t="shared" si="64"/>
        <v>--</v>
      </c>
      <c r="AJ169" s="6"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6" t="str">
        <f t="shared" si="65"/>
        <v>--</v>
      </c>
      <c r="AL169" s="6"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6" t="str">
        <f t="shared" si="66"/>
        <v>--</v>
      </c>
      <c r="AN169" s="6"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6" t="str">
        <f t="shared" si="53"/>
        <v>--</v>
      </c>
      <c r="AQ169" s="6" t="str">
        <f t="shared" si="54"/>
        <v/>
      </c>
      <c r="AR169" s="6" t="str">
        <f t="shared" si="55"/>
        <v>--</v>
      </c>
      <c r="AS169" s="6" t="str">
        <f t="shared" si="56"/>
        <v/>
      </c>
      <c r="AT169" s="6" t="str">
        <f t="shared" si="57"/>
        <v/>
      </c>
      <c r="AU169" s="6" t="str">
        <f>IFERROR(IF(AR169="--","",IF(HLOOKUP(SMALL($Q$4:$Y$4,3),$Q$4:$Y$501,ROW(AP169)-3,FALSE)=0,"",IF(HLOOKUP(SMALL($Q$4:$Y$4,3),$Q$4:$Y$501,ROW(AP169)-3,FALSE)="nee",VLOOKUP("De kwaliteitseis emissiearme grond (maximale concentratie) wordt overschreden.",H!$O$10:'H'!$P$59,2,FALSE),""))),"")</f>
        <v/>
      </c>
      <c r="AV169" s="6" t="str">
        <f t="shared" si="47"/>
        <v>--</v>
      </c>
      <c r="AW169" s="6" t="str">
        <f t="shared" si="48"/>
        <v/>
      </c>
      <c r="AX169" s="6" t="str">
        <f t="shared" si="49"/>
        <v>--</v>
      </c>
      <c r="AY169" s="6" t="str">
        <f t="shared" si="58"/>
        <v/>
      </c>
      <c r="AZ169" s="6" t="str">
        <f t="shared" si="59"/>
        <v/>
      </c>
      <c r="BA169" s="6" t="str">
        <f>IFERROR(IF(AR169="--","",IF(HLOOKUP(SMALL($Q$4:$Y$4,6),$Q$4:$Y$501,ROW(AP169)-3,FALSE)=0,"",IF(HLOOKUP(SMALL($Q$4:$Y$4,6),$Q$4:$Y$501,ROW(AP169)-3,FALSE)="nee",VLOOKUP("De kwaliteitseis emissiearme grond (maximale concentratie) wordt overschreden.",H!$O$10:'H'!$P$59,2,FALSE),""))),"")</f>
        <v/>
      </c>
      <c r="BB169" s="6" t="str">
        <f t="shared" si="50"/>
        <v>--</v>
      </c>
      <c r="BC169" s="6" t="str">
        <f t="shared" si="51"/>
        <v/>
      </c>
      <c r="BD169" s="6" t="str">
        <f t="shared" si="52"/>
        <v>--</v>
      </c>
      <c r="BE169" s="6" t="str">
        <f t="shared" si="60"/>
        <v/>
      </c>
      <c r="BF169" s="6"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6" t="str">
        <f>IF(ISNUMBER(F!E170)=FALSE,"--",IF(F!E170=0,"--",F!E170))</f>
        <v>--</v>
      </c>
      <c r="C170" s="6" t="str">
        <f>IF(B170="--","",F!F170)</f>
        <v/>
      </c>
      <c r="D170" s="6" t="str">
        <f>IF(ISNUMBER(F!G170)=FALSE,"--",IF(F!G170=0,"--",F!G170))</f>
        <v>--</v>
      </c>
      <c r="E170" s="6" t="str">
        <f>IF(D170="--","",F!H170)</f>
        <v/>
      </c>
      <c r="F170" s="6" t="str">
        <f>IF(ISNUMBER(F!I170)=FALSE,"--",IF(F!I170=0,"--",F!I170))</f>
        <v>--</v>
      </c>
      <c r="G170" s="6" t="str">
        <f>IF(F170="--","",F!J170)</f>
        <v/>
      </c>
      <c r="H170" s="6"/>
      <c r="I170" s="6" t="str">
        <f>IF(F!Z170=-1,-1,F!AV170)</f>
        <v/>
      </c>
      <c r="J170" s="6"/>
      <c r="K170" s="6" t="str">
        <f>IF(F!AC170=-1,-1,F!AX170)</f>
        <v/>
      </c>
      <c r="L170" s="6"/>
      <c r="M170" s="6" t="str">
        <f>IF(F!AF170=-1,-1,F!AZ170)</f>
        <v/>
      </c>
      <c r="N170" s="6"/>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6" t="str">
        <f t="shared" si="67"/>
        <v/>
      </c>
      <c r="R170" s="5" t="str">
        <f>IF($B170="--","",IF($P170="toetsen",toetsen(F!$B170,Q170),IF($P170="toetsen alleen IW",toetsen_alleen_IW(F!$B170,Q170),IF($P170="toetsen alleen LN",toetsen_alleen_LN(F!$B170,Q170),IF($P170="toetsen geen MV en SV",toetsen_geen_MV_en_SV(F!$B170,Q170),IF($P170="toetsen alleen MV en SV",toetsen_alleen_MV_en_SV(F!$B170,Q170),""))))))</f>
        <v/>
      </c>
      <c r="S170" s="5" t="str">
        <f>IF($P170="toetsen",IF(OR(Q170="",VLOOKUP(F!$B170,E!$B$1:$AK$300,10,FALSE)=1000000000),"",IF(Q170&lt;=VLOOKUP(F!$B170,E!$B$1:$AK$300,10,FALSE),"ja","nee")),"")</f>
        <v/>
      </c>
      <c r="T170" s="87" t="str">
        <f t="shared" si="62"/>
        <v/>
      </c>
      <c r="U170" s="5" t="str">
        <f>IF($D170="--","",IF($P170="toetsen",toetsen(F!$B170,T170),IF($P170="toetsen alleen IW",toetsen_alleen_IW(F!$B170,T170),IF($P170="toetsen alleen LN",toetsen_alleen_LN(F!$B170,T170),IF($P170="toetsen geen MV en SV",toetsen_geen_MV_en_SV(F!$B170,T170),IF($P170="toetsen alleen MV en SV",toetsen_alleen_MV_en_SV(F!$B170,T170),""))))))</f>
        <v/>
      </c>
      <c r="V170" s="5" t="str">
        <f>IF($P170="toetsen",IF(OR(T170="",VLOOKUP(F!$B170,E!$B$1:$AK$300,10,FALSE)=1000000000),"",IF(T170&lt;=VLOOKUP(F!$B170,E!$B$1:$AK$300,10,FALSE),"ja","nee")),"")</f>
        <v/>
      </c>
      <c r="W170" s="6" t="str">
        <f t="shared" si="63"/>
        <v/>
      </c>
      <c r="X170" s="5" t="str">
        <f>IF($F170="--","",IF($P170="toetsen",toetsen(F!$B170,W170),IF($P170="toetsen alleen IW",toetsen_alleen_IW(F!$B170,W170),IF($P170="toetsen alleen LN",toetsen_alleen_LN(F!$B170,W170),IF($P170="toetsen geen MV en SV",toetsen_geen_MV_en_SV(F!$B170,W170),IF($P170="toetsen alleen MV en SV",toetsen_alleen_MV_en_SV(F!$B170,W170),""))))))</f>
        <v/>
      </c>
      <c r="Y170" s="5" t="str">
        <f>IF($P170="toetsen",IF(OR(W170="",VLOOKUP(F!$B170,E!$B$1:$AK$300,10,FALSE)=1000000000),"",IF(W170&lt;=VLOOKUP(F!$B170,E!$B$1:$AK$300,10,FALSE),"ja","nee")),"")</f>
        <v/>
      </c>
      <c r="AA170" s="4"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6" t="str">
        <f t="shared" si="64"/>
        <v>--</v>
      </c>
      <c r="AJ170" s="6"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6" t="str">
        <f t="shared" si="65"/>
        <v>--</v>
      </c>
      <c r="AL170" s="6"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6" t="str">
        <f t="shared" si="66"/>
        <v>--</v>
      </c>
      <c r="AN170" s="6"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6" t="str">
        <f t="shared" si="53"/>
        <v>--</v>
      </c>
      <c r="AQ170" s="6" t="str">
        <f t="shared" si="54"/>
        <v/>
      </c>
      <c r="AR170" s="6" t="str">
        <f t="shared" si="55"/>
        <v>--</v>
      </c>
      <c r="AS170" s="6" t="str">
        <f t="shared" si="56"/>
        <v/>
      </c>
      <c r="AT170" s="6" t="str">
        <f t="shared" si="57"/>
        <v/>
      </c>
      <c r="AU170" s="6" t="str">
        <f>IFERROR(IF(AR170="--","",IF(HLOOKUP(SMALL($Q$4:$Y$4,3),$Q$4:$Y$501,ROW(AP170)-3,FALSE)=0,"",IF(HLOOKUP(SMALL($Q$4:$Y$4,3),$Q$4:$Y$501,ROW(AP170)-3,FALSE)="nee",VLOOKUP("De kwaliteitseis emissiearme grond (maximale concentratie) wordt overschreden.",H!$O$10:'H'!$P$59,2,FALSE),""))),"")</f>
        <v/>
      </c>
      <c r="AV170" s="6" t="str">
        <f t="shared" si="47"/>
        <v>--</v>
      </c>
      <c r="AW170" s="6" t="str">
        <f t="shared" si="48"/>
        <v/>
      </c>
      <c r="AX170" s="6" t="str">
        <f t="shared" si="49"/>
        <v>--</v>
      </c>
      <c r="AY170" s="6" t="str">
        <f t="shared" si="58"/>
        <v/>
      </c>
      <c r="AZ170" s="6" t="str">
        <f t="shared" si="59"/>
        <v/>
      </c>
      <c r="BA170" s="6" t="str">
        <f>IFERROR(IF(AR170="--","",IF(HLOOKUP(SMALL($Q$4:$Y$4,6),$Q$4:$Y$501,ROW(AP170)-3,FALSE)=0,"",IF(HLOOKUP(SMALL($Q$4:$Y$4,6),$Q$4:$Y$501,ROW(AP170)-3,FALSE)="nee",VLOOKUP("De kwaliteitseis emissiearme grond (maximale concentratie) wordt overschreden.",H!$O$10:'H'!$P$59,2,FALSE),""))),"")</f>
        <v/>
      </c>
      <c r="BB170" s="6" t="str">
        <f t="shared" si="50"/>
        <v>--</v>
      </c>
      <c r="BC170" s="6" t="str">
        <f t="shared" si="51"/>
        <v/>
      </c>
      <c r="BD170" s="6" t="str">
        <f t="shared" si="52"/>
        <v>--</v>
      </c>
      <c r="BE170" s="6" t="str">
        <f t="shared" si="60"/>
        <v/>
      </c>
      <c r="BF170" s="6"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6" t="str">
        <f>IF(ISNUMBER(F!E171)=FALSE,"--",IF(F!E171=0,"--",F!E171))</f>
        <v>--</v>
      </c>
      <c r="C171" s="6" t="str">
        <f>IF(B171="--","",F!F171)</f>
        <v/>
      </c>
      <c r="D171" s="6" t="str">
        <f>IF(ISNUMBER(F!G171)=FALSE,"--",IF(F!G171=0,"--",F!G171))</f>
        <v>--</v>
      </c>
      <c r="E171" s="6" t="str">
        <f>IF(D171="--","",F!H171)</f>
        <v/>
      </c>
      <c r="F171" s="6" t="str">
        <f>IF(ISNUMBER(F!I171)=FALSE,"--",IF(F!I171=0,"--",F!I171))</f>
        <v>--</v>
      </c>
      <c r="G171" s="6" t="str">
        <f>IF(F171="--","",F!J171)</f>
        <v/>
      </c>
      <c r="H171" s="6"/>
      <c r="I171" s="16" t="str">
        <f>IF(F!AA171=-1,-1,F!AV171)</f>
        <v/>
      </c>
      <c r="J171" s="6"/>
      <c r="K171" s="16" t="str">
        <f>IF(F!AD171=-1,-1,F!AX171)</f>
        <v/>
      </c>
      <c r="L171" s="6"/>
      <c r="M171" s="16" t="str">
        <f>IF(F!AG171=-1,-1,F!AZ171)</f>
        <v/>
      </c>
      <c r="N171" s="6"/>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6" t="str">
        <f t="shared" si="67"/>
        <v/>
      </c>
      <c r="R171" s="5" t="str">
        <f>IF($B171="--","",IF($P171="toetsen",toetsen(F!$B171,Q171),IF($P171="toetsen alleen IW",toetsen_alleen_IW(F!$B171,Q171),IF($P171="toetsen alleen LN",toetsen_alleen_LN(F!$B171,Q171),IF($P171="toetsen geen MV en SV",toetsen_geen_MV_en_SV(F!$B171,Q171),IF($P171="toetsen alleen MV en SV",toetsen_alleen_MV_en_SV(F!$B171,Q171),""))))))</f>
        <v/>
      </c>
      <c r="S171" s="5" t="str">
        <f>IF($P171="toetsen",IF(OR(Q171="",VLOOKUP(F!$B171,E!$B$1:$AK$300,10,FALSE)=1000000000),"",IF(Q171&lt;=VLOOKUP(F!$B171,E!$B$1:$AK$300,10,FALSE),"ja","nee")),"")</f>
        <v/>
      </c>
      <c r="T171" s="87" t="str">
        <f t="shared" si="62"/>
        <v/>
      </c>
      <c r="U171" s="5" t="str">
        <f>IF($D171="--","",IF($P171="toetsen",toetsen(F!$B171,T171),IF($P171="toetsen alleen IW",toetsen_alleen_IW(F!$B171,T171),IF($P171="toetsen alleen LN",toetsen_alleen_LN(F!$B171,T171),IF($P171="toetsen geen MV en SV",toetsen_geen_MV_en_SV(F!$B171,T171),IF($P171="toetsen alleen MV en SV",toetsen_alleen_MV_en_SV(F!$B171,T171),""))))))</f>
        <v/>
      </c>
      <c r="V171" s="5" t="str">
        <f>IF($P171="toetsen",IF(OR(T171="",VLOOKUP(F!$B171,E!$B$1:$AK$300,10,FALSE)=1000000000),"",IF(T171&lt;=VLOOKUP(F!$B171,E!$B$1:$AK$300,10,FALSE),"ja","nee")),"")</f>
        <v/>
      </c>
      <c r="W171" s="6" t="str">
        <f t="shared" si="63"/>
        <v/>
      </c>
      <c r="X171" s="5" t="str">
        <f>IF($F171="--","",IF($P171="toetsen",toetsen(F!$B171,W171),IF($P171="toetsen alleen IW",toetsen_alleen_IW(F!$B171,W171),IF($P171="toetsen alleen LN",toetsen_alleen_LN(F!$B171,W171),IF($P171="toetsen geen MV en SV",toetsen_geen_MV_en_SV(F!$B171,W171),IF($P171="toetsen alleen MV en SV",toetsen_alleen_MV_en_SV(F!$B171,W171),""))))))</f>
        <v/>
      </c>
      <c r="Y171" s="5" t="str">
        <f>IF($P171="toetsen",IF(OR(W171="",VLOOKUP(F!$B171,E!$B$1:$AK$300,10,FALSE)=1000000000),"",IF(W171&lt;=VLOOKUP(F!$B171,E!$B$1:$AK$300,10,FALSE),"ja","nee")),"")</f>
        <v/>
      </c>
      <c r="AA171" s="4"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6" t="str">
        <f t="shared" si="64"/>
        <v>--</v>
      </c>
      <c r="AJ171" s="6"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6" t="str">
        <f t="shared" si="65"/>
        <v>--</v>
      </c>
      <c r="AL171" s="6"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6" t="str">
        <f t="shared" si="66"/>
        <v>--</v>
      </c>
      <c r="AN171" s="6"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6" t="str">
        <f t="shared" si="53"/>
        <v>--</v>
      </c>
      <c r="AQ171" s="6" t="str">
        <f t="shared" si="54"/>
        <v/>
      </c>
      <c r="AR171" s="6" t="str">
        <f t="shared" si="55"/>
        <v>--</v>
      </c>
      <c r="AS171" s="6" t="str">
        <f t="shared" si="56"/>
        <v/>
      </c>
      <c r="AT171" s="6" t="str">
        <f t="shared" si="57"/>
        <v/>
      </c>
      <c r="AU171" s="6" t="str">
        <f>IFERROR(IF(AR171="--","",IF(HLOOKUP(SMALL($Q$4:$Y$4,3),$Q$4:$Y$501,ROW(AP171)-3,FALSE)=0,"",IF(HLOOKUP(SMALL($Q$4:$Y$4,3),$Q$4:$Y$501,ROW(AP171)-3,FALSE)="nee",VLOOKUP("De kwaliteitseis emissiearme grond (maximale concentratie) wordt overschreden.",H!$O$10:'H'!$P$59,2,FALSE),""))),"")</f>
        <v/>
      </c>
      <c r="AV171" s="6" t="str">
        <f t="shared" si="47"/>
        <v>--</v>
      </c>
      <c r="AW171" s="6" t="str">
        <f t="shared" si="48"/>
        <v/>
      </c>
      <c r="AX171" s="6" t="str">
        <f t="shared" si="49"/>
        <v>--</v>
      </c>
      <c r="AY171" s="6" t="str">
        <f t="shared" si="58"/>
        <v/>
      </c>
      <c r="AZ171" s="6" t="str">
        <f t="shared" si="59"/>
        <v/>
      </c>
      <c r="BA171" s="6" t="str">
        <f>IFERROR(IF(AR171="--","",IF(HLOOKUP(SMALL($Q$4:$Y$4,6),$Q$4:$Y$501,ROW(AP171)-3,FALSE)=0,"",IF(HLOOKUP(SMALL($Q$4:$Y$4,6),$Q$4:$Y$501,ROW(AP171)-3,FALSE)="nee",VLOOKUP("De kwaliteitseis emissiearme grond (maximale concentratie) wordt overschreden.",H!$O$10:'H'!$P$59,2,FALSE),""))),"")</f>
        <v/>
      </c>
      <c r="BB171" s="6" t="str">
        <f t="shared" si="50"/>
        <v>--</v>
      </c>
      <c r="BC171" s="6" t="str">
        <f t="shared" si="51"/>
        <v/>
      </c>
      <c r="BD171" s="6" t="str">
        <f t="shared" si="52"/>
        <v>--</v>
      </c>
      <c r="BE171" s="6" t="str">
        <f t="shared" si="60"/>
        <v/>
      </c>
      <c r="BF171" s="6"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6" t="str">
        <f>IF(ISNUMBER(F!E172)=FALSE,"--",IF(F!E172=0,"--",F!E172))</f>
        <v>--</v>
      </c>
      <c r="C172" s="6" t="str">
        <f>IF(B172="--","",F!F172)</f>
        <v/>
      </c>
      <c r="D172" s="6" t="str">
        <f>IF(ISNUMBER(F!G172)=FALSE,"--",IF(F!G172=0,"--",F!G172))</f>
        <v>--</v>
      </c>
      <c r="E172" s="6" t="str">
        <f>IF(D172="--","",F!H172)</f>
        <v/>
      </c>
      <c r="F172" s="6" t="str">
        <f>IF(ISNUMBER(F!I172)=FALSE,"--",IF(F!I172=0,"--",F!I172))</f>
        <v>--</v>
      </c>
      <c r="G172" s="6" t="str">
        <f>IF(F172="--","",F!J172)</f>
        <v/>
      </c>
      <c r="H172" s="6"/>
      <c r="I172" s="16" t="str">
        <f>IF(F!AA172=-1,-1,F!AV172)</f>
        <v/>
      </c>
      <c r="J172" s="6"/>
      <c r="K172" s="16" t="str">
        <f>IF(F!AD172=-1,-1,F!AX172)</f>
        <v/>
      </c>
      <c r="L172" s="6"/>
      <c r="M172" s="16" t="str">
        <f>IF(F!AG172=-1,-1,F!AZ172)</f>
        <v/>
      </c>
      <c r="N172" s="6"/>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6" t="str">
        <f t="shared" si="67"/>
        <v/>
      </c>
      <c r="R172" s="5" t="str">
        <f>IF($B172="--","",IF($P172="toetsen",toetsen(F!$B172,Q172),IF($P172="toetsen alleen IW",toetsen_alleen_IW(F!$B172,Q172),IF($P172="toetsen alleen LN",toetsen_alleen_LN(F!$B172,Q172),IF($P172="toetsen geen MV en SV",toetsen_geen_MV_en_SV(F!$B172,Q172),IF($P172="toetsen alleen MV en SV",toetsen_alleen_MV_en_SV(F!$B172,Q172),""))))))</f>
        <v/>
      </c>
      <c r="S172" s="5" t="str">
        <f>IF($P172="toetsen",IF(OR(Q172="",VLOOKUP(F!$B172,E!$B$1:$AK$300,10,FALSE)=1000000000),"",IF(Q172&lt;=VLOOKUP(F!$B172,E!$B$1:$AK$300,10,FALSE),"ja","nee")),"")</f>
        <v/>
      </c>
      <c r="T172" s="87" t="str">
        <f t="shared" si="62"/>
        <v/>
      </c>
      <c r="U172" s="5" t="str">
        <f>IF($D172="--","",IF($P172="toetsen",toetsen(F!$B172,T172),IF($P172="toetsen alleen IW",toetsen_alleen_IW(F!$B172,T172),IF($P172="toetsen alleen LN",toetsen_alleen_LN(F!$B172,T172),IF($P172="toetsen geen MV en SV",toetsen_geen_MV_en_SV(F!$B172,T172),IF($P172="toetsen alleen MV en SV",toetsen_alleen_MV_en_SV(F!$B172,T172),""))))))</f>
        <v/>
      </c>
      <c r="V172" s="5" t="str">
        <f>IF($P172="toetsen",IF(OR(T172="",VLOOKUP(F!$B172,E!$B$1:$AK$300,10,FALSE)=1000000000),"",IF(T172&lt;=VLOOKUP(F!$B172,E!$B$1:$AK$300,10,FALSE),"ja","nee")),"")</f>
        <v/>
      </c>
      <c r="W172" s="6" t="str">
        <f t="shared" si="63"/>
        <v/>
      </c>
      <c r="X172" s="5" t="str">
        <f>IF($F172="--","",IF($P172="toetsen",toetsen(F!$B172,W172),IF($P172="toetsen alleen IW",toetsen_alleen_IW(F!$B172,W172),IF($P172="toetsen alleen LN",toetsen_alleen_LN(F!$B172,W172),IF($P172="toetsen geen MV en SV",toetsen_geen_MV_en_SV(F!$B172,W172),IF($P172="toetsen alleen MV en SV",toetsen_alleen_MV_en_SV(F!$B172,W172),""))))))</f>
        <v/>
      </c>
      <c r="Y172" s="5" t="str">
        <f>IF($P172="toetsen",IF(OR(W172="",VLOOKUP(F!$B172,E!$B$1:$AK$300,10,FALSE)=1000000000),"",IF(W172&lt;=VLOOKUP(F!$B172,E!$B$1:$AK$300,10,FALSE),"ja","nee")),"")</f>
        <v/>
      </c>
      <c r="AA172" s="4"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6" t="str">
        <f t="shared" si="64"/>
        <v>--</v>
      </c>
      <c r="AJ172" s="6"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6" t="str">
        <f t="shared" si="65"/>
        <v>--</v>
      </c>
      <c r="AL172" s="6"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6" t="str">
        <f t="shared" si="66"/>
        <v>--</v>
      </c>
      <c r="AN172" s="6"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6" t="str">
        <f t="shared" si="53"/>
        <v>--</v>
      </c>
      <c r="AQ172" s="6" t="str">
        <f t="shared" si="54"/>
        <v/>
      </c>
      <c r="AR172" s="6" t="str">
        <f t="shared" si="55"/>
        <v>--</v>
      </c>
      <c r="AS172" s="6" t="str">
        <f t="shared" si="56"/>
        <v/>
      </c>
      <c r="AT172" s="6" t="str">
        <f t="shared" si="57"/>
        <v/>
      </c>
      <c r="AU172" s="6" t="str">
        <f>IFERROR(IF(AR172="--","",IF(HLOOKUP(SMALL($Q$4:$Y$4,3),$Q$4:$Y$501,ROW(AP172)-3,FALSE)=0,"",IF(HLOOKUP(SMALL($Q$4:$Y$4,3),$Q$4:$Y$501,ROW(AP172)-3,FALSE)="nee",VLOOKUP("De kwaliteitseis emissiearme grond (maximale concentratie) wordt overschreden.",H!$O$10:'H'!$P$59,2,FALSE),""))),"")</f>
        <v/>
      </c>
      <c r="AV172" s="6" t="str">
        <f t="shared" si="47"/>
        <v>--</v>
      </c>
      <c r="AW172" s="6" t="str">
        <f t="shared" si="48"/>
        <v/>
      </c>
      <c r="AX172" s="6" t="str">
        <f t="shared" si="49"/>
        <v>--</v>
      </c>
      <c r="AY172" s="6" t="str">
        <f t="shared" si="58"/>
        <v/>
      </c>
      <c r="AZ172" s="6" t="str">
        <f t="shared" si="59"/>
        <v/>
      </c>
      <c r="BA172" s="6" t="str">
        <f>IFERROR(IF(AR172="--","",IF(HLOOKUP(SMALL($Q$4:$Y$4,6),$Q$4:$Y$501,ROW(AP172)-3,FALSE)=0,"",IF(HLOOKUP(SMALL($Q$4:$Y$4,6),$Q$4:$Y$501,ROW(AP172)-3,FALSE)="nee",VLOOKUP("De kwaliteitseis emissiearme grond (maximale concentratie) wordt overschreden.",H!$O$10:'H'!$P$59,2,FALSE),""))),"")</f>
        <v/>
      </c>
      <c r="BB172" s="6" t="str">
        <f t="shared" si="50"/>
        <v>--</v>
      </c>
      <c r="BC172" s="6" t="str">
        <f t="shared" si="51"/>
        <v/>
      </c>
      <c r="BD172" s="6" t="str">
        <f t="shared" si="52"/>
        <v>--</v>
      </c>
      <c r="BE172" s="6" t="str">
        <f t="shared" si="60"/>
        <v/>
      </c>
      <c r="BF172" s="6"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6" t="str">
        <f>IF(ISNUMBER(F!E173)=FALSE,"--",IF(F!E173=0,"--",F!E173))</f>
        <v>--</v>
      </c>
      <c r="C173" s="6" t="str">
        <f>IF(B173="--","",F!F173)</f>
        <v/>
      </c>
      <c r="D173" s="6" t="str">
        <f>IF(ISNUMBER(F!G173)=FALSE,"--",IF(F!G173=0,"--",F!G173))</f>
        <v>--</v>
      </c>
      <c r="E173" s="6" t="str">
        <f>IF(D173="--","",F!H173)</f>
        <v/>
      </c>
      <c r="F173" s="6" t="str">
        <f>IF(ISNUMBER(F!I173)=FALSE,"--",IF(F!I173=0,"--",F!I173))</f>
        <v>--</v>
      </c>
      <c r="G173" s="6" t="str">
        <f>IF(F173="--","",F!J173)</f>
        <v/>
      </c>
      <c r="H173" s="6"/>
      <c r="I173" s="101">
        <f>IF(F!Z173=0,-1,F!AV173)</f>
        <v>-1</v>
      </c>
      <c r="J173" s="6"/>
      <c r="K173" s="101">
        <f>IF(F!AC173=0,-1,F!AX173)</f>
        <v>-1</v>
      </c>
      <c r="L173" s="6"/>
      <c r="M173" s="101">
        <f>IF(F!AF173=0,-1,F!AZ173)</f>
        <v>-1</v>
      </c>
      <c r="N173" s="6"/>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6">
        <f t="shared" si="67"/>
        <v>-1</v>
      </c>
      <c r="R173" s="5" t="str">
        <f>IF($B173="--","",IF($P173="toetsen",toetsen(F!$B173,Q173),IF($P173="toetsen alleen IW",toetsen_alleen_IW(F!$B173,Q173),IF($P173="toetsen alleen LN",toetsen_alleen_LN(F!$B173,Q173),IF($P173="toetsen geen MV en SV",toetsen_geen_MV_en_SV(F!$B173,Q173),IF($P173="toetsen alleen MV en SV",toetsen_alleen_MV_en_SV(F!$B173,Q173),""))))))</f>
        <v/>
      </c>
      <c r="S173" s="5" t="str">
        <f>IF($P173="toetsen",IF(OR(Q173="",VLOOKUP(F!$B173,E!$B$1:$AK$300,10,FALSE)=1000000000),"",IF(Q173&lt;=VLOOKUP(F!$B173,E!$B$1:$AK$300,10,FALSE),"ja","nee")),"")</f>
        <v/>
      </c>
      <c r="T173" s="87">
        <f t="shared" si="62"/>
        <v>-1</v>
      </c>
      <c r="U173" s="5" t="str">
        <f>IF($D173="--","",IF($P173="toetsen",toetsen(F!$B173,T173),IF($P173="toetsen alleen IW",toetsen_alleen_IW(F!$B173,T173),IF($P173="toetsen alleen LN",toetsen_alleen_LN(F!$B173,T173),IF($P173="toetsen geen MV en SV",toetsen_geen_MV_en_SV(F!$B173,T173),IF($P173="toetsen alleen MV en SV",toetsen_alleen_MV_en_SV(F!$B173,T173),""))))))</f>
        <v/>
      </c>
      <c r="V173" s="5" t="str">
        <f>IF($P173="toetsen",IF(OR(T173="",VLOOKUP(F!$B173,E!$B$1:$AK$300,10,FALSE)=1000000000),"",IF(T173&lt;=VLOOKUP(F!$B173,E!$B$1:$AK$300,10,FALSE),"ja","nee")),"")</f>
        <v/>
      </c>
      <c r="W173" s="6">
        <f t="shared" si="63"/>
        <v>-1</v>
      </c>
      <c r="X173" s="5" t="str">
        <f>IF($F173="--","",IF($P173="toetsen",toetsen(F!$B173,W173),IF($P173="toetsen alleen IW",toetsen_alleen_IW(F!$B173,W173),IF($P173="toetsen alleen LN",toetsen_alleen_LN(F!$B173,W173),IF($P173="toetsen geen MV en SV",toetsen_geen_MV_en_SV(F!$B173,W173),IF($P173="toetsen alleen MV en SV",toetsen_alleen_MV_en_SV(F!$B173,W173),""))))))</f>
        <v/>
      </c>
      <c r="Y173" s="5" t="str">
        <f>IF($P173="toetsen",IF(OR(W173="",VLOOKUP(F!$B173,E!$B$1:$AK$300,10,FALSE)=1000000000),"",IF(W173&lt;=VLOOKUP(F!$B173,E!$B$1:$AK$300,10,FALSE),"ja","nee")),"")</f>
        <v/>
      </c>
      <c r="AA173" s="4">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6" t="str">
        <f t="shared" si="64"/>
        <v>--</v>
      </c>
      <c r="AJ173" s="6"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6" t="str">
        <f t="shared" si="65"/>
        <v>--</v>
      </c>
      <c r="AL173" s="6"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6" t="str">
        <f t="shared" si="66"/>
        <v>--</v>
      </c>
      <c r="AN173" s="6"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6" t="str">
        <f t="shared" si="53"/>
        <v>--</v>
      </c>
      <c r="AQ173" s="6" t="str">
        <f t="shared" si="54"/>
        <v/>
      </c>
      <c r="AR173" s="6" t="str">
        <f t="shared" si="55"/>
        <v>--</v>
      </c>
      <c r="AS173" s="6" t="str">
        <f t="shared" si="56"/>
        <v/>
      </c>
      <c r="AT173" s="6" t="str">
        <f t="shared" si="57"/>
        <v/>
      </c>
      <c r="AU173" s="6" t="str">
        <f>IFERROR(IF(AR173="--","",IF(HLOOKUP(SMALL($Q$4:$Y$4,3),$Q$4:$Y$501,ROW(AP173)-3,FALSE)=0,"",IF(HLOOKUP(SMALL($Q$4:$Y$4,3),$Q$4:$Y$501,ROW(AP173)-3,FALSE)="nee",VLOOKUP("De kwaliteitseis emissiearme grond (maximale concentratie) wordt overschreden.",H!$O$10:'H'!$P$59,2,FALSE),""))),"")</f>
        <v/>
      </c>
      <c r="AV173" s="6" t="str">
        <f t="shared" si="47"/>
        <v>--</v>
      </c>
      <c r="AW173" s="6" t="str">
        <f t="shared" si="48"/>
        <v/>
      </c>
      <c r="AX173" s="6" t="str">
        <f t="shared" si="49"/>
        <v>--</v>
      </c>
      <c r="AY173" s="6" t="str">
        <f t="shared" si="58"/>
        <v/>
      </c>
      <c r="AZ173" s="6" t="str">
        <f t="shared" si="59"/>
        <v/>
      </c>
      <c r="BA173" s="6" t="str">
        <f>IFERROR(IF(AR173="--","",IF(HLOOKUP(SMALL($Q$4:$Y$4,6),$Q$4:$Y$501,ROW(AP173)-3,FALSE)=0,"",IF(HLOOKUP(SMALL($Q$4:$Y$4,6),$Q$4:$Y$501,ROW(AP173)-3,FALSE)="nee",VLOOKUP("De kwaliteitseis emissiearme grond (maximale concentratie) wordt overschreden.",H!$O$10:'H'!$P$59,2,FALSE),""))),"")</f>
        <v/>
      </c>
      <c r="BB173" s="6" t="str">
        <f t="shared" si="50"/>
        <v>--</v>
      </c>
      <c r="BC173" s="6" t="str">
        <f t="shared" si="51"/>
        <v/>
      </c>
      <c r="BD173" s="6" t="str">
        <f t="shared" si="52"/>
        <v>--</v>
      </c>
      <c r="BE173" s="6" t="str">
        <f t="shared" si="60"/>
        <v/>
      </c>
      <c r="BF173" s="6"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6" t="str">
        <f>IF(ISNUMBER(F!E174)=FALSE,"--",IF(F!E174=0,"--",F!E174))</f>
        <v>--</v>
      </c>
      <c r="C174" s="6" t="str">
        <f>IF(B174="--","",F!F174)</f>
        <v/>
      </c>
      <c r="D174" s="6" t="str">
        <f>IF(ISNUMBER(F!G174)=FALSE,"--",IF(F!G174=0,"--",F!G174))</f>
        <v>--</v>
      </c>
      <c r="E174" s="6" t="str">
        <f>IF(D174="--","",F!H174)</f>
        <v/>
      </c>
      <c r="F174" s="6" t="str">
        <f>IF(ISNUMBER(F!I174)=FALSE,"--",IF(F!I174=0,"--",F!I174))</f>
        <v>--</v>
      </c>
      <c r="G174" s="6" t="str">
        <f>IF(F174="--","",F!J174)</f>
        <v/>
      </c>
      <c r="H174" s="6"/>
      <c r="I174" s="6" t="str">
        <f>IF(F!Z174=-1,-1,F!AV174)</f>
        <v/>
      </c>
      <c r="J174" s="6"/>
      <c r="K174" s="6" t="str">
        <f>IF(F!AC174=-1,-1,F!AX174)</f>
        <v/>
      </c>
      <c r="L174" s="6"/>
      <c r="M174" s="6" t="str">
        <f>IF(F!AF174=-1,-1,F!AZ174)</f>
        <v/>
      </c>
      <c r="N174" s="6"/>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6" t="str">
        <f t="shared" si="67"/>
        <v/>
      </c>
      <c r="R174" s="5" t="str">
        <f>IF($B174="--","",IF($P174="toetsen",toetsen(F!$B174,Q174),IF($P174="toetsen alleen IW",toetsen_alleen_IW(F!$B174,Q174),IF($P174="toetsen alleen LN",toetsen_alleen_LN(F!$B174,Q174),IF($P174="toetsen geen MV en SV",toetsen_geen_MV_en_SV(F!$B174,Q174),IF($P174="toetsen alleen MV en SV",toetsen_alleen_MV_en_SV(F!$B174,Q174),""))))))</f>
        <v/>
      </c>
      <c r="S174" s="5" t="str">
        <f>IF($P174="toetsen",IF(OR(Q174="",VLOOKUP(F!$B174,E!$B$1:$AK$300,10,FALSE)=1000000000),"",IF(Q174&lt;=VLOOKUP(F!$B174,E!$B$1:$AK$300,10,FALSE),"ja","nee")),"")</f>
        <v/>
      </c>
      <c r="T174" s="87" t="str">
        <f t="shared" si="62"/>
        <v/>
      </c>
      <c r="U174" s="5" t="str">
        <f>IF($D174="--","",IF($P174="toetsen",toetsen(F!$B174,T174),IF($P174="toetsen alleen IW",toetsen_alleen_IW(F!$B174,T174),IF($P174="toetsen alleen LN",toetsen_alleen_LN(F!$B174,T174),IF($P174="toetsen geen MV en SV",toetsen_geen_MV_en_SV(F!$B174,T174),IF($P174="toetsen alleen MV en SV",toetsen_alleen_MV_en_SV(F!$B174,T174),""))))))</f>
        <v/>
      </c>
      <c r="V174" s="5" t="str">
        <f>IF($P174="toetsen",IF(OR(T174="",VLOOKUP(F!$B174,E!$B$1:$AK$300,10,FALSE)=1000000000),"",IF(T174&lt;=VLOOKUP(F!$B174,E!$B$1:$AK$300,10,FALSE),"ja","nee")),"")</f>
        <v/>
      </c>
      <c r="W174" s="6" t="str">
        <f t="shared" si="63"/>
        <v/>
      </c>
      <c r="X174" s="5" t="str">
        <f>IF($F174="--","",IF($P174="toetsen",toetsen(F!$B174,W174),IF($P174="toetsen alleen IW",toetsen_alleen_IW(F!$B174,W174),IF($P174="toetsen alleen LN",toetsen_alleen_LN(F!$B174,W174),IF($P174="toetsen geen MV en SV",toetsen_geen_MV_en_SV(F!$B174,W174),IF($P174="toetsen alleen MV en SV",toetsen_alleen_MV_en_SV(F!$B174,W174),""))))))</f>
        <v/>
      </c>
      <c r="Y174" s="5" t="str">
        <f>IF($P174="toetsen",IF(OR(W174="",VLOOKUP(F!$B174,E!$B$1:$AK$300,10,FALSE)=1000000000),"",IF(W174&lt;=VLOOKUP(F!$B174,E!$B$1:$AK$300,10,FALSE),"ja","nee")),"")</f>
        <v/>
      </c>
      <c r="AA174" s="4"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6" t="str">
        <f t="shared" si="64"/>
        <v>--</v>
      </c>
      <c r="AJ174" s="6"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6" t="str">
        <f t="shared" si="65"/>
        <v>--</v>
      </c>
      <c r="AL174" s="6"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6" t="str">
        <f t="shared" si="66"/>
        <v>--</v>
      </c>
      <c r="AN174" s="6"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6" t="str">
        <f t="shared" si="53"/>
        <v>--</v>
      </c>
      <c r="AQ174" s="6" t="str">
        <f t="shared" si="54"/>
        <v/>
      </c>
      <c r="AR174" s="6" t="str">
        <f t="shared" si="55"/>
        <v>--</v>
      </c>
      <c r="AS174" s="6" t="str">
        <f t="shared" si="56"/>
        <v/>
      </c>
      <c r="AT174" s="6" t="str">
        <f t="shared" si="57"/>
        <v/>
      </c>
      <c r="AU174" s="6" t="str">
        <f>IFERROR(IF(AR174="--","",IF(HLOOKUP(SMALL($Q$4:$Y$4,3),$Q$4:$Y$501,ROW(AP174)-3,FALSE)=0,"",IF(HLOOKUP(SMALL($Q$4:$Y$4,3),$Q$4:$Y$501,ROW(AP174)-3,FALSE)="nee",VLOOKUP("De kwaliteitseis emissiearme grond (maximale concentratie) wordt overschreden.",H!$O$10:'H'!$P$59,2,FALSE),""))),"")</f>
        <v/>
      </c>
      <c r="AV174" s="6" t="str">
        <f t="shared" si="47"/>
        <v>--</v>
      </c>
      <c r="AW174" s="6" t="str">
        <f t="shared" si="48"/>
        <v/>
      </c>
      <c r="AX174" s="6" t="str">
        <f t="shared" si="49"/>
        <v>--</v>
      </c>
      <c r="AY174" s="6" t="str">
        <f t="shared" si="58"/>
        <v/>
      </c>
      <c r="AZ174" s="6" t="str">
        <f t="shared" si="59"/>
        <v/>
      </c>
      <c r="BA174" s="6" t="str">
        <f>IFERROR(IF(AR174="--","",IF(HLOOKUP(SMALL($Q$4:$Y$4,6),$Q$4:$Y$501,ROW(AP174)-3,FALSE)=0,"",IF(HLOOKUP(SMALL($Q$4:$Y$4,6),$Q$4:$Y$501,ROW(AP174)-3,FALSE)="nee",VLOOKUP("De kwaliteitseis emissiearme grond (maximale concentratie) wordt overschreden.",H!$O$10:'H'!$P$59,2,FALSE),""))),"")</f>
        <v/>
      </c>
      <c r="BB174" s="6" t="str">
        <f t="shared" si="50"/>
        <v>--</v>
      </c>
      <c r="BC174" s="6" t="str">
        <f t="shared" si="51"/>
        <v/>
      </c>
      <c r="BD174" s="6" t="str">
        <f t="shared" si="52"/>
        <v>--</v>
      </c>
      <c r="BE174" s="6" t="str">
        <f t="shared" si="60"/>
        <v/>
      </c>
      <c r="BF174" s="6"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6" t="str">
        <f>IF(ISNUMBER(F!E175)=FALSE,"--",IF(F!E175=0,"--",F!E175))</f>
        <v>--</v>
      </c>
      <c r="C175" s="6" t="str">
        <f>IF(B175="--","",F!F175)</f>
        <v/>
      </c>
      <c r="D175" s="6" t="str">
        <f>IF(ISNUMBER(F!G175)=FALSE,"--",IF(F!G175=0,"--",F!G175))</f>
        <v>--</v>
      </c>
      <c r="E175" s="6" t="str">
        <f>IF(D175="--","",F!H175)</f>
        <v/>
      </c>
      <c r="F175" s="6" t="str">
        <f>IF(ISNUMBER(F!I175)=FALSE,"--",IF(F!I175=0,"--",F!I175))</f>
        <v>--</v>
      </c>
      <c r="G175" s="6" t="str">
        <f>IF(F175="--","",F!J175)</f>
        <v/>
      </c>
      <c r="H175" s="6"/>
      <c r="I175" s="6" t="str">
        <f>IF(F!Z175=-1,-1,F!AV175)</f>
        <v/>
      </c>
      <c r="J175" s="6"/>
      <c r="K175" s="6" t="str">
        <f>IF(F!AC175=-1,-1,F!AX175)</f>
        <v/>
      </c>
      <c r="L175" s="6"/>
      <c r="M175" s="6" t="str">
        <f>IF(F!AF175=-1,-1,F!AZ175)</f>
        <v/>
      </c>
      <c r="N175" s="6"/>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6" t="str">
        <f t="shared" si="67"/>
        <v/>
      </c>
      <c r="R175" s="5" t="str">
        <f>IF($B175="--","",IF($P175="toetsen",toetsen(F!$B175,Q175),IF($P175="toetsen alleen IW",toetsen_alleen_IW(F!$B175,Q175),IF($P175="toetsen alleen LN",toetsen_alleen_LN(F!$B175,Q175),IF($P175="toetsen geen MV en SV",toetsen_geen_MV_en_SV(F!$B175,Q175),IF($P175="toetsen alleen MV en SV",toetsen_alleen_MV_en_SV(F!$B175,Q175),""))))))</f>
        <v/>
      </c>
      <c r="S175" s="5" t="str">
        <f>IF($P175="toetsen",IF(OR(Q175="",VLOOKUP(F!$B175,E!$B$1:$AK$300,10,FALSE)=1000000000),"",IF(Q175&lt;=VLOOKUP(F!$B175,E!$B$1:$AK$300,10,FALSE),"ja","nee")),"")</f>
        <v/>
      </c>
      <c r="T175" s="87" t="str">
        <f t="shared" si="62"/>
        <v/>
      </c>
      <c r="U175" s="5" t="str">
        <f>IF($D175="--","",IF($P175="toetsen",toetsen(F!$B175,T175),IF($P175="toetsen alleen IW",toetsen_alleen_IW(F!$B175,T175),IF($P175="toetsen alleen LN",toetsen_alleen_LN(F!$B175,T175),IF($P175="toetsen geen MV en SV",toetsen_geen_MV_en_SV(F!$B175,T175),IF($P175="toetsen alleen MV en SV",toetsen_alleen_MV_en_SV(F!$B175,T175),""))))))</f>
        <v/>
      </c>
      <c r="V175" s="5" t="str">
        <f>IF($P175="toetsen",IF(OR(T175="",VLOOKUP(F!$B175,E!$B$1:$AK$300,10,FALSE)=1000000000),"",IF(T175&lt;=VLOOKUP(F!$B175,E!$B$1:$AK$300,10,FALSE),"ja","nee")),"")</f>
        <v/>
      </c>
      <c r="W175" s="6" t="str">
        <f t="shared" si="63"/>
        <v/>
      </c>
      <c r="X175" s="5" t="str">
        <f>IF($F175="--","",IF($P175="toetsen",toetsen(F!$B175,W175),IF($P175="toetsen alleen IW",toetsen_alleen_IW(F!$B175,W175),IF($P175="toetsen alleen LN",toetsen_alleen_LN(F!$B175,W175),IF($P175="toetsen geen MV en SV",toetsen_geen_MV_en_SV(F!$B175,W175),IF($P175="toetsen alleen MV en SV",toetsen_alleen_MV_en_SV(F!$B175,W175),""))))))</f>
        <v/>
      </c>
      <c r="Y175" s="5" t="str">
        <f>IF($P175="toetsen",IF(OR(W175="",VLOOKUP(F!$B175,E!$B$1:$AK$300,10,FALSE)=1000000000),"",IF(W175&lt;=VLOOKUP(F!$B175,E!$B$1:$AK$300,10,FALSE),"ja","nee")),"")</f>
        <v/>
      </c>
      <c r="AA175" s="4"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6" t="str">
        <f t="shared" si="64"/>
        <v>--</v>
      </c>
      <c r="AJ175" s="6"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6" t="str">
        <f t="shared" si="65"/>
        <v>--</v>
      </c>
      <c r="AL175" s="6"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6" t="str">
        <f t="shared" si="66"/>
        <v>--</v>
      </c>
      <c r="AN175" s="6"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6" t="str">
        <f t="shared" si="53"/>
        <v>--</v>
      </c>
      <c r="AQ175" s="6" t="str">
        <f t="shared" si="54"/>
        <v/>
      </c>
      <c r="AR175" s="6" t="str">
        <f t="shared" si="55"/>
        <v>--</v>
      </c>
      <c r="AS175" s="6" t="str">
        <f t="shared" si="56"/>
        <v/>
      </c>
      <c r="AT175" s="6" t="str">
        <f t="shared" si="57"/>
        <v/>
      </c>
      <c r="AU175" s="6" t="str">
        <f>IFERROR(IF(AR175="--","",IF(HLOOKUP(SMALL($Q$4:$Y$4,3),$Q$4:$Y$501,ROW(AP175)-3,FALSE)=0,"",IF(HLOOKUP(SMALL($Q$4:$Y$4,3),$Q$4:$Y$501,ROW(AP175)-3,FALSE)="nee",VLOOKUP("De kwaliteitseis emissiearme grond (maximale concentratie) wordt overschreden.",H!$O$10:'H'!$P$59,2,FALSE),""))),"")</f>
        <v/>
      </c>
      <c r="AV175" s="6" t="str">
        <f t="shared" si="47"/>
        <v>--</v>
      </c>
      <c r="AW175" s="6" t="str">
        <f t="shared" si="48"/>
        <v/>
      </c>
      <c r="AX175" s="6" t="str">
        <f t="shared" si="49"/>
        <v>--</v>
      </c>
      <c r="AY175" s="6" t="str">
        <f t="shared" si="58"/>
        <v/>
      </c>
      <c r="AZ175" s="6" t="str">
        <f t="shared" si="59"/>
        <v/>
      </c>
      <c r="BA175" s="6" t="str">
        <f>IFERROR(IF(AR175="--","",IF(HLOOKUP(SMALL($Q$4:$Y$4,6),$Q$4:$Y$501,ROW(AP175)-3,FALSE)=0,"",IF(HLOOKUP(SMALL($Q$4:$Y$4,6),$Q$4:$Y$501,ROW(AP175)-3,FALSE)="nee",VLOOKUP("De kwaliteitseis emissiearme grond (maximale concentratie) wordt overschreden.",H!$O$10:'H'!$P$59,2,FALSE),""))),"")</f>
        <v/>
      </c>
      <c r="BB175" s="6" t="str">
        <f t="shared" si="50"/>
        <v>--</v>
      </c>
      <c r="BC175" s="6" t="str">
        <f t="shared" si="51"/>
        <v/>
      </c>
      <c r="BD175" s="6" t="str">
        <f t="shared" si="52"/>
        <v>--</v>
      </c>
      <c r="BE175" s="6" t="str">
        <f t="shared" si="60"/>
        <v/>
      </c>
      <c r="BF175" s="6"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6" t="str">
        <f>IF(ISNUMBER(F!E176)=FALSE,"--",IF(F!E176=0,"--",F!E176))</f>
        <v>--</v>
      </c>
      <c r="C176" s="6" t="str">
        <f>IF(B176="--","",F!F176)</f>
        <v/>
      </c>
      <c r="D176" s="6" t="str">
        <f>IF(ISNUMBER(F!G176)=FALSE,"--",IF(F!G176=0,"--",F!G176))</f>
        <v>--</v>
      </c>
      <c r="E176" s="6" t="str">
        <f>IF(D176="--","",F!H176)</f>
        <v/>
      </c>
      <c r="F176" s="6" t="str">
        <f>IF(ISNUMBER(F!I176)=FALSE,"--",IF(F!I176=0,"--",F!I176))</f>
        <v>--</v>
      </c>
      <c r="G176" s="6" t="str">
        <f>IF(F176="--","",F!J176)</f>
        <v/>
      </c>
      <c r="H176" s="6"/>
      <c r="I176" s="16" t="str">
        <f>IF(F!AA176=-1,-1,F!AV176)</f>
        <v/>
      </c>
      <c r="J176" s="6"/>
      <c r="K176" s="16" t="str">
        <f>IF(F!AD176=-1,-1,F!AX176)</f>
        <v/>
      </c>
      <c r="L176" s="6"/>
      <c r="M176" s="16" t="str">
        <f>IF(F!AG176=-1,-1,F!AZ176)</f>
        <v/>
      </c>
      <c r="N176" s="6"/>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6" t="str">
        <f t="shared" si="67"/>
        <v/>
      </c>
      <c r="R176" s="5" t="str">
        <f>IF($B176="--","",IF($P176="toetsen",toetsen(F!$B176,Q176),IF($P176="toetsen alleen IW",toetsen_alleen_IW(F!$B176,Q176),IF($P176="toetsen alleen LN",toetsen_alleen_LN(F!$B176,Q176),IF($P176="toetsen geen MV en SV",toetsen_geen_MV_en_SV(F!$B176,Q176),IF($P176="toetsen alleen MV en SV",toetsen_alleen_MV_en_SV(F!$B176,Q176),""))))))</f>
        <v/>
      </c>
      <c r="S176" s="5" t="str">
        <f>IF($P176="toetsen",IF(OR(Q176="",VLOOKUP(F!$B176,E!$B$1:$AK$300,10,FALSE)=1000000000),"",IF(Q176&lt;=VLOOKUP(F!$B176,E!$B$1:$AK$300,10,FALSE),"ja","nee")),"")</f>
        <v/>
      </c>
      <c r="T176" s="87" t="str">
        <f t="shared" si="62"/>
        <v/>
      </c>
      <c r="U176" s="5" t="str">
        <f>IF($D176="--","",IF($P176="toetsen",toetsen(F!$B176,T176),IF($P176="toetsen alleen IW",toetsen_alleen_IW(F!$B176,T176),IF($P176="toetsen alleen LN",toetsen_alleen_LN(F!$B176,T176),IF($P176="toetsen geen MV en SV",toetsen_geen_MV_en_SV(F!$B176,T176),IF($P176="toetsen alleen MV en SV",toetsen_alleen_MV_en_SV(F!$B176,T176),""))))))</f>
        <v/>
      </c>
      <c r="V176" s="5" t="str">
        <f>IF($P176="toetsen",IF(OR(T176="",VLOOKUP(F!$B176,E!$B$1:$AK$300,10,FALSE)=1000000000),"",IF(T176&lt;=VLOOKUP(F!$B176,E!$B$1:$AK$300,10,FALSE),"ja","nee")),"")</f>
        <v/>
      </c>
      <c r="W176" s="6" t="str">
        <f t="shared" si="63"/>
        <v/>
      </c>
      <c r="X176" s="5" t="str">
        <f>IF($F176="--","",IF($P176="toetsen",toetsen(F!$B176,W176),IF($P176="toetsen alleen IW",toetsen_alleen_IW(F!$B176,W176),IF($P176="toetsen alleen LN",toetsen_alleen_LN(F!$B176,W176),IF($P176="toetsen geen MV en SV",toetsen_geen_MV_en_SV(F!$B176,W176),IF($P176="toetsen alleen MV en SV",toetsen_alleen_MV_en_SV(F!$B176,W176),""))))))</f>
        <v/>
      </c>
      <c r="Y176" s="5" t="str">
        <f>IF($P176="toetsen",IF(OR(W176="",VLOOKUP(F!$B176,E!$B$1:$AK$300,10,FALSE)=1000000000),"",IF(W176&lt;=VLOOKUP(F!$B176,E!$B$1:$AK$300,10,FALSE),"ja","nee")),"")</f>
        <v/>
      </c>
      <c r="AA176" s="4"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6" t="str">
        <f t="shared" si="64"/>
        <v>--</v>
      </c>
      <c r="AJ176" s="6"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6" t="str">
        <f t="shared" si="65"/>
        <v>--</v>
      </c>
      <c r="AL176" s="6"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6" t="str">
        <f t="shared" si="66"/>
        <v>--</v>
      </c>
      <c r="AN176" s="6"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6" t="str">
        <f t="shared" si="53"/>
        <v>--</v>
      </c>
      <c r="AQ176" s="6" t="str">
        <f t="shared" si="54"/>
        <v/>
      </c>
      <c r="AR176" s="6" t="str">
        <f t="shared" si="55"/>
        <v>--</v>
      </c>
      <c r="AS176" s="6" t="str">
        <f t="shared" si="56"/>
        <v/>
      </c>
      <c r="AT176" s="6" t="str">
        <f t="shared" si="57"/>
        <v/>
      </c>
      <c r="AU176" s="6" t="str">
        <f>IFERROR(IF(AR176="--","",IF(HLOOKUP(SMALL($Q$4:$Y$4,3),$Q$4:$Y$501,ROW(AP176)-3,FALSE)=0,"",IF(HLOOKUP(SMALL($Q$4:$Y$4,3),$Q$4:$Y$501,ROW(AP176)-3,FALSE)="nee",VLOOKUP("De kwaliteitseis emissiearme grond (maximale concentratie) wordt overschreden.",H!$O$10:'H'!$P$59,2,FALSE),""))),"")</f>
        <v/>
      </c>
      <c r="AV176" s="6" t="str">
        <f t="shared" si="47"/>
        <v>--</v>
      </c>
      <c r="AW176" s="6" t="str">
        <f t="shared" si="48"/>
        <v/>
      </c>
      <c r="AX176" s="6" t="str">
        <f t="shared" si="49"/>
        <v>--</v>
      </c>
      <c r="AY176" s="6" t="str">
        <f t="shared" si="58"/>
        <v/>
      </c>
      <c r="AZ176" s="6" t="str">
        <f t="shared" si="59"/>
        <v/>
      </c>
      <c r="BA176" s="6" t="str">
        <f>IFERROR(IF(AR176="--","",IF(HLOOKUP(SMALL($Q$4:$Y$4,6),$Q$4:$Y$501,ROW(AP176)-3,FALSE)=0,"",IF(HLOOKUP(SMALL($Q$4:$Y$4,6),$Q$4:$Y$501,ROW(AP176)-3,FALSE)="nee",VLOOKUP("De kwaliteitseis emissiearme grond (maximale concentratie) wordt overschreden.",H!$O$10:'H'!$P$59,2,FALSE),""))),"")</f>
        <v/>
      </c>
      <c r="BB176" s="6" t="str">
        <f t="shared" si="50"/>
        <v>--</v>
      </c>
      <c r="BC176" s="6" t="str">
        <f t="shared" si="51"/>
        <v/>
      </c>
      <c r="BD176" s="6" t="str">
        <f t="shared" si="52"/>
        <v>--</v>
      </c>
      <c r="BE176" s="6" t="str">
        <f t="shared" si="60"/>
        <v/>
      </c>
      <c r="BF176" s="6"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6" t="str">
        <f>IF(ISNUMBER(F!E177)=FALSE,"--",IF(F!E177=0,"--",F!E177))</f>
        <v>--</v>
      </c>
      <c r="C177" s="6" t="str">
        <f>IF(B177="--","",F!F177)</f>
        <v/>
      </c>
      <c r="D177" s="6" t="str">
        <f>IF(ISNUMBER(F!G177)=FALSE,"--",IF(F!G177=0,"--",F!G177))</f>
        <v>--</v>
      </c>
      <c r="E177" s="6" t="str">
        <f>IF(D177="--","",F!H177)</f>
        <v/>
      </c>
      <c r="F177" s="6" t="str">
        <f>IF(ISNUMBER(F!I177)=FALSE,"--",IF(F!I177=0,"--",F!I177))</f>
        <v>--</v>
      </c>
      <c r="G177" s="6" t="str">
        <f>IF(F177="--","",F!J177)</f>
        <v/>
      </c>
      <c r="H177" s="6"/>
      <c r="I177" s="16" t="str">
        <f>IF(F!AA177=-1,-1,F!AV177)</f>
        <v/>
      </c>
      <c r="J177" s="6"/>
      <c r="K177" s="16" t="str">
        <f>IF(F!AD177=-1,-1,F!AX177)</f>
        <v/>
      </c>
      <c r="L177" s="6"/>
      <c r="M177" s="16" t="str">
        <f>IF(F!AG177=-1,-1,F!AZ177)</f>
        <v/>
      </c>
      <c r="N177" s="6"/>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6" t="str">
        <f t="shared" si="67"/>
        <v/>
      </c>
      <c r="R177" s="5" t="str">
        <f>IF($B177="--","",IF($P177="toetsen",toetsen(F!$B177,Q177),IF($P177="toetsen alleen IW",toetsen_alleen_IW(F!$B177,Q177),IF($P177="toetsen alleen LN",toetsen_alleen_LN(F!$B177,Q177),IF($P177="toetsen geen MV en SV",toetsen_geen_MV_en_SV(F!$B177,Q177),IF($P177="toetsen alleen MV en SV",toetsen_alleen_MV_en_SV(F!$B177,Q177),""))))))</f>
        <v/>
      </c>
      <c r="S177" s="5" t="str">
        <f>IF($P177="toetsen",IF(OR(Q177="",VLOOKUP(F!$B177,E!$B$1:$AK$300,10,FALSE)=1000000000),"",IF(Q177&lt;=VLOOKUP(F!$B177,E!$B$1:$AK$300,10,FALSE),"ja","nee")),"")</f>
        <v/>
      </c>
      <c r="T177" s="87" t="str">
        <f t="shared" si="62"/>
        <v/>
      </c>
      <c r="U177" s="5" t="str">
        <f>IF($D177="--","",IF($P177="toetsen",toetsen(F!$B177,T177),IF($P177="toetsen alleen IW",toetsen_alleen_IW(F!$B177,T177),IF($P177="toetsen alleen LN",toetsen_alleen_LN(F!$B177,T177),IF($P177="toetsen geen MV en SV",toetsen_geen_MV_en_SV(F!$B177,T177),IF($P177="toetsen alleen MV en SV",toetsen_alleen_MV_en_SV(F!$B177,T177),""))))))</f>
        <v/>
      </c>
      <c r="V177" s="5" t="str">
        <f>IF($P177="toetsen",IF(OR(T177="",VLOOKUP(F!$B177,E!$B$1:$AK$300,10,FALSE)=1000000000),"",IF(T177&lt;=VLOOKUP(F!$B177,E!$B$1:$AK$300,10,FALSE),"ja","nee")),"")</f>
        <v/>
      </c>
      <c r="W177" s="6" t="str">
        <f t="shared" si="63"/>
        <v/>
      </c>
      <c r="X177" s="5" t="str">
        <f>IF($F177="--","",IF($P177="toetsen",toetsen(F!$B177,W177),IF($P177="toetsen alleen IW",toetsen_alleen_IW(F!$B177,W177),IF($P177="toetsen alleen LN",toetsen_alleen_LN(F!$B177,W177),IF($P177="toetsen geen MV en SV",toetsen_geen_MV_en_SV(F!$B177,W177),IF($P177="toetsen alleen MV en SV",toetsen_alleen_MV_en_SV(F!$B177,W177),""))))))</f>
        <v/>
      </c>
      <c r="Y177" s="5" t="str">
        <f>IF($P177="toetsen",IF(OR(W177="",VLOOKUP(F!$B177,E!$B$1:$AK$300,10,FALSE)=1000000000),"",IF(W177&lt;=VLOOKUP(F!$B177,E!$B$1:$AK$300,10,FALSE),"ja","nee")),"")</f>
        <v/>
      </c>
      <c r="AA177" s="4"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6" t="str">
        <f t="shared" si="64"/>
        <v>--</v>
      </c>
      <c r="AJ177" s="6"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6" t="str">
        <f t="shared" si="65"/>
        <v>--</v>
      </c>
      <c r="AL177" s="6"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6" t="str">
        <f t="shared" si="66"/>
        <v>--</v>
      </c>
      <c r="AN177" s="6"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6" t="str">
        <f t="shared" si="53"/>
        <v>--</v>
      </c>
      <c r="AQ177" s="6" t="str">
        <f t="shared" si="54"/>
        <v/>
      </c>
      <c r="AR177" s="6" t="str">
        <f t="shared" si="55"/>
        <v>--</v>
      </c>
      <c r="AS177" s="6" t="str">
        <f t="shared" si="56"/>
        <v/>
      </c>
      <c r="AT177" s="6" t="str">
        <f t="shared" si="57"/>
        <v/>
      </c>
      <c r="AU177" s="6" t="str">
        <f>IFERROR(IF(AR177="--","",IF(HLOOKUP(SMALL($Q$4:$Y$4,3),$Q$4:$Y$501,ROW(AP177)-3,FALSE)=0,"",IF(HLOOKUP(SMALL($Q$4:$Y$4,3),$Q$4:$Y$501,ROW(AP177)-3,FALSE)="nee",VLOOKUP("De kwaliteitseis emissiearme grond (maximale concentratie) wordt overschreden.",H!$O$10:'H'!$P$59,2,FALSE),""))),"")</f>
        <v/>
      </c>
      <c r="AV177" s="6" t="str">
        <f t="shared" si="47"/>
        <v>--</v>
      </c>
      <c r="AW177" s="6" t="str">
        <f t="shared" si="48"/>
        <v/>
      </c>
      <c r="AX177" s="6" t="str">
        <f t="shared" si="49"/>
        <v>--</v>
      </c>
      <c r="AY177" s="6" t="str">
        <f t="shared" si="58"/>
        <v/>
      </c>
      <c r="AZ177" s="6" t="str">
        <f t="shared" si="59"/>
        <v/>
      </c>
      <c r="BA177" s="6" t="str">
        <f>IFERROR(IF(AR177="--","",IF(HLOOKUP(SMALL($Q$4:$Y$4,6),$Q$4:$Y$501,ROW(AP177)-3,FALSE)=0,"",IF(HLOOKUP(SMALL($Q$4:$Y$4,6),$Q$4:$Y$501,ROW(AP177)-3,FALSE)="nee",VLOOKUP("De kwaliteitseis emissiearme grond (maximale concentratie) wordt overschreden.",H!$O$10:'H'!$P$59,2,FALSE),""))),"")</f>
        <v/>
      </c>
      <c r="BB177" s="6" t="str">
        <f t="shared" si="50"/>
        <v>--</v>
      </c>
      <c r="BC177" s="6" t="str">
        <f t="shared" si="51"/>
        <v/>
      </c>
      <c r="BD177" s="6" t="str">
        <f t="shared" si="52"/>
        <v>--</v>
      </c>
      <c r="BE177" s="6" t="str">
        <f t="shared" si="60"/>
        <v/>
      </c>
      <c r="BF177" s="6"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6" t="str">
        <f>IF(ISNUMBER(F!E178)=FALSE,"--",IF(F!E178=0,"--",F!E178))</f>
        <v>--</v>
      </c>
      <c r="C178" s="6" t="str">
        <f>IF(B178="--","",F!F178)</f>
        <v/>
      </c>
      <c r="D178" s="6" t="str">
        <f>IF(ISNUMBER(F!G178)=FALSE,"--",IF(F!G178=0,"--",F!G178))</f>
        <v>--</v>
      </c>
      <c r="E178" s="6" t="str">
        <f>IF(D178="--","",F!H178)</f>
        <v/>
      </c>
      <c r="F178" s="6" t="str">
        <f>IF(ISNUMBER(F!I178)=FALSE,"--",IF(F!I178=0,"--",F!I178))</f>
        <v>--</v>
      </c>
      <c r="G178" s="6" t="str">
        <f>IF(F178="--","",F!J178)</f>
        <v/>
      </c>
      <c r="H178" s="6"/>
      <c r="I178" s="101">
        <f>IF(F!Z178=0,-1,F!AV178)</f>
        <v>-1</v>
      </c>
      <c r="J178" s="6"/>
      <c r="K178" s="101">
        <f>IF(F!AC178=0,-1,F!AX178)</f>
        <v>-1</v>
      </c>
      <c r="L178" s="6"/>
      <c r="M178" s="101">
        <f>IF(F!AF178=0,-1,F!AZ178)</f>
        <v>-1</v>
      </c>
      <c r="N178" s="6"/>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6">
        <f t="shared" si="67"/>
        <v>-1</v>
      </c>
      <c r="R178" s="5" t="str">
        <f>IF($B178="--","",IF($P178="toetsen",toetsen(F!$B178,Q178),IF($P178="toetsen alleen IW",toetsen_alleen_IW(F!$B178,Q178),IF($P178="toetsen alleen LN",toetsen_alleen_LN(F!$B178,Q178),IF($P178="toetsen geen MV en SV",toetsen_geen_MV_en_SV(F!$B178,Q178),IF($P178="toetsen alleen MV en SV",toetsen_alleen_MV_en_SV(F!$B178,Q178),""))))))</f>
        <v/>
      </c>
      <c r="S178" s="5" t="str">
        <f>IF($P178="toetsen",IF(OR(Q178="",VLOOKUP(F!$B178,E!$B$1:$AK$300,10,FALSE)=1000000000),"",IF(Q178&lt;=VLOOKUP(F!$B178,E!$B$1:$AK$300,10,FALSE),"ja","nee")),"")</f>
        <v/>
      </c>
      <c r="T178" s="87">
        <f t="shared" si="62"/>
        <v>-1</v>
      </c>
      <c r="U178" s="5" t="str">
        <f>IF($D178="--","",IF($P178="toetsen",toetsen(F!$B178,T178),IF($P178="toetsen alleen IW",toetsen_alleen_IW(F!$B178,T178),IF($P178="toetsen alleen LN",toetsen_alleen_LN(F!$B178,T178),IF($P178="toetsen geen MV en SV",toetsen_geen_MV_en_SV(F!$B178,T178),IF($P178="toetsen alleen MV en SV",toetsen_alleen_MV_en_SV(F!$B178,T178),""))))))</f>
        <v/>
      </c>
      <c r="V178" s="5" t="str">
        <f>IF($P178="toetsen",IF(OR(T178="",VLOOKUP(F!$B178,E!$B$1:$AK$300,10,FALSE)=1000000000),"",IF(T178&lt;=VLOOKUP(F!$B178,E!$B$1:$AK$300,10,FALSE),"ja","nee")),"")</f>
        <v/>
      </c>
      <c r="W178" s="6">
        <f t="shared" si="63"/>
        <v>-1</v>
      </c>
      <c r="X178" s="5" t="str">
        <f>IF($F178="--","",IF($P178="toetsen",toetsen(F!$B178,W178),IF($P178="toetsen alleen IW",toetsen_alleen_IW(F!$B178,W178),IF($P178="toetsen alleen LN",toetsen_alleen_LN(F!$B178,W178),IF($P178="toetsen geen MV en SV",toetsen_geen_MV_en_SV(F!$B178,W178),IF($P178="toetsen alleen MV en SV",toetsen_alleen_MV_en_SV(F!$B178,W178),""))))))</f>
        <v/>
      </c>
      <c r="Y178" s="5" t="str">
        <f>IF($P178="toetsen",IF(OR(W178="",VLOOKUP(F!$B178,E!$B$1:$AK$300,10,FALSE)=1000000000),"",IF(W178&lt;=VLOOKUP(F!$B178,E!$B$1:$AK$300,10,FALSE),"ja","nee")),"")</f>
        <v/>
      </c>
      <c r="AA178" s="4">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6" t="str">
        <f t="shared" si="64"/>
        <v>--</v>
      </c>
      <c r="AJ178" s="6"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6" t="str">
        <f t="shared" si="65"/>
        <v>--</v>
      </c>
      <c r="AL178" s="6"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6" t="str">
        <f t="shared" si="66"/>
        <v>--</v>
      </c>
      <c r="AN178" s="6"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6" t="str">
        <f t="shared" si="53"/>
        <v>--</v>
      </c>
      <c r="AQ178" s="6" t="str">
        <f t="shared" si="54"/>
        <v/>
      </c>
      <c r="AR178" s="6" t="str">
        <f t="shared" si="55"/>
        <v>--</v>
      </c>
      <c r="AS178" s="6" t="str">
        <f t="shared" si="56"/>
        <v/>
      </c>
      <c r="AT178" s="6" t="str">
        <f t="shared" si="57"/>
        <v/>
      </c>
      <c r="AU178" s="6" t="str">
        <f>IFERROR(IF(AR178="--","",IF(HLOOKUP(SMALL($Q$4:$Y$4,3),$Q$4:$Y$501,ROW(AP178)-3,FALSE)=0,"",IF(HLOOKUP(SMALL($Q$4:$Y$4,3),$Q$4:$Y$501,ROW(AP178)-3,FALSE)="nee",VLOOKUP("De kwaliteitseis emissiearme grond (maximale concentratie) wordt overschreden.",H!$O$10:'H'!$P$59,2,FALSE),""))),"")</f>
        <v/>
      </c>
      <c r="AV178" s="6" t="str">
        <f t="shared" si="47"/>
        <v>--</v>
      </c>
      <c r="AW178" s="6" t="str">
        <f t="shared" si="48"/>
        <v/>
      </c>
      <c r="AX178" s="6" t="str">
        <f t="shared" si="49"/>
        <v>--</v>
      </c>
      <c r="AY178" s="6" t="str">
        <f t="shared" si="58"/>
        <v/>
      </c>
      <c r="AZ178" s="6" t="str">
        <f t="shared" si="59"/>
        <v/>
      </c>
      <c r="BA178" s="6" t="str">
        <f>IFERROR(IF(AR178="--","",IF(HLOOKUP(SMALL($Q$4:$Y$4,6),$Q$4:$Y$501,ROW(AP178)-3,FALSE)=0,"",IF(HLOOKUP(SMALL($Q$4:$Y$4,6),$Q$4:$Y$501,ROW(AP178)-3,FALSE)="nee",VLOOKUP("De kwaliteitseis emissiearme grond (maximale concentratie) wordt overschreden.",H!$O$10:'H'!$P$59,2,FALSE),""))),"")</f>
        <v/>
      </c>
      <c r="BB178" s="6" t="str">
        <f t="shared" si="50"/>
        <v>--</v>
      </c>
      <c r="BC178" s="6" t="str">
        <f t="shared" si="51"/>
        <v/>
      </c>
      <c r="BD178" s="6" t="str">
        <f t="shared" si="52"/>
        <v>--</v>
      </c>
      <c r="BE178" s="6" t="str">
        <f t="shared" si="60"/>
        <v/>
      </c>
      <c r="BF178" s="6"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6" t="str">
        <f>IF(ISNUMBER(F!E179)=FALSE,"--",IF(F!E179=0,"--",F!E179))</f>
        <v>--</v>
      </c>
      <c r="C179" s="6" t="str">
        <f>IF(B179="--","",F!F179)</f>
        <v/>
      </c>
      <c r="D179" s="6" t="str">
        <f>IF(ISNUMBER(F!G179)=FALSE,"--",IF(F!G179=0,"--",F!G179))</f>
        <v>--</v>
      </c>
      <c r="E179" s="6" t="str">
        <f>IF(D179="--","",F!H179)</f>
        <v/>
      </c>
      <c r="F179" s="6" t="str">
        <f>IF(ISNUMBER(F!I179)=FALSE,"--",IF(F!I179=0,"--",F!I179))</f>
        <v>--</v>
      </c>
      <c r="G179" s="6" t="str">
        <f>IF(F179="--","",F!J179)</f>
        <v/>
      </c>
      <c r="H179" s="6"/>
      <c r="I179" s="6" t="str">
        <f>IF(F!Z179=-1,-1,F!AV179)</f>
        <v/>
      </c>
      <c r="J179" s="6"/>
      <c r="K179" s="6" t="str">
        <f>IF(F!AC179=-1,-1,F!AX179)</f>
        <v/>
      </c>
      <c r="L179" s="6"/>
      <c r="M179" s="6" t="str">
        <f>IF(F!AF179=-1,-1,F!AZ179)</f>
        <v/>
      </c>
      <c r="N179" s="6"/>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6" t="str">
        <f t="shared" si="67"/>
        <v/>
      </c>
      <c r="R179" s="5" t="str">
        <f>IF($B179="--","",IF($P179="toetsen",toetsen(F!$B179,Q179),IF($P179="toetsen alleen IW",toetsen_alleen_IW(F!$B179,Q179),IF($P179="toetsen alleen LN",toetsen_alleen_LN(F!$B179,Q179),IF($P179="toetsen geen MV en SV",toetsen_geen_MV_en_SV(F!$B179,Q179),IF($P179="toetsen alleen MV en SV",toetsen_alleen_MV_en_SV(F!$B179,Q179),""))))))</f>
        <v/>
      </c>
      <c r="S179" s="5" t="str">
        <f>IF($P179="toetsen",IF(OR(Q179="",VLOOKUP(F!$B179,E!$B$1:$AK$300,10,FALSE)=1000000000),"",IF(Q179&lt;=VLOOKUP(F!$B179,E!$B$1:$AK$300,10,FALSE),"ja","nee")),"")</f>
        <v/>
      </c>
      <c r="T179" s="87" t="str">
        <f t="shared" si="62"/>
        <v/>
      </c>
      <c r="U179" s="5" t="str">
        <f>IF($D179="--","",IF($P179="toetsen",toetsen(F!$B179,T179),IF($P179="toetsen alleen IW",toetsen_alleen_IW(F!$B179,T179),IF($P179="toetsen alleen LN",toetsen_alleen_LN(F!$B179,T179),IF($P179="toetsen geen MV en SV",toetsen_geen_MV_en_SV(F!$B179,T179),IF($P179="toetsen alleen MV en SV",toetsen_alleen_MV_en_SV(F!$B179,T179),""))))))</f>
        <v/>
      </c>
      <c r="V179" s="5" t="str">
        <f>IF($P179="toetsen",IF(OR(T179="",VLOOKUP(F!$B179,E!$B$1:$AK$300,10,FALSE)=1000000000),"",IF(T179&lt;=VLOOKUP(F!$B179,E!$B$1:$AK$300,10,FALSE),"ja","nee")),"")</f>
        <v/>
      </c>
      <c r="W179" s="6" t="str">
        <f t="shared" si="63"/>
        <v/>
      </c>
      <c r="X179" s="5" t="str">
        <f>IF($F179="--","",IF($P179="toetsen",toetsen(F!$B179,W179),IF($P179="toetsen alleen IW",toetsen_alleen_IW(F!$B179,W179),IF($P179="toetsen alleen LN",toetsen_alleen_LN(F!$B179,W179),IF($P179="toetsen geen MV en SV",toetsen_geen_MV_en_SV(F!$B179,W179),IF($P179="toetsen alleen MV en SV",toetsen_alleen_MV_en_SV(F!$B179,W179),""))))))</f>
        <v/>
      </c>
      <c r="Y179" s="5" t="str">
        <f>IF($P179="toetsen",IF(OR(W179="",VLOOKUP(F!$B179,E!$B$1:$AK$300,10,FALSE)=1000000000),"",IF(W179&lt;=VLOOKUP(F!$B179,E!$B$1:$AK$300,10,FALSE),"ja","nee")),"")</f>
        <v/>
      </c>
      <c r="AA179" s="4"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6" t="str">
        <f t="shared" si="64"/>
        <v>--</v>
      </c>
      <c r="AJ179" s="6"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6" t="str">
        <f t="shared" si="65"/>
        <v>--</v>
      </c>
      <c r="AL179" s="6"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6" t="str">
        <f t="shared" si="66"/>
        <v>--</v>
      </c>
      <c r="AN179" s="6"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6" t="str">
        <f t="shared" si="53"/>
        <v>--</v>
      </c>
      <c r="AQ179" s="6" t="str">
        <f t="shared" si="54"/>
        <v/>
      </c>
      <c r="AR179" s="6" t="str">
        <f t="shared" si="55"/>
        <v>--</v>
      </c>
      <c r="AS179" s="6" t="str">
        <f t="shared" si="56"/>
        <v/>
      </c>
      <c r="AT179" s="6" t="str">
        <f t="shared" si="57"/>
        <v/>
      </c>
      <c r="AU179" s="6" t="str">
        <f>IFERROR(IF(AR179="--","",IF(HLOOKUP(SMALL($Q$4:$Y$4,3),$Q$4:$Y$501,ROW(AP179)-3,FALSE)=0,"",IF(HLOOKUP(SMALL($Q$4:$Y$4,3),$Q$4:$Y$501,ROW(AP179)-3,FALSE)="nee",VLOOKUP("De kwaliteitseis emissiearme grond (maximale concentratie) wordt overschreden.",H!$O$10:'H'!$P$59,2,FALSE),""))),"")</f>
        <v/>
      </c>
      <c r="AV179" s="6" t="str">
        <f t="shared" si="47"/>
        <v>--</v>
      </c>
      <c r="AW179" s="6" t="str">
        <f t="shared" si="48"/>
        <v/>
      </c>
      <c r="AX179" s="6" t="str">
        <f t="shared" si="49"/>
        <v>--</v>
      </c>
      <c r="AY179" s="6" t="str">
        <f t="shared" si="58"/>
        <v/>
      </c>
      <c r="AZ179" s="6" t="str">
        <f t="shared" si="59"/>
        <v/>
      </c>
      <c r="BA179" s="6" t="str">
        <f>IFERROR(IF(AR179="--","",IF(HLOOKUP(SMALL($Q$4:$Y$4,6),$Q$4:$Y$501,ROW(AP179)-3,FALSE)=0,"",IF(HLOOKUP(SMALL($Q$4:$Y$4,6),$Q$4:$Y$501,ROW(AP179)-3,FALSE)="nee",VLOOKUP("De kwaliteitseis emissiearme grond (maximale concentratie) wordt overschreden.",H!$O$10:'H'!$P$59,2,FALSE),""))),"")</f>
        <v/>
      </c>
      <c r="BB179" s="6" t="str">
        <f t="shared" si="50"/>
        <v>--</v>
      </c>
      <c r="BC179" s="6" t="str">
        <f t="shared" si="51"/>
        <v/>
      </c>
      <c r="BD179" s="6" t="str">
        <f t="shared" si="52"/>
        <v>--</v>
      </c>
      <c r="BE179" s="6" t="str">
        <f t="shared" si="60"/>
        <v/>
      </c>
      <c r="BF179" s="6"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6" t="str">
        <f>IF(ISNUMBER(F!E180)=FALSE,"--",IF(F!E180=0,"--",F!E180))</f>
        <v>--</v>
      </c>
      <c r="C180" s="6" t="str">
        <f>IF(B180="--","",F!F180)</f>
        <v/>
      </c>
      <c r="D180" s="6" t="str">
        <f>IF(ISNUMBER(F!G180)=FALSE,"--",IF(F!G180=0,"--",F!G180))</f>
        <v>--</v>
      </c>
      <c r="E180" s="6" t="str">
        <f>IF(D180="--","",F!H180)</f>
        <v/>
      </c>
      <c r="F180" s="6" t="str">
        <f>IF(ISNUMBER(F!I180)=FALSE,"--",IF(F!I180=0,"--",F!I180))</f>
        <v>--</v>
      </c>
      <c r="G180" s="6" t="str">
        <f>IF(F180="--","",F!J180)</f>
        <v/>
      </c>
      <c r="H180" s="6"/>
      <c r="I180" s="6" t="str">
        <f>IF(F!Z180=-1,-1,F!AV180)</f>
        <v/>
      </c>
      <c r="J180" s="6"/>
      <c r="K180" s="6" t="str">
        <f>IF(F!AC180=-1,-1,F!AX180)</f>
        <v/>
      </c>
      <c r="L180" s="6"/>
      <c r="M180" s="6" t="str">
        <f>IF(F!AF180=-1,-1,F!AZ180)</f>
        <v/>
      </c>
      <c r="N180" s="6"/>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6" t="str">
        <f t="shared" si="67"/>
        <v/>
      </c>
      <c r="R180" s="5" t="str">
        <f>IF($B180="--","",IF($P180="toetsen",toetsen(F!$B180,Q180),IF($P180="toetsen alleen IW",toetsen_alleen_IW(F!$B180,Q180),IF($P180="toetsen alleen LN",toetsen_alleen_LN(F!$B180,Q180),IF($P180="toetsen geen MV en SV",toetsen_geen_MV_en_SV(F!$B180,Q180),IF($P180="toetsen alleen MV en SV",toetsen_alleen_MV_en_SV(F!$B180,Q180),""))))))</f>
        <v/>
      </c>
      <c r="S180" s="5" t="str">
        <f>IF($P180="toetsen",IF(OR(Q180="",VLOOKUP(F!$B180,E!$B$1:$AK$300,10,FALSE)=1000000000),"",IF(Q180&lt;=VLOOKUP(F!$B180,E!$B$1:$AK$300,10,FALSE),"ja","nee")),"")</f>
        <v/>
      </c>
      <c r="T180" s="87" t="str">
        <f t="shared" si="62"/>
        <v/>
      </c>
      <c r="U180" s="5" t="str">
        <f>IF($D180="--","",IF($P180="toetsen",toetsen(F!$B180,T180),IF($P180="toetsen alleen IW",toetsen_alleen_IW(F!$B180,T180),IF($P180="toetsen alleen LN",toetsen_alleen_LN(F!$B180,T180),IF($P180="toetsen geen MV en SV",toetsen_geen_MV_en_SV(F!$B180,T180),IF($P180="toetsen alleen MV en SV",toetsen_alleen_MV_en_SV(F!$B180,T180),""))))))</f>
        <v/>
      </c>
      <c r="V180" s="5" t="str">
        <f>IF($P180="toetsen",IF(OR(T180="",VLOOKUP(F!$B180,E!$B$1:$AK$300,10,FALSE)=1000000000),"",IF(T180&lt;=VLOOKUP(F!$B180,E!$B$1:$AK$300,10,FALSE),"ja","nee")),"")</f>
        <v/>
      </c>
      <c r="W180" s="6" t="str">
        <f t="shared" si="63"/>
        <v/>
      </c>
      <c r="X180" s="5" t="str">
        <f>IF($F180="--","",IF($P180="toetsen",toetsen(F!$B180,W180),IF($P180="toetsen alleen IW",toetsen_alleen_IW(F!$B180,W180),IF($P180="toetsen alleen LN",toetsen_alleen_LN(F!$B180,W180),IF($P180="toetsen geen MV en SV",toetsen_geen_MV_en_SV(F!$B180,W180),IF($P180="toetsen alleen MV en SV",toetsen_alleen_MV_en_SV(F!$B180,W180),""))))))</f>
        <v/>
      </c>
      <c r="Y180" s="5" t="str">
        <f>IF($P180="toetsen",IF(OR(W180="",VLOOKUP(F!$B180,E!$B$1:$AK$300,10,FALSE)=1000000000),"",IF(W180&lt;=VLOOKUP(F!$B180,E!$B$1:$AK$300,10,FALSE),"ja","nee")),"")</f>
        <v/>
      </c>
      <c r="AA180" s="4"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6" t="str">
        <f t="shared" si="64"/>
        <v>--</v>
      </c>
      <c r="AJ180" s="6"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6" t="str">
        <f t="shared" si="65"/>
        <v>--</v>
      </c>
      <c r="AL180" s="6"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6" t="str">
        <f t="shared" si="66"/>
        <v>--</v>
      </c>
      <c r="AN180" s="6"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6" t="str">
        <f t="shared" si="53"/>
        <v>--</v>
      </c>
      <c r="AQ180" s="6" t="str">
        <f t="shared" si="54"/>
        <v/>
      </c>
      <c r="AR180" s="6" t="str">
        <f t="shared" si="55"/>
        <v>--</v>
      </c>
      <c r="AS180" s="6" t="str">
        <f t="shared" si="56"/>
        <v/>
      </c>
      <c r="AT180" s="6" t="str">
        <f t="shared" si="57"/>
        <v/>
      </c>
      <c r="AU180" s="6" t="str">
        <f>IFERROR(IF(AR180="--","",IF(HLOOKUP(SMALL($Q$4:$Y$4,3),$Q$4:$Y$501,ROW(AP180)-3,FALSE)=0,"",IF(HLOOKUP(SMALL($Q$4:$Y$4,3),$Q$4:$Y$501,ROW(AP180)-3,FALSE)="nee",VLOOKUP("De kwaliteitseis emissiearme grond (maximale concentratie) wordt overschreden.",H!$O$10:'H'!$P$59,2,FALSE),""))),"")</f>
        <v/>
      </c>
      <c r="AV180" s="6" t="str">
        <f t="shared" si="47"/>
        <v>--</v>
      </c>
      <c r="AW180" s="6" t="str">
        <f t="shared" si="48"/>
        <v/>
      </c>
      <c r="AX180" s="6" t="str">
        <f t="shared" si="49"/>
        <v>--</v>
      </c>
      <c r="AY180" s="6" t="str">
        <f t="shared" si="58"/>
        <v/>
      </c>
      <c r="AZ180" s="6" t="str">
        <f t="shared" si="59"/>
        <v/>
      </c>
      <c r="BA180" s="6" t="str">
        <f>IFERROR(IF(AR180="--","",IF(HLOOKUP(SMALL($Q$4:$Y$4,6),$Q$4:$Y$501,ROW(AP180)-3,FALSE)=0,"",IF(HLOOKUP(SMALL($Q$4:$Y$4,6),$Q$4:$Y$501,ROW(AP180)-3,FALSE)="nee",VLOOKUP("De kwaliteitseis emissiearme grond (maximale concentratie) wordt overschreden.",H!$O$10:'H'!$P$59,2,FALSE),""))),"")</f>
        <v/>
      </c>
      <c r="BB180" s="6" t="str">
        <f t="shared" si="50"/>
        <v>--</v>
      </c>
      <c r="BC180" s="6" t="str">
        <f t="shared" si="51"/>
        <v/>
      </c>
      <c r="BD180" s="6" t="str">
        <f t="shared" si="52"/>
        <v>--</v>
      </c>
      <c r="BE180" s="6" t="str">
        <f t="shared" si="60"/>
        <v/>
      </c>
      <c r="BF180" s="6"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6" t="str">
        <f>IF(ISNUMBER(F!E181)=FALSE,"--",IF(F!E181=0,"--",F!E181))</f>
        <v>--</v>
      </c>
      <c r="C181" s="6" t="str">
        <f>IF(B181="--","",F!F181)</f>
        <v/>
      </c>
      <c r="D181" s="6" t="str">
        <f>IF(ISNUMBER(F!G181)=FALSE,"--",IF(F!G181=0,"--",F!G181))</f>
        <v>--</v>
      </c>
      <c r="E181" s="6" t="str">
        <f>IF(D181="--","",F!H181)</f>
        <v/>
      </c>
      <c r="F181" s="6" t="str">
        <f>IF(ISNUMBER(F!I181)=FALSE,"--",IF(F!I181=0,"--",F!I181))</f>
        <v>--</v>
      </c>
      <c r="G181" s="6" t="str">
        <f>IF(F181="--","",F!J181)</f>
        <v/>
      </c>
      <c r="H181" s="6"/>
      <c r="I181" s="6" t="str">
        <f>IF(F!Z181=-1,-1,F!AV181)</f>
        <v/>
      </c>
      <c r="J181" s="6"/>
      <c r="K181" s="6" t="str">
        <f>IF(F!AC181=-1,-1,F!AX181)</f>
        <v/>
      </c>
      <c r="L181" s="6"/>
      <c r="M181" s="6" t="str">
        <f>IF(F!AF181=-1,-1,F!AZ181)</f>
        <v/>
      </c>
      <c r="N181" s="6"/>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6" t="str">
        <f t="shared" si="67"/>
        <v/>
      </c>
      <c r="R181" s="5" t="str">
        <f>IF($B181="--","",IF($P181="toetsen",toetsen(F!$B181,Q181),IF($P181="toetsen alleen IW",toetsen_alleen_IW(F!$B181,Q181),IF($P181="toetsen alleen LN",toetsen_alleen_LN(F!$B181,Q181),IF($P181="toetsen geen MV en SV",toetsen_geen_MV_en_SV(F!$B181,Q181),IF($P181="toetsen alleen MV en SV",toetsen_alleen_MV_en_SV(F!$B181,Q181),""))))))</f>
        <v/>
      </c>
      <c r="S181" s="5" t="str">
        <f>IF($P181="toetsen",IF(OR(Q181="",VLOOKUP(F!$B181,E!$B$1:$AK$300,10,FALSE)=1000000000),"",IF(Q181&lt;=VLOOKUP(F!$B181,E!$B$1:$AK$300,10,FALSE),"ja","nee")),"")</f>
        <v/>
      </c>
      <c r="T181" s="87" t="str">
        <f t="shared" si="62"/>
        <v/>
      </c>
      <c r="U181" s="5" t="str">
        <f>IF($D181="--","",IF($P181="toetsen",toetsen(F!$B181,T181),IF($P181="toetsen alleen IW",toetsen_alleen_IW(F!$B181,T181),IF($P181="toetsen alleen LN",toetsen_alleen_LN(F!$B181,T181),IF($P181="toetsen geen MV en SV",toetsen_geen_MV_en_SV(F!$B181,T181),IF($P181="toetsen alleen MV en SV",toetsen_alleen_MV_en_SV(F!$B181,T181),""))))))</f>
        <v/>
      </c>
      <c r="V181" s="5" t="str">
        <f>IF($P181="toetsen",IF(OR(T181="",VLOOKUP(F!$B181,E!$B$1:$AK$300,10,FALSE)=1000000000),"",IF(T181&lt;=VLOOKUP(F!$B181,E!$B$1:$AK$300,10,FALSE),"ja","nee")),"")</f>
        <v/>
      </c>
      <c r="W181" s="6" t="str">
        <f t="shared" si="63"/>
        <v/>
      </c>
      <c r="X181" s="5" t="str">
        <f>IF($F181="--","",IF($P181="toetsen",toetsen(F!$B181,W181),IF($P181="toetsen alleen IW",toetsen_alleen_IW(F!$B181,W181),IF($P181="toetsen alleen LN",toetsen_alleen_LN(F!$B181,W181),IF($P181="toetsen geen MV en SV",toetsen_geen_MV_en_SV(F!$B181,W181),IF($P181="toetsen alleen MV en SV",toetsen_alleen_MV_en_SV(F!$B181,W181),""))))))</f>
        <v/>
      </c>
      <c r="Y181" s="5" t="str">
        <f>IF($P181="toetsen",IF(OR(W181="",VLOOKUP(F!$B181,E!$B$1:$AK$300,10,FALSE)=1000000000),"",IF(W181&lt;=VLOOKUP(F!$B181,E!$B$1:$AK$300,10,FALSE),"ja","nee")),"")</f>
        <v/>
      </c>
      <c r="AA181" s="4"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6" t="str">
        <f t="shared" si="64"/>
        <v>--</v>
      </c>
      <c r="AJ181" s="6"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6" t="str">
        <f t="shared" si="65"/>
        <v>--</v>
      </c>
      <c r="AL181" s="6"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6" t="str">
        <f t="shared" si="66"/>
        <v>--</v>
      </c>
      <c r="AN181" s="6"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6" t="str">
        <f t="shared" si="53"/>
        <v>--</v>
      </c>
      <c r="AQ181" s="6" t="str">
        <f t="shared" si="54"/>
        <v/>
      </c>
      <c r="AR181" s="6" t="str">
        <f t="shared" si="55"/>
        <v>--</v>
      </c>
      <c r="AS181" s="6" t="str">
        <f t="shared" si="56"/>
        <v/>
      </c>
      <c r="AT181" s="6" t="str">
        <f t="shared" si="57"/>
        <v/>
      </c>
      <c r="AU181" s="6" t="str">
        <f>IFERROR(IF(AR181="--","",IF(HLOOKUP(SMALL($Q$4:$Y$4,3),$Q$4:$Y$501,ROW(AP181)-3,FALSE)=0,"",IF(HLOOKUP(SMALL($Q$4:$Y$4,3),$Q$4:$Y$501,ROW(AP181)-3,FALSE)="nee",VLOOKUP("De kwaliteitseis emissiearme grond (maximale concentratie) wordt overschreden.",H!$O$10:'H'!$P$59,2,FALSE),""))),"")</f>
        <v/>
      </c>
      <c r="AV181" s="6" t="str">
        <f t="shared" si="47"/>
        <v>--</v>
      </c>
      <c r="AW181" s="6" t="str">
        <f t="shared" si="48"/>
        <v/>
      </c>
      <c r="AX181" s="6" t="str">
        <f t="shared" si="49"/>
        <v>--</v>
      </c>
      <c r="AY181" s="6" t="str">
        <f t="shared" si="58"/>
        <v/>
      </c>
      <c r="AZ181" s="6" t="str">
        <f t="shared" si="59"/>
        <v/>
      </c>
      <c r="BA181" s="6" t="str">
        <f>IFERROR(IF(AR181="--","",IF(HLOOKUP(SMALL($Q$4:$Y$4,6),$Q$4:$Y$501,ROW(AP181)-3,FALSE)=0,"",IF(HLOOKUP(SMALL($Q$4:$Y$4,6),$Q$4:$Y$501,ROW(AP181)-3,FALSE)="nee",VLOOKUP("De kwaliteitseis emissiearme grond (maximale concentratie) wordt overschreden.",H!$O$10:'H'!$P$59,2,FALSE),""))),"")</f>
        <v/>
      </c>
      <c r="BB181" s="6" t="str">
        <f t="shared" si="50"/>
        <v>--</v>
      </c>
      <c r="BC181" s="6" t="str">
        <f t="shared" si="51"/>
        <v/>
      </c>
      <c r="BD181" s="6" t="str">
        <f t="shared" si="52"/>
        <v>--</v>
      </c>
      <c r="BE181" s="6" t="str">
        <f t="shared" si="60"/>
        <v/>
      </c>
      <c r="BF181" s="6"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6" t="str">
        <f>IF(ISNUMBER(F!E182)=FALSE,"--",IF(F!E182=0,"--",F!E182))</f>
        <v>--</v>
      </c>
      <c r="C182" s="6" t="str">
        <f>IF(B182="--","",F!F182)</f>
        <v/>
      </c>
      <c r="D182" s="6" t="str">
        <f>IF(ISNUMBER(F!G182)=FALSE,"--",IF(F!G182=0,"--",F!G182))</f>
        <v>--</v>
      </c>
      <c r="E182" s="6" t="str">
        <f>IF(D182="--","",F!H182)</f>
        <v/>
      </c>
      <c r="F182" s="6" t="str">
        <f>IF(ISNUMBER(F!I182)=FALSE,"--",IF(F!I182=0,"--",F!I182))</f>
        <v>--</v>
      </c>
      <c r="G182" s="6" t="str">
        <f>IF(F182="--","",F!J182)</f>
        <v/>
      </c>
      <c r="H182" s="6"/>
      <c r="I182" s="6" t="str">
        <f>IF(F!Z182=-1,-1,F!AV182)</f>
        <v/>
      </c>
      <c r="J182" s="6"/>
      <c r="K182" s="6" t="str">
        <f>IF(F!AC182=-1,-1,F!AX182)</f>
        <v/>
      </c>
      <c r="L182" s="6"/>
      <c r="M182" s="6" t="str">
        <f>IF(F!AF182=-1,-1,F!AZ182)</f>
        <v/>
      </c>
      <c r="N182" s="6"/>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6" t="str">
        <f t="shared" si="67"/>
        <v/>
      </c>
      <c r="R182" s="5" t="str">
        <f>IF($B182="--","",IF($P182="toetsen",toetsen(F!$B182,Q182),IF($P182="toetsen alleen IW",toetsen_alleen_IW(F!$B182,Q182),IF($P182="toetsen alleen LN",toetsen_alleen_LN(F!$B182,Q182),IF($P182="toetsen geen MV en SV",toetsen_geen_MV_en_SV(F!$B182,Q182),IF($P182="toetsen alleen MV en SV",toetsen_alleen_MV_en_SV(F!$B182,Q182),""))))))</f>
        <v/>
      </c>
      <c r="S182" s="5" t="str">
        <f>IF($P182="toetsen",IF(OR(Q182="",VLOOKUP(F!$B182,E!$B$1:$AK$300,10,FALSE)=1000000000),"",IF(Q182&lt;=VLOOKUP(F!$B182,E!$B$1:$AK$300,10,FALSE),"ja","nee")),"")</f>
        <v/>
      </c>
      <c r="T182" s="87" t="str">
        <f t="shared" si="62"/>
        <v/>
      </c>
      <c r="U182" s="5" t="str">
        <f>IF($D182="--","",IF($P182="toetsen",toetsen(F!$B182,T182),IF($P182="toetsen alleen IW",toetsen_alleen_IW(F!$B182,T182),IF($P182="toetsen alleen LN",toetsen_alleen_LN(F!$B182,T182),IF($P182="toetsen geen MV en SV",toetsen_geen_MV_en_SV(F!$B182,T182),IF($P182="toetsen alleen MV en SV",toetsen_alleen_MV_en_SV(F!$B182,T182),""))))))</f>
        <v/>
      </c>
      <c r="V182" s="5" t="str">
        <f>IF($P182="toetsen",IF(OR(T182="",VLOOKUP(F!$B182,E!$B$1:$AK$300,10,FALSE)=1000000000),"",IF(T182&lt;=VLOOKUP(F!$B182,E!$B$1:$AK$300,10,FALSE),"ja","nee")),"")</f>
        <v/>
      </c>
      <c r="W182" s="6" t="str">
        <f t="shared" si="63"/>
        <v/>
      </c>
      <c r="X182" s="5" t="str">
        <f>IF($F182="--","",IF($P182="toetsen",toetsen(F!$B182,W182),IF($P182="toetsen alleen IW",toetsen_alleen_IW(F!$B182,W182),IF($P182="toetsen alleen LN",toetsen_alleen_LN(F!$B182,W182),IF($P182="toetsen geen MV en SV",toetsen_geen_MV_en_SV(F!$B182,W182),IF($P182="toetsen alleen MV en SV",toetsen_alleen_MV_en_SV(F!$B182,W182),""))))))</f>
        <v/>
      </c>
      <c r="Y182" s="5" t="str">
        <f>IF($P182="toetsen",IF(OR(W182="",VLOOKUP(F!$B182,E!$B$1:$AK$300,10,FALSE)=1000000000),"",IF(W182&lt;=VLOOKUP(F!$B182,E!$B$1:$AK$300,10,FALSE),"ja","nee")),"")</f>
        <v/>
      </c>
      <c r="AA182" s="4"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6" t="str">
        <f t="shared" si="64"/>
        <v>--</v>
      </c>
      <c r="AJ182" s="6"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6" t="str">
        <f t="shared" si="65"/>
        <v>--</v>
      </c>
      <c r="AL182" s="6"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6" t="str">
        <f t="shared" si="66"/>
        <v>--</v>
      </c>
      <c r="AN182" s="6"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6" t="str">
        <f t="shared" si="53"/>
        <v>--</v>
      </c>
      <c r="AQ182" s="6" t="str">
        <f t="shared" si="54"/>
        <v/>
      </c>
      <c r="AR182" s="6" t="str">
        <f t="shared" si="55"/>
        <v>--</v>
      </c>
      <c r="AS182" s="6" t="str">
        <f t="shared" si="56"/>
        <v/>
      </c>
      <c r="AT182" s="6" t="str">
        <f t="shared" si="57"/>
        <v/>
      </c>
      <c r="AU182" s="6" t="str">
        <f>IFERROR(IF(AR182="--","",IF(HLOOKUP(SMALL($Q$4:$Y$4,3),$Q$4:$Y$501,ROW(AP182)-3,FALSE)=0,"",IF(HLOOKUP(SMALL($Q$4:$Y$4,3),$Q$4:$Y$501,ROW(AP182)-3,FALSE)="nee",VLOOKUP("De kwaliteitseis emissiearme grond (maximale concentratie) wordt overschreden.",H!$O$10:'H'!$P$59,2,FALSE),""))),"")</f>
        <v/>
      </c>
      <c r="AV182" s="6" t="str">
        <f t="shared" si="47"/>
        <v>--</v>
      </c>
      <c r="AW182" s="6" t="str">
        <f t="shared" si="48"/>
        <v/>
      </c>
      <c r="AX182" s="6" t="str">
        <f t="shared" si="49"/>
        <v>--</v>
      </c>
      <c r="AY182" s="6" t="str">
        <f t="shared" si="58"/>
        <v/>
      </c>
      <c r="AZ182" s="6" t="str">
        <f t="shared" si="59"/>
        <v/>
      </c>
      <c r="BA182" s="6" t="str">
        <f>IFERROR(IF(AR182="--","",IF(HLOOKUP(SMALL($Q$4:$Y$4,6),$Q$4:$Y$501,ROW(AP182)-3,FALSE)=0,"",IF(HLOOKUP(SMALL($Q$4:$Y$4,6),$Q$4:$Y$501,ROW(AP182)-3,FALSE)="nee",VLOOKUP("De kwaliteitseis emissiearme grond (maximale concentratie) wordt overschreden.",H!$O$10:'H'!$P$59,2,FALSE),""))),"")</f>
        <v/>
      </c>
      <c r="BB182" s="6" t="str">
        <f t="shared" si="50"/>
        <v>--</v>
      </c>
      <c r="BC182" s="6" t="str">
        <f t="shared" si="51"/>
        <v/>
      </c>
      <c r="BD182" s="6" t="str">
        <f t="shared" si="52"/>
        <v>--</v>
      </c>
      <c r="BE182" s="6" t="str">
        <f t="shared" si="60"/>
        <v/>
      </c>
      <c r="BF182" s="6"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6" t="str">
        <f>IF(ISNUMBER(F!E183)=FALSE,"--",IF(F!E183=0,"--",F!E183))</f>
        <v>--</v>
      </c>
      <c r="C183" s="6" t="str">
        <f>IF(B183="--","",F!F183)</f>
        <v/>
      </c>
      <c r="D183" s="6" t="str">
        <f>IF(ISNUMBER(F!G183)=FALSE,"--",IF(F!G183=0,"--",F!G183))</f>
        <v>--</v>
      </c>
      <c r="E183" s="6" t="str">
        <f>IF(D183="--","",F!H183)</f>
        <v/>
      </c>
      <c r="F183" s="6" t="str">
        <f>IF(ISNUMBER(F!I183)=FALSE,"--",IF(F!I183=0,"--",F!I183))</f>
        <v>--</v>
      </c>
      <c r="G183" s="6" t="str">
        <f>IF(F183="--","",F!J183)</f>
        <v/>
      </c>
      <c r="H183" s="6"/>
      <c r="I183" s="6">
        <f>IF(F!Z183=-1,-1,F!AV183)</f>
        <v>0</v>
      </c>
      <c r="J183" s="6"/>
      <c r="K183" s="6">
        <f>IF(F!AC183=-1,-1,F!AX183)</f>
        <v>0</v>
      </c>
      <c r="L183" s="6"/>
      <c r="M183" s="6">
        <f>IF(F!AF183=-1,-1,F!AZ183)</f>
        <v>0</v>
      </c>
      <c r="N183" s="6"/>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6">
        <f t="shared" si="67"/>
        <v>0</v>
      </c>
      <c r="R183" s="5" t="str">
        <f>IF($B183="--","",IF($P183="toetsen",toetsen(F!$B183,Q183),IF($P183="toetsen alleen IW",toetsen_alleen_IW(F!$B183,Q183),IF($P183="toetsen alleen LN",toetsen_alleen_LN(F!$B183,Q183),IF($P183="toetsen geen MV en SV",toetsen_geen_MV_en_SV(F!$B183,Q183),IF($P183="toetsen alleen MV en SV",toetsen_alleen_MV_en_SV(F!$B183,Q183),""))))))</f>
        <v/>
      </c>
      <c r="S183" s="5" t="str">
        <f>IF($P183="toetsen",IF(OR(Q183="",VLOOKUP(F!$B183,E!$B$1:$AK$300,10,FALSE)=1000000000),"",IF(Q183&lt;=VLOOKUP(F!$B183,E!$B$1:$AK$300,10,FALSE),"ja","nee")),"")</f>
        <v/>
      </c>
      <c r="T183" s="87">
        <f t="shared" si="62"/>
        <v>0</v>
      </c>
      <c r="U183" s="5" t="str">
        <f>IF($D183="--","",IF($P183="toetsen",toetsen(F!$B183,T183),IF($P183="toetsen alleen IW",toetsen_alleen_IW(F!$B183,T183),IF($P183="toetsen alleen LN",toetsen_alleen_LN(F!$B183,T183),IF($P183="toetsen geen MV en SV",toetsen_geen_MV_en_SV(F!$B183,T183),IF($P183="toetsen alleen MV en SV",toetsen_alleen_MV_en_SV(F!$B183,T183),""))))))</f>
        <v/>
      </c>
      <c r="V183" s="5" t="str">
        <f>IF($P183="toetsen",IF(OR(T183="",VLOOKUP(F!$B183,E!$B$1:$AK$300,10,FALSE)=1000000000),"",IF(T183&lt;=VLOOKUP(F!$B183,E!$B$1:$AK$300,10,FALSE),"ja","nee")),"")</f>
        <v/>
      </c>
      <c r="W183" s="6">
        <f t="shared" si="63"/>
        <v>0</v>
      </c>
      <c r="X183" s="5" t="str">
        <f>IF($F183="--","",IF($P183="toetsen",toetsen(F!$B183,W183),IF($P183="toetsen alleen IW",toetsen_alleen_IW(F!$B183,W183),IF($P183="toetsen alleen LN",toetsen_alleen_LN(F!$B183,W183),IF($P183="toetsen geen MV en SV",toetsen_geen_MV_en_SV(F!$B183,W183),IF($P183="toetsen alleen MV en SV",toetsen_alleen_MV_en_SV(F!$B183,W183),""))))))</f>
        <v/>
      </c>
      <c r="Y183" s="5" t="str">
        <f>IF($P183="toetsen",IF(OR(W183="",VLOOKUP(F!$B183,E!$B$1:$AK$300,10,FALSE)=1000000000),"",IF(W183&lt;=VLOOKUP(F!$B183,E!$B$1:$AK$300,10,FALSE),"ja","nee")),"")</f>
        <v/>
      </c>
      <c r="AA183" s="4"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6" t="str">
        <f t="shared" si="64"/>
        <v>--</v>
      </c>
      <c r="AJ183" s="6"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6" t="str">
        <f t="shared" si="65"/>
        <v>--</v>
      </c>
      <c r="AL183" s="6"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6" t="str">
        <f t="shared" si="66"/>
        <v>--</v>
      </c>
      <c r="AN183" s="6"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6" t="str">
        <f t="shared" si="53"/>
        <v>--</v>
      </c>
      <c r="AQ183" s="6" t="str">
        <f t="shared" si="54"/>
        <v/>
      </c>
      <c r="AR183" s="6" t="str">
        <f t="shared" si="55"/>
        <v>--</v>
      </c>
      <c r="AS183" s="6" t="str">
        <f t="shared" si="56"/>
        <v/>
      </c>
      <c r="AT183" s="6" t="str">
        <f t="shared" si="57"/>
        <v/>
      </c>
      <c r="AU183" s="6" t="str">
        <f>IFERROR(IF(AR183="--","",IF(HLOOKUP(SMALL($Q$4:$Y$4,3),$Q$4:$Y$501,ROW(AP183)-3,FALSE)=0,"",IF(HLOOKUP(SMALL($Q$4:$Y$4,3),$Q$4:$Y$501,ROW(AP183)-3,FALSE)="nee",VLOOKUP("De kwaliteitseis emissiearme grond (maximale concentratie) wordt overschreden.",H!$O$10:'H'!$P$59,2,FALSE),""))),"")</f>
        <v/>
      </c>
      <c r="AV183" s="6" t="str">
        <f t="shared" si="47"/>
        <v>--</v>
      </c>
      <c r="AW183" s="6" t="str">
        <f t="shared" si="48"/>
        <v/>
      </c>
      <c r="AX183" s="6" t="str">
        <f t="shared" si="49"/>
        <v>--</v>
      </c>
      <c r="AY183" s="6" t="str">
        <f t="shared" si="58"/>
        <v/>
      </c>
      <c r="AZ183" s="6" t="str">
        <f t="shared" si="59"/>
        <v/>
      </c>
      <c r="BA183" s="6" t="str">
        <f>IFERROR(IF(AR183="--","",IF(HLOOKUP(SMALL($Q$4:$Y$4,6),$Q$4:$Y$501,ROW(AP183)-3,FALSE)=0,"",IF(HLOOKUP(SMALL($Q$4:$Y$4,6),$Q$4:$Y$501,ROW(AP183)-3,FALSE)="nee",VLOOKUP("De kwaliteitseis emissiearme grond (maximale concentratie) wordt overschreden.",H!$O$10:'H'!$P$59,2,FALSE),""))),"")</f>
        <v/>
      </c>
      <c r="BB183" s="6" t="str">
        <f t="shared" si="50"/>
        <v>--</v>
      </c>
      <c r="BC183" s="6" t="str">
        <f t="shared" si="51"/>
        <v/>
      </c>
      <c r="BD183" s="6" t="str">
        <f t="shared" si="52"/>
        <v>--</v>
      </c>
      <c r="BE183" s="6" t="str">
        <f t="shared" si="60"/>
        <v/>
      </c>
      <c r="BF183" s="6"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6" t="str">
        <f>IF(ISNUMBER(F!E184)=FALSE,"--",IF(F!E184=0,"--",F!E184))</f>
        <v>--</v>
      </c>
      <c r="C184" s="6" t="str">
        <f>IF(B184="--","",F!F184)</f>
        <v/>
      </c>
      <c r="D184" s="6" t="str">
        <f>IF(ISNUMBER(F!G184)=FALSE,"--",IF(F!G184=0,"--",F!G184))</f>
        <v>--</v>
      </c>
      <c r="E184" s="6" t="str">
        <f>IF(D184="--","",F!H184)</f>
        <v/>
      </c>
      <c r="F184" s="6" t="str">
        <f>IF(ISNUMBER(F!I184)=FALSE,"--",IF(F!I184=0,"--",F!I184))</f>
        <v>--</v>
      </c>
      <c r="G184" s="6" t="str">
        <f>IF(F184="--","",F!J184)</f>
        <v/>
      </c>
      <c r="H184" s="6"/>
      <c r="I184" s="6" t="str">
        <f>IF(F!Z184=-1,-1,F!AV184)</f>
        <v/>
      </c>
      <c r="J184" s="6"/>
      <c r="K184" s="6" t="str">
        <f>IF(F!AC184=-1,-1,F!AX184)</f>
        <v/>
      </c>
      <c r="L184" s="6"/>
      <c r="M184" s="6" t="str">
        <f>IF(F!AF184=-1,-1,F!AZ184)</f>
        <v/>
      </c>
      <c r="N184" s="6"/>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6" t="str">
        <f t="shared" si="67"/>
        <v/>
      </c>
      <c r="R184" s="5" t="str">
        <f>IF($B184="--","",IF($P184="toetsen",toetsen(F!$B184,Q184),IF($P184="toetsen alleen IW",toetsen_alleen_IW(F!$B184,Q184),IF($P184="toetsen alleen LN",toetsen_alleen_LN(F!$B184,Q184),IF($P184="toetsen geen MV en SV",toetsen_geen_MV_en_SV(F!$B184,Q184),IF($P184="toetsen alleen MV en SV",toetsen_alleen_MV_en_SV(F!$B184,Q184),""))))))</f>
        <v/>
      </c>
      <c r="S184" s="5" t="str">
        <f>IF($P184="toetsen",IF(OR(Q184="",VLOOKUP(F!$B184,E!$B$1:$AK$300,10,FALSE)=1000000000),"",IF(Q184&lt;=VLOOKUP(F!$B184,E!$B$1:$AK$300,10,FALSE),"ja","nee")),"")</f>
        <v/>
      </c>
      <c r="T184" s="87" t="str">
        <f t="shared" si="62"/>
        <v/>
      </c>
      <c r="U184" s="5" t="str">
        <f>IF($D184="--","",IF($P184="toetsen",toetsen(F!$B184,T184),IF($P184="toetsen alleen IW",toetsen_alleen_IW(F!$B184,T184),IF($P184="toetsen alleen LN",toetsen_alleen_LN(F!$B184,T184),IF($P184="toetsen geen MV en SV",toetsen_geen_MV_en_SV(F!$B184,T184),IF($P184="toetsen alleen MV en SV",toetsen_alleen_MV_en_SV(F!$B184,T184),""))))))</f>
        <v/>
      </c>
      <c r="V184" s="5" t="str">
        <f>IF($P184="toetsen",IF(OR(T184="",VLOOKUP(F!$B184,E!$B$1:$AK$300,10,FALSE)=1000000000),"",IF(T184&lt;=VLOOKUP(F!$B184,E!$B$1:$AK$300,10,FALSE),"ja","nee")),"")</f>
        <v/>
      </c>
      <c r="W184" s="6" t="str">
        <f t="shared" si="63"/>
        <v/>
      </c>
      <c r="X184" s="5" t="str">
        <f>IF($F184="--","",IF($P184="toetsen",toetsen(F!$B184,W184),IF($P184="toetsen alleen IW",toetsen_alleen_IW(F!$B184,W184),IF($P184="toetsen alleen LN",toetsen_alleen_LN(F!$B184,W184),IF($P184="toetsen geen MV en SV",toetsen_geen_MV_en_SV(F!$B184,W184),IF($P184="toetsen alleen MV en SV",toetsen_alleen_MV_en_SV(F!$B184,W184),""))))))</f>
        <v/>
      </c>
      <c r="Y184" s="5" t="str">
        <f>IF($P184="toetsen",IF(OR(W184="",VLOOKUP(F!$B184,E!$B$1:$AK$300,10,FALSE)=1000000000),"",IF(W184&lt;=VLOOKUP(F!$B184,E!$B$1:$AK$300,10,FALSE),"ja","nee")),"")</f>
        <v/>
      </c>
      <c r="AA184" s="4"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6" t="str">
        <f t="shared" si="64"/>
        <v>--</v>
      </c>
      <c r="AJ184" s="6"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6" t="str">
        <f t="shared" si="65"/>
        <v>--</v>
      </c>
      <c r="AL184" s="6"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6" t="str">
        <f t="shared" si="66"/>
        <v>--</v>
      </c>
      <c r="AN184" s="6"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6" t="str">
        <f t="shared" si="53"/>
        <v>--</v>
      </c>
      <c r="AQ184" s="6" t="str">
        <f t="shared" si="54"/>
        <v/>
      </c>
      <c r="AR184" s="6" t="str">
        <f t="shared" si="55"/>
        <v>--</v>
      </c>
      <c r="AS184" s="6" t="str">
        <f t="shared" si="56"/>
        <v/>
      </c>
      <c r="AT184" s="6" t="str">
        <f t="shared" si="57"/>
        <v/>
      </c>
      <c r="AU184" s="6" t="str">
        <f>IFERROR(IF(AR184="--","",IF(HLOOKUP(SMALL($Q$4:$Y$4,3),$Q$4:$Y$501,ROW(AP184)-3,FALSE)=0,"",IF(HLOOKUP(SMALL($Q$4:$Y$4,3),$Q$4:$Y$501,ROW(AP184)-3,FALSE)="nee",VLOOKUP("De kwaliteitseis emissiearme grond (maximale concentratie) wordt overschreden.",H!$O$10:'H'!$P$59,2,FALSE),""))),"")</f>
        <v/>
      </c>
      <c r="AV184" s="6" t="str">
        <f t="shared" si="47"/>
        <v>--</v>
      </c>
      <c r="AW184" s="6" t="str">
        <f t="shared" si="48"/>
        <v/>
      </c>
      <c r="AX184" s="6" t="str">
        <f t="shared" si="49"/>
        <v>--</v>
      </c>
      <c r="AY184" s="6" t="str">
        <f t="shared" si="58"/>
        <v/>
      </c>
      <c r="AZ184" s="6" t="str">
        <f t="shared" si="59"/>
        <v/>
      </c>
      <c r="BA184" s="6" t="str">
        <f>IFERROR(IF(AR184="--","",IF(HLOOKUP(SMALL($Q$4:$Y$4,6),$Q$4:$Y$501,ROW(AP184)-3,FALSE)=0,"",IF(HLOOKUP(SMALL($Q$4:$Y$4,6),$Q$4:$Y$501,ROW(AP184)-3,FALSE)="nee",VLOOKUP("De kwaliteitseis emissiearme grond (maximale concentratie) wordt overschreden.",H!$O$10:'H'!$P$59,2,FALSE),""))),"")</f>
        <v/>
      </c>
      <c r="BB184" s="6" t="str">
        <f t="shared" si="50"/>
        <v>--</v>
      </c>
      <c r="BC184" s="6" t="str">
        <f t="shared" si="51"/>
        <v/>
      </c>
      <c r="BD184" s="6" t="str">
        <f t="shared" si="52"/>
        <v>--</v>
      </c>
      <c r="BE184" s="6" t="str">
        <f t="shared" si="60"/>
        <v/>
      </c>
      <c r="BF184" s="6"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6" t="str">
        <f>IF(ISNUMBER(F!E185)=FALSE,"--",IF(F!E185=0,"--",F!E185))</f>
        <v>--</v>
      </c>
      <c r="C185" s="6" t="str">
        <f>IF(B185="--","",F!F185)</f>
        <v/>
      </c>
      <c r="D185" s="6" t="str">
        <f>IF(ISNUMBER(F!G185)=FALSE,"--",IF(F!G185=0,"--",F!G185))</f>
        <v>--</v>
      </c>
      <c r="E185" s="6" t="str">
        <f>IF(D185="--","",F!H185)</f>
        <v/>
      </c>
      <c r="F185" s="6" t="str">
        <f>IF(ISNUMBER(F!I185)=FALSE,"--",IF(F!I185=0,"--",F!I185))</f>
        <v>--</v>
      </c>
      <c r="G185" s="6" t="str">
        <f>IF(F185="--","",F!J185)</f>
        <v/>
      </c>
      <c r="H185" s="6"/>
      <c r="I185" s="6" t="str">
        <f>IF(F!Z185=-1,-1,F!AV185)</f>
        <v/>
      </c>
      <c r="J185" s="6"/>
      <c r="K185" s="6" t="str">
        <f>IF(F!AC185=-1,-1,F!AX185)</f>
        <v/>
      </c>
      <c r="L185" s="6"/>
      <c r="M185" s="6" t="str">
        <f>IF(F!AF185=-1,-1,F!AZ185)</f>
        <v/>
      </c>
      <c r="N185" s="6"/>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6" t="str">
        <f t="shared" si="67"/>
        <v/>
      </c>
      <c r="R185" s="5" t="str">
        <f>IF($B185="--","",IF($P185="toetsen",toetsen(F!$B185,Q185),IF($P185="toetsen alleen IW",toetsen_alleen_IW(F!$B185,Q185),IF($P185="toetsen alleen LN",toetsen_alleen_LN(F!$B185,Q185),IF($P185="toetsen geen MV en SV",toetsen_geen_MV_en_SV(F!$B185,Q185),IF($P185="toetsen alleen MV en SV",toetsen_alleen_MV_en_SV(F!$B185,Q185),""))))))</f>
        <v/>
      </c>
      <c r="S185" s="5" t="str">
        <f>IF($P185="toetsen",IF(OR(Q185="",VLOOKUP(F!$B185,E!$B$1:$AK$300,10,FALSE)=1000000000),"",IF(Q185&lt;=VLOOKUP(F!$B185,E!$B$1:$AK$300,10,FALSE),"ja","nee")),"")</f>
        <v/>
      </c>
      <c r="T185" s="87" t="str">
        <f t="shared" si="62"/>
        <v/>
      </c>
      <c r="U185" s="5" t="str">
        <f>IF($D185="--","",IF($P185="toetsen",toetsen(F!$B185,T185),IF($P185="toetsen alleen IW",toetsen_alleen_IW(F!$B185,T185),IF($P185="toetsen alleen LN",toetsen_alleen_LN(F!$B185,T185),IF($P185="toetsen geen MV en SV",toetsen_geen_MV_en_SV(F!$B185,T185),IF($P185="toetsen alleen MV en SV",toetsen_alleen_MV_en_SV(F!$B185,T185),""))))))</f>
        <v/>
      </c>
      <c r="V185" s="5" t="str">
        <f>IF($P185="toetsen",IF(OR(T185="",VLOOKUP(F!$B185,E!$B$1:$AK$300,10,FALSE)=1000000000),"",IF(T185&lt;=VLOOKUP(F!$B185,E!$B$1:$AK$300,10,FALSE),"ja","nee")),"")</f>
        <v/>
      </c>
      <c r="W185" s="6" t="str">
        <f t="shared" si="63"/>
        <v/>
      </c>
      <c r="X185" s="5" t="str">
        <f>IF($F185="--","",IF($P185="toetsen",toetsen(F!$B185,W185),IF($P185="toetsen alleen IW",toetsen_alleen_IW(F!$B185,W185),IF($P185="toetsen alleen LN",toetsen_alleen_LN(F!$B185,W185),IF($P185="toetsen geen MV en SV",toetsen_geen_MV_en_SV(F!$B185,W185),IF($P185="toetsen alleen MV en SV",toetsen_alleen_MV_en_SV(F!$B185,W185),""))))))</f>
        <v/>
      </c>
      <c r="Y185" s="5" t="str">
        <f>IF($P185="toetsen",IF(OR(W185="",VLOOKUP(F!$B185,E!$B$1:$AK$300,10,FALSE)=1000000000),"",IF(W185&lt;=VLOOKUP(F!$B185,E!$B$1:$AK$300,10,FALSE),"ja","nee")),"")</f>
        <v/>
      </c>
      <c r="AA185" s="4"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6" t="str">
        <f t="shared" si="64"/>
        <v>--</v>
      </c>
      <c r="AJ185" s="6"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6" t="str">
        <f t="shared" si="65"/>
        <v>--</v>
      </c>
      <c r="AL185" s="6"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6" t="str">
        <f t="shared" si="66"/>
        <v>--</v>
      </c>
      <c r="AN185" s="6"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6" t="str">
        <f t="shared" si="53"/>
        <v>--</v>
      </c>
      <c r="AQ185" s="6" t="str">
        <f t="shared" si="54"/>
        <v/>
      </c>
      <c r="AR185" s="6" t="str">
        <f t="shared" si="55"/>
        <v>--</v>
      </c>
      <c r="AS185" s="6" t="str">
        <f t="shared" si="56"/>
        <v/>
      </c>
      <c r="AT185" s="6" t="str">
        <f t="shared" si="57"/>
        <v/>
      </c>
      <c r="AU185" s="6" t="str">
        <f>IFERROR(IF(AR185="--","",IF(HLOOKUP(SMALL($Q$4:$Y$4,3),$Q$4:$Y$501,ROW(AP185)-3,FALSE)=0,"",IF(HLOOKUP(SMALL($Q$4:$Y$4,3),$Q$4:$Y$501,ROW(AP185)-3,FALSE)="nee",VLOOKUP("De kwaliteitseis emissiearme grond (maximale concentratie) wordt overschreden.",H!$O$10:'H'!$P$59,2,FALSE),""))),"")</f>
        <v/>
      </c>
      <c r="AV185" s="6" t="str">
        <f t="shared" si="47"/>
        <v>--</v>
      </c>
      <c r="AW185" s="6" t="str">
        <f t="shared" si="48"/>
        <v/>
      </c>
      <c r="AX185" s="6" t="str">
        <f t="shared" si="49"/>
        <v>--</v>
      </c>
      <c r="AY185" s="6" t="str">
        <f t="shared" si="58"/>
        <v/>
      </c>
      <c r="AZ185" s="6" t="str">
        <f t="shared" si="59"/>
        <v/>
      </c>
      <c r="BA185" s="6" t="str">
        <f>IFERROR(IF(AR185="--","",IF(HLOOKUP(SMALL($Q$4:$Y$4,6),$Q$4:$Y$501,ROW(AP185)-3,FALSE)=0,"",IF(HLOOKUP(SMALL($Q$4:$Y$4,6),$Q$4:$Y$501,ROW(AP185)-3,FALSE)="nee",VLOOKUP("De kwaliteitseis emissiearme grond (maximale concentratie) wordt overschreden.",H!$O$10:'H'!$P$59,2,FALSE),""))),"")</f>
        <v/>
      </c>
      <c r="BB185" s="6" t="str">
        <f t="shared" si="50"/>
        <v>--</v>
      </c>
      <c r="BC185" s="6" t="str">
        <f t="shared" si="51"/>
        <v/>
      </c>
      <c r="BD185" s="6" t="str">
        <f t="shared" si="52"/>
        <v>--</v>
      </c>
      <c r="BE185" s="6" t="str">
        <f t="shared" si="60"/>
        <v/>
      </c>
      <c r="BF185" s="6"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6" t="str">
        <f>IF(ISNUMBER(F!E186)=FALSE,"--",IF(F!E186=0,"--",F!E186))</f>
        <v>--</v>
      </c>
      <c r="C186" s="6" t="str">
        <f>IF(B186="--","",F!F186)</f>
        <v/>
      </c>
      <c r="D186" s="6" t="str">
        <f>IF(ISNUMBER(F!G186)=FALSE,"--",IF(F!G186=0,"--",F!G186))</f>
        <v>--</v>
      </c>
      <c r="E186" s="6" t="str">
        <f>IF(D186="--","",F!H186)</f>
        <v/>
      </c>
      <c r="F186" s="6" t="str">
        <f>IF(ISNUMBER(F!I186)=FALSE,"--",IF(F!I186=0,"--",F!I186))</f>
        <v>--</v>
      </c>
      <c r="G186" s="6" t="str">
        <f>IF(F186="--","",F!J186)</f>
        <v/>
      </c>
      <c r="H186" s="6"/>
      <c r="I186" s="6" t="str">
        <f>IF(F!Z186=-1,-1,F!AV186)</f>
        <v/>
      </c>
      <c r="J186" s="6"/>
      <c r="K186" s="6" t="str">
        <f>IF(F!AC186=-1,-1,F!AX186)</f>
        <v/>
      </c>
      <c r="L186" s="6"/>
      <c r="M186" s="6" t="str">
        <f>IF(F!AF186=-1,-1,F!AZ186)</f>
        <v/>
      </c>
      <c r="N186" s="6"/>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6" t="str">
        <f t="shared" si="67"/>
        <v/>
      </c>
      <c r="R186" s="5" t="str">
        <f>IF($B186="--","",IF($P186="toetsen",toetsen(F!$B186,Q186),IF($P186="toetsen alleen IW",toetsen_alleen_IW(F!$B186,Q186),IF($P186="toetsen alleen LN",toetsen_alleen_LN(F!$B186,Q186),IF($P186="toetsen geen MV en SV",toetsen_geen_MV_en_SV(F!$B186,Q186),IF($P186="toetsen alleen MV en SV",toetsen_alleen_MV_en_SV(F!$B186,Q186),""))))))</f>
        <v/>
      </c>
      <c r="S186" s="5" t="str">
        <f>IF($P186="toetsen",IF(OR(Q186="",VLOOKUP(F!$B186,E!$B$1:$AK$300,10,FALSE)=1000000000),"",IF(Q186&lt;=VLOOKUP(F!$B186,E!$B$1:$AK$300,10,FALSE),"ja","nee")),"")</f>
        <v/>
      </c>
      <c r="T186" s="87" t="str">
        <f t="shared" si="62"/>
        <v/>
      </c>
      <c r="U186" s="5" t="str">
        <f>IF($D186="--","",IF($P186="toetsen",toetsen(F!$B186,T186),IF($P186="toetsen alleen IW",toetsen_alleen_IW(F!$B186,T186),IF($P186="toetsen alleen LN",toetsen_alleen_LN(F!$B186,T186),IF($P186="toetsen geen MV en SV",toetsen_geen_MV_en_SV(F!$B186,T186),IF($P186="toetsen alleen MV en SV",toetsen_alleen_MV_en_SV(F!$B186,T186),""))))))</f>
        <v/>
      </c>
      <c r="V186" s="5" t="str">
        <f>IF($P186="toetsen",IF(OR(T186="",VLOOKUP(F!$B186,E!$B$1:$AK$300,10,FALSE)=1000000000),"",IF(T186&lt;=VLOOKUP(F!$B186,E!$B$1:$AK$300,10,FALSE),"ja","nee")),"")</f>
        <v/>
      </c>
      <c r="W186" s="6" t="str">
        <f t="shared" si="63"/>
        <v/>
      </c>
      <c r="X186" s="5" t="str">
        <f>IF($F186="--","",IF($P186="toetsen",toetsen(F!$B186,W186),IF($P186="toetsen alleen IW",toetsen_alleen_IW(F!$B186,W186),IF($P186="toetsen alleen LN",toetsen_alleen_LN(F!$B186,W186),IF($P186="toetsen geen MV en SV",toetsen_geen_MV_en_SV(F!$B186,W186),IF($P186="toetsen alleen MV en SV",toetsen_alleen_MV_en_SV(F!$B186,W186),""))))))</f>
        <v/>
      </c>
      <c r="Y186" s="5" t="str">
        <f>IF($P186="toetsen",IF(OR(W186="",VLOOKUP(F!$B186,E!$B$1:$AK$300,10,FALSE)=1000000000),"",IF(W186&lt;=VLOOKUP(F!$B186,E!$B$1:$AK$300,10,FALSE),"ja","nee")),"")</f>
        <v/>
      </c>
      <c r="AA186" s="4"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6" t="str">
        <f t="shared" si="64"/>
        <v>--</v>
      </c>
      <c r="AJ186" s="6"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6" t="str">
        <f t="shared" si="65"/>
        <v>--</v>
      </c>
      <c r="AL186" s="6"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6" t="str">
        <f t="shared" si="66"/>
        <v>--</v>
      </c>
      <c r="AN186" s="6"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6" t="str">
        <f t="shared" si="53"/>
        <v>--</v>
      </c>
      <c r="AQ186" s="6" t="str">
        <f t="shared" si="54"/>
        <v/>
      </c>
      <c r="AR186" s="6" t="str">
        <f t="shared" si="55"/>
        <v>--</v>
      </c>
      <c r="AS186" s="6" t="str">
        <f t="shared" si="56"/>
        <v/>
      </c>
      <c r="AT186" s="6" t="str">
        <f t="shared" si="57"/>
        <v/>
      </c>
      <c r="AU186" s="6" t="str">
        <f>IFERROR(IF(AR186="--","",IF(HLOOKUP(SMALL($Q$4:$Y$4,3),$Q$4:$Y$501,ROW(AP186)-3,FALSE)=0,"",IF(HLOOKUP(SMALL($Q$4:$Y$4,3),$Q$4:$Y$501,ROW(AP186)-3,FALSE)="nee",VLOOKUP("De kwaliteitseis emissiearme grond (maximale concentratie) wordt overschreden.",H!$O$10:'H'!$P$59,2,FALSE),""))),"")</f>
        <v/>
      </c>
      <c r="AV186" s="6" t="str">
        <f t="shared" si="47"/>
        <v>--</v>
      </c>
      <c r="AW186" s="6" t="str">
        <f t="shared" si="48"/>
        <v/>
      </c>
      <c r="AX186" s="6" t="str">
        <f t="shared" si="49"/>
        <v>--</v>
      </c>
      <c r="AY186" s="6" t="str">
        <f t="shared" si="58"/>
        <v/>
      </c>
      <c r="AZ186" s="6" t="str">
        <f t="shared" si="59"/>
        <v/>
      </c>
      <c r="BA186" s="6" t="str">
        <f>IFERROR(IF(AR186="--","",IF(HLOOKUP(SMALL($Q$4:$Y$4,6),$Q$4:$Y$501,ROW(AP186)-3,FALSE)=0,"",IF(HLOOKUP(SMALL($Q$4:$Y$4,6),$Q$4:$Y$501,ROW(AP186)-3,FALSE)="nee",VLOOKUP("De kwaliteitseis emissiearme grond (maximale concentratie) wordt overschreden.",H!$O$10:'H'!$P$59,2,FALSE),""))),"")</f>
        <v/>
      </c>
      <c r="BB186" s="6" t="str">
        <f t="shared" si="50"/>
        <v>--</v>
      </c>
      <c r="BC186" s="6" t="str">
        <f t="shared" si="51"/>
        <v/>
      </c>
      <c r="BD186" s="6" t="str">
        <f t="shared" si="52"/>
        <v>--</v>
      </c>
      <c r="BE186" s="6" t="str">
        <f t="shared" si="60"/>
        <v/>
      </c>
      <c r="BF186" s="6"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6" t="str">
        <f>IF(ISNUMBER(F!E187)=FALSE,"--",IF(F!E187=0,"--",F!E187))</f>
        <v>--</v>
      </c>
      <c r="C187" s="6" t="str">
        <f>IF(B187="--","",F!F187)</f>
        <v/>
      </c>
      <c r="D187" s="6" t="str">
        <f>IF(ISNUMBER(F!G187)=FALSE,"--",IF(F!G187=0,"--",F!G187))</f>
        <v>--</v>
      </c>
      <c r="E187" s="6" t="str">
        <f>IF(D187="--","",F!H187)</f>
        <v/>
      </c>
      <c r="F187" s="6" t="str">
        <f>IF(ISNUMBER(F!I187)=FALSE,"--",IF(F!I187=0,"--",F!I187))</f>
        <v>--</v>
      </c>
      <c r="G187" s="6" t="str">
        <f>IF(F187="--","",F!J187)</f>
        <v/>
      </c>
      <c r="H187" s="6"/>
      <c r="I187" s="6">
        <f>IF(F!Z187=-1,-1,F!AV187)</f>
        <v>0</v>
      </c>
      <c r="J187" s="6"/>
      <c r="K187" s="6">
        <f>IF(F!AC187=-1,-1,F!AX187)</f>
        <v>0</v>
      </c>
      <c r="L187" s="6"/>
      <c r="M187" s="6">
        <f>IF(F!AF187=-1,-1,F!AZ187)</f>
        <v>0</v>
      </c>
      <c r="N187" s="6"/>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6">
        <f t="shared" si="67"/>
        <v>0</v>
      </c>
      <c r="R187" s="5" t="str">
        <f>IF($B187="--","",IF($P187="toetsen",toetsen(F!$B187,Q187),IF($P187="toetsen alleen IW",toetsen_alleen_IW(F!$B187,Q187),IF($P187="toetsen alleen LN",toetsen_alleen_LN(F!$B187,Q187),IF($P187="toetsen geen MV en SV",toetsen_geen_MV_en_SV(F!$B187,Q187),IF($P187="toetsen alleen MV en SV",toetsen_alleen_MV_en_SV(F!$B187,Q187),""))))))</f>
        <v/>
      </c>
      <c r="S187" s="5" t="str">
        <f>IF($P187="toetsen",IF(OR(Q187="",VLOOKUP(F!$B187,E!$B$1:$AK$300,10,FALSE)=1000000000),"",IF(Q187&lt;=VLOOKUP(F!$B187,E!$B$1:$AK$300,10,FALSE),"ja","nee")),"")</f>
        <v/>
      </c>
      <c r="T187" s="87">
        <f t="shared" si="62"/>
        <v>0</v>
      </c>
      <c r="U187" s="5" t="str">
        <f>IF($D187="--","",IF($P187="toetsen",toetsen(F!$B187,T187),IF($P187="toetsen alleen IW",toetsen_alleen_IW(F!$B187,T187),IF($P187="toetsen alleen LN",toetsen_alleen_LN(F!$B187,T187),IF($P187="toetsen geen MV en SV",toetsen_geen_MV_en_SV(F!$B187,T187),IF($P187="toetsen alleen MV en SV",toetsen_alleen_MV_en_SV(F!$B187,T187),""))))))</f>
        <v/>
      </c>
      <c r="V187" s="5" t="str">
        <f>IF($P187="toetsen",IF(OR(T187="",VLOOKUP(F!$B187,E!$B$1:$AK$300,10,FALSE)=1000000000),"",IF(T187&lt;=VLOOKUP(F!$B187,E!$B$1:$AK$300,10,FALSE),"ja","nee")),"")</f>
        <v/>
      </c>
      <c r="W187" s="6">
        <f t="shared" si="63"/>
        <v>0</v>
      </c>
      <c r="X187" s="5" t="str">
        <f>IF($F187="--","",IF($P187="toetsen",toetsen(F!$B187,W187),IF($P187="toetsen alleen IW",toetsen_alleen_IW(F!$B187,W187),IF($P187="toetsen alleen LN",toetsen_alleen_LN(F!$B187,W187),IF($P187="toetsen geen MV en SV",toetsen_geen_MV_en_SV(F!$B187,W187),IF($P187="toetsen alleen MV en SV",toetsen_alleen_MV_en_SV(F!$B187,W187),""))))))</f>
        <v/>
      </c>
      <c r="Y187" s="5" t="str">
        <f>IF($P187="toetsen",IF(OR(W187="",VLOOKUP(F!$B187,E!$B$1:$AK$300,10,FALSE)=1000000000),"",IF(W187&lt;=VLOOKUP(F!$B187,E!$B$1:$AK$300,10,FALSE),"ja","nee")),"")</f>
        <v/>
      </c>
      <c r="AA187" s="4"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6" t="str">
        <f t="shared" si="64"/>
        <v>--</v>
      </c>
      <c r="AJ187" s="6"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6" t="str">
        <f t="shared" si="65"/>
        <v>--</v>
      </c>
      <c r="AL187" s="6"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6" t="str">
        <f t="shared" si="66"/>
        <v>--</v>
      </c>
      <c r="AN187" s="6"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6" t="str">
        <f t="shared" si="53"/>
        <v>--</v>
      </c>
      <c r="AQ187" s="6" t="str">
        <f t="shared" si="54"/>
        <v/>
      </c>
      <c r="AR187" s="6" t="str">
        <f t="shared" si="55"/>
        <v>--</v>
      </c>
      <c r="AS187" s="6" t="str">
        <f t="shared" si="56"/>
        <v/>
      </c>
      <c r="AT187" s="6" t="str">
        <f t="shared" si="57"/>
        <v/>
      </c>
      <c r="AU187" s="6" t="str">
        <f>IFERROR(IF(AR187="--","",IF(HLOOKUP(SMALL($Q$4:$Y$4,3),$Q$4:$Y$501,ROW(AP187)-3,FALSE)=0,"",IF(HLOOKUP(SMALL($Q$4:$Y$4,3),$Q$4:$Y$501,ROW(AP187)-3,FALSE)="nee",VLOOKUP("De kwaliteitseis emissiearme grond (maximale concentratie) wordt overschreden.",H!$O$10:'H'!$P$59,2,FALSE),""))),"")</f>
        <v/>
      </c>
      <c r="AV187" s="6" t="str">
        <f t="shared" si="47"/>
        <v>--</v>
      </c>
      <c r="AW187" s="6" t="str">
        <f t="shared" si="48"/>
        <v/>
      </c>
      <c r="AX187" s="6" t="str">
        <f t="shared" si="49"/>
        <v>--</v>
      </c>
      <c r="AY187" s="6" t="str">
        <f t="shared" si="58"/>
        <v/>
      </c>
      <c r="AZ187" s="6" t="str">
        <f t="shared" si="59"/>
        <v/>
      </c>
      <c r="BA187" s="6" t="str">
        <f>IFERROR(IF(AR187="--","",IF(HLOOKUP(SMALL($Q$4:$Y$4,6),$Q$4:$Y$501,ROW(AP187)-3,FALSE)=0,"",IF(HLOOKUP(SMALL($Q$4:$Y$4,6),$Q$4:$Y$501,ROW(AP187)-3,FALSE)="nee",VLOOKUP("De kwaliteitseis emissiearme grond (maximale concentratie) wordt overschreden.",H!$O$10:'H'!$P$59,2,FALSE),""))),"")</f>
        <v/>
      </c>
      <c r="BB187" s="6" t="str">
        <f t="shared" si="50"/>
        <v>--</v>
      </c>
      <c r="BC187" s="6" t="str">
        <f t="shared" si="51"/>
        <v/>
      </c>
      <c r="BD187" s="6" t="str">
        <f t="shared" si="52"/>
        <v>--</v>
      </c>
      <c r="BE187" s="6" t="str">
        <f t="shared" si="60"/>
        <v/>
      </c>
      <c r="BF187" s="6"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6" t="str">
        <f>IF(ISNUMBER(F!E188)=FALSE,"--",IF(F!E188=0,"--",F!E188))</f>
        <v>--</v>
      </c>
      <c r="C188" s="6" t="str">
        <f>IF(B188="--","",F!F188)</f>
        <v/>
      </c>
      <c r="D188" s="6" t="str">
        <f>IF(ISNUMBER(F!G188)=FALSE,"--",IF(F!G188=0,"--",F!G188))</f>
        <v>--</v>
      </c>
      <c r="E188" s="6" t="str">
        <f>IF(D188="--","",F!H188)</f>
        <v/>
      </c>
      <c r="F188" s="6" t="str">
        <f>IF(ISNUMBER(F!I188)=FALSE,"--",IF(F!I188=0,"--",F!I188))</f>
        <v>--</v>
      </c>
      <c r="G188" s="6" t="str">
        <f>IF(F188="--","",F!J188)</f>
        <v/>
      </c>
      <c r="H188" s="6"/>
      <c r="I188" s="6">
        <f>IF(F!Z188=-1,-1,F!AV188)</f>
        <v>0</v>
      </c>
      <c r="J188" s="6"/>
      <c r="K188" s="6">
        <f>IF(F!AC188=-1,-1,F!AX188)</f>
        <v>0</v>
      </c>
      <c r="L188" s="6"/>
      <c r="M188" s="6">
        <f>IF(F!AF188=-1,-1,F!AZ188)</f>
        <v>0</v>
      </c>
      <c r="N188" s="6"/>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6">
        <f t="shared" si="67"/>
        <v>0</v>
      </c>
      <c r="R188" s="5" t="str">
        <f>IF($B188="--","",IF($P188="toetsen",toetsen(F!$B188,Q188),IF($P188="toetsen alleen IW",toetsen_alleen_IW(F!$B188,Q188),IF($P188="toetsen alleen LN",toetsen_alleen_LN(F!$B188,Q188),IF($P188="toetsen geen MV en SV",toetsen_geen_MV_en_SV(F!$B188,Q188),IF($P188="toetsen alleen MV en SV",toetsen_alleen_MV_en_SV(F!$B188,Q188),""))))))</f>
        <v/>
      </c>
      <c r="S188" s="5" t="str">
        <f>IF($P188="toetsen",IF(OR(Q188="",VLOOKUP(F!$B188,E!$B$1:$AK$300,10,FALSE)=1000000000),"",IF(Q188&lt;=VLOOKUP(F!$B188,E!$B$1:$AK$300,10,FALSE),"ja","nee")),"")</f>
        <v/>
      </c>
      <c r="T188" s="87">
        <f t="shared" si="62"/>
        <v>0</v>
      </c>
      <c r="U188" s="5" t="str">
        <f>IF($D188="--","",IF($P188="toetsen",toetsen(F!$B188,T188),IF($P188="toetsen alleen IW",toetsen_alleen_IW(F!$B188,T188),IF($P188="toetsen alleen LN",toetsen_alleen_LN(F!$B188,T188),IF($P188="toetsen geen MV en SV",toetsen_geen_MV_en_SV(F!$B188,T188),IF($P188="toetsen alleen MV en SV",toetsen_alleen_MV_en_SV(F!$B188,T188),""))))))</f>
        <v/>
      </c>
      <c r="V188" s="5" t="str">
        <f>IF($P188="toetsen",IF(OR(T188="",VLOOKUP(F!$B188,E!$B$1:$AK$300,10,FALSE)=1000000000),"",IF(T188&lt;=VLOOKUP(F!$B188,E!$B$1:$AK$300,10,FALSE),"ja","nee")),"")</f>
        <v/>
      </c>
      <c r="W188" s="6">
        <f t="shared" si="63"/>
        <v>0</v>
      </c>
      <c r="X188" s="5" t="str">
        <f>IF($F188="--","",IF($P188="toetsen",toetsen(F!$B188,W188),IF($P188="toetsen alleen IW",toetsen_alleen_IW(F!$B188,W188),IF($P188="toetsen alleen LN",toetsen_alleen_LN(F!$B188,W188),IF($P188="toetsen geen MV en SV",toetsen_geen_MV_en_SV(F!$B188,W188),IF($P188="toetsen alleen MV en SV",toetsen_alleen_MV_en_SV(F!$B188,W188),""))))))</f>
        <v/>
      </c>
      <c r="Y188" s="5" t="str">
        <f>IF($P188="toetsen",IF(OR(W188="",VLOOKUP(F!$B188,E!$B$1:$AK$300,10,FALSE)=1000000000),"",IF(W188&lt;=VLOOKUP(F!$B188,E!$B$1:$AK$300,10,FALSE),"ja","nee")),"")</f>
        <v/>
      </c>
      <c r="AA188" s="4"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6" t="str">
        <f t="shared" si="64"/>
        <v>--</v>
      </c>
      <c r="AJ188" s="6"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6" t="str">
        <f t="shared" si="65"/>
        <v>--</v>
      </c>
      <c r="AL188" s="6"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6" t="str">
        <f t="shared" si="66"/>
        <v>--</v>
      </c>
      <c r="AN188" s="6"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6" t="str">
        <f t="shared" si="53"/>
        <v>--</v>
      </c>
      <c r="AQ188" s="6" t="str">
        <f t="shared" si="54"/>
        <v/>
      </c>
      <c r="AR188" s="6" t="str">
        <f t="shared" si="55"/>
        <v>--</v>
      </c>
      <c r="AS188" s="6" t="str">
        <f t="shared" si="56"/>
        <v/>
      </c>
      <c r="AT188" s="6" t="str">
        <f t="shared" si="57"/>
        <v/>
      </c>
      <c r="AU188" s="6" t="str">
        <f>IFERROR(IF(AR188="--","",IF(HLOOKUP(SMALL($Q$4:$Y$4,3),$Q$4:$Y$501,ROW(AP188)-3,FALSE)=0,"",IF(HLOOKUP(SMALL($Q$4:$Y$4,3),$Q$4:$Y$501,ROW(AP188)-3,FALSE)="nee",VLOOKUP("De kwaliteitseis emissiearme grond (maximale concentratie) wordt overschreden.",H!$O$10:'H'!$P$59,2,FALSE),""))),"")</f>
        <v/>
      </c>
      <c r="AV188" s="6" t="str">
        <f t="shared" si="47"/>
        <v>--</v>
      </c>
      <c r="AW188" s="6" t="str">
        <f t="shared" si="48"/>
        <v/>
      </c>
      <c r="AX188" s="6" t="str">
        <f t="shared" si="49"/>
        <v>--</v>
      </c>
      <c r="AY188" s="6" t="str">
        <f t="shared" si="58"/>
        <v/>
      </c>
      <c r="AZ188" s="6" t="str">
        <f t="shared" si="59"/>
        <v/>
      </c>
      <c r="BA188" s="6" t="str">
        <f>IFERROR(IF(AR188="--","",IF(HLOOKUP(SMALL($Q$4:$Y$4,6),$Q$4:$Y$501,ROW(AP188)-3,FALSE)=0,"",IF(HLOOKUP(SMALL($Q$4:$Y$4,6),$Q$4:$Y$501,ROW(AP188)-3,FALSE)="nee",VLOOKUP("De kwaliteitseis emissiearme grond (maximale concentratie) wordt overschreden.",H!$O$10:'H'!$P$59,2,FALSE),""))),"")</f>
        <v/>
      </c>
      <c r="BB188" s="6" t="str">
        <f t="shared" si="50"/>
        <v>--</v>
      </c>
      <c r="BC188" s="6" t="str">
        <f t="shared" si="51"/>
        <v/>
      </c>
      <c r="BD188" s="6" t="str">
        <f t="shared" si="52"/>
        <v>--</v>
      </c>
      <c r="BE188" s="6" t="str">
        <f t="shared" si="60"/>
        <v/>
      </c>
      <c r="BF188" s="6"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6" t="str">
        <f>IF(ISNUMBER(F!E189)=FALSE,"--",IF(F!E189=0,"--",F!E189))</f>
        <v>--</v>
      </c>
      <c r="C189" s="6" t="str">
        <f>IF(B189="--","",F!F189)</f>
        <v/>
      </c>
      <c r="D189" s="6" t="str">
        <f>IF(ISNUMBER(F!G189)=FALSE,"--",IF(F!G189=0,"--",F!G189))</f>
        <v>--</v>
      </c>
      <c r="E189" s="6" t="str">
        <f>IF(D189="--","",F!H189)</f>
        <v/>
      </c>
      <c r="F189" s="6" t="str">
        <f>IF(ISNUMBER(F!I189)=FALSE,"--",IF(F!I189=0,"--",F!I189))</f>
        <v>--</v>
      </c>
      <c r="G189" s="6" t="str">
        <f>IF(F189="--","",F!J189)</f>
        <v/>
      </c>
      <c r="H189" s="6"/>
      <c r="I189" s="6" t="str">
        <f>IF(F!Z189=-1,-1,F!AV189)</f>
        <v/>
      </c>
      <c r="J189" s="6"/>
      <c r="K189" s="6" t="str">
        <f>IF(F!AC189=-1,-1,F!AX189)</f>
        <v/>
      </c>
      <c r="L189" s="6"/>
      <c r="M189" s="6" t="str">
        <f>IF(F!AF189=-1,-1,F!AZ189)</f>
        <v/>
      </c>
      <c r="N189" s="6"/>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6" t="str">
        <f t="shared" si="67"/>
        <v/>
      </c>
      <c r="R189" s="5" t="str">
        <f>IF($B189="--","",IF($P189="toetsen",toetsen(F!$B189,Q189),IF($P189="toetsen alleen IW",toetsen_alleen_IW(F!$B189,Q189),IF($P189="toetsen alleen LN",toetsen_alleen_LN(F!$B189,Q189),IF($P189="toetsen geen MV en SV",toetsen_geen_MV_en_SV(F!$B189,Q189),IF($P189="toetsen alleen MV en SV",toetsen_alleen_MV_en_SV(F!$B189,Q189),""))))))</f>
        <v/>
      </c>
      <c r="S189" s="5" t="str">
        <f>IF($P189="toetsen",IF(OR(Q189="",VLOOKUP(F!$B189,E!$B$1:$AK$300,10,FALSE)=1000000000),"",IF(Q189&lt;=VLOOKUP(F!$B189,E!$B$1:$AK$300,10,FALSE),"ja","nee")),"")</f>
        <v/>
      </c>
      <c r="T189" s="87" t="str">
        <f t="shared" si="62"/>
        <v/>
      </c>
      <c r="U189" s="5" t="str">
        <f>IF($D189="--","",IF($P189="toetsen",toetsen(F!$B189,T189),IF($P189="toetsen alleen IW",toetsen_alleen_IW(F!$B189,T189),IF($P189="toetsen alleen LN",toetsen_alleen_LN(F!$B189,T189),IF($P189="toetsen geen MV en SV",toetsen_geen_MV_en_SV(F!$B189,T189),IF($P189="toetsen alleen MV en SV",toetsen_alleen_MV_en_SV(F!$B189,T189),""))))))</f>
        <v/>
      </c>
      <c r="V189" s="5" t="str">
        <f>IF($P189="toetsen",IF(OR(T189="",VLOOKUP(F!$B189,E!$B$1:$AK$300,10,FALSE)=1000000000),"",IF(T189&lt;=VLOOKUP(F!$B189,E!$B$1:$AK$300,10,FALSE),"ja","nee")),"")</f>
        <v/>
      </c>
      <c r="W189" s="6" t="str">
        <f t="shared" si="63"/>
        <v/>
      </c>
      <c r="X189" s="5" t="str">
        <f>IF($F189="--","",IF($P189="toetsen",toetsen(F!$B189,W189),IF($P189="toetsen alleen IW",toetsen_alleen_IW(F!$B189,W189),IF($P189="toetsen alleen LN",toetsen_alleen_LN(F!$B189,W189),IF($P189="toetsen geen MV en SV",toetsen_geen_MV_en_SV(F!$B189,W189),IF($P189="toetsen alleen MV en SV",toetsen_alleen_MV_en_SV(F!$B189,W189),""))))))</f>
        <v/>
      </c>
      <c r="Y189" s="5" t="str">
        <f>IF($P189="toetsen",IF(OR(W189="",VLOOKUP(F!$B189,E!$B$1:$AK$300,10,FALSE)=1000000000),"",IF(W189&lt;=VLOOKUP(F!$B189,E!$B$1:$AK$300,10,FALSE),"ja","nee")),"")</f>
        <v/>
      </c>
      <c r="AA189" s="4"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6" t="str">
        <f t="shared" si="64"/>
        <v>--</v>
      </c>
      <c r="AJ189" s="6"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6" t="str">
        <f t="shared" si="65"/>
        <v>--</v>
      </c>
      <c r="AL189" s="6"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6" t="str">
        <f t="shared" si="66"/>
        <v>--</v>
      </c>
      <c r="AN189" s="6"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6" t="str">
        <f t="shared" si="53"/>
        <v>--</v>
      </c>
      <c r="AQ189" s="6" t="str">
        <f t="shared" si="54"/>
        <v/>
      </c>
      <c r="AR189" s="6" t="str">
        <f t="shared" si="55"/>
        <v>--</v>
      </c>
      <c r="AS189" s="6" t="str">
        <f t="shared" si="56"/>
        <v/>
      </c>
      <c r="AT189" s="6" t="str">
        <f t="shared" si="57"/>
        <v/>
      </c>
      <c r="AU189" s="6" t="str">
        <f>IFERROR(IF(AR189="--","",IF(HLOOKUP(SMALL($Q$4:$Y$4,3),$Q$4:$Y$501,ROW(AP189)-3,FALSE)=0,"",IF(HLOOKUP(SMALL($Q$4:$Y$4,3),$Q$4:$Y$501,ROW(AP189)-3,FALSE)="nee",VLOOKUP("De kwaliteitseis emissiearme grond (maximale concentratie) wordt overschreden.",H!$O$10:'H'!$P$59,2,FALSE),""))),"")</f>
        <v/>
      </c>
      <c r="AV189" s="6" t="str">
        <f t="shared" si="47"/>
        <v>--</v>
      </c>
      <c r="AW189" s="6" t="str">
        <f t="shared" si="48"/>
        <v/>
      </c>
      <c r="AX189" s="6" t="str">
        <f t="shared" si="49"/>
        <v>--</v>
      </c>
      <c r="AY189" s="6" t="str">
        <f t="shared" si="58"/>
        <v/>
      </c>
      <c r="AZ189" s="6" t="str">
        <f t="shared" si="59"/>
        <v/>
      </c>
      <c r="BA189" s="6" t="str">
        <f>IFERROR(IF(AR189="--","",IF(HLOOKUP(SMALL($Q$4:$Y$4,6),$Q$4:$Y$501,ROW(AP189)-3,FALSE)=0,"",IF(HLOOKUP(SMALL($Q$4:$Y$4,6),$Q$4:$Y$501,ROW(AP189)-3,FALSE)="nee",VLOOKUP("De kwaliteitseis emissiearme grond (maximale concentratie) wordt overschreden.",H!$O$10:'H'!$P$59,2,FALSE),""))),"")</f>
        <v/>
      </c>
      <c r="BB189" s="6" t="str">
        <f t="shared" si="50"/>
        <v>--</v>
      </c>
      <c r="BC189" s="6" t="str">
        <f t="shared" si="51"/>
        <v/>
      </c>
      <c r="BD189" s="6" t="str">
        <f t="shared" si="52"/>
        <v>--</v>
      </c>
      <c r="BE189" s="6" t="str">
        <f t="shared" si="60"/>
        <v/>
      </c>
      <c r="BF189" s="6"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6" t="str">
        <f>IF(ISNUMBER(F!E190)=FALSE,"--",IF(F!E190=0,"--",F!E190))</f>
        <v>--</v>
      </c>
      <c r="C190" s="6" t="str">
        <f>IF(B190="--","",F!F190)</f>
        <v/>
      </c>
      <c r="D190" s="6" t="str">
        <f>IF(ISNUMBER(F!G190)=FALSE,"--",IF(F!G190=0,"--",F!G190))</f>
        <v>--</v>
      </c>
      <c r="E190" s="6" t="str">
        <f>IF(D190="--","",F!H190)</f>
        <v/>
      </c>
      <c r="F190" s="6" t="str">
        <f>IF(ISNUMBER(F!I190)=FALSE,"--",IF(F!I190=0,"--",F!I190))</f>
        <v>--</v>
      </c>
      <c r="G190" s="6" t="str">
        <f>IF(F190="--","",F!J190)</f>
        <v/>
      </c>
      <c r="H190" s="6"/>
      <c r="I190" s="6" t="str">
        <f>IF(F!Z190=-1,-1,F!AV190)</f>
        <v/>
      </c>
      <c r="J190" s="6"/>
      <c r="K190" s="6" t="str">
        <f>IF(F!AC190=-1,-1,F!AX190)</f>
        <v/>
      </c>
      <c r="L190" s="6"/>
      <c r="M190" s="6" t="str">
        <f>IF(F!AF190=-1,-1,F!AZ190)</f>
        <v/>
      </c>
      <c r="N190" s="6"/>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6" t="str">
        <f t="shared" si="67"/>
        <v/>
      </c>
      <c r="R190" s="5" t="str">
        <f>IF($B190="--","",IF($P190="toetsen",toetsen(F!$B190,Q190),IF($P190="toetsen alleen IW",toetsen_alleen_IW(F!$B190,Q190),IF($P190="toetsen alleen LN",toetsen_alleen_LN(F!$B190,Q190),IF($P190="toetsen geen MV en SV",toetsen_geen_MV_en_SV(F!$B190,Q190),IF($P190="toetsen alleen MV en SV",toetsen_alleen_MV_en_SV(F!$B190,Q190),""))))))</f>
        <v/>
      </c>
      <c r="S190" s="5" t="str">
        <f>IF($P190="toetsen",IF(OR(Q190="",VLOOKUP(F!$B190,E!$B$1:$AK$300,10,FALSE)=1000000000),"",IF(Q190&lt;=VLOOKUP(F!$B190,E!$B$1:$AK$300,10,FALSE),"ja","nee")),"")</f>
        <v/>
      </c>
      <c r="T190" s="87" t="str">
        <f t="shared" si="62"/>
        <v/>
      </c>
      <c r="U190" s="5" t="str">
        <f>IF($D190="--","",IF($P190="toetsen",toetsen(F!$B190,T190),IF($P190="toetsen alleen IW",toetsen_alleen_IW(F!$B190,T190),IF($P190="toetsen alleen LN",toetsen_alleen_LN(F!$B190,T190),IF($P190="toetsen geen MV en SV",toetsen_geen_MV_en_SV(F!$B190,T190),IF($P190="toetsen alleen MV en SV",toetsen_alleen_MV_en_SV(F!$B190,T190),""))))))</f>
        <v/>
      </c>
      <c r="V190" s="5" t="str">
        <f>IF($P190="toetsen",IF(OR(T190="",VLOOKUP(F!$B190,E!$B$1:$AK$300,10,FALSE)=1000000000),"",IF(T190&lt;=VLOOKUP(F!$B190,E!$B$1:$AK$300,10,FALSE),"ja","nee")),"")</f>
        <v/>
      </c>
      <c r="W190" s="6" t="str">
        <f t="shared" si="63"/>
        <v/>
      </c>
      <c r="X190" s="5" t="str">
        <f>IF($F190="--","",IF($P190="toetsen",toetsen(F!$B190,W190),IF($P190="toetsen alleen IW",toetsen_alleen_IW(F!$B190,W190),IF($P190="toetsen alleen LN",toetsen_alleen_LN(F!$B190,W190),IF($P190="toetsen geen MV en SV",toetsen_geen_MV_en_SV(F!$B190,W190),IF($P190="toetsen alleen MV en SV",toetsen_alleen_MV_en_SV(F!$B190,W190),""))))))</f>
        <v/>
      </c>
      <c r="Y190" s="5" t="str">
        <f>IF($P190="toetsen",IF(OR(W190="",VLOOKUP(F!$B190,E!$B$1:$AK$300,10,FALSE)=1000000000),"",IF(W190&lt;=VLOOKUP(F!$B190,E!$B$1:$AK$300,10,FALSE),"ja","nee")),"")</f>
        <v/>
      </c>
      <c r="AA190" s="4"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6" t="str">
        <f t="shared" si="64"/>
        <v>--</v>
      </c>
      <c r="AJ190" s="6"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6" t="str">
        <f t="shared" si="65"/>
        <v>--</v>
      </c>
      <c r="AL190" s="6"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6" t="str">
        <f t="shared" si="66"/>
        <v>--</v>
      </c>
      <c r="AN190" s="6"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6" t="str">
        <f t="shared" si="53"/>
        <v>--</v>
      </c>
      <c r="AQ190" s="6" t="str">
        <f t="shared" si="54"/>
        <v/>
      </c>
      <c r="AR190" s="6" t="str">
        <f t="shared" si="55"/>
        <v>--</v>
      </c>
      <c r="AS190" s="6" t="str">
        <f t="shared" si="56"/>
        <v/>
      </c>
      <c r="AT190" s="6" t="str">
        <f t="shared" si="57"/>
        <v/>
      </c>
      <c r="AU190" s="6" t="str">
        <f>IFERROR(IF(AR190="--","",IF(HLOOKUP(SMALL($Q$4:$Y$4,3),$Q$4:$Y$501,ROW(AP190)-3,FALSE)=0,"",IF(HLOOKUP(SMALL($Q$4:$Y$4,3),$Q$4:$Y$501,ROW(AP190)-3,FALSE)="nee",VLOOKUP("De kwaliteitseis emissiearme grond (maximale concentratie) wordt overschreden.",H!$O$10:'H'!$P$59,2,FALSE),""))),"")</f>
        <v/>
      </c>
      <c r="AV190" s="6" t="str">
        <f t="shared" si="47"/>
        <v>--</v>
      </c>
      <c r="AW190" s="6" t="str">
        <f t="shared" si="48"/>
        <v/>
      </c>
      <c r="AX190" s="6" t="str">
        <f t="shared" si="49"/>
        <v>--</v>
      </c>
      <c r="AY190" s="6" t="str">
        <f t="shared" si="58"/>
        <v/>
      </c>
      <c r="AZ190" s="6" t="str">
        <f t="shared" si="59"/>
        <v/>
      </c>
      <c r="BA190" s="6" t="str">
        <f>IFERROR(IF(AR190="--","",IF(HLOOKUP(SMALL($Q$4:$Y$4,6),$Q$4:$Y$501,ROW(AP190)-3,FALSE)=0,"",IF(HLOOKUP(SMALL($Q$4:$Y$4,6),$Q$4:$Y$501,ROW(AP190)-3,FALSE)="nee",VLOOKUP("De kwaliteitseis emissiearme grond (maximale concentratie) wordt overschreden.",H!$O$10:'H'!$P$59,2,FALSE),""))),"")</f>
        <v/>
      </c>
      <c r="BB190" s="6" t="str">
        <f t="shared" si="50"/>
        <v>--</v>
      </c>
      <c r="BC190" s="6" t="str">
        <f t="shared" si="51"/>
        <v/>
      </c>
      <c r="BD190" s="6" t="str">
        <f t="shared" si="52"/>
        <v>--</v>
      </c>
      <c r="BE190" s="6" t="str">
        <f t="shared" si="60"/>
        <v/>
      </c>
      <c r="BF190" s="6"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6" t="str">
        <f>IF(ISNUMBER(F!E191)=FALSE,"--",IF(F!E191=0,"--",F!E191))</f>
        <v>--</v>
      </c>
      <c r="C191" s="6" t="str">
        <f>IF(B191="--","",F!F191)</f>
        <v/>
      </c>
      <c r="D191" s="6" t="str">
        <f>IF(ISNUMBER(F!G191)=FALSE,"--",IF(F!G191=0,"--",F!G191))</f>
        <v>--</v>
      </c>
      <c r="E191" s="6" t="str">
        <f>IF(D191="--","",F!H191)</f>
        <v/>
      </c>
      <c r="F191" s="6" t="str">
        <f>IF(ISNUMBER(F!I191)=FALSE,"--",IF(F!I191=0,"--",F!I191))</f>
        <v>--</v>
      </c>
      <c r="G191" s="6" t="str">
        <f>IF(F191="--","",F!J191)</f>
        <v/>
      </c>
      <c r="H191" s="6"/>
      <c r="I191" s="6" t="str">
        <f>IF(F!Z191=-1,-1,F!AV191)</f>
        <v/>
      </c>
      <c r="J191" s="6"/>
      <c r="K191" s="6" t="str">
        <f>IF(F!AC191=-1,-1,F!AX191)</f>
        <v/>
      </c>
      <c r="L191" s="6"/>
      <c r="M191" s="6" t="str">
        <f>IF(F!AF191=-1,-1,F!AZ191)</f>
        <v/>
      </c>
      <c r="N191" s="6"/>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6" t="str">
        <f t="shared" si="67"/>
        <v/>
      </c>
      <c r="R191" s="5" t="str">
        <f>IF($B191="--","",IF($P191="toetsen",toetsen(F!$B191,Q191),IF($P191="toetsen alleen IW",toetsen_alleen_IW(F!$B191,Q191),IF($P191="toetsen alleen LN",toetsen_alleen_LN(F!$B191,Q191),IF($P191="toetsen geen MV en SV",toetsen_geen_MV_en_SV(F!$B191,Q191),IF($P191="toetsen alleen MV en SV",toetsen_alleen_MV_en_SV(F!$B191,Q191),""))))))</f>
        <v/>
      </c>
      <c r="S191" s="5" t="str">
        <f>IF($P191="toetsen",IF(OR(Q191="",VLOOKUP(F!$B191,E!$B$1:$AK$300,10,FALSE)=1000000000),"",IF(Q191&lt;=VLOOKUP(F!$B191,E!$B$1:$AK$300,10,FALSE),"ja","nee")),"")</f>
        <v/>
      </c>
      <c r="T191" s="87" t="str">
        <f t="shared" si="62"/>
        <v/>
      </c>
      <c r="U191" s="5" t="str">
        <f>IF($D191="--","",IF($P191="toetsen",toetsen(F!$B191,T191),IF($P191="toetsen alleen IW",toetsen_alleen_IW(F!$B191,T191),IF($P191="toetsen alleen LN",toetsen_alleen_LN(F!$B191,T191),IF($P191="toetsen geen MV en SV",toetsen_geen_MV_en_SV(F!$B191,T191),IF($P191="toetsen alleen MV en SV",toetsen_alleen_MV_en_SV(F!$B191,T191),""))))))</f>
        <v/>
      </c>
      <c r="V191" s="5" t="str">
        <f>IF($P191="toetsen",IF(OR(T191="",VLOOKUP(F!$B191,E!$B$1:$AK$300,10,FALSE)=1000000000),"",IF(T191&lt;=VLOOKUP(F!$B191,E!$B$1:$AK$300,10,FALSE),"ja","nee")),"")</f>
        <v/>
      </c>
      <c r="W191" s="6" t="str">
        <f t="shared" si="63"/>
        <v/>
      </c>
      <c r="X191" s="5" t="str">
        <f>IF($F191="--","",IF($P191="toetsen",toetsen(F!$B191,W191),IF($P191="toetsen alleen IW",toetsen_alleen_IW(F!$B191,W191),IF($P191="toetsen alleen LN",toetsen_alleen_LN(F!$B191,W191),IF($P191="toetsen geen MV en SV",toetsen_geen_MV_en_SV(F!$B191,W191),IF($P191="toetsen alleen MV en SV",toetsen_alleen_MV_en_SV(F!$B191,W191),""))))))</f>
        <v/>
      </c>
      <c r="Y191" s="5" t="str">
        <f>IF($P191="toetsen",IF(OR(W191="",VLOOKUP(F!$B191,E!$B$1:$AK$300,10,FALSE)=1000000000),"",IF(W191&lt;=VLOOKUP(F!$B191,E!$B$1:$AK$300,10,FALSE),"ja","nee")),"")</f>
        <v/>
      </c>
      <c r="AA191" s="4"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6" t="str">
        <f t="shared" si="64"/>
        <v>--</v>
      </c>
      <c r="AJ191" s="6"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6" t="str">
        <f t="shared" si="65"/>
        <v>--</v>
      </c>
      <c r="AL191" s="6"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6" t="str">
        <f t="shared" si="66"/>
        <v>--</v>
      </c>
      <c r="AN191" s="6"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6" t="str">
        <f t="shared" si="53"/>
        <v>--</v>
      </c>
      <c r="AQ191" s="6" t="str">
        <f t="shared" si="54"/>
        <v/>
      </c>
      <c r="AR191" s="6" t="str">
        <f t="shared" si="55"/>
        <v>--</v>
      </c>
      <c r="AS191" s="6" t="str">
        <f t="shared" si="56"/>
        <v/>
      </c>
      <c r="AT191" s="6" t="str">
        <f t="shared" si="57"/>
        <v/>
      </c>
      <c r="AU191" s="6" t="str">
        <f>IFERROR(IF(AR191="--","",IF(HLOOKUP(SMALL($Q$4:$Y$4,3),$Q$4:$Y$501,ROW(AP191)-3,FALSE)=0,"",IF(HLOOKUP(SMALL($Q$4:$Y$4,3),$Q$4:$Y$501,ROW(AP191)-3,FALSE)="nee",VLOOKUP("De kwaliteitseis emissiearme grond (maximale concentratie) wordt overschreden.",H!$O$10:'H'!$P$59,2,FALSE),""))),"")</f>
        <v/>
      </c>
      <c r="AV191" s="6" t="str">
        <f t="shared" si="47"/>
        <v>--</v>
      </c>
      <c r="AW191" s="6" t="str">
        <f t="shared" si="48"/>
        <v/>
      </c>
      <c r="AX191" s="6" t="str">
        <f t="shared" si="49"/>
        <v>--</v>
      </c>
      <c r="AY191" s="6" t="str">
        <f t="shared" si="58"/>
        <v/>
      </c>
      <c r="AZ191" s="6" t="str">
        <f t="shared" si="59"/>
        <v/>
      </c>
      <c r="BA191" s="6" t="str">
        <f>IFERROR(IF(AR191="--","",IF(HLOOKUP(SMALL($Q$4:$Y$4,6),$Q$4:$Y$501,ROW(AP191)-3,FALSE)=0,"",IF(HLOOKUP(SMALL($Q$4:$Y$4,6),$Q$4:$Y$501,ROW(AP191)-3,FALSE)="nee",VLOOKUP("De kwaliteitseis emissiearme grond (maximale concentratie) wordt overschreden.",H!$O$10:'H'!$P$59,2,FALSE),""))),"")</f>
        <v/>
      </c>
      <c r="BB191" s="6" t="str">
        <f t="shared" si="50"/>
        <v>--</v>
      </c>
      <c r="BC191" s="6" t="str">
        <f t="shared" si="51"/>
        <v/>
      </c>
      <c r="BD191" s="6" t="str">
        <f t="shared" si="52"/>
        <v>--</v>
      </c>
      <c r="BE191" s="6" t="str">
        <f t="shared" si="60"/>
        <v/>
      </c>
      <c r="BF191" s="6"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6" t="str">
        <f>IF(ISNUMBER(F!E192)=FALSE,"--",IF(F!E192=0,"--",F!E192))</f>
        <v>--</v>
      </c>
      <c r="C192" s="6" t="str">
        <f>IF(B192="--","",F!F192)</f>
        <v/>
      </c>
      <c r="D192" s="6" t="str">
        <f>IF(ISNUMBER(F!G192)=FALSE,"--",IF(F!G192=0,"--",F!G192))</f>
        <v>--</v>
      </c>
      <c r="E192" s="6" t="str">
        <f>IF(D192="--","",F!H192)</f>
        <v/>
      </c>
      <c r="F192" s="6" t="str">
        <f>IF(ISNUMBER(F!I192)=FALSE,"--",IF(F!I192=0,"--",F!I192))</f>
        <v>--</v>
      </c>
      <c r="G192" s="6" t="str">
        <f>IF(F192="--","",F!J192)</f>
        <v/>
      </c>
      <c r="H192" s="6"/>
      <c r="I192" s="6">
        <f>IF(F!Z192=-1,-1,F!AV192)</f>
        <v>0</v>
      </c>
      <c r="J192" s="6"/>
      <c r="K192" s="6">
        <f>IF(F!AC192=-1,-1,F!AX192)</f>
        <v>0</v>
      </c>
      <c r="L192" s="6"/>
      <c r="M192" s="6">
        <f>IF(F!AF192=-1,-1,F!AZ192)</f>
        <v>0</v>
      </c>
      <c r="N192" s="6"/>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6">
        <f t="shared" si="67"/>
        <v>0</v>
      </c>
      <c r="R192" s="5" t="str">
        <f>IF($B192="--","",IF($P192="toetsen",toetsen(F!$B192,Q192),IF($P192="toetsen alleen IW",toetsen_alleen_IW(F!$B192,Q192),IF($P192="toetsen alleen LN",toetsen_alleen_LN(F!$B192,Q192),IF($P192="toetsen geen MV en SV",toetsen_geen_MV_en_SV(F!$B192,Q192),IF($P192="toetsen alleen MV en SV",toetsen_alleen_MV_en_SV(F!$B192,Q192),""))))))</f>
        <v/>
      </c>
      <c r="S192" s="5" t="str">
        <f>IF($P192="toetsen",IF(OR(Q192="",VLOOKUP(F!$B192,E!$B$1:$AK$300,10,FALSE)=1000000000),"",IF(Q192&lt;=VLOOKUP(F!$B192,E!$B$1:$AK$300,10,FALSE),"ja","nee")),"")</f>
        <v/>
      </c>
      <c r="T192" s="87">
        <f t="shared" si="62"/>
        <v>0</v>
      </c>
      <c r="U192" s="5" t="str">
        <f>IF($D192="--","",IF($P192="toetsen",toetsen(F!$B192,T192),IF($P192="toetsen alleen IW",toetsen_alleen_IW(F!$B192,T192),IF($P192="toetsen alleen LN",toetsen_alleen_LN(F!$B192,T192),IF($P192="toetsen geen MV en SV",toetsen_geen_MV_en_SV(F!$B192,T192),IF($P192="toetsen alleen MV en SV",toetsen_alleen_MV_en_SV(F!$B192,T192),""))))))</f>
        <v/>
      </c>
      <c r="V192" s="5" t="str">
        <f>IF($P192="toetsen",IF(OR(T192="",VLOOKUP(F!$B192,E!$B$1:$AK$300,10,FALSE)=1000000000),"",IF(T192&lt;=VLOOKUP(F!$B192,E!$B$1:$AK$300,10,FALSE),"ja","nee")),"")</f>
        <v/>
      </c>
      <c r="W192" s="6">
        <f t="shared" si="63"/>
        <v>0</v>
      </c>
      <c r="X192" s="5" t="str">
        <f>IF($F192="--","",IF($P192="toetsen",toetsen(F!$B192,W192),IF($P192="toetsen alleen IW",toetsen_alleen_IW(F!$B192,W192),IF($P192="toetsen alleen LN",toetsen_alleen_LN(F!$B192,W192),IF($P192="toetsen geen MV en SV",toetsen_geen_MV_en_SV(F!$B192,W192),IF($P192="toetsen alleen MV en SV",toetsen_alleen_MV_en_SV(F!$B192,W192),""))))))</f>
        <v/>
      </c>
      <c r="Y192" s="5" t="str">
        <f>IF($P192="toetsen",IF(OR(W192="",VLOOKUP(F!$B192,E!$B$1:$AK$300,10,FALSE)=1000000000),"",IF(W192&lt;=VLOOKUP(F!$B192,E!$B$1:$AK$300,10,FALSE),"ja","nee")),"")</f>
        <v/>
      </c>
      <c r="AA192" s="4"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6" t="str">
        <f t="shared" si="64"/>
        <v>--</v>
      </c>
      <c r="AJ192" s="6"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6" t="str">
        <f t="shared" si="65"/>
        <v>--</v>
      </c>
      <c r="AL192" s="6"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6" t="str">
        <f t="shared" si="66"/>
        <v>--</v>
      </c>
      <c r="AN192" s="6"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6" t="str">
        <f t="shared" si="53"/>
        <v>--</v>
      </c>
      <c r="AQ192" s="6" t="str">
        <f t="shared" si="54"/>
        <v/>
      </c>
      <c r="AR192" s="6" t="str">
        <f t="shared" si="55"/>
        <v>--</v>
      </c>
      <c r="AS192" s="6" t="str">
        <f t="shared" si="56"/>
        <v/>
      </c>
      <c r="AT192" s="6" t="str">
        <f t="shared" si="57"/>
        <v/>
      </c>
      <c r="AU192" s="6" t="str">
        <f>IFERROR(IF(AR192="--","",IF(HLOOKUP(SMALL($Q$4:$Y$4,3),$Q$4:$Y$501,ROW(AP192)-3,FALSE)=0,"",IF(HLOOKUP(SMALL($Q$4:$Y$4,3),$Q$4:$Y$501,ROW(AP192)-3,FALSE)="nee",VLOOKUP("De kwaliteitseis emissiearme grond (maximale concentratie) wordt overschreden.",H!$O$10:'H'!$P$59,2,FALSE),""))),"")</f>
        <v/>
      </c>
      <c r="AV192" s="6" t="str">
        <f t="shared" si="47"/>
        <v>--</v>
      </c>
      <c r="AW192" s="6" t="str">
        <f t="shared" si="48"/>
        <v/>
      </c>
      <c r="AX192" s="6" t="str">
        <f t="shared" si="49"/>
        <v>--</v>
      </c>
      <c r="AY192" s="6" t="str">
        <f t="shared" si="58"/>
        <v/>
      </c>
      <c r="AZ192" s="6" t="str">
        <f t="shared" si="59"/>
        <v/>
      </c>
      <c r="BA192" s="6" t="str">
        <f>IFERROR(IF(AR192="--","",IF(HLOOKUP(SMALL($Q$4:$Y$4,6),$Q$4:$Y$501,ROW(AP192)-3,FALSE)=0,"",IF(HLOOKUP(SMALL($Q$4:$Y$4,6),$Q$4:$Y$501,ROW(AP192)-3,FALSE)="nee",VLOOKUP("De kwaliteitseis emissiearme grond (maximale concentratie) wordt overschreden.",H!$O$10:'H'!$P$59,2,FALSE),""))),"")</f>
        <v/>
      </c>
      <c r="BB192" s="6" t="str">
        <f t="shared" si="50"/>
        <v>--</v>
      </c>
      <c r="BC192" s="6" t="str">
        <f t="shared" si="51"/>
        <v/>
      </c>
      <c r="BD192" s="6" t="str">
        <f t="shared" si="52"/>
        <v>--</v>
      </c>
      <c r="BE192" s="6" t="str">
        <f t="shared" si="60"/>
        <v/>
      </c>
      <c r="BF192" s="6"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6" t="str">
        <f>IF(ISNUMBER(F!E193)=FALSE,"--",IF(F!E193=0,"--",F!E193))</f>
        <v>--</v>
      </c>
      <c r="C193" s="6" t="str">
        <f>IF(B193="--","",F!F193)</f>
        <v/>
      </c>
      <c r="D193" s="6" t="str">
        <f>IF(ISNUMBER(F!G193)=FALSE,"--",IF(F!G193=0,"--",F!G193))</f>
        <v>--</v>
      </c>
      <c r="E193" s="6" t="str">
        <f>IF(D193="--","",F!H193)</f>
        <v/>
      </c>
      <c r="F193" s="6" t="str">
        <f>IF(ISNUMBER(F!I193)=FALSE,"--",IF(F!I193=0,"--",F!I193))</f>
        <v>--</v>
      </c>
      <c r="G193" s="6" t="str">
        <f>IF(F193="--","",F!J193)</f>
        <v/>
      </c>
      <c r="H193" s="6"/>
      <c r="I193" s="6">
        <f>IF(F!Z193=-1,-1,F!AV193)</f>
        <v>0</v>
      </c>
      <c r="J193" s="6"/>
      <c r="K193" s="6">
        <f>IF(F!AC193=-1,-1,F!AX193)</f>
        <v>0</v>
      </c>
      <c r="L193" s="6"/>
      <c r="M193" s="6">
        <f>IF(F!AF193=-1,-1,F!AZ193)</f>
        <v>0</v>
      </c>
      <c r="N193" s="6"/>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6">
        <f t="shared" si="67"/>
        <v>0</v>
      </c>
      <c r="R193" s="5" t="str">
        <f>IF($B193="--","",IF($P193="toetsen",toetsen(F!$B193,Q193),IF($P193="toetsen alleen IW",toetsen_alleen_IW(F!$B193,Q193),IF($P193="toetsen alleen LN",toetsen_alleen_LN(F!$B193,Q193),IF($P193="toetsen geen MV en SV",toetsen_geen_MV_en_SV(F!$B193,Q193),IF($P193="toetsen alleen MV en SV",toetsen_alleen_MV_en_SV(F!$B193,Q193),""))))))</f>
        <v/>
      </c>
      <c r="S193" s="5" t="str">
        <f>IF($P193="toetsen",IF(OR(Q193="",VLOOKUP(F!$B193,E!$B$1:$AK$300,10,FALSE)=1000000000),"",IF(Q193&lt;=VLOOKUP(F!$B193,E!$B$1:$AK$300,10,FALSE),"ja","nee")),"")</f>
        <v/>
      </c>
      <c r="T193" s="87">
        <f t="shared" si="62"/>
        <v>0</v>
      </c>
      <c r="U193" s="5" t="str">
        <f>IF($D193="--","",IF($P193="toetsen",toetsen(F!$B193,T193),IF($P193="toetsen alleen IW",toetsen_alleen_IW(F!$B193,T193),IF($P193="toetsen alleen LN",toetsen_alleen_LN(F!$B193,T193),IF($P193="toetsen geen MV en SV",toetsen_geen_MV_en_SV(F!$B193,T193),IF($P193="toetsen alleen MV en SV",toetsen_alleen_MV_en_SV(F!$B193,T193),""))))))</f>
        <v/>
      </c>
      <c r="V193" s="5" t="str">
        <f>IF($P193="toetsen",IF(OR(T193="",VLOOKUP(F!$B193,E!$B$1:$AK$300,10,FALSE)=1000000000),"",IF(T193&lt;=VLOOKUP(F!$B193,E!$B$1:$AK$300,10,FALSE),"ja","nee")),"")</f>
        <v/>
      </c>
      <c r="W193" s="6">
        <f t="shared" si="63"/>
        <v>0</v>
      </c>
      <c r="X193" s="5" t="str">
        <f>IF($F193="--","",IF($P193="toetsen",toetsen(F!$B193,W193),IF($P193="toetsen alleen IW",toetsen_alleen_IW(F!$B193,W193),IF($P193="toetsen alleen LN",toetsen_alleen_LN(F!$B193,W193),IF($P193="toetsen geen MV en SV",toetsen_geen_MV_en_SV(F!$B193,W193),IF($P193="toetsen alleen MV en SV",toetsen_alleen_MV_en_SV(F!$B193,W193),""))))))</f>
        <v/>
      </c>
      <c r="Y193" s="5" t="str">
        <f>IF($P193="toetsen",IF(OR(W193="",VLOOKUP(F!$B193,E!$B$1:$AK$300,10,FALSE)=1000000000),"",IF(W193&lt;=VLOOKUP(F!$B193,E!$B$1:$AK$300,10,FALSE),"ja","nee")),"")</f>
        <v/>
      </c>
      <c r="AA193" s="4"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6" t="str">
        <f t="shared" si="64"/>
        <v>--</v>
      </c>
      <c r="AJ193" s="6"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6" t="str">
        <f t="shared" si="65"/>
        <v>--</v>
      </c>
      <c r="AL193" s="6"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6" t="str">
        <f t="shared" si="66"/>
        <v>--</v>
      </c>
      <c r="AN193" s="6"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6" t="str">
        <f t="shared" si="53"/>
        <v>--</v>
      </c>
      <c r="AQ193" s="6" t="str">
        <f t="shared" si="54"/>
        <v/>
      </c>
      <c r="AR193" s="6" t="str">
        <f t="shared" si="55"/>
        <v>--</v>
      </c>
      <c r="AS193" s="6" t="str">
        <f t="shared" si="56"/>
        <v/>
      </c>
      <c r="AT193" s="6" t="str">
        <f t="shared" si="57"/>
        <v/>
      </c>
      <c r="AU193" s="6" t="str">
        <f>IFERROR(IF(AR193="--","",IF(HLOOKUP(SMALL($Q$4:$Y$4,3),$Q$4:$Y$501,ROW(AP193)-3,FALSE)=0,"",IF(HLOOKUP(SMALL($Q$4:$Y$4,3),$Q$4:$Y$501,ROW(AP193)-3,FALSE)="nee",VLOOKUP("De kwaliteitseis emissiearme grond (maximale concentratie) wordt overschreden.",H!$O$10:'H'!$P$59,2,FALSE),""))),"")</f>
        <v/>
      </c>
      <c r="AV193" s="6" t="str">
        <f t="shared" si="47"/>
        <v>--</v>
      </c>
      <c r="AW193" s="6" t="str">
        <f t="shared" si="48"/>
        <v/>
      </c>
      <c r="AX193" s="6" t="str">
        <f t="shared" si="49"/>
        <v>--</v>
      </c>
      <c r="AY193" s="6" t="str">
        <f t="shared" si="58"/>
        <v/>
      </c>
      <c r="AZ193" s="6" t="str">
        <f t="shared" si="59"/>
        <v/>
      </c>
      <c r="BA193" s="6" t="str">
        <f>IFERROR(IF(AR193="--","",IF(HLOOKUP(SMALL($Q$4:$Y$4,6),$Q$4:$Y$501,ROW(AP193)-3,FALSE)=0,"",IF(HLOOKUP(SMALL($Q$4:$Y$4,6),$Q$4:$Y$501,ROW(AP193)-3,FALSE)="nee",VLOOKUP("De kwaliteitseis emissiearme grond (maximale concentratie) wordt overschreden.",H!$O$10:'H'!$P$59,2,FALSE),""))),"")</f>
        <v/>
      </c>
      <c r="BB193" s="6" t="str">
        <f t="shared" si="50"/>
        <v>--</v>
      </c>
      <c r="BC193" s="6" t="str">
        <f t="shared" si="51"/>
        <v/>
      </c>
      <c r="BD193" s="6" t="str">
        <f t="shared" si="52"/>
        <v>--</v>
      </c>
      <c r="BE193" s="6" t="str">
        <f t="shared" si="60"/>
        <v/>
      </c>
      <c r="BF193" s="6"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6" t="str">
        <f>IF(ISNUMBER(F!E194)=FALSE,"--",IF(F!E194=0,"--",F!E194))</f>
        <v>--</v>
      </c>
      <c r="C194" s="6" t="str">
        <f>IF(B194="--","",F!F194)</f>
        <v/>
      </c>
      <c r="D194" s="6" t="str">
        <f>IF(ISNUMBER(F!G194)=FALSE,"--",IF(F!G194=0,"--",F!G194))</f>
        <v>--</v>
      </c>
      <c r="E194" s="6" t="str">
        <f>IF(D194="--","",F!H194)</f>
        <v/>
      </c>
      <c r="F194" s="6" t="str">
        <f>IF(ISNUMBER(F!I194)=FALSE,"--",IF(F!I194=0,"--",F!I194))</f>
        <v>--</v>
      </c>
      <c r="G194" s="6" t="str">
        <f>IF(F194="--","",F!J194)</f>
        <v/>
      </c>
      <c r="H194" s="6"/>
      <c r="I194" s="6" t="str">
        <f>IF(F!Z194=-1,-1,F!AV194)</f>
        <v/>
      </c>
      <c r="J194" s="6"/>
      <c r="K194" s="6" t="str">
        <f>IF(F!AC194=-1,-1,F!AX194)</f>
        <v/>
      </c>
      <c r="L194" s="6"/>
      <c r="M194" s="6" t="str">
        <f>IF(F!AF194=-1,-1,F!AZ194)</f>
        <v/>
      </c>
      <c r="N194" s="6"/>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6" t="str">
        <f t="shared" si="67"/>
        <v/>
      </c>
      <c r="R194" s="5" t="str">
        <f>IF($B194="--","",IF($P194="toetsen",toetsen(F!$B194,Q194),IF($P194="toetsen alleen IW",toetsen_alleen_IW(F!$B194,Q194),IF($P194="toetsen alleen LN",toetsen_alleen_LN(F!$B194,Q194),IF($P194="toetsen geen MV en SV",toetsen_geen_MV_en_SV(F!$B194,Q194),IF($P194="toetsen alleen MV en SV",toetsen_alleen_MV_en_SV(F!$B194,Q194),""))))))</f>
        <v/>
      </c>
      <c r="S194" s="5" t="str">
        <f>IF($P194="toetsen",IF(OR(Q194="",VLOOKUP(F!$B194,E!$B$1:$AK$300,10,FALSE)=1000000000),"",IF(Q194&lt;=VLOOKUP(F!$B194,E!$B$1:$AK$300,10,FALSE),"ja","nee")),"")</f>
        <v/>
      </c>
      <c r="T194" s="87" t="str">
        <f t="shared" si="62"/>
        <v/>
      </c>
      <c r="U194" s="5" t="str">
        <f>IF($D194="--","",IF($P194="toetsen",toetsen(F!$B194,T194),IF($P194="toetsen alleen IW",toetsen_alleen_IW(F!$B194,T194),IF($P194="toetsen alleen LN",toetsen_alleen_LN(F!$B194,T194),IF($P194="toetsen geen MV en SV",toetsen_geen_MV_en_SV(F!$B194,T194),IF($P194="toetsen alleen MV en SV",toetsen_alleen_MV_en_SV(F!$B194,T194),""))))))</f>
        <v/>
      </c>
      <c r="V194" s="5" t="str">
        <f>IF($P194="toetsen",IF(OR(T194="",VLOOKUP(F!$B194,E!$B$1:$AK$300,10,FALSE)=1000000000),"",IF(T194&lt;=VLOOKUP(F!$B194,E!$B$1:$AK$300,10,FALSE),"ja","nee")),"")</f>
        <v/>
      </c>
      <c r="W194" s="6" t="str">
        <f t="shared" si="63"/>
        <v/>
      </c>
      <c r="X194" s="5" t="str">
        <f>IF($F194="--","",IF($P194="toetsen",toetsen(F!$B194,W194),IF($P194="toetsen alleen IW",toetsen_alleen_IW(F!$B194,W194),IF($P194="toetsen alleen LN",toetsen_alleen_LN(F!$B194,W194),IF($P194="toetsen geen MV en SV",toetsen_geen_MV_en_SV(F!$B194,W194),IF($P194="toetsen alleen MV en SV",toetsen_alleen_MV_en_SV(F!$B194,W194),""))))))</f>
        <v/>
      </c>
      <c r="Y194" s="5" t="str">
        <f>IF($P194="toetsen",IF(OR(W194="",VLOOKUP(F!$B194,E!$B$1:$AK$300,10,FALSE)=1000000000),"",IF(W194&lt;=VLOOKUP(F!$B194,E!$B$1:$AK$300,10,FALSE),"ja","nee")),"")</f>
        <v/>
      </c>
      <c r="AA194" s="4"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6" t="str">
        <f t="shared" si="64"/>
        <v>--</v>
      </c>
      <c r="AJ194" s="6"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6" t="str">
        <f t="shared" si="65"/>
        <v>--</v>
      </c>
      <c r="AL194" s="6"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6" t="str">
        <f t="shared" si="66"/>
        <v>--</v>
      </c>
      <c r="AN194" s="6"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6" t="str">
        <f t="shared" si="53"/>
        <v>--</v>
      </c>
      <c r="AQ194" s="6" t="str">
        <f t="shared" si="54"/>
        <v/>
      </c>
      <c r="AR194" s="6" t="str">
        <f t="shared" si="55"/>
        <v>--</v>
      </c>
      <c r="AS194" s="6" t="str">
        <f t="shared" si="56"/>
        <v/>
      </c>
      <c r="AT194" s="6" t="str">
        <f t="shared" si="57"/>
        <v/>
      </c>
      <c r="AU194" s="6" t="str">
        <f>IFERROR(IF(AR194="--","",IF(HLOOKUP(SMALL($Q$4:$Y$4,3),$Q$4:$Y$501,ROW(AP194)-3,FALSE)=0,"",IF(HLOOKUP(SMALL($Q$4:$Y$4,3),$Q$4:$Y$501,ROW(AP194)-3,FALSE)="nee",VLOOKUP("De kwaliteitseis emissiearme grond (maximale concentratie) wordt overschreden.",H!$O$10:'H'!$P$59,2,FALSE),""))),"")</f>
        <v/>
      </c>
      <c r="AV194" s="6" t="str">
        <f t="shared" si="47"/>
        <v>--</v>
      </c>
      <c r="AW194" s="6" t="str">
        <f t="shared" si="48"/>
        <v/>
      </c>
      <c r="AX194" s="6" t="str">
        <f t="shared" si="49"/>
        <v>--</v>
      </c>
      <c r="AY194" s="6" t="str">
        <f t="shared" si="58"/>
        <v/>
      </c>
      <c r="AZ194" s="6" t="str">
        <f t="shared" si="59"/>
        <v/>
      </c>
      <c r="BA194" s="6" t="str">
        <f>IFERROR(IF(AR194="--","",IF(HLOOKUP(SMALL($Q$4:$Y$4,6),$Q$4:$Y$501,ROW(AP194)-3,FALSE)=0,"",IF(HLOOKUP(SMALL($Q$4:$Y$4,6),$Q$4:$Y$501,ROW(AP194)-3,FALSE)="nee",VLOOKUP("De kwaliteitseis emissiearme grond (maximale concentratie) wordt overschreden.",H!$O$10:'H'!$P$59,2,FALSE),""))),"")</f>
        <v/>
      </c>
      <c r="BB194" s="6" t="str">
        <f t="shared" si="50"/>
        <v>--</v>
      </c>
      <c r="BC194" s="6" t="str">
        <f t="shared" si="51"/>
        <v/>
      </c>
      <c r="BD194" s="6" t="str">
        <f t="shared" si="52"/>
        <v>--</v>
      </c>
      <c r="BE194" s="6" t="str">
        <f t="shared" si="60"/>
        <v/>
      </c>
      <c r="BF194" s="6"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6" t="str">
        <f>IF(ISNUMBER(F!E195)=FALSE,"--",IF(F!E195=0,"--",F!E195))</f>
        <v>--</v>
      </c>
      <c r="C195" s="6" t="str">
        <f>IF(B195="--","",F!F195)</f>
        <v/>
      </c>
      <c r="D195" s="6" t="str">
        <f>IF(ISNUMBER(F!G195)=FALSE,"--",IF(F!G195=0,"--",F!G195))</f>
        <v>--</v>
      </c>
      <c r="E195" s="6" t="str">
        <f>IF(D195="--","",F!H195)</f>
        <v/>
      </c>
      <c r="F195" s="6" t="str">
        <f>IF(ISNUMBER(F!I195)=FALSE,"--",IF(F!I195=0,"--",F!I195))</f>
        <v>--</v>
      </c>
      <c r="G195" s="6" t="str">
        <f>IF(F195="--","",F!J195)</f>
        <v/>
      </c>
      <c r="H195" s="6"/>
      <c r="I195" s="6" t="str">
        <f>IF(F!Z195=-1,-1,F!AV195)</f>
        <v/>
      </c>
      <c r="J195" s="6"/>
      <c r="K195" s="6" t="str">
        <f>IF(F!AC195=-1,-1,F!AX195)</f>
        <v/>
      </c>
      <c r="L195" s="6"/>
      <c r="M195" s="6" t="str">
        <f>IF(F!AF195=-1,-1,F!AZ195)</f>
        <v/>
      </c>
      <c r="N195" s="6"/>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6" t="str">
        <f t="shared" si="67"/>
        <v/>
      </c>
      <c r="R195" s="5" t="str">
        <f>IF($B195="--","",IF($P195="toetsen",toetsen(F!$B195,Q195),IF($P195="toetsen alleen IW",toetsen_alleen_IW(F!$B195,Q195),IF($P195="toetsen alleen LN",toetsen_alleen_LN(F!$B195,Q195),IF($P195="toetsen geen MV en SV",toetsen_geen_MV_en_SV(F!$B195,Q195),IF($P195="toetsen alleen MV en SV",toetsen_alleen_MV_en_SV(F!$B195,Q195),""))))))</f>
        <v/>
      </c>
      <c r="S195" s="5" t="str">
        <f>IF($P195="toetsen",IF(OR(Q195="",VLOOKUP(F!$B195,E!$B$1:$AK$300,10,FALSE)=1000000000),"",IF(Q195&lt;=VLOOKUP(F!$B195,E!$B$1:$AK$300,10,FALSE),"ja","nee")),"")</f>
        <v/>
      </c>
      <c r="T195" s="87" t="str">
        <f t="shared" si="62"/>
        <v/>
      </c>
      <c r="U195" s="5" t="str">
        <f>IF($D195="--","",IF($P195="toetsen",toetsen(F!$B195,T195),IF($P195="toetsen alleen IW",toetsen_alleen_IW(F!$B195,T195),IF($P195="toetsen alleen LN",toetsen_alleen_LN(F!$B195,T195),IF($P195="toetsen geen MV en SV",toetsen_geen_MV_en_SV(F!$B195,T195),IF($P195="toetsen alleen MV en SV",toetsen_alleen_MV_en_SV(F!$B195,T195),""))))))</f>
        <v/>
      </c>
      <c r="V195" s="5" t="str">
        <f>IF($P195="toetsen",IF(OR(T195="",VLOOKUP(F!$B195,E!$B$1:$AK$300,10,FALSE)=1000000000),"",IF(T195&lt;=VLOOKUP(F!$B195,E!$B$1:$AK$300,10,FALSE),"ja","nee")),"")</f>
        <v/>
      </c>
      <c r="W195" s="6" t="str">
        <f t="shared" si="63"/>
        <v/>
      </c>
      <c r="X195" s="5" t="str">
        <f>IF($F195="--","",IF($P195="toetsen",toetsen(F!$B195,W195),IF($P195="toetsen alleen IW",toetsen_alleen_IW(F!$B195,W195),IF($P195="toetsen alleen LN",toetsen_alleen_LN(F!$B195,W195),IF($P195="toetsen geen MV en SV",toetsen_geen_MV_en_SV(F!$B195,W195),IF($P195="toetsen alleen MV en SV",toetsen_alleen_MV_en_SV(F!$B195,W195),""))))))</f>
        <v/>
      </c>
      <c r="Y195" s="5" t="str">
        <f>IF($P195="toetsen",IF(OR(W195="",VLOOKUP(F!$B195,E!$B$1:$AK$300,10,FALSE)=1000000000),"",IF(W195&lt;=VLOOKUP(F!$B195,E!$B$1:$AK$300,10,FALSE),"ja","nee")),"")</f>
        <v/>
      </c>
      <c r="AA195" s="4"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6" t="str">
        <f t="shared" si="64"/>
        <v>--</v>
      </c>
      <c r="AJ195" s="6"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6" t="str">
        <f t="shared" si="65"/>
        <v>--</v>
      </c>
      <c r="AL195" s="6"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6" t="str">
        <f t="shared" si="66"/>
        <v>--</v>
      </c>
      <c r="AN195" s="6"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6" t="str">
        <f t="shared" si="53"/>
        <v>--</v>
      </c>
      <c r="AQ195" s="6" t="str">
        <f t="shared" si="54"/>
        <v/>
      </c>
      <c r="AR195" s="6" t="str">
        <f t="shared" si="55"/>
        <v>--</v>
      </c>
      <c r="AS195" s="6" t="str">
        <f t="shared" si="56"/>
        <v/>
      </c>
      <c r="AT195" s="6" t="str">
        <f t="shared" si="57"/>
        <v/>
      </c>
      <c r="AU195" s="6" t="str">
        <f>IFERROR(IF(AR195="--","",IF(HLOOKUP(SMALL($Q$4:$Y$4,3),$Q$4:$Y$501,ROW(AP195)-3,FALSE)=0,"",IF(HLOOKUP(SMALL($Q$4:$Y$4,3),$Q$4:$Y$501,ROW(AP195)-3,FALSE)="nee",VLOOKUP("De kwaliteitseis emissiearme grond (maximale concentratie) wordt overschreden.",H!$O$10:'H'!$P$59,2,FALSE),""))),"")</f>
        <v/>
      </c>
      <c r="AV195" s="6" t="str">
        <f t="shared" si="47"/>
        <v>--</v>
      </c>
      <c r="AW195" s="6" t="str">
        <f t="shared" si="48"/>
        <v/>
      </c>
      <c r="AX195" s="6" t="str">
        <f t="shared" si="49"/>
        <v>--</v>
      </c>
      <c r="AY195" s="6" t="str">
        <f t="shared" si="58"/>
        <v/>
      </c>
      <c r="AZ195" s="6" t="str">
        <f t="shared" si="59"/>
        <v/>
      </c>
      <c r="BA195" s="6" t="str">
        <f>IFERROR(IF(AR195="--","",IF(HLOOKUP(SMALL($Q$4:$Y$4,6),$Q$4:$Y$501,ROW(AP195)-3,FALSE)=0,"",IF(HLOOKUP(SMALL($Q$4:$Y$4,6),$Q$4:$Y$501,ROW(AP195)-3,FALSE)="nee",VLOOKUP("De kwaliteitseis emissiearme grond (maximale concentratie) wordt overschreden.",H!$O$10:'H'!$P$59,2,FALSE),""))),"")</f>
        <v/>
      </c>
      <c r="BB195" s="6" t="str">
        <f t="shared" si="50"/>
        <v>--</v>
      </c>
      <c r="BC195" s="6" t="str">
        <f t="shared" si="51"/>
        <v/>
      </c>
      <c r="BD195" s="6" t="str">
        <f t="shared" si="52"/>
        <v>--</v>
      </c>
      <c r="BE195" s="6" t="str">
        <f t="shared" si="60"/>
        <v/>
      </c>
      <c r="BF195" s="6"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6" t="str">
        <f>IF(ISNUMBER(F!E196)=FALSE,"--",IF(F!E196=0,"--",F!E196))</f>
        <v>--</v>
      </c>
      <c r="C196" s="6" t="str">
        <f>IF(B196="--","",F!F196)</f>
        <v/>
      </c>
      <c r="D196" s="6" t="str">
        <f>IF(ISNUMBER(F!G196)=FALSE,"--",IF(F!G196=0,"--",F!G196))</f>
        <v>--</v>
      </c>
      <c r="E196" s="6" t="str">
        <f>IF(D196="--","",F!H196)</f>
        <v/>
      </c>
      <c r="F196" s="6" t="str">
        <f>IF(ISNUMBER(F!I196)=FALSE,"--",IF(F!I196=0,"--",F!I196))</f>
        <v>--</v>
      </c>
      <c r="G196" s="6" t="str">
        <f>IF(F196="--","",F!J196)</f>
        <v/>
      </c>
      <c r="H196" s="6"/>
      <c r="I196" s="6" t="str">
        <f>IF(F!Z196=-1,-1,F!AV196)</f>
        <v/>
      </c>
      <c r="J196" s="6"/>
      <c r="K196" s="6" t="str">
        <f>IF(F!AC196=-1,-1,F!AX196)</f>
        <v/>
      </c>
      <c r="L196" s="6"/>
      <c r="M196" s="6" t="str">
        <f>IF(F!AF196=-1,-1,F!AZ196)</f>
        <v/>
      </c>
      <c r="N196" s="6"/>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6" t="str">
        <f t="shared" si="67"/>
        <v/>
      </c>
      <c r="R196" s="5" t="str">
        <f>IF($B196="--","",IF($P196="toetsen",toetsen(F!$B196,Q196),IF($P196="toetsen alleen IW",toetsen_alleen_IW(F!$B196,Q196),IF($P196="toetsen alleen LN",toetsen_alleen_LN(F!$B196,Q196),IF($P196="toetsen geen MV en SV",toetsen_geen_MV_en_SV(F!$B196,Q196),IF($P196="toetsen alleen MV en SV",toetsen_alleen_MV_en_SV(F!$B196,Q196),""))))))</f>
        <v/>
      </c>
      <c r="S196" s="5" t="str">
        <f>IF($P196="toetsen",IF(OR(Q196="",VLOOKUP(F!$B196,E!$B$1:$AK$300,10,FALSE)=1000000000),"",IF(Q196&lt;=VLOOKUP(F!$B196,E!$B$1:$AK$300,10,FALSE),"ja","nee")),"")</f>
        <v/>
      </c>
      <c r="T196" s="87" t="str">
        <f t="shared" si="62"/>
        <v/>
      </c>
      <c r="U196" s="5" t="str">
        <f>IF($D196="--","",IF($P196="toetsen",toetsen(F!$B196,T196),IF($P196="toetsen alleen IW",toetsen_alleen_IW(F!$B196,T196),IF($P196="toetsen alleen LN",toetsen_alleen_LN(F!$B196,T196),IF($P196="toetsen geen MV en SV",toetsen_geen_MV_en_SV(F!$B196,T196),IF($P196="toetsen alleen MV en SV",toetsen_alleen_MV_en_SV(F!$B196,T196),""))))))</f>
        <v/>
      </c>
      <c r="V196" s="5" t="str">
        <f>IF($P196="toetsen",IF(OR(T196="",VLOOKUP(F!$B196,E!$B$1:$AK$300,10,FALSE)=1000000000),"",IF(T196&lt;=VLOOKUP(F!$B196,E!$B$1:$AK$300,10,FALSE),"ja","nee")),"")</f>
        <v/>
      </c>
      <c r="W196" s="6" t="str">
        <f t="shared" si="63"/>
        <v/>
      </c>
      <c r="X196" s="5" t="str">
        <f>IF($F196="--","",IF($P196="toetsen",toetsen(F!$B196,W196),IF($P196="toetsen alleen IW",toetsen_alleen_IW(F!$B196,W196),IF($P196="toetsen alleen LN",toetsen_alleen_LN(F!$B196,W196),IF($P196="toetsen geen MV en SV",toetsen_geen_MV_en_SV(F!$B196,W196),IF($P196="toetsen alleen MV en SV",toetsen_alleen_MV_en_SV(F!$B196,W196),""))))))</f>
        <v/>
      </c>
      <c r="Y196" s="5" t="str">
        <f>IF($P196="toetsen",IF(OR(W196="",VLOOKUP(F!$B196,E!$B$1:$AK$300,10,FALSE)=1000000000),"",IF(W196&lt;=VLOOKUP(F!$B196,E!$B$1:$AK$300,10,FALSE),"ja","nee")),"")</f>
        <v/>
      </c>
      <c r="AA196" s="4"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6" t="str">
        <f t="shared" si="64"/>
        <v>--</v>
      </c>
      <c r="AJ196" s="6"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6" t="str">
        <f t="shared" si="65"/>
        <v>--</v>
      </c>
      <c r="AL196" s="6"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6" t="str">
        <f t="shared" si="66"/>
        <v>--</v>
      </c>
      <c r="AN196" s="6"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6" t="str">
        <f t="shared" si="53"/>
        <v>--</v>
      </c>
      <c r="AQ196" s="6" t="str">
        <f t="shared" si="54"/>
        <v/>
      </c>
      <c r="AR196" s="6" t="str">
        <f t="shared" si="55"/>
        <v>--</v>
      </c>
      <c r="AS196" s="6" t="str">
        <f t="shared" si="56"/>
        <v/>
      </c>
      <c r="AT196" s="6" t="str">
        <f t="shared" si="57"/>
        <v/>
      </c>
      <c r="AU196" s="6" t="str">
        <f>IFERROR(IF(AR196="--","",IF(HLOOKUP(SMALL($Q$4:$Y$4,3),$Q$4:$Y$501,ROW(AP196)-3,FALSE)=0,"",IF(HLOOKUP(SMALL($Q$4:$Y$4,3),$Q$4:$Y$501,ROW(AP196)-3,FALSE)="nee",VLOOKUP("De kwaliteitseis emissiearme grond (maximale concentratie) wordt overschreden.",H!$O$10:'H'!$P$59,2,FALSE),""))),"")</f>
        <v/>
      </c>
      <c r="AV196" s="6" t="str">
        <f t="shared" si="47"/>
        <v>--</v>
      </c>
      <c r="AW196" s="6" t="str">
        <f t="shared" si="48"/>
        <v/>
      </c>
      <c r="AX196" s="6" t="str">
        <f t="shared" si="49"/>
        <v>--</v>
      </c>
      <c r="AY196" s="6" t="str">
        <f t="shared" si="58"/>
        <v/>
      </c>
      <c r="AZ196" s="6" t="str">
        <f t="shared" si="59"/>
        <v/>
      </c>
      <c r="BA196" s="6" t="str">
        <f>IFERROR(IF(AR196="--","",IF(HLOOKUP(SMALL($Q$4:$Y$4,6),$Q$4:$Y$501,ROW(AP196)-3,FALSE)=0,"",IF(HLOOKUP(SMALL($Q$4:$Y$4,6),$Q$4:$Y$501,ROW(AP196)-3,FALSE)="nee",VLOOKUP("De kwaliteitseis emissiearme grond (maximale concentratie) wordt overschreden.",H!$O$10:'H'!$P$59,2,FALSE),""))),"")</f>
        <v/>
      </c>
      <c r="BB196" s="6" t="str">
        <f t="shared" si="50"/>
        <v>--</v>
      </c>
      <c r="BC196" s="6" t="str">
        <f t="shared" si="51"/>
        <v/>
      </c>
      <c r="BD196" s="6" t="str">
        <f t="shared" si="52"/>
        <v>--</v>
      </c>
      <c r="BE196" s="6" t="str">
        <f t="shared" si="60"/>
        <v/>
      </c>
      <c r="BF196" s="6"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6" t="str">
        <f>IF(ISNUMBER(F!E197)=FALSE,"--",IF(F!E197=0,"--",F!E197))</f>
        <v>--</v>
      </c>
      <c r="C197" s="6" t="str">
        <f>IF(B197="--","",F!F197)</f>
        <v/>
      </c>
      <c r="D197" s="6" t="str">
        <f>IF(ISNUMBER(F!G197)=FALSE,"--",IF(F!G197=0,"--",F!G197))</f>
        <v>--</v>
      </c>
      <c r="E197" s="6" t="str">
        <f>IF(D197="--","",F!H197)</f>
        <v/>
      </c>
      <c r="F197" s="6" t="str">
        <f>IF(ISNUMBER(F!I197)=FALSE,"--",IF(F!I197=0,"--",F!I197))</f>
        <v>--</v>
      </c>
      <c r="G197" s="6" t="str">
        <f>IF(F197="--","",F!J197)</f>
        <v/>
      </c>
      <c r="H197" s="6"/>
      <c r="I197" s="6" t="str">
        <f>IF(F!Z197=-1,-1,F!AV197)</f>
        <v/>
      </c>
      <c r="J197" s="6"/>
      <c r="K197" s="6" t="str">
        <f>IF(F!AC197=-1,-1,F!AX197)</f>
        <v/>
      </c>
      <c r="L197" s="6"/>
      <c r="M197" s="6" t="str">
        <f>IF(F!AF197=-1,-1,F!AZ197)</f>
        <v/>
      </c>
      <c r="N197" s="6"/>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6" t="str">
        <f t="shared" si="67"/>
        <v/>
      </c>
      <c r="R197" s="5" t="str">
        <f>IF($B197="--","",IF($P197="toetsen",toetsen(F!$B197,Q197),IF($P197="toetsen alleen IW",toetsen_alleen_IW(F!$B197,Q197),IF($P197="toetsen alleen LN",toetsen_alleen_LN(F!$B197,Q197),IF($P197="toetsen geen MV en SV",toetsen_geen_MV_en_SV(F!$B197,Q197),IF($P197="toetsen alleen MV en SV",toetsen_alleen_MV_en_SV(F!$B197,Q197),""))))))</f>
        <v/>
      </c>
      <c r="S197" s="5" t="str">
        <f>IF($P197="toetsen",IF(OR(Q197="",VLOOKUP(F!$B197,E!$B$1:$AK$300,10,FALSE)=1000000000),"",IF(Q197&lt;=VLOOKUP(F!$B197,E!$B$1:$AK$300,10,FALSE),"ja","nee")),"")</f>
        <v/>
      </c>
      <c r="T197" s="87" t="str">
        <f t="shared" si="62"/>
        <v/>
      </c>
      <c r="U197" s="5" t="str">
        <f>IF($D197="--","",IF($P197="toetsen",toetsen(F!$B197,T197),IF($P197="toetsen alleen IW",toetsen_alleen_IW(F!$B197,T197),IF($P197="toetsen alleen LN",toetsen_alleen_LN(F!$B197,T197),IF($P197="toetsen geen MV en SV",toetsen_geen_MV_en_SV(F!$B197,T197),IF($P197="toetsen alleen MV en SV",toetsen_alleen_MV_en_SV(F!$B197,T197),""))))))</f>
        <v/>
      </c>
      <c r="V197" s="5" t="str">
        <f>IF($P197="toetsen",IF(OR(T197="",VLOOKUP(F!$B197,E!$B$1:$AK$300,10,FALSE)=1000000000),"",IF(T197&lt;=VLOOKUP(F!$B197,E!$B$1:$AK$300,10,FALSE),"ja","nee")),"")</f>
        <v/>
      </c>
      <c r="W197" s="6" t="str">
        <f t="shared" si="63"/>
        <v/>
      </c>
      <c r="X197" s="5" t="str">
        <f>IF($F197="--","",IF($P197="toetsen",toetsen(F!$B197,W197),IF($P197="toetsen alleen IW",toetsen_alleen_IW(F!$B197,W197),IF($P197="toetsen alleen LN",toetsen_alleen_LN(F!$B197,W197),IF($P197="toetsen geen MV en SV",toetsen_geen_MV_en_SV(F!$B197,W197),IF($P197="toetsen alleen MV en SV",toetsen_alleen_MV_en_SV(F!$B197,W197),""))))))</f>
        <v/>
      </c>
      <c r="Y197" s="5" t="str">
        <f>IF($P197="toetsen",IF(OR(W197="",VLOOKUP(F!$B197,E!$B$1:$AK$300,10,FALSE)=1000000000),"",IF(W197&lt;=VLOOKUP(F!$B197,E!$B$1:$AK$300,10,FALSE),"ja","nee")),"")</f>
        <v/>
      </c>
      <c r="AA197" s="4"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6" t="str">
        <f t="shared" si="64"/>
        <v>--</v>
      </c>
      <c r="AJ197" s="6"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6" t="str">
        <f t="shared" si="65"/>
        <v>--</v>
      </c>
      <c r="AL197" s="6"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6" t="str">
        <f t="shared" si="66"/>
        <v>--</v>
      </c>
      <c r="AN197" s="6"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6" t="str">
        <f t="shared" si="53"/>
        <v>--</v>
      </c>
      <c r="AQ197" s="6" t="str">
        <f t="shared" si="54"/>
        <v/>
      </c>
      <c r="AR197" s="6" t="str">
        <f t="shared" si="55"/>
        <v>--</v>
      </c>
      <c r="AS197" s="6" t="str">
        <f t="shared" si="56"/>
        <v/>
      </c>
      <c r="AT197" s="6" t="str">
        <f t="shared" si="57"/>
        <v/>
      </c>
      <c r="AU197" s="6" t="str">
        <f>IFERROR(IF(AR197="--","",IF(HLOOKUP(SMALL($Q$4:$Y$4,3),$Q$4:$Y$501,ROW(AP197)-3,FALSE)=0,"",IF(HLOOKUP(SMALL($Q$4:$Y$4,3),$Q$4:$Y$501,ROW(AP197)-3,FALSE)="nee",VLOOKUP("De kwaliteitseis emissiearme grond (maximale concentratie) wordt overschreden.",H!$O$10:'H'!$P$59,2,FALSE),""))),"")</f>
        <v/>
      </c>
      <c r="AV197" s="6" t="str">
        <f t="shared" si="47"/>
        <v>--</v>
      </c>
      <c r="AW197" s="6" t="str">
        <f t="shared" si="48"/>
        <v/>
      </c>
      <c r="AX197" s="6" t="str">
        <f t="shared" si="49"/>
        <v>--</v>
      </c>
      <c r="AY197" s="6" t="str">
        <f t="shared" si="58"/>
        <v/>
      </c>
      <c r="AZ197" s="6" t="str">
        <f t="shared" si="59"/>
        <v/>
      </c>
      <c r="BA197" s="6" t="str">
        <f>IFERROR(IF(AR197="--","",IF(HLOOKUP(SMALL($Q$4:$Y$4,6),$Q$4:$Y$501,ROW(AP197)-3,FALSE)=0,"",IF(HLOOKUP(SMALL($Q$4:$Y$4,6),$Q$4:$Y$501,ROW(AP197)-3,FALSE)="nee",VLOOKUP("De kwaliteitseis emissiearme grond (maximale concentratie) wordt overschreden.",H!$O$10:'H'!$P$59,2,FALSE),""))),"")</f>
        <v/>
      </c>
      <c r="BB197" s="6" t="str">
        <f t="shared" si="50"/>
        <v>--</v>
      </c>
      <c r="BC197" s="6" t="str">
        <f t="shared" si="51"/>
        <v/>
      </c>
      <c r="BD197" s="6" t="str">
        <f t="shared" si="52"/>
        <v>--</v>
      </c>
      <c r="BE197" s="6" t="str">
        <f t="shared" si="60"/>
        <v/>
      </c>
      <c r="BF197" s="6"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6" t="str">
        <f>IF(ISNUMBER(F!E198)=FALSE,"--",IF(F!E198=0,"--",F!E198))</f>
        <v>--</v>
      </c>
      <c r="C198" s="6" t="str">
        <f>IF(B198="--","",F!F198)</f>
        <v/>
      </c>
      <c r="D198" s="6" t="str">
        <f>IF(ISNUMBER(F!G198)=FALSE,"--",IF(F!G198=0,"--",F!G198))</f>
        <v>--</v>
      </c>
      <c r="E198" s="6" t="str">
        <f>IF(D198="--","",F!H198)</f>
        <v/>
      </c>
      <c r="F198" s="6" t="str">
        <f>IF(ISNUMBER(F!I198)=FALSE,"--",IF(F!I198=0,"--",F!I198))</f>
        <v>--</v>
      </c>
      <c r="G198" s="6" t="str">
        <f>IF(F198="--","",F!J198)</f>
        <v/>
      </c>
      <c r="H198" s="6"/>
      <c r="I198" s="6" t="str">
        <f>IF(F!Z198=-1,-1,F!AV198)</f>
        <v/>
      </c>
      <c r="J198" s="6"/>
      <c r="K198" s="6" t="str">
        <f>IF(F!AC198=-1,-1,F!AX198)</f>
        <v/>
      </c>
      <c r="L198" s="6"/>
      <c r="M198" s="6" t="str">
        <f>IF(F!AF198=-1,-1,F!AZ198)</f>
        <v/>
      </c>
      <c r="N198" s="6"/>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6" t="str">
        <f t="shared" si="67"/>
        <v/>
      </c>
      <c r="R198" s="5" t="str">
        <f>IF($B198="--","",IF($P198="toetsen",toetsen(F!$B198,Q198),IF($P198="toetsen alleen IW",toetsen_alleen_IW(F!$B198,Q198),IF($P198="toetsen alleen LN",toetsen_alleen_LN(F!$B198,Q198),IF($P198="toetsen geen MV en SV",toetsen_geen_MV_en_SV(F!$B198,Q198),IF($P198="toetsen alleen MV en SV",toetsen_alleen_MV_en_SV(F!$B198,Q198),""))))))</f>
        <v/>
      </c>
      <c r="S198" s="5" t="str">
        <f>IF($P198="toetsen",IF(OR(Q198="",VLOOKUP(F!$B198,E!$B$1:$AK$300,10,FALSE)=1000000000),"",IF(Q198&lt;=VLOOKUP(F!$B198,E!$B$1:$AK$300,10,FALSE),"ja","nee")),"")</f>
        <v/>
      </c>
      <c r="T198" s="87" t="str">
        <f t="shared" si="62"/>
        <v/>
      </c>
      <c r="U198" s="5" t="str">
        <f>IF($D198="--","",IF($P198="toetsen",toetsen(F!$B198,T198),IF($P198="toetsen alleen IW",toetsen_alleen_IW(F!$B198,T198),IF($P198="toetsen alleen LN",toetsen_alleen_LN(F!$B198,T198),IF($P198="toetsen geen MV en SV",toetsen_geen_MV_en_SV(F!$B198,T198),IF($P198="toetsen alleen MV en SV",toetsen_alleen_MV_en_SV(F!$B198,T198),""))))))</f>
        <v/>
      </c>
      <c r="V198" s="5" t="str">
        <f>IF($P198="toetsen",IF(OR(T198="",VLOOKUP(F!$B198,E!$B$1:$AK$300,10,FALSE)=1000000000),"",IF(T198&lt;=VLOOKUP(F!$B198,E!$B$1:$AK$300,10,FALSE),"ja","nee")),"")</f>
        <v/>
      </c>
      <c r="W198" s="6" t="str">
        <f t="shared" si="63"/>
        <v/>
      </c>
      <c r="X198" s="5" t="str">
        <f>IF($F198="--","",IF($P198="toetsen",toetsen(F!$B198,W198),IF($P198="toetsen alleen IW",toetsen_alleen_IW(F!$B198,W198),IF($P198="toetsen alleen LN",toetsen_alleen_LN(F!$B198,W198),IF($P198="toetsen geen MV en SV",toetsen_geen_MV_en_SV(F!$B198,W198),IF($P198="toetsen alleen MV en SV",toetsen_alleen_MV_en_SV(F!$B198,W198),""))))))</f>
        <v/>
      </c>
      <c r="Y198" s="5" t="str">
        <f>IF($P198="toetsen",IF(OR(W198="",VLOOKUP(F!$B198,E!$B$1:$AK$300,10,FALSE)=1000000000),"",IF(W198&lt;=VLOOKUP(F!$B198,E!$B$1:$AK$300,10,FALSE),"ja","nee")),"")</f>
        <v/>
      </c>
      <c r="AA198" s="4"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6" t="str">
        <f t="shared" si="64"/>
        <v>--</v>
      </c>
      <c r="AJ198" s="6"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6" t="str">
        <f t="shared" si="65"/>
        <v>--</v>
      </c>
      <c r="AL198" s="6"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6" t="str">
        <f t="shared" si="66"/>
        <v>--</v>
      </c>
      <c r="AN198" s="6"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6" t="str">
        <f t="shared" si="53"/>
        <v>--</v>
      </c>
      <c r="AQ198" s="6" t="str">
        <f t="shared" si="54"/>
        <v/>
      </c>
      <c r="AR198" s="6" t="str">
        <f t="shared" si="55"/>
        <v>--</v>
      </c>
      <c r="AS198" s="6" t="str">
        <f t="shared" si="56"/>
        <v/>
      </c>
      <c r="AT198" s="6" t="str">
        <f t="shared" si="57"/>
        <v/>
      </c>
      <c r="AU198" s="6" t="str">
        <f>IFERROR(IF(AR198="--","",IF(HLOOKUP(SMALL($Q$4:$Y$4,3),$Q$4:$Y$501,ROW(AP198)-3,FALSE)=0,"",IF(HLOOKUP(SMALL($Q$4:$Y$4,3),$Q$4:$Y$501,ROW(AP198)-3,FALSE)="nee",VLOOKUP("De kwaliteitseis emissiearme grond (maximale concentratie) wordt overschreden.",H!$O$10:'H'!$P$59,2,FALSE),""))),"")</f>
        <v/>
      </c>
      <c r="AV198" s="6" t="str">
        <f t="shared" si="47"/>
        <v>--</v>
      </c>
      <c r="AW198" s="6" t="str">
        <f t="shared" si="48"/>
        <v/>
      </c>
      <c r="AX198" s="6" t="str">
        <f t="shared" si="49"/>
        <v>--</v>
      </c>
      <c r="AY198" s="6" t="str">
        <f t="shared" si="58"/>
        <v/>
      </c>
      <c r="AZ198" s="6" t="str">
        <f t="shared" si="59"/>
        <v/>
      </c>
      <c r="BA198" s="6" t="str">
        <f>IFERROR(IF(AR198="--","",IF(HLOOKUP(SMALL($Q$4:$Y$4,6),$Q$4:$Y$501,ROW(AP198)-3,FALSE)=0,"",IF(HLOOKUP(SMALL($Q$4:$Y$4,6),$Q$4:$Y$501,ROW(AP198)-3,FALSE)="nee",VLOOKUP("De kwaliteitseis emissiearme grond (maximale concentratie) wordt overschreden.",H!$O$10:'H'!$P$59,2,FALSE),""))),"")</f>
        <v/>
      </c>
      <c r="BB198" s="6" t="str">
        <f t="shared" si="50"/>
        <v>--</v>
      </c>
      <c r="BC198" s="6" t="str">
        <f t="shared" si="51"/>
        <v/>
      </c>
      <c r="BD198" s="6" t="str">
        <f t="shared" si="52"/>
        <v>--</v>
      </c>
      <c r="BE198" s="6" t="str">
        <f t="shared" si="60"/>
        <v/>
      </c>
      <c r="BF198" s="6"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6" t="str">
        <f>IF(ISNUMBER(F!E199)=FALSE,"--",IF(F!E199=0,"--",F!E199))</f>
        <v>--</v>
      </c>
      <c r="C199" s="6" t="str">
        <f>IF(B199="--","",F!F199)</f>
        <v/>
      </c>
      <c r="D199" s="6" t="str">
        <f>IF(ISNUMBER(F!G199)=FALSE,"--",IF(F!G199=0,"--",F!G199))</f>
        <v>--</v>
      </c>
      <c r="E199" s="6" t="str">
        <f>IF(D199="--","",F!H199)</f>
        <v/>
      </c>
      <c r="F199" s="6" t="str">
        <f>IF(ISNUMBER(F!I199)=FALSE,"--",IF(F!I199=0,"--",F!I199))</f>
        <v>--</v>
      </c>
      <c r="G199" s="6" t="str">
        <f>IF(F199="--","",F!J199)</f>
        <v/>
      </c>
      <c r="H199" s="6"/>
      <c r="I199" s="6" t="str">
        <f>IF(F!Z199=-1,-1,F!AV199)</f>
        <v/>
      </c>
      <c r="J199" s="6"/>
      <c r="K199" s="6" t="str">
        <f>IF(F!AC199=-1,-1,F!AX199)</f>
        <v/>
      </c>
      <c r="L199" s="6"/>
      <c r="M199" s="6" t="str">
        <f>IF(F!AF199=-1,-1,F!AZ199)</f>
        <v/>
      </c>
      <c r="N199" s="6"/>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6" t="str">
        <f t="shared" si="67"/>
        <v/>
      </c>
      <c r="R199" s="5" t="str">
        <f>IF($B199="--","",IF($P199="toetsen",toetsen(F!$B199,Q199),IF($P199="toetsen alleen IW",toetsen_alleen_IW(F!$B199,Q199),IF($P199="toetsen alleen LN",toetsen_alleen_LN(F!$B199,Q199),IF($P199="toetsen geen MV en SV",toetsen_geen_MV_en_SV(F!$B199,Q199),IF($P199="toetsen alleen MV en SV",toetsen_alleen_MV_en_SV(F!$B199,Q199),""))))))</f>
        <v/>
      </c>
      <c r="S199" s="5" t="str">
        <f>IF($P199="toetsen",IF(OR(Q199="",VLOOKUP(F!$B199,E!$B$1:$AK$300,10,FALSE)=1000000000),"",IF(Q199&lt;=VLOOKUP(F!$B199,E!$B$1:$AK$300,10,FALSE),"ja","nee")),"")</f>
        <v/>
      </c>
      <c r="T199" s="87" t="str">
        <f t="shared" si="62"/>
        <v/>
      </c>
      <c r="U199" s="5" t="str">
        <f>IF($D199="--","",IF($P199="toetsen",toetsen(F!$B199,T199),IF($P199="toetsen alleen IW",toetsen_alleen_IW(F!$B199,T199),IF($P199="toetsen alleen LN",toetsen_alleen_LN(F!$B199,T199),IF($P199="toetsen geen MV en SV",toetsen_geen_MV_en_SV(F!$B199,T199),IF($P199="toetsen alleen MV en SV",toetsen_alleen_MV_en_SV(F!$B199,T199),""))))))</f>
        <v/>
      </c>
      <c r="V199" s="5" t="str">
        <f>IF($P199="toetsen",IF(OR(T199="",VLOOKUP(F!$B199,E!$B$1:$AK$300,10,FALSE)=1000000000),"",IF(T199&lt;=VLOOKUP(F!$B199,E!$B$1:$AK$300,10,FALSE),"ja","nee")),"")</f>
        <v/>
      </c>
      <c r="W199" s="6" t="str">
        <f t="shared" si="63"/>
        <v/>
      </c>
      <c r="X199" s="5" t="str">
        <f>IF($F199="--","",IF($P199="toetsen",toetsen(F!$B199,W199),IF($P199="toetsen alleen IW",toetsen_alleen_IW(F!$B199,W199),IF($P199="toetsen alleen LN",toetsen_alleen_LN(F!$B199,W199),IF($P199="toetsen geen MV en SV",toetsen_geen_MV_en_SV(F!$B199,W199),IF($P199="toetsen alleen MV en SV",toetsen_alleen_MV_en_SV(F!$B199,W199),""))))))</f>
        <v/>
      </c>
      <c r="Y199" s="5" t="str">
        <f>IF($P199="toetsen",IF(OR(W199="",VLOOKUP(F!$B199,E!$B$1:$AK$300,10,FALSE)=1000000000),"",IF(W199&lt;=VLOOKUP(F!$B199,E!$B$1:$AK$300,10,FALSE),"ja","nee")),"")</f>
        <v/>
      </c>
      <c r="AA199" s="4"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6" t="str">
        <f t="shared" si="64"/>
        <v>--</v>
      </c>
      <c r="AJ199" s="6"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6" t="str">
        <f t="shared" si="65"/>
        <v>--</v>
      </c>
      <c r="AL199" s="6"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6" t="str">
        <f t="shared" si="66"/>
        <v>--</v>
      </c>
      <c r="AN199" s="6"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6" t="str">
        <f t="shared" si="53"/>
        <v>--</v>
      </c>
      <c r="AQ199" s="6" t="str">
        <f t="shared" si="54"/>
        <v/>
      </c>
      <c r="AR199" s="6" t="str">
        <f t="shared" si="55"/>
        <v>--</v>
      </c>
      <c r="AS199" s="6" t="str">
        <f t="shared" si="56"/>
        <v/>
      </c>
      <c r="AT199" s="6" t="str">
        <f t="shared" si="57"/>
        <v/>
      </c>
      <c r="AU199" s="6" t="str">
        <f>IFERROR(IF(AR199="--","",IF(HLOOKUP(SMALL($Q$4:$Y$4,3),$Q$4:$Y$501,ROW(AP199)-3,FALSE)=0,"",IF(HLOOKUP(SMALL($Q$4:$Y$4,3),$Q$4:$Y$501,ROW(AP199)-3,FALSE)="nee",VLOOKUP("De kwaliteitseis emissiearme grond (maximale concentratie) wordt overschreden.",H!$O$10:'H'!$P$59,2,FALSE),""))),"")</f>
        <v/>
      </c>
      <c r="AV199" s="6" t="str">
        <f t="shared" ref="AV199:AV262" si="68">HLOOKUP(SMALL($AI$4:$AN$4,3),$AI$4:$AN$501,ROW(AP199)-3,FALSE)</f>
        <v>--</v>
      </c>
      <c r="AW199" s="6" t="str">
        <f t="shared" ref="AW199:AW262" si="69">IF(HLOOKUP(SMALL($C$4:$G$4,2),$C$4:$G$501,ROW(AP199)-3,FALSE)="&lt;","&lt;","")</f>
        <v/>
      </c>
      <c r="AX199" s="6" t="str">
        <f t="shared" ref="AX199:AX262" si="70">HLOOKUP(SMALL($AI$4:$AN$4,4),$AI$4:$AN$501,ROW(AP199)-3,FALSE)</f>
        <v>--</v>
      </c>
      <c r="AY199" s="6" t="str">
        <f t="shared" si="58"/>
        <v/>
      </c>
      <c r="AZ199" s="6" t="str">
        <f t="shared" si="59"/>
        <v/>
      </c>
      <c r="BA199" s="6" t="str">
        <f>IFERROR(IF(AR199="--","",IF(HLOOKUP(SMALL($Q$4:$Y$4,6),$Q$4:$Y$501,ROW(AP199)-3,FALSE)=0,"",IF(HLOOKUP(SMALL($Q$4:$Y$4,6),$Q$4:$Y$501,ROW(AP199)-3,FALSE)="nee",VLOOKUP("De kwaliteitseis emissiearme grond (maximale concentratie) wordt overschreden.",H!$O$10:'H'!$P$59,2,FALSE),""))),"")</f>
        <v/>
      </c>
      <c r="BB199" s="6" t="str">
        <f t="shared" ref="BB199:BB262" si="71">HLOOKUP(SMALL($AI$4:$AN$4,5),$AI$4:$AN$501,ROW(AP199)-3,FALSE)</f>
        <v>--</v>
      </c>
      <c r="BC199" s="6" t="str">
        <f t="shared" ref="BC199:BC262" si="72">IF(HLOOKUP(SMALL($C$4:$G$4,3),$C$4:$G$501,ROW(AP199)-3,FALSE)="&lt;","&lt;","")</f>
        <v/>
      </c>
      <c r="BD199" s="6" t="str">
        <f t="shared" ref="BD199:BD262" si="73">HLOOKUP(SMALL($AI$4:$AN$4,6),$AI$4:$AN$501,ROW(AP199)-3,FALSE)</f>
        <v>--</v>
      </c>
      <c r="BE199" s="6" t="str">
        <f t="shared" si="60"/>
        <v/>
      </c>
      <c r="BF199" s="6"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6" t="str">
        <f>IF(ISNUMBER(F!E200)=FALSE,"--",IF(F!E200=0,"--",F!E200))</f>
        <v>--</v>
      </c>
      <c r="C200" s="6" t="str">
        <f>IF(B200="--","",F!F200)</f>
        <v/>
      </c>
      <c r="D200" s="6" t="str">
        <f>IF(ISNUMBER(F!G200)=FALSE,"--",IF(F!G200=0,"--",F!G200))</f>
        <v>--</v>
      </c>
      <c r="E200" s="6" t="str">
        <f>IF(D200="--","",F!H200)</f>
        <v/>
      </c>
      <c r="F200" s="6" t="str">
        <f>IF(ISNUMBER(F!I200)=FALSE,"--",IF(F!I200=0,"--",F!I200))</f>
        <v>--</v>
      </c>
      <c r="G200" s="6" t="str">
        <f>IF(F200="--","",F!J200)</f>
        <v/>
      </c>
      <c r="H200" s="6"/>
      <c r="I200" s="6" t="str">
        <f>IF(F!Z200=-1,-1,F!AV200)</f>
        <v/>
      </c>
      <c r="J200" s="6"/>
      <c r="K200" s="6" t="str">
        <f>IF(F!AC200=-1,-1,F!AX200)</f>
        <v/>
      </c>
      <c r="L200" s="6"/>
      <c r="M200" s="6" t="str">
        <f>IF(F!AF200=-1,-1,F!AZ200)</f>
        <v/>
      </c>
      <c r="N200" s="6"/>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6" t="str">
        <f t="shared" si="67"/>
        <v/>
      </c>
      <c r="R200" s="5" t="str">
        <f>IF($B200="--","",IF($P200="toetsen",toetsen(F!$B200,Q200),IF($P200="toetsen alleen IW",toetsen_alleen_IW(F!$B200,Q200),IF($P200="toetsen alleen LN",toetsen_alleen_LN(F!$B200,Q200),IF($P200="toetsen geen MV en SV",toetsen_geen_MV_en_SV(F!$B200,Q200),IF($P200="toetsen alleen MV en SV",toetsen_alleen_MV_en_SV(F!$B200,Q200),""))))))</f>
        <v/>
      </c>
      <c r="S200" s="5" t="str">
        <f>IF($P200="toetsen",IF(OR(Q200="",VLOOKUP(F!$B200,E!$B$1:$AK$300,10,FALSE)=1000000000),"",IF(Q200&lt;=VLOOKUP(F!$B200,E!$B$1:$AK$300,10,FALSE),"ja","nee")),"")</f>
        <v/>
      </c>
      <c r="T200" s="87" t="str">
        <f t="shared" si="62"/>
        <v/>
      </c>
      <c r="U200" s="5" t="str">
        <f>IF($D200="--","",IF($P200="toetsen",toetsen(F!$B200,T200),IF($P200="toetsen alleen IW",toetsen_alleen_IW(F!$B200,T200),IF($P200="toetsen alleen LN",toetsen_alleen_LN(F!$B200,T200),IF($P200="toetsen geen MV en SV",toetsen_geen_MV_en_SV(F!$B200,T200),IF($P200="toetsen alleen MV en SV",toetsen_alleen_MV_en_SV(F!$B200,T200),""))))))</f>
        <v/>
      </c>
      <c r="V200" s="5" t="str">
        <f>IF($P200="toetsen",IF(OR(T200="",VLOOKUP(F!$B200,E!$B$1:$AK$300,10,FALSE)=1000000000),"",IF(T200&lt;=VLOOKUP(F!$B200,E!$B$1:$AK$300,10,FALSE),"ja","nee")),"")</f>
        <v/>
      </c>
      <c r="W200" s="6" t="str">
        <f t="shared" si="63"/>
        <v/>
      </c>
      <c r="X200" s="5" t="str">
        <f>IF($F200="--","",IF($P200="toetsen",toetsen(F!$B200,W200),IF($P200="toetsen alleen IW",toetsen_alleen_IW(F!$B200,W200),IF($P200="toetsen alleen LN",toetsen_alleen_LN(F!$B200,W200),IF($P200="toetsen geen MV en SV",toetsen_geen_MV_en_SV(F!$B200,W200),IF($P200="toetsen alleen MV en SV",toetsen_alleen_MV_en_SV(F!$B200,W200),""))))))</f>
        <v/>
      </c>
      <c r="Y200" s="5" t="str">
        <f>IF($P200="toetsen",IF(OR(W200="",VLOOKUP(F!$B200,E!$B$1:$AK$300,10,FALSE)=1000000000),"",IF(W200&lt;=VLOOKUP(F!$B200,E!$B$1:$AK$300,10,FALSE),"ja","nee")),"")</f>
        <v/>
      </c>
      <c r="AA200" s="4"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6" t="str">
        <f t="shared" si="64"/>
        <v>--</v>
      </c>
      <c r="AJ200" s="6"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6" t="str">
        <f t="shared" si="65"/>
        <v>--</v>
      </c>
      <c r="AL200" s="6"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6" t="str">
        <f t="shared" si="66"/>
        <v>--</v>
      </c>
      <c r="AN200" s="6"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6" t="str">
        <f t="shared" ref="AP200:AP263" si="74">HLOOKUP(SMALL($AI$4:$AN$4,1),$AI$4:$AN$501,ROW(AP200)-3,FALSE)</f>
        <v>--</v>
      </c>
      <c r="AQ200" s="6" t="str">
        <f t="shared" ref="AQ200:AQ263" si="75">IF(HLOOKUP(SMALL($C$4:$G$4,1),$C$4:$G$501,ROW(AP200)-3,FALSE)="&lt;","&lt;","")</f>
        <v/>
      </c>
      <c r="AR200" s="6" t="str">
        <f t="shared" ref="AR200:AR263" si="76">HLOOKUP(SMALL($AI$4:$AN$4,2),$AI$4:$AN$501,ROW(AP200)-3,FALSE)</f>
        <v>--</v>
      </c>
      <c r="AS200" s="6" t="str">
        <f t="shared" ref="AS200:AS263" si="77">IF(AR200="rg","&lt;","")</f>
        <v/>
      </c>
      <c r="AT200" s="6" t="str">
        <f t="shared" ref="AT200:AT263" si="78">IF(AR200="--","",IF(HLOOKUP(SMALL($Q$4:$Y$4,2),$Q$4:$Y$501,ROW(AP200)-3,FALSE)=0,"",HLOOKUP(SMALL($Q$4:$Y$4,2),$Q$4:$Y$501,ROW(AP200)-3,FALSE)))</f>
        <v/>
      </c>
      <c r="AU200" s="6" t="str">
        <f>IFERROR(IF(AR200="--","",IF(HLOOKUP(SMALL($Q$4:$Y$4,3),$Q$4:$Y$501,ROW(AP200)-3,FALSE)=0,"",IF(HLOOKUP(SMALL($Q$4:$Y$4,3),$Q$4:$Y$501,ROW(AP200)-3,FALSE)="nee",VLOOKUP("De kwaliteitseis emissiearme grond (maximale concentratie) wordt overschreden.",H!$O$10:'H'!$P$59,2,FALSE),""))),"")</f>
        <v/>
      </c>
      <c r="AV200" s="6" t="str">
        <f t="shared" si="68"/>
        <v>--</v>
      </c>
      <c r="AW200" s="6" t="str">
        <f t="shared" si="69"/>
        <v/>
      </c>
      <c r="AX200" s="6" t="str">
        <f t="shared" si="70"/>
        <v>--</v>
      </c>
      <c r="AY200" s="6" t="str">
        <f t="shared" ref="AY200:AY263" si="79">IF(AX200="rg","&lt;","")</f>
        <v/>
      </c>
      <c r="AZ200" s="6" t="str">
        <f t="shared" ref="AZ200:AZ263" si="80">IF(AX200="--","",IF(HLOOKUP(SMALL($Q$4:$Y$4,5),$Q$4:$Y$501,ROW(AP200)-3,FALSE)=0,"",HLOOKUP(SMALL($Q$4:$Y$4,5),$Q$4:$Y$501,ROW(AP200)-3,FALSE)))</f>
        <v/>
      </c>
      <c r="BA200" s="6" t="str">
        <f>IFERROR(IF(AR200="--","",IF(HLOOKUP(SMALL($Q$4:$Y$4,6),$Q$4:$Y$501,ROW(AP200)-3,FALSE)=0,"",IF(HLOOKUP(SMALL($Q$4:$Y$4,6),$Q$4:$Y$501,ROW(AP200)-3,FALSE)="nee",VLOOKUP("De kwaliteitseis emissiearme grond (maximale concentratie) wordt overschreden.",H!$O$10:'H'!$P$59,2,FALSE),""))),"")</f>
        <v/>
      </c>
      <c r="BB200" s="6" t="str">
        <f t="shared" si="71"/>
        <v>--</v>
      </c>
      <c r="BC200" s="6" t="str">
        <f t="shared" si="72"/>
        <v/>
      </c>
      <c r="BD200" s="6" t="str">
        <f t="shared" si="73"/>
        <v>--</v>
      </c>
      <c r="BE200" s="6" t="str">
        <f t="shared" ref="BE200:BE263" si="81">IF(BD200="rg","&lt;","")</f>
        <v/>
      </c>
      <c r="BF200" s="6"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6" t="str">
        <f>IF(ISNUMBER(F!E201)=FALSE,"--",IF(F!E201=0,"--",F!E201))</f>
        <v>--</v>
      </c>
      <c r="C201" s="6" t="str">
        <f>IF(B201="--","",F!F201)</f>
        <v/>
      </c>
      <c r="D201" s="6" t="str">
        <f>IF(ISNUMBER(F!G201)=FALSE,"--",IF(F!G201=0,"--",F!G201))</f>
        <v>--</v>
      </c>
      <c r="E201" s="6" t="str">
        <f>IF(D201="--","",F!H201)</f>
        <v/>
      </c>
      <c r="F201" s="6" t="str">
        <f>IF(ISNUMBER(F!I201)=FALSE,"--",IF(F!I201=0,"--",F!I201))</f>
        <v>--</v>
      </c>
      <c r="G201" s="6" t="str">
        <f>IF(F201="--","",F!J201)</f>
        <v/>
      </c>
      <c r="H201" s="6"/>
      <c r="I201" s="6" t="str">
        <f>IF(F!Z201=-1,-1,F!AV201)</f>
        <v/>
      </c>
      <c r="J201" s="6"/>
      <c r="K201" s="6" t="str">
        <f>IF(F!AC201=-1,-1,F!AX201)</f>
        <v/>
      </c>
      <c r="L201" s="6"/>
      <c r="M201" s="6" t="str">
        <f>IF(F!AF201=-1,-1,F!AZ201)</f>
        <v/>
      </c>
      <c r="N201" s="6"/>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6" t="str">
        <f t="shared" si="67"/>
        <v/>
      </c>
      <c r="R201" s="5" t="str">
        <f>IF($B201="--","",IF($P201="toetsen",toetsen(F!$B201,Q201),IF($P201="toetsen alleen IW",toetsen_alleen_IW(F!$B201,Q201),IF($P201="toetsen alleen LN",toetsen_alleen_LN(F!$B201,Q201),IF($P201="toetsen geen MV en SV",toetsen_geen_MV_en_SV(F!$B201,Q201),IF($P201="toetsen alleen MV en SV",toetsen_alleen_MV_en_SV(F!$B201,Q201),""))))))</f>
        <v/>
      </c>
      <c r="S201" s="5" t="str">
        <f>IF($P201="toetsen",IF(OR(Q201="",VLOOKUP(F!$B201,E!$B$1:$AK$300,10,FALSE)=1000000000),"",IF(Q201&lt;=VLOOKUP(F!$B201,E!$B$1:$AK$300,10,FALSE),"ja","nee")),"")</f>
        <v/>
      </c>
      <c r="T201" s="87" t="str">
        <f t="shared" si="62"/>
        <v/>
      </c>
      <c r="U201" s="5" t="str">
        <f>IF($D201="--","",IF($P201="toetsen",toetsen(F!$B201,T201),IF($P201="toetsen alleen IW",toetsen_alleen_IW(F!$B201,T201),IF($P201="toetsen alleen LN",toetsen_alleen_LN(F!$B201,T201),IF($P201="toetsen geen MV en SV",toetsen_geen_MV_en_SV(F!$B201,T201),IF($P201="toetsen alleen MV en SV",toetsen_alleen_MV_en_SV(F!$B201,T201),""))))))</f>
        <v/>
      </c>
      <c r="V201" s="5" t="str">
        <f>IF($P201="toetsen",IF(OR(T201="",VLOOKUP(F!$B201,E!$B$1:$AK$300,10,FALSE)=1000000000),"",IF(T201&lt;=VLOOKUP(F!$B201,E!$B$1:$AK$300,10,FALSE),"ja","nee")),"")</f>
        <v/>
      </c>
      <c r="W201" s="6" t="str">
        <f t="shared" si="63"/>
        <v/>
      </c>
      <c r="X201" s="5" t="str">
        <f>IF($F201="--","",IF($P201="toetsen",toetsen(F!$B201,W201),IF($P201="toetsen alleen IW",toetsen_alleen_IW(F!$B201,W201),IF($P201="toetsen alleen LN",toetsen_alleen_LN(F!$B201,W201),IF($P201="toetsen geen MV en SV",toetsen_geen_MV_en_SV(F!$B201,W201),IF($P201="toetsen alleen MV en SV",toetsen_alleen_MV_en_SV(F!$B201,W201),""))))))</f>
        <v/>
      </c>
      <c r="Y201" s="5" t="str">
        <f>IF($P201="toetsen",IF(OR(W201="",VLOOKUP(F!$B201,E!$B$1:$AK$300,10,FALSE)=1000000000),"",IF(W201&lt;=VLOOKUP(F!$B201,E!$B$1:$AK$300,10,FALSE),"ja","nee")),"")</f>
        <v/>
      </c>
      <c r="AA201" s="4"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6" t="str">
        <f t="shared" si="64"/>
        <v>--</v>
      </c>
      <c r="AJ201" s="6"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6" t="str">
        <f t="shared" si="65"/>
        <v>--</v>
      </c>
      <c r="AL201" s="6"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6" t="str">
        <f t="shared" si="66"/>
        <v>--</v>
      </c>
      <c r="AN201" s="6"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6" t="str">
        <f t="shared" si="74"/>
        <v>--</v>
      </c>
      <c r="AQ201" s="6" t="str">
        <f t="shared" si="75"/>
        <v/>
      </c>
      <c r="AR201" s="6" t="str">
        <f t="shared" si="76"/>
        <v>--</v>
      </c>
      <c r="AS201" s="6" t="str">
        <f t="shared" si="77"/>
        <v/>
      </c>
      <c r="AT201" s="6" t="str">
        <f t="shared" si="78"/>
        <v/>
      </c>
      <c r="AU201" s="6" t="str">
        <f>IFERROR(IF(AR201="--","",IF(HLOOKUP(SMALL($Q$4:$Y$4,3),$Q$4:$Y$501,ROW(AP201)-3,FALSE)=0,"",IF(HLOOKUP(SMALL($Q$4:$Y$4,3),$Q$4:$Y$501,ROW(AP201)-3,FALSE)="nee",VLOOKUP("De kwaliteitseis emissiearme grond (maximale concentratie) wordt overschreden.",H!$O$10:'H'!$P$59,2,FALSE),""))),"")</f>
        <v/>
      </c>
      <c r="AV201" s="6" t="str">
        <f t="shared" si="68"/>
        <v>--</v>
      </c>
      <c r="AW201" s="6" t="str">
        <f t="shared" si="69"/>
        <v/>
      </c>
      <c r="AX201" s="6" t="str">
        <f t="shared" si="70"/>
        <v>--</v>
      </c>
      <c r="AY201" s="6" t="str">
        <f t="shared" si="79"/>
        <v/>
      </c>
      <c r="AZ201" s="6" t="str">
        <f t="shared" si="80"/>
        <v/>
      </c>
      <c r="BA201" s="6" t="str">
        <f>IFERROR(IF(AR201="--","",IF(HLOOKUP(SMALL($Q$4:$Y$4,6),$Q$4:$Y$501,ROW(AP201)-3,FALSE)=0,"",IF(HLOOKUP(SMALL($Q$4:$Y$4,6),$Q$4:$Y$501,ROW(AP201)-3,FALSE)="nee",VLOOKUP("De kwaliteitseis emissiearme grond (maximale concentratie) wordt overschreden.",H!$O$10:'H'!$P$59,2,FALSE),""))),"")</f>
        <v/>
      </c>
      <c r="BB201" s="6" t="str">
        <f t="shared" si="71"/>
        <v>--</v>
      </c>
      <c r="BC201" s="6" t="str">
        <f t="shared" si="72"/>
        <v/>
      </c>
      <c r="BD201" s="6" t="str">
        <f t="shared" si="73"/>
        <v>--</v>
      </c>
      <c r="BE201" s="6" t="str">
        <f t="shared" si="81"/>
        <v/>
      </c>
      <c r="BF201" s="6"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6" t="str">
        <f>IF(ISNUMBER(F!E202)=FALSE,"--",IF(F!E202=0,"--",F!E202))</f>
        <v>--</v>
      </c>
      <c r="C202" s="6" t="str">
        <f>IF(B202="--","",F!F202)</f>
        <v/>
      </c>
      <c r="D202" s="6" t="str">
        <f>IF(ISNUMBER(F!G202)=FALSE,"--",IF(F!G202=0,"--",F!G202))</f>
        <v>--</v>
      </c>
      <c r="E202" s="6" t="str">
        <f>IF(D202="--","",F!H202)</f>
        <v/>
      </c>
      <c r="F202" s="6" t="str">
        <f>IF(ISNUMBER(F!I202)=FALSE,"--",IF(F!I202=0,"--",F!I202))</f>
        <v>--</v>
      </c>
      <c r="G202" s="6" t="str">
        <f>IF(F202="--","",F!J202)</f>
        <v/>
      </c>
      <c r="H202" s="6"/>
      <c r="I202" s="6" t="str">
        <f>IF(F!Z202=-1,-1,F!AV202)</f>
        <v/>
      </c>
      <c r="J202" s="6"/>
      <c r="K202" s="6" t="str">
        <f>IF(F!AC202=-1,-1,F!AX202)</f>
        <v/>
      </c>
      <c r="L202" s="6"/>
      <c r="M202" s="6" t="str">
        <f>IF(F!AF202=-1,-1,F!AZ202)</f>
        <v/>
      </c>
      <c r="N202" s="6"/>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6" t="str">
        <f t="shared" si="67"/>
        <v/>
      </c>
      <c r="R202" s="5" t="str">
        <f>IF($B202="--","",IF($P202="toetsen",toetsen(F!$B202,Q202),IF($P202="toetsen alleen IW",toetsen_alleen_IW(F!$B202,Q202),IF($P202="toetsen alleen LN",toetsen_alleen_LN(F!$B202,Q202),IF($P202="toetsen geen MV en SV",toetsen_geen_MV_en_SV(F!$B202,Q202),IF($P202="toetsen alleen MV en SV",toetsen_alleen_MV_en_SV(F!$B202,Q202),""))))))</f>
        <v/>
      </c>
      <c r="S202" s="5" t="str">
        <f>IF($P202="toetsen",IF(OR(Q202="",VLOOKUP(F!$B202,E!$B$1:$AK$300,10,FALSE)=1000000000),"",IF(Q202&lt;=VLOOKUP(F!$B202,E!$B$1:$AK$300,10,FALSE),"ja","nee")),"")</f>
        <v/>
      </c>
      <c r="T202" s="87" t="str">
        <f t="shared" si="62"/>
        <v/>
      </c>
      <c r="U202" s="5" t="str">
        <f>IF($D202="--","",IF($P202="toetsen",toetsen(F!$B202,T202),IF($P202="toetsen alleen IW",toetsen_alleen_IW(F!$B202,T202),IF($P202="toetsen alleen LN",toetsen_alleen_LN(F!$B202,T202),IF($P202="toetsen geen MV en SV",toetsen_geen_MV_en_SV(F!$B202,T202),IF($P202="toetsen alleen MV en SV",toetsen_alleen_MV_en_SV(F!$B202,T202),""))))))</f>
        <v/>
      </c>
      <c r="V202" s="5" t="str">
        <f>IF($P202="toetsen",IF(OR(T202="",VLOOKUP(F!$B202,E!$B$1:$AK$300,10,FALSE)=1000000000),"",IF(T202&lt;=VLOOKUP(F!$B202,E!$B$1:$AK$300,10,FALSE),"ja","nee")),"")</f>
        <v/>
      </c>
      <c r="W202" s="6" t="str">
        <f t="shared" si="63"/>
        <v/>
      </c>
      <c r="X202" s="5" t="str">
        <f>IF($F202="--","",IF($P202="toetsen",toetsen(F!$B202,W202),IF($P202="toetsen alleen IW",toetsen_alleen_IW(F!$B202,W202),IF($P202="toetsen alleen LN",toetsen_alleen_LN(F!$B202,W202),IF($P202="toetsen geen MV en SV",toetsen_geen_MV_en_SV(F!$B202,W202),IF($P202="toetsen alleen MV en SV",toetsen_alleen_MV_en_SV(F!$B202,W202),""))))))</f>
        <v/>
      </c>
      <c r="Y202" s="5" t="str">
        <f>IF($P202="toetsen",IF(OR(W202="",VLOOKUP(F!$B202,E!$B$1:$AK$300,10,FALSE)=1000000000),"",IF(W202&lt;=VLOOKUP(F!$B202,E!$B$1:$AK$300,10,FALSE),"ja","nee")),"")</f>
        <v/>
      </c>
      <c r="AA202" s="4"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6" t="str">
        <f t="shared" si="64"/>
        <v>--</v>
      </c>
      <c r="AJ202" s="6"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6" t="str">
        <f t="shared" si="65"/>
        <v>--</v>
      </c>
      <c r="AL202" s="6"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6" t="str">
        <f t="shared" si="66"/>
        <v>--</v>
      </c>
      <c r="AN202" s="6"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6" t="str">
        <f t="shared" si="74"/>
        <v>--</v>
      </c>
      <c r="AQ202" s="6" t="str">
        <f t="shared" si="75"/>
        <v/>
      </c>
      <c r="AR202" s="6" t="str">
        <f t="shared" si="76"/>
        <v>--</v>
      </c>
      <c r="AS202" s="6" t="str">
        <f t="shared" si="77"/>
        <v/>
      </c>
      <c r="AT202" s="6" t="str">
        <f t="shared" si="78"/>
        <v/>
      </c>
      <c r="AU202" s="6" t="str">
        <f>IFERROR(IF(AR202="--","",IF(HLOOKUP(SMALL($Q$4:$Y$4,3),$Q$4:$Y$501,ROW(AP202)-3,FALSE)=0,"",IF(HLOOKUP(SMALL($Q$4:$Y$4,3),$Q$4:$Y$501,ROW(AP202)-3,FALSE)="nee",VLOOKUP("De kwaliteitseis emissiearme grond (maximale concentratie) wordt overschreden.",H!$O$10:'H'!$P$59,2,FALSE),""))),"")</f>
        <v/>
      </c>
      <c r="AV202" s="6" t="str">
        <f t="shared" si="68"/>
        <v>--</v>
      </c>
      <c r="AW202" s="6" t="str">
        <f t="shared" si="69"/>
        <v/>
      </c>
      <c r="AX202" s="6" t="str">
        <f t="shared" si="70"/>
        <v>--</v>
      </c>
      <c r="AY202" s="6" t="str">
        <f t="shared" si="79"/>
        <v/>
      </c>
      <c r="AZ202" s="6" t="str">
        <f t="shared" si="80"/>
        <v/>
      </c>
      <c r="BA202" s="6" t="str">
        <f>IFERROR(IF(AR202="--","",IF(HLOOKUP(SMALL($Q$4:$Y$4,6),$Q$4:$Y$501,ROW(AP202)-3,FALSE)=0,"",IF(HLOOKUP(SMALL($Q$4:$Y$4,6),$Q$4:$Y$501,ROW(AP202)-3,FALSE)="nee",VLOOKUP("De kwaliteitseis emissiearme grond (maximale concentratie) wordt overschreden.",H!$O$10:'H'!$P$59,2,FALSE),""))),"")</f>
        <v/>
      </c>
      <c r="BB202" s="6" t="str">
        <f t="shared" si="71"/>
        <v>--</v>
      </c>
      <c r="BC202" s="6" t="str">
        <f t="shared" si="72"/>
        <v/>
      </c>
      <c r="BD202" s="6" t="str">
        <f t="shared" si="73"/>
        <v>--</v>
      </c>
      <c r="BE202" s="6" t="str">
        <f t="shared" si="81"/>
        <v/>
      </c>
      <c r="BF202" s="6"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6" t="str">
        <f>IF(ISNUMBER(F!E203)=FALSE,"--",IF(F!E203=0,"--",F!E203))</f>
        <v>--</v>
      </c>
      <c r="C203" s="6" t="str">
        <f>IF(B203="--","",F!F203)</f>
        <v/>
      </c>
      <c r="D203" s="6" t="str">
        <f>IF(ISNUMBER(F!G203)=FALSE,"--",IF(F!G203=0,"--",F!G203))</f>
        <v>--</v>
      </c>
      <c r="E203" s="6" t="str">
        <f>IF(D203="--","",F!H203)</f>
        <v/>
      </c>
      <c r="F203" s="6" t="str">
        <f>IF(ISNUMBER(F!I203)=FALSE,"--",IF(F!I203=0,"--",F!I203))</f>
        <v>--</v>
      </c>
      <c r="G203" s="6" t="str">
        <f>IF(F203="--","",F!J203)</f>
        <v/>
      </c>
      <c r="H203" s="6"/>
      <c r="I203" s="6" t="str">
        <f>IF(F!Z203=-1,-1,F!AV203)</f>
        <v/>
      </c>
      <c r="J203" s="6"/>
      <c r="K203" s="6" t="str">
        <f>IF(F!AC203=-1,-1,F!AX203)</f>
        <v/>
      </c>
      <c r="L203" s="6"/>
      <c r="M203" s="6" t="str">
        <f>IF(F!AF203=-1,-1,F!AZ203)</f>
        <v/>
      </c>
      <c r="N203" s="6"/>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6" t="str">
        <f t="shared" si="67"/>
        <v/>
      </c>
      <c r="R203" s="5" t="str">
        <f>IF($B203="--","",IF($P203="toetsen",toetsen(F!$B203,Q203),IF($P203="toetsen alleen IW",toetsen_alleen_IW(F!$B203,Q203),IF($P203="toetsen alleen LN",toetsen_alleen_LN(F!$B203,Q203),IF($P203="toetsen geen MV en SV",toetsen_geen_MV_en_SV(F!$B203,Q203),IF($P203="toetsen alleen MV en SV",toetsen_alleen_MV_en_SV(F!$B203,Q203),""))))))</f>
        <v/>
      </c>
      <c r="S203" s="5" t="str">
        <f>IF($P203="toetsen",IF(OR(Q203="",VLOOKUP(F!$B203,E!$B$1:$AK$300,10,FALSE)=1000000000),"",IF(Q203&lt;=VLOOKUP(F!$B203,E!$B$1:$AK$300,10,FALSE),"ja","nee")),"")</f>
        <v/>
      </c>
      <c r="T203" s="87" t="str">
        <f t="shared" si="62"/>
        <v/>
      </c>
      <c r="U203" s="5" t="str">
        <f>IF($D203="--","",IF($P203="toetsen",toetsen(F!$B203,T203),IF($P203="toetsen alleen IW",toetsen_alleen_IW(F!$B203,T203),IF($P203="toetsen alleen LN",toetsen_alleen_LN(F!$B203,T203),IF($P203="toetsen geen MV en SV",toetsen_geen_MV_en_SV(F!$B203,T203),IF($P203="toetsen alleen MV en SV",toetsen_alleen_MV_en_SV(F!$B203,T203),""))))))</f>
        <v/>
      </c>
      <c r="V203" s="5" t="str">
        <f>IF($P203="toetsen",IF(OR(T203="",VLOOKUP(F!$B203,E!$B$1:$AK$300,10,FALSE)=1000000000),"",IF(T203&lt;=VLOOKUP(F!$B203,E!$B$1:$AK$300,10,FALSE),"ja","nee")),"")</f>
        <v/>
      </c>
      <c r="W203" s="6" t="str">
        <f t="shared" si="63"/>
        <v/>
      </c>
      <c r="X203" s="5" t="str">
        <f>IF($F203="--","",IF($P203="toetsen",toetsen(F!$B203,W203),IF($P203="toetsen alleen IW",toetsen_alleen_IW(F!$B203,W203),IF($P203="toetsen alleen LN",toetsen_alleen_LN(F!$B203,W203),IF($P203="toetsen geen MV en SV",toetsen_geen_MV_en_SV(F!$B203,W203),IF($P203="toetsen alleen MV en SV",toetsen_alleen_MV_en_SV(F!$B203,W203),""))))))</f>
        <v/>
      </c>
      <c r="Y203" s="5" t="str">
        <f>IF($P203="toetsen",IF(OR(W203="",VLOOKUP(F!$B203,E!$B$1:$AK$300,10,FALSE)=1000000000),"",IF(W203&lt;=VLOOKUP(F!$B203,E!$B$1:$AK$300,10,FALSE),"ja","nee")),"")</f>
        <v/>
      </c>
      <c r="AA203" s="4"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6" t="str">
        <f t="shared" si="64"/>
        <v>--</v>
      </c>
      <c r="AJ203" s="6"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6" t="str">
        <f t="shared" si="65"/>
        <v>--</v>
      </c>
      <c r="AL203" s="6"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6" t="str">
        <f t="shared" si="66"/>
        <v>--</v>
      </c>
      <c r="AN203" s="6"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6" t="str">
        <f t="shared" si="74"/>
        <v>--</v>
      </c>
      <c r="AQ203" s="6" t="str">
        <f t="shared" si="75"/>
        <v/>
      </c>
      <c r="AR203" s="6" t="str">
        <f t="shared" si="76"/>
        <v>--</v>
      </c>
      <c r="AS203" s="6" t="str">
        <f t="shared" si="77"/>
        <v/>
      </c>
      <c r="AT203" s="6" t="str">
        <f t="shared" si="78"/>
        <v/>
      </c>
      <c r="AU203" s="6" t="str">
        <f>IFERROR(IF(AR203="--","",IF(HLOOKUP(SMALL($Q$4:$Y$4,3),$Q$4:$Y$501,ROW(AP203)-3,FALSE)=0,"",IF(HLOOKUP(SMALL($Q$4:$Y$4,3),$Q$4:$Y$501,ROW(AP203)-3,FALSE)="nee",VLOOKUP("De kwaliteitseis emissiearme grond (maximale concentratie) wordt overschreden.",H!$O$10:'H'!$P$59,2,FALSE),""))),"")</f>
        <v/>
      </c>
      <c r="AV203" s="6" t="str">
        <f t="shared" si="68"/>
        <v>--</v>
      </c>
      <c r="AW203" s="6" t="str">
        <f t="shared" si="69"/>
        <v/>
      </c>
      <c r="AX203" s="6" t="str">
        <f t="shared" si="70"/>
        <v>--</v>
      </c>
      <c r="AY203" s="6" t="str">
        <f t="shared" si="79"/>
        <v/>
      </c>
      <c r="AZ203" s="6" t="str">
        <f t="shared" si="80"/>
        <v/>
      </c>
      <c r="BA203" s="6" t="str">
        <f>IFERROR(IF(AR203="--","",IF(HLOOKUP(SMALL($Q$4:$Y$4,6),$Q$4:$Y$501,ROW(AP203)-3,FALSE)=0,"",IF(HLOOKUP(SMALL($Q$4:$Y$4,6),$Q$4:$Y$501,ROW(AP203)-3,FALSE)="nee",VLOOKUP("De kwaliteitseis emissiearme grond (maximale concentratie) wordt overschreden.",H!$O$10:'H'!$P$59,2,FALSE),""))),"")</f>
        <v/>
      </c>
      <c r="BB203" s="6" t="str">
        <f t="shared" si="71"/>
        <v>--</v>
      </c>
      <c r="BC203" s="6" t="str">
        <f t="shared" si="72"/>
        <v/>
      </c>
      <c r="BD203" s="6" t="str">
        <f t="shared" si="73"/>
        <v>--</v>
      </c>
      <c r="BE203" s="6" t="str">
        <f t="shared" si="81"/>
        <v/>
      </c>
      <c r="BF203" s="6"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6" t="str">
        <f>IF(ISNUMBER(F!E204)=FALSE,"--",IF(F!E204=0,"--",F!E204))</f>
        <v>--</v>
      </c>
      <c r="C204" s="6" t="str">
        <f>IF(B204="--","",F!F204)</f>
        <v/>
      </c>
      <c r="D204" s="6" t="str">
        <f>IF(ISNUMBER(F!G204)=FALSE,"--",IF(F!G204=0,"--",F!G204))</f>
        <v>--</v>
      </c>
      <c r="E204" s="6" t="str">
        <f>IF(D204="--","",F!H204)</f>
        <v/>
      </c>
      <c r="F204" s="6" t="str">
        <f>IF(ISNUMBER(F!I204)=FALSE,"--",IF(F!I204=0,"--",F!I204))</f>
        <v>--</v>
      </c>
      <c r="G204" s="6" t="str">
        <f>IF(F204="--","",F!J204)</f>
        <v/>
      </c>
      <c r="H204" s="6"/>
      <c r="I204" s="6" t="str">
        <f>IF(F!Z204=-1,-1,F!AV204)</f>
        <v/>
      </c>
      <c r="J204" s="6"/>
      <c r="K204" s="6" t="str">
        <f>IF(F!AC204=-1,-1,F!AX204)</f>
        <v/>
      </c>
      <c r="L204" s="6"/>
      <c r="M204" s="6" t="str">
        <f>IF(F!AF204=-1,-1,F!AZ204)</f>
        <v/>
      </c>
      <c r="N204" s="6"/>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6" t="str">
        <f t="shared" si="67"/>
        <v/>
      </c>
      <c r="R204" s="5" t="str">
        <f>IF($B204="--","",IF($P204="toetsen",toetsen(F!$B204,Q204),IF($P204="toetsen alleen IW",toetsen_alleen_IW(F!$B204,Q204),IF($P204="toetsen alleen LN",toetsen_alleen_LN(F!$B204,Q204),IF($P204="toetsen geen MV en SV",toetsen_geen_MV_en_SV(F!$B204,Q204),IF($P204="toetsen alleen MV en SV",toetsen_alleen_MV_en_SV(F!$B204,Q204),""))))))</f>
        <v/>
      </c>
      <c r="S204" s="5" t="str">
        <f>IF($P204="toetsen",IF(OR(Q204="",VLOOKUP(F!$B204,E!$B$1:$AK$300,10,FALSE)=1000000000),"",IF(Q204&lt;=VLOOKUP(F!$B204,E!$B$1:$AK$300,10,FALSE),"ja","nee")),"")</f>
        <v/>
      </c>
      <c r="T204" s="87" t="str">
        <f t="shared" ref="T204:T267" si="83">K204</f>
        <v/>
      </c>
      <c r="U204" s="5" t="str">
        <f>IF($D204="--","",IF($P204="toetsen",toetsen(F!$B204,T204),IF($P204="toetsen alleen IW",toetsen_alleen_IW(F!$B204,T204),IF($P204="toetsen alleen LN",toetsen_alleen_LN(F!$B204,T204),IF($P204="toetsen geen MV en SV",toetsen_geen_MV_en_SV(F!$B204,T204),IF($P204="toetsen alleen MV en SV",toetsen_alleen_MV_en_SV(F!$B204,T204),""))))))</f>
        <v/>
      </c>
      <c r="V204" s="5" t="str">
        <f>IF($P204="toetsen",IF(OR(T204="",VLOOKUP(F!$B204,E!$B$1:$AK$300,10,FALSE)=1000000000),"",IF(T204&lt;=VLOOKUP(F!$B204,E!$B$1:$AK$300,10,FALSE),"ja","nee")),"")</f>
        <v/>
      </c>
      <c r="W204" s="6" t="str">
        <f t="shared" ref="W204:W267" si="84">M204</f>
        <v/>
      </c>
      <c r="X204" s="5" t="str">
        <f>IF($F204="--","",IF($P204="toetsen",toetsen(F!$B204,W204),IF($P204="toetsen alleen IW",toetsen_alleen_IW(F!$B204,W204),IF($P204="toetsen alleen LN",toetsen_alleen_LN(F!$B204,W204),IF($P204="toetsen geen MV en SV",toetsen_geen_MV_en_SV(F!$B204,W204),IF($P204="toetsen alleen MV en SV",toetsen_alleen_MV_en_SV(F!$B204,W204),""))))))</f>
        <v/>
      </c>
      <c r="Y204" s="5" t="str">
        <f>IF($P204="toetsen",IF(OR(W204="",VLOOKUP(F!$B204,E!$B$1:$AK$300,10,FALSE)=1000000000),"",IF(W204&lt;=VLOOKUP(F!$B204,E!$B$1:$AK$300,10,FALSE),"ja","nee")),"")</f>
        <v/>
      </c>
      <c r="AA204" s="4"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6" t="str">
        <f t="shared" ref="AI204:AI267" si="85">IF(B204="--",B204,(IF(B204&lt;1,FIXED(B204,2),IF(B204&lt;10,FIXED(B204,1),IF(B204&lt;100,FIXED(B204,0),IF(B204&lt;1000,MROUND(B204,10),MROUND(B204,100)))))))</f>
        <v>--</v>
      </c>
      <c r="AJ204" s="6"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6" t="str">
        <f t="shared" ref="AK204:AK267" si="86">IF(D204="--",D204,(IF(D204&lt;1,FIXED(D204,2),IF(D204&lt;10,FIXED(D204,1),IF(D204&lt;100,FIXED(D204,0),IF(D204&lt;1000,MROUND(D204,10),MROUND(D204,100)))))))</f>
        <v>--</v>
      </c>
      <c r="AL204" s="6"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6" t="str">
        <f t="shared" ref="AM204:AM267" si="87">IF(F204="--",F204,(IF(F204&lt;1,FIXED(F204,2),IF(F204&lt;10,FIXED(F204,1),IF(F204&lt;100,FIXED(F204,0),IF(F204&lt;1000,MROUND(F204,10),MROUND(F204,100)))))))</f>
        <v>--</v>
      </c>
      <c r="AN204" s="6"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6" t="str">
        <f t="shared" si="74"/>
        <v>--</v>
      </c>
      <c r="AQ204" s="6" t="str">
        <f t="shared" si="75"/>
        <v/>
      </c>
      <c r="AR204" s="6" t="str">
        <f t="shared" si="76"/>
        <v>--</v>
      </c>
      <c r="AS204" s="6" t="str">
        <f t="shared" si="77"/>
        <v/>
      </c>
      <c r="AT204" s="6" t="str">
        <f t="shared" si="78"/>
        <v/>
      </c>
      <c r="AU204" s="6" t="str">
        <f>IFERROR(IF(AR204="--","",IF(HLOOKUP(SMALL($Q$4:$Y$4,3),$Q$4:$Y$501,ROW(AP204)-3,FALSE)=0,"",IF(HLOOKUP(SMALL($Q$4:$Y$4,3),$Q$4:$Y$501,ROW(AP204)-3,FALSE)="nee",VLOOKUP("De kwaliteitseis emissiearme grond (maximale concentratie) wordt overschreden.",H!$O$10:'H'!$P$59,2,FALSE),""))),"")</f>
        <v/>
      </c>
      <c r="AV204" s="6" t="str">
        <f t="shared" si="68"/>
        <v>--</v>
      </c>
      <c r="AW204" s="6" t="str">
        <f t="shared" si="69"/>
        <v/>
      </c>
      <c r="AX204" s="6" t="str">
        <f t="shared" si="70"/>
        <v>--</v>
      </c>
      <c r="AY204" s="6" t="str">
        <f t="shared" si="79"/>
        <v/>
      </c>
      <c r="AZ204" s="6" t="str">
        <f t="shared" si="80"/>
        <v/>
      </c>
      <c r="BA204" s="6" t="str">
        <f>IFERROR(IF(AR204="--","",IF(HLOOKUP(SMALL($Q$4:$Y$4,6),$Q$4:$Y$501,ROW(AP204)-3,FALSE)=0,"",IF(HLOOKUP(SMALL($Q$4:$Y$4,6),$Q$4:$Y$501,ROW(AP204)-3,FALSE)="nee",VLOOKUP("De kwaliteitseis emissiearme grond (maximale concentratie) wordt overschreden.",H!$O$10:'H'!$P$59,2,FALSE),""))),"")</f>
        <v/>
      </c>
      <c r="BB204" s="6" t="str">
        <f t="shared" si="71"/>
        <v>--</v>
      </c>
      <c r="BC204" s="6" t="str">
        <f t="shared" si="72"/>
        <v/>
      </c>
      <c r="BD204" s="6" t="str">
        <f t="shared" si="73"/>
        <v>--</v>
      </c>
      <c r="BE204" s="6" t="str">
        <f t="shared" si="81"/>
        <v/>
      </c>
      <c r="BF204" s="6"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6" t="str">
        <f>IF(ISNUMBER(F!E205)=FALSE,"--",IF(F!E205=0,"--",F!E205))</f>
        <v>--</v>
      </c>
      <c r="C205" s="6" t="str">
        <f>IF(B205="--","",F!F205)</f>
        <v/>
      </c>
      <c r="D205" s="6" t="str">
        <f>IF(ISNUMBER(F!G205)=FALSE,"--",IF(F!G205=0,"--",F!G205))</f>
        <v>--</v>
      </c>
      <c r="E205" s="6" t="str">
        <f>IF(D205="--","",F!H205)</f>
        <v/>
      </c>
      <c r="F205" s="6" t="str">
        <f>IF(ISNUMBER(F!I205)=FALSE,"--",IF(F!I205=0,"--",F!I205))</f>
        <v>--</v>
      </c>
      <c r="G205" s="6" t="str">
        <f>IF(F205="--","",F!J205)</f>
        <v/>
      </c>
      <c r="H205" s="6"/>
      <c r="I205" s="6" t="str">
        <f>IF(F!Z205=-1,-1,F!AV205)</f>
        <v/>
      </c>
      <c r="J205" s="6"/>
      <c r="K205" s="6" t="str">
        <f>IF(F!AC205=-1,-1,F!AX205)</f>
        <v/>
      </c>
      <c r="L205" s="6"/>
      <c r="M205" s="6" t="str">
        <f>IF(F!AF205=-1,-1,F!AZ205)</f>
        <v/>
      </c>
      <c r="N205" s="6"/>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6" t="str">
        <f t="shared" ref="Q205:Q268" si="88">I205</f>
        <v/>
      </c>
      <c r="R205" s="5" t="str">
        <f>IF($B205="--","",IF($P205="toetsen",toetsen(F!$B205,Q205),IF($P205="toetsen alleen IW",toetsen_alleen_IW(F!$B205,Q205),IF($P205="toetsen alleen LN",toetsen_alleen_LN(F!$B205,Q205),IF($P205="toetsen geen MV en SV",toetsen_geen_MV_en_SV(F!$B205,Q205),IF($P205="toetsen alleen MV en SV",toetsen_alleen_MV_en_SV(F!$B205,Q205),""))))))</f>
        <v/>
      </c>
      <c r="S205" s="5" t="str">
        <f>IF($P205="toetsen",IF(OR(Q205="",VLOOKUP(F!$B205,E!$B$1:$AK$300,10,FALSE)=1000000000),"",IF(Q205&lt;=VLOOKUP(F!$B205,E!$B$1:$AK$300,10,FALSE),"ja","nee")),"")</f>
        <v/>
      </c>
      <c r="T205" s="87" t="str">
        <f t="shared" si="83"/>
        <v/>
      </c>
      <c r="U205" s="5" t="str">
        <f>IF($D205="--","",IF($P205="toetsen",toetsen(F!$B205,T205),IF($P205="toetsen alleen IW",toetsen_alleen_IW(F!$B205,T205),IF($P205="toetsen alleen LN",toetsen_alleen_LN(F!$B205,T205),IF($P205="toetsen geen MV en SV",toetsen_geen_MV_en_SV(F!$B205,T205),IF($P205="toetsen alleen MV en SV",toetsen_alleen_MV_en_SV(F!$B205,T205),""))))))</f>
        <v/>
      </c>
      <c r="V205" s="5" t="str">
        <f>IF($P205="toetsen",IF(OR(T205="",VLOOKUP(F!$B205,E!$B$1:$AK$300,10,FALSE)=1000000000),"",IF(T205&lt;=VLOOKUP(F!$B205,E!$B$1:$AK$300,10,FALSE),"ja","nee")),"")</f>
        <v/>
      </c>
      <c r="W205" s="6" t="str">
        <f t="shared" si="84"/>
        <v/>
      </c>
      <c r="X205" s="5" t="str">
        <f>IF($F205="--","",IF($P205="toetsen",toetsen(F!$B205,W205),IF($P205="toetsen alleen IW",toetsen_alleen_IW(F!$B205,W205),IF($P205="toetsen alleen LN",toetsen_alleen_LN(F!$B205,W205),IF($P205="toetsen geen MV en SV",toetsen_geen_MV_en_SV(F!$B205,W205),IF($P205="toetsen alleen MV en SV",toetsen_alleen_MV_en_SV(F!$B205,W205),""))))))</f>
        <v/>
      </c>
      <c r="Y205" s="5" t="str">
        <f>IF($P205="toetsen",IF(OR(W205="",VLOOKUP(F!$B205,E!$B$1:$AK$300,10,FALSE)=1000000000),"",IF(W205&lt;=VLOOKUP(F!$B205,E!$B$1:$AK$300,10,FALSE),"ja","nee")),"")</f>
        <v/>
      </c>
      <c r="AA205" s="4"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6" t="str">
        <f t="shared" si="85"/>
        <v>--</v>
      </c>
      <c r="AJ205" s="6"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6" t="str">
        <f t="shared" si="86"/>
        <v>--</v>
      </c>
      <c r="AL205" s="6"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6" t="str">
        <f t="shared" si="87"/>
        <v>--</v>
      </c>
      <c r="AN205" s="6"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6" t="str">
        <f t="shared" si="74"/>
        <v>--</v>
      </c>
      <c r="AQ205" s="6" t="str">
        <f t="shared" si="75"/>
        <v/>
      </c>
      <c r="AR205" s="6" t="str">
        <f t="shared" si="76"/>
        <v>--</v>
      </c>
      <c r="AS205" s="6" t="str">
        <f t="shared" si="77"/>
        <v/>
      </c>
      <c r="AT205" s="6" t="str">
        <f t="shared" si="78"/>
        <v/>
      </c>
      <c r="AU205" s="6" t="str">
        <f>IFERROR(IF(AR205="--","",IF(HLOOKUP(SMALL($Q$4:$Y$4,3),$Q$4:$Y$501,ROW(AP205)-3,FALSE)=0,"",IF(HLOOKUP(SMALL($Q$4:$Y$4,3),$Q$4:$Y$501,ROW(AP205)-3,FALSE)="nee",VLOOKUP("De kwaliteitseis emissiearme grond (maximale concentratie) wordt overschreden.",H!$O$10:'H'!$P$59,2,FALSE),""))),"")</f>
        <v/>
      </c>
      <c r="AV205" s="6" t="str">
        <f t="shared" si="68"/>
        <v>--</v>
      </c>
      <c r="AW205" s="6" t="str">
        <f t="shared" si="69"/>
        <v/>
      </c>
      <c r="AX205" s="6" t="str">
        <f t="shared" si="70"/>
        <v>--</v>
      </c>
      <c r="AY205" s="6" t="str">
        <f t="shared" si="79"/>
        <v/>
      </c>
      <c r="AZ205" s="6" t="str">
        <f t="shared" si="80"/>
        <v/>
      </c>
      <c r="BA205" s="6" t="str">
        <f>IFERROR(IF(AR205="--","",IF(HLOOKUP(SMALL($Q$4:$Y$4,6),$Q$4:$Y$501,ROW(AP205)-3,FALSE)=0,"",IF(HLOOKUP(SMALL($Q$4:$Y$4,6),$Q$4:$Y$501,ROW(AP205)-3,FALSE)="nee",VLOOKUP("De kwaliteitseis emissiearme grond (maximale concentratie) wordt overschreden.",H!$O$10:'H'!$P$59,2,FALSE),""))),"")</f>
        <v/>
      </c>
      <c r="BB205" s="6" t="str">
        <f t="shared" si="71"/>
        <v>--</v>
      </c>
      <c r="BC205" s="6" t="str">
        <f t="shared" si="72"/>
        <v/>
      </c>
      <c r="BD205" s="6" t="str">
        <f t="shared" si="73"/>
        <v>--</v>
      </c>
      <c r="BE205" s="6" t="str">
        <f t="shared" si="81"/>
        <v/>
      </c>
      <c r="BF205" s="6"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6" t="str">
        <f>IF(ISNUMBER(F!E206)=FALSE,"--",IF(F!E206=0,"--",F!E206))</f>
        <v>--</v>
      </c>
      <c r="C206" s="6" t="str">
        <f>IF(B206="--","",F!F206)</f>
        <v/>
      </c>
      <c r="D206" s="6" t="str">
        <f>IF(ISNUMBER(F!G206)=FALSE,"--",IF(F!G206=0,"--",F!G206))</f>
        <v>--</v>
      </c>
      <c r="E206" s="6" t="str">
        <f>IF(D206="--","",F!H206)</f>
        <v/>
      </c>
      <c r="F206" s="6" t="str">
        <f>IF(ISNUMBER(F!I206)=FALSE,"--",IF(F!I206=0,"--",F!I206))</f>
        <v>--</v>
      </c>
      <c r="G206" s="6" t="str">
        <f>IF(F206="--","",F!J206)</f>
        <v/>
      </c>
      <c r="H206" s="6"/>
      <c r="I206" s="6" t="str">
        <f>IF(F!Z206=-1,-1,F!AV206)</f>
        <v/>
      </c>
      <c r="J206" s="6"/>
      <c r="K206" s="6" t="str">
        <f>IF(F!AC206=-1,-1,F!AX206)</f>
        <v/>
      </c>
      <c r="L206" s="6"/>
      <c r="M206" s="6" t="str">
        <f>IF(F!AF206=-1,-1,F!AZ206)</f>
        <v/>
      </c>
      <c r="N206" s="6"/>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6" t="str">
        <f t="shared" si="88"/>
        <v/>
      </c>
      <c r="R206" s="5" t="str">
        <f>IF($B206="--","",IF($P206="toetsen",toetsen(F!$B206,Q206),IF($P206="toetsen alleen IW",toetsen_alleen_IW(F!$B206,Q206),IF($P206="toetsen alleen LN",toetsen_alleen_LN(F!$B206,Q206),IF($P206="toetsen geen MV en SV",toetsen_geen_MV_en_SV(F!$B206,Q206),IF($P206="toetsen alleen MV en SV",toetsen_alleen_MV_en_SV(F!$B206,Q206),""))))))</f>
        <v/>
      </c>
      <c r="S206" s="5" t="str">
        <f>IF($P206="toetsen",IF(OR(Q206="",VLOOKUP(F!$B206,E!$B$1:$AK$300,10,FALSE)=1000000000),"",IF(Q206&lt;=VLOOKUP(F!$B206,E!$B$1:$AK$300,10,FALSE),"ja","nee")),"")</f>
        <v/>
      </c>
      <c r="T206" s="87" t="str">
        <f t="shared" si="83"/>
        <v/>
      </c>
      <c r="U206" s="5" t="str">
        <f>IF($D206="--","",IF($P206="toetsen",toetsen(F!$B206,T206),IF($P206="toetsen alleen IW",toetsen_alleen_IW(F!$B206,T206),IF($P206="toetsen alleen LN",toetsen_alleen_LN(F!$B206,T206),IF($P206="toetsen geen MV en SV",toetsen_geen_MV_en_SV(F!$B206,T206),IF($P206="toetsen alleen MV en SV",toetsen_alleen_MV_en_SV(F!$B206,T206),""))))))</f>
        <v/>
      </c>
      <c r="V206" s="5" t="str">
        <f>IF($P206="toetsen",IF(OR(T206="",VLOOKUP(F!$B206,E!$B$1:$AK$300,10,FALSE)=1000000000),"",IF(T206&lt;=VLOOKUP(F!$B206,E!$B$1:$AK$300,10,FALSE),"ja","nee")),"")</f>
        <v/>
      </c>
      <c r="W206" s="6" t="str">
        <f t="shared" si="84"/>
        <v/>
      </c>
      <c r="X206" s="5" t="str">
        <f>IF($F206="--","",IF($P206="toetsen",toetsen(F!$B206,W206),IF($P206="toetsen alleen IW",toetsen_alleen_IW(F!$B206,W206),IF($P206="toetsen alleen LN",toetsen_alleen_LN(F!$B206,W206),IF($P206="toetsen geen MV en SV",toetsen_geen_MV_en_SV(F!$B206,W206),IF($P206="toetsen alleen MV en SV",toetsen_alleen_MV_en_SV(F!$B206,W206),""))))))</f>
        <v/>
      </c>
      <c r="Y206" s="5" t="str">
        <f>IF($P206="toetsen",IF(OR(W206="",VLOOKUP(F!$B206,E!$B$1:$AK$300,10,FALSE)=1000000000),"",IF(W206&lt;=VLOOKUP(F!$B206,E!$B$1:$AK$300,10,FALSE),"ja","nee")),"")</f>
        <v/>
      </c>
      <c r="AA206" s="4"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6" t="str">
        <f t="shared" si="85"/>
        <v>--</v>
      </c>
      <c r="AJ206" s="6"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6" t="str">
        <f t="shared" si="86"/>
        <v>--</v>
      </c>
      <c r="AL206" s="6"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6" t="str">
        <f t="shared" si="87"/>
        <v>--</v>
      </c>
      <c r="AN206" s="6"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6" t="str">
        <f t="shared" si="74"/>
        <v>--</v>
      </c>
      <c r="AQ206" s="6" t="str">
        <f t="shared" si="75"/>
        <v/>
      </c>
      <c r="AR206" s="6" t="str">
        <f t="shared" si="76"/>
        <v>--</v>
      </c>
      <c r="AS206" s="6" t="str">
        <f t="shared" si="77"/>
        <v/>
      </c>
      <c r="AT206" s="6" t="str">
        <f t="shared" si="78"/>
        <v/>
      </c>
      <c r="AU206" s="6" t="str">
        <f>IFERROR(IF(AR206="--","",IF(HLOOKUP(SMALL($Q$4:$Y$4,3),$Q$4:$Y$501,ROW(AP206)-3,FALSE)=0,"",IF(HLOOKUP(SMALL($Q$4:$Y$4,3),$Q$4:$Y$501,ROW(AP206)-3,FALSE)="nee",VLOOKUP("De kwaliteitseis emissiearme grond (maximale concentratie) wordt overschreden.",H!$O$10:'H'!$P$59,2,FALSE),""))),"")</f>
        <v/>
      </c>
      <c r="AV206" s="6" t="str">
        <f t="shared" si="68"/>
        <v>--</v>
      </c>
      <c r="AW206" s="6" t="str">
        <f t="shared" si="69"/>
        <v/>
      </c>
      <c r="AX206" s="6" t="str">
        <f t="shared" si="70"/>
        <v>--</v>
      </c>
      <c r="AY206" s="6" t="str">
        <f t="shared" si="79"/>
        <v/>
      </c>
      <c r="AZ206" s="6" t="str">
        <f t="shared" si="80"/>
        <v/>
      </c>
      <c r="BA206" s="6" t="str">
        <f>IFERROR(IF(AR206="--","",IF(HLOOKUP(SMALL($Q$4:$Y$4,6),$Q$4:$Y$501,ROW(AP206)-3,FALSE)=0,"",IF(HLOOKUP(SMALL($Q$4:$Y$4,6),$Q$4:$Y$501,ROW(AP206)-3,FALSE)="nee",VLOOKUP("De kwaliteitseis emissiearme grond (maximale concentratie) wordt overschreden.",H!$O$10:'H'!$P$59,2,FALSE),""))),"")</f>
        <v/>
      </c>
      <c r="BB206" s="6" t="str">
        <f t="shared" si="71"/>
        <v>--</v>
      </c>
      <c r="BC206" s="6" t="str">
        <f t="shared" si="72"/>
        <v/>
      </c>
      <c r="BD206" s="6" t="str">
        <f t="shared" si="73"/>
        <v>--</v>
      </c>
      <c r="BE206" s="6" t="str">
        <f t="shared" si="81"/>
        <v/>
      </c>
      <c r="BF206" s="6"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6" t="str">
        <f>IF(ISNUMBER(F!E207)=FALSE,"--",IF(F!E207=0,"--",F!E207))</f>
        <v>--</v>
      </c>
      <c r="C207" s="6" t="str">
        <f>IF(B207="--","",F!F207)</f>
        <v/>
      </c>
      <c r="D207" s="6" t="str">
        <f>IF(ISNUMBER(F!G207)=FALSE,"--",IF(F!G207=0,"--",F!G207))</f>
        <v>--</v>
      </c>
      <c r="E207" s="6" t="str">
        <f>IF(D207="--","",F!H207)</f>
        <v/>
      </c>
      <c r="F207" s="6" t="str">
        <f>IF(ISNUMBER(F!I207)=FALSE,"--",IF(F!I207=0,"--",F!I207))</f>
        <v>--</v>
      </c>
      <c r="G207" s="6" t="str">
        <f>IF(F207="--","",F!J207)</f>
        <v/>
      </c>
      <c r="H207" s="6"/>
      <c r="I207" s="6" t="str">
        <f>IF(F!Z207=-1,-1,F!AV207)</f>
        <v/>
      </c>
      <c r="J207" s="6"/>
      <c r="K207" s="6" t="str">
        <f>IF(F!AC207=-1,-1,F!AX207)</f>
        <v/>
      </c>
      <c r="L207" s="6"/>
      <c r="M207" s="6" t="str">
        <f>IF(F!AF207=-1,-1,F!AZ207)</f>
        <v/>
      </c>
      <c r="N207" s="6"/>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6" t="str">
        <f t="shared" si="88"/>
        <v/>
      </c>
      <c r="R207" s="5" t="str">
        <f>IF($B207="--","",IF($P207="toetsen",toetsen(F!$B207,Q207),IF($P207="toetsen alleen IW",toetsen_alleen_IW(F!$B207,Q207),IF($P207="toetsen alleen LN",toetsen_alleen_LN(F!$B207,Q207),IF($P207="toetsen geen MV en SV",toetsen_geen_MV_en_SV(F!$B207,Q207),IF($P207="toetsen alleen MV en SV",toetsen_alleen_MV_en_SV(F!$B207,Q207),""))))))</f>
        <v/>
      </c>
      <c r="S207" s="5" t="str">
        <f>IF($P207="toetsen",IF(OR(Q207="",VLOOKUP(F!$B207,E!$B$1:$AK$300,10,FALSE)=1000000000),"",IF(Q207&lt;=VLOOKUP(F!$B207,E!$B$1:$AK$300,10,FALSE),"ja","nee")),"")</f>
        <v/>
      </c>
      <c r="T207" s="87" t="str">
        <f t="shared" si="83"/>
        <v/>
      </c>
      <c r="U207" s="5" t="str">
        <f>IF($D207="--","",IF($P207="toetsen",toetsen(F!$B207,T207),IF($P207="toetsen alleen IW",toetsen_alleen_IW(F!$B207,T207),IF($P207="toetsen alleen LN",toetsen_alleen_LN(F!$B207,T207),IF($P207="toetsen geen MV en SV",toetsen_geen_MV_en_SV(F!$B207,T207),IF($P207="toetsen alleen MV en SV",toetsen_alleen_MV_en_SV(F!$B207,T207),""))))))</f>
        <v/>
      </c>
      <c r="V207" s="5" t="str">
        <f>IF($P207="toetsen",IF(OR(T207="",VLOOKUP(F!$B207,E!$B$1:$AK$300,10,FALSE)=1000000000),"",IF(T207&lt;=VLOOKUP(F!$B207,E!$B$1:$AK$300,10,FALSE),"ja","nee")),"")</f>
        <v/>
      </c>
      <c r="W207" s="6" t="str">
        <f t="shared" si="84"/>
        <v/>
      </c>
      <c r="X207" s="5" t="str">
        <f>IF($F207="--","",IF($P207="toetsen",toetsen(F!$B207,W207),IF($P207="toetsen alleen IW",toetsen_alleen_IW(F!$B207,W207),IF($P207="toetsen alleen LN",toetsen_alleen_LN(F!$B207,W207),IF($P207="toetsen geen MV en SV",toetsen_geen_MV_en_SV(F!$B207,W207),IF($P207="toetsen alleen MV en SV",toetsen_alleen_MV_en_SV(F!$B207,W207),""))))))</f>
        <v/>
      </c>
      <c r="Y207" s="5" t="str">
        <f>IF($P207="toetsen",IF(OR(W207="",VLOOKUP(F!$B207,E!$B$1:$AK$300,10,FALSE)=1000000000),"",IF(W207&lt;=VLOOKUP(F!$B207,E!$B$1:$AK$300,10,FALSE),"ja","nee")),"")</f>
        <v/>
      </c>
      <c r="AA207" s="4"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6" t="str">
        <f t="shared" si="85"/>
        <v>--</v>
      </c>
      <c r="AJ207" s="6"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6" t="str">
        <f t="shared" si="86"/>
        <v>--</v>
      </c>
      <c r="AL207" s="6"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6" t="str">
        <f t="shared" si="87"/>
        <v>--</v>
      </c>
      <c r="AN207" s="6"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6" t="str">
        <f t="shared" si="74"/>
        <v>--</v>
      </c>
      <c r="AQ207" s="6" t="str">
        <f t="shared" si="75"/>
        <v/>
      </c>
      <c r="AR207" s="6" t="str">
        <f t="shared" si="76"/>
        <v>--</v>
      </c>
      <c r="AS207" s="6" t="str">
        <f t="shared" si="77"/>
        <v/>
      </c>
      <c r="AT207" s="6" t="str">
        <f t="shared" si="78"/>
        <v/>
      </c>
      <c r="AU207" s="6" t="str">
        <f>IFERROR(IF(AR207="--","",IF(HLOOKUP(SMALL($Q$4:$Y$4,3),$Q$4:$Y$501,ROW(AP207)-3,FALSE)=0,"",IF(HLOOKUP(SMALL($Q$4:$Y$4,3),$Q$4:$Y$501,ROW(AP207)-3,FALSE)="nee",VLOOKUP("De kwaliteitseis emissiearme grond (maximale concentratie) wordt overschreden.",H!$O$10:'H'!$P$59,2,FALSE),""))),"")</f>
        <v/>
      </c>
      <c r="AV207" s="6" t="str">
        <f t="shared" si="68"/>
        <v>--</v>
      </c>
      <c r="AW207" s="6" t="str">
        <f t="shared" si="69"/>
        <v/>
      </c>
      <c r="AX207" s="6" t="str">
        <f t="shared" si="70"/>
        <v>--</v>
      </c>
      <c r="AY207" s="6" t="str">
        <f t="shared" si="79"/>
        <v/>
      </c>
      <c r="AZ207" s="6" t="str">
        <f t="shared" si="80"/>
        <v/>
      </c>
      <c r="BA207" s="6" t="str">
        <f>IFERROR(IF(AR207="--","",IF(HLOOKUP(SMALL($Q$4:$Y$4,6),$Q$4:$Y$501,ROW(AP207)-3,FALSE)=0,"",IF(HLOOKUP(SMALL($Q$4:$Y$4,6),$Q$4:$Y$501,ROW(AP207)-3,FALSE)="nee",VLOOKUP("De kwaliteitseis emissiearme grond (maximale concentratie) wordt overschreden.",H!$O$10:'H'!$P$59,2,FALSE),""))),"")</f>
        <v/>
      </c>
      <c r="BB207" s="6" t="str">
        <f t="shared" si="71"/>
        <v>--</v>
      </c>
      <c r="BC207" s="6" t="str">
        <f t="shared" si="72"/>
        <v/>
      </c>
      <c r="BD207" s="6" t="str">
        <f t="shared" si="73"/>
        <v>--</v>
      </c>
      <c r="BE207" s="6" t="str">
        <f t="shared" si="81"/>
        <v/>
      </c>
      <c r="BF207" s="6"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6" t="str">
        <f>IF(ISNUMBER(F!E208)=FALSE,"--",IF(F!E208=0,"--",F!E208))</f>
        <v>--</v>
      </c>
      <c r="C208" s="6" t="str">
        <f>IF(B208="--","",F!F208)</f>
        <v/>
      </c>
      <c r="D208" s="6" t="str">
        <f>IF(ISNUMBER(F!G208)=FALSE,"--",IF(F!G208=0,"--",F!G208))</f>
        <v>--</v>
      </c>
      <c r="E208" s="6" t="str">
        <f>IF(D208="--","",F!H208)</f>
        <v/>
      </c>
      <c r="F208" s="6" t="str">
        <f>IF(ISNUMBER(F!I208)=FALSE,"--",IF(F!I208=0,"--",F!I208))</f>
        <v>--</v>
      </c>
      <c r="G208" s="6" t="str">
        <f>IF(F208="--","",F!J208)</f>
        <v/>
      </c>
      <c r="H208" s="6"/>
      <c r="I208" s="6" t="str">
        <f>IF(F!Z208=-1,-1,F!AV208)</f>
        <v/>
      </c>
      <c r="J208" s="6"/>
      <c r="K208" s="6" t="str">
        <f>IF(F!AC208=-1,-1,F!AX208)</f>
        <v/>
      </c>
      <c r="L208" s="6"/>
      <c r="M208" s="6" t="str">
        <f>IF(F!AF208=-1,-1,F!AZ208)</f>
        <v/>
      </c>
      <c r="N208" s="6"/>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6" t="str">
        <f t="shared" si="88"/>
        <v/>
      </c>
      <c r="R208" s="5" t="str">
        <f>IF($B208="--","",IF($P208="toetsen",toetsen(F!$B208,Q208),IF($P208="toetsen alleen IW",toetsen_alleen_IW(F!$B208,Q208),IF($P208="toetsen alleen LN",toetsen_alleen_LN(F!$B208,Q208),IF($P208="toetsen geen MV en SV",toetsen_geen_MV_en_SV(F!$B208,Q208),IF($P208="toetsen alleen MV en SV",toetsen_alleen_MV_en_SV(F!$B208,Q208),""))))))</f>
        <v/>
      </c>
      <c r="S208" s="5" t="str">
        <f>IF($P208="toetsen",IF(OR(Q208="",VLOOKUP(F!$B208,E!$B$1:$AK$300,10,FALSE)=1000000000),"",IF(Q208&lt;=VLOOKUP(F!$B208,E!$B$1:$AK$300,10,FALSE),"ja","nee")),"")</f>
        <v/>
      </c>
      <c r="T208" s="87" t="str">
        <f t="shared" si="83"/>
        <v/>
      </c>
      <c r="U208" s="5" t="str">
        <f>IF($D208="--","",IF($P208="toetsen",toetsen(F!$B208,T208),IF($P208="toetsen alleen IW",toetsen_alleen_IW(F!$B208,T208),IF($P208="toetsen alleen LN",toetsen_alleen_LN(F!$B208,T208),IF($P208="toetsen geen MV en SV",toetsen_geen_MV_en_SV(F!$B208,T208),IF($P208="toetsen alleen MV en SV",toetsen_alleen_MV_en_SV(F!$B208,T208),""))))))</f>
        <v/>
      </c>
      <c r="V208" s="5" t="str">
        <f>IF($P208="toetsen",IF(OR(T208="",VLOOKUP(F!$B208,E!$B$1:$AK$300,10,FALSE)=1000000000),"",IF(T208&lt;=VLOOKUP(F!$B208,E!$B$1:$AK$300,10,FALSE),"ja","nee")),"")</f>
        <v/>
      </c>
      <c r="W208" s="6" t="str">
        <f t="shared" si="84"/>
        <v/>
      </c>
      <c r="X208" s="5" t="str">
        <f>IF($F208="--","",IF($P208="toetsen",toetsen(F!$B208,W208),IF($P208="toetsen alleen IW",toetsen_alleen_IW(F!$B208,W208),IF($P208="toetsen alleen LN",toetsen_alleen_LN(F!$B208,W208),IF($P208="toetsen geen MV en SV",toetsen_geen_MV_en_SV(F!$B208,W208),IF($P208="toetsen alleen MV en SV",toetsen_alleen_MV_en_SV(F!$B208,W208),""))))))</f>
        <v/>
      </c>
      <c r="Y208" s="5" t="str">
        <f>IF($P208="toetsen",IF(OR(W208="",VLOOKUP(F!$B208,E!$B$1:$AK$300,10,FALSE)=1000000000),"",IF(W208&lt;=VLOOKUP(F!$B208,E!$B$1:$AK$300,10,FALSE),"ja","nee")),"")</f>
        <v/>
      </c>
      <c r="AA208" s="4"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6" t="str">
        <f t="shared" si="85"/>
        <v>--</v>
      </c>
      <c r="AJ208" s="6"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6" t="str">
        <f t="shared" si="86"/>
        <v>--</v>
      </c>
      <c r="AL208" s="6"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6" t="str">
        <f t="shared" si="87"/>
        <v>--</v>
      </c>
      <c r="AN208" s="6"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6" t="str">
        <f t="shared" si="74"/>
        <v>--</v>
      </c>
      <c r="AQ208" s="6" t="str">
        <f t="shared" si="75"/>
        <v/>
      </c>
      <c r="AR208" s="6" t="str">
        <f t="shared" si="76"/>
        <v>--</v>
      </c>
      <c r="AS208" s="6" t="str">
        <f t="shared" si="77"/>
        <v/>
      </c>
      <c r="AT208" s="6" t="str">
        <f t="shared" si="78"/>
        <v/>
      </c>
      <c r="AU208" s="6" t="str">
        <f>IFERROR(IF(AR208="--","",IF(HLOOKUP(SMALL($Q$4:$Y$4,3),$Q$4:$Y$501,ROW(AP208)-3,FALSE)=0,"",IF(HLOOKUP(SMALL($Q$4:$Y$4,3),$Q$4:$Y$501,ROW(AP208)-3,FALSE)="nee",VLOOKUP("De kwaliteitseis emissiearme grond (maximale concentratie) wordt overschreden.",H!$O$10:'H'!$P$59,2,FALSE),""))),"")</f>
        <v/>
      </c>
      <c r="AV208" s="6" t="str">
        <f t="shared" si="68"/>
        <v>--</v>
      </c>
      <c r="AW208" s="6" t="str">
        <f t="shared" si="69"/>
        <v/>
      </c>
      <c r="AX208" s="6" t="str">
        <f t="shared" si="70"/>
        <v>--</v>
      </c>
      <c r="AY208" s="6" t="str">
        <f t="shared" si="79"/>
        <v/>
      </c>
      <c r="AZ208" s="6" t="str">
        <f t="shared" si="80"/>
        <v/>
      </c>
      <c r="BA208" s="6" t="str">
        <f>IFERROR(IF(AR208="--","",IF(HLOOKUP(SMALL($Q$4:$Y$4,6),$Q$4:$Y$501,ROW(AP208)-3,FALSE)=0,"",IF(HLOOKUP(SMALL($Q$4:$Y$4,6),$Q$4:$Y$501,ROW(AP208)-3,FALSE)="nee",VLOOKUP("De kwaliteitseis emissiearme grond (maximale concentratie) wordt overschreden.",H!$O$10:'H'!$P$59,2,FALSE),""))),"")</f>
        <v/>
      </c>
      <c r="BB208" s="6" t="str">
        <f t="shared" si="71"/>
        <v>--</v>
      </c>
      <c r="BC208" s="6" t="str">
        <f t="shared" si="72"/>
        <v/>
      </c>
      <c r="BD208" s="6" t="str">
        <f t="shared" si="73"/>
        <v>--</v>
      </c>
      <c r="BE208" s="6" t="str">
        <f t="shared" si="81"/>
        <v/>
      </c>
      <c r="BF208" s="6"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6" t="str">
        <f>IF(ISNUMBER(F!E209)=FALSE,"--",IF(F!E209=0,"--",F!E209))</f>
        <v>--</v>
      </c>
      <c r="C209" s="6" t="str">
        <f>IF(B209="--","",F!F209)</f>
        <v/>
      </c>
      <c r="D209" s="6" t="str">
        <f>IF(ISNUMBER(F!G209)=FALSE,"--",IF(F!G209=0,"--",F!G209))</f>
        <v>--</v>
      </c>
      <c r="E209" s="6" t="str">
        <f>IF(D209="--","",F!H209)</f>
        <v/>
      </c>
      <c r="F209" s="6" t="str">
        <f>IF(ISNUMBER(F!I209)=FALSE,"--",IF(F!I209=0,"--",F!I209))</f>
        <v>--</v>
      </c>
      <c r="G209" s="6" t="str">
        <f>IF(F209="--","",F!J209)</f>
        <v/>
      </c>
      <c r="H209" s="6"/>
      <c r="I209" s="6" t="str">
        <f>IF(F!Z209=-1,-1,F!AV209)</f>
        <v/>
      </c>
      <c r="J209" s="6"/>
      <c r="K209" s="6" t="str">
        <f>IF(F!AC209=-1,-1,F!AX209)</f>
        <v/>
      </c>
      <c r="L209" s="6"/>
      <c r="M209" s="6" t="str">
        <f>IF(F!AF209=-1,-1,F!AZ209)</f>
        <v/>
      </c>
      <c r="N209" s="6"/>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6" t="str">
        <f t="shared" si="88"/>
        <v/>
      </c>
      <c r="R209" s="5" t="str">
        <f>IF($B209="--","",IF($P209="toetsen",toetsen(F!$B209,Q209),IF($P209="toetsen alleen IW",toetsen_alleen_IW(F!$B209,Q209),IF($P209="toetsen alleen LN",toetsen_alleen_LN(F!$B209,Q209),IF($P209="toetsen geen MV en SV",toetsen_geen_MV_en_SV(F!$B209,Q209),IF($P209="toetsen alleen MV en SV",toetsen_alleen_MV_en_SV(F!$B209,Q209),""))))))</f>
        <v/>
      </c>
      <c r="S209" s="5" t="str">
        <f>IF($P209="toetsen",IF(OR(Q209="",VLOOKUP(F!$B209,E!$B$1:$AK$300,10,FALSE)=1000000000),"",IF(Q209&lt;=VLOOKUP(F!$B209,E!$B$1:$AK$300,10,FALSE),"ja","nee")),"")</f>
        <v/>
      </c>
      <c r="T209" s="87" t="str">
        <f t="shared" si="83"/>
        <v/>
      </c>
      <c r="U209" s="5" t="str">
        <f>IF($D209="--","",IF($P209="toetsen",toetsen(F!$B209,T209),IF($P209="toetsen alleen IW",toetsen_alleen_IW(F!$B209,T209),IF($P209="toetsen alleen LN",toetsen_alleen_LN(F!$B209,T209),IF($P209="toetsen geen MV en SV",toetsen_geen_MV_en_SV(F!$B209,T209),IF($P209="toetsen alleen MV en SV",toetsen_alleen_MV_en_SV(F!$B209,T209),""))))))</f>
        <v/>
      </c>
      <c r="V209" s="5" t="str">
        <f>IF($P209="toetsen",IF(OR(T209="",VLOOKUP(F!$B209,E!$B$1:$AK$300,10,FALSE)=1000000000),"",IF(T209&lt;=VLOOKUP(F!$B209,E!$B$1:$AK$300,10,FALSE),"ja","nee")),"")</f>
        <v/>
      </c>
      <c r="W209" s="6" t="str">
        <f t="shared" si="84"/>
        <v/>
      </c>
      <c r="X209" s="5" t="str">
        <f>IF($F209="--","",IF($P209="toetsen",toetsen(F!$B209,W209),IF($P209="toetsen alleen IW",toetsen_alleen_IW(F!$B209,W209),IF($P209="toetsen alleen LN",toetsen_alleen_LN(F!$B209,W209),IF($P209="toetsen geen MV en SV",toetsen_geen_MV_en_SV(F!$B209,W209),IF($P209="toetsen alleen MV en SV",toetsen_alleen_MV_en_SV(F!$B209,W209),""))))))</f>
        <v/>
      </c>
      <c r="Y209" s="5" t="str">
        <f>IF($P209="toetsen",IF(OR(W209="",VLOOKUP(F!$B209,E!$B$1:$AK$300,10,FALSE)=1000000000),"",IF(W209&lt;=VLOOKUP(F!$B209,E!$B$1:$AK$300,10,FALSE),"ja","nee")),"")</f>
        <v/>
      </c>
      <c r="AA209" s="4"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6" t="str">
        <f t="shared" si="85"/>
        <v>--</v>
      </c>
      <c r="AJ209" s="6"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6" t="str">
        <f t="shared" si="86"/>
        <v>--</v>
      </c>
      <c r="AL209" s="6"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6" t="str">
        <f t="shared" si="87"/>
        <v>--</v>
      </c>
      <c r="AN209" s="6"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6" t="str">
        <f t="shared" si="74"/>
        <v>--</v>
      </c>
      <c r="AQ209" s="6" t="str">
        <f t="shared" si="75"/>
        <v/>
      </c>
      <c r="AR209" s="6" t="str">
        <f t="shared" si="76"/>
        <v>--</v>
      </c>
      <c r="AS209" s="6" t="str">
        <f t="shared" si="77"/>
        <v/>
      </c>
      <c r="AT209" s="6" t="str">
        <f t="shared" si="78"/>
        <v/>
      </c>
      <c r="AU209" s="6" t="str">
        <f>IFERROR(IF(AR209="--","",IF(HLOOKUP(SMALL($Q$4:$Y$4,3),$Q$4:$Y$501,ROW(AP209)-3,FALSE)=0,"",IF(HLOOKUP(SMALL($Q$4:$Y$4,3),$Q$4:$Y$501,ROW(AP209)-3,FALSE)="nee",VLOOKUP("De kwaliteitseis emissiearme grond (maximale concentratie) wordt overschreden.",H!$O$10:'H'!$P$59,2,FALSE),""))),"")</f>
        <v/>
      </c>
      <c r="AV209" s="6" t="str">
        <f t="shared" si="68"/>
        <v>--</v>
      </c>
      <c r="AW209" s="6" t="str">
        <f t="shared" si="69"/>
        <v/>
      </c>
      <c r="AX209" s="6" t="str">
        <f t="shared" si="70"/>
        <v>--</v>
      </c>
      <c r="AY209" s="6" t="str">
        <f t="shared" si="79"/>
        <v/>
      </c>
      <c r="AZ209" s="6" t="str">
        <f t="shared" si="80"/>
        <v/>
      </c>
      <c r="BA209" s="6" t="str">
        <f>IFERROR(IF(AR209="--","",IF(HLOOKUP(SMALL($Q$4:$Y$4,6),$Q$4:$Y$501,ROW(AP209)-3,FALSE)=0,"",IF(HLOOKUP(SMALL($Q$4:$Y$4,6),$Q$4:$Y$501,ROW(AP209)-3,FALSE)="nee",VLOOKUP("De kwaliteitseis emissiearme grond (maximale concentratie) wordt overschreden.",H!$O$10:'H'!$P$59,2,FALSE),""))),"")</f>
        <v/>
      </c>
      <c r="BB209" s="6" t="str">
        <f t="shared" si="71"/>
        <v>--</v>
      </c>
      <c r="BC209" s="6" t="str">
        <f t="shared" si="72"/>
        <v/>
      </c>
      <c r="BD209" s="6" t="str">
        <f t="shared" si="73"/>
        <v>--</v>
      </c>
      <c r="BE209" s="6" t="str">
        <f t="shared" si="81"/>
        <v/>
      </c>
      <c r="BF209" s="6"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6" t="str">
        <f>IF(ISNUMBER(F!E210)=FALSE,"--",IF(F!E210=0,"--",F!E210))</f>
        <v>--</v>
      </c>
      <c r="C210" s="6" t="str">
        <f>IF(B210="--","",F!F210)</f>
        <v/>
      </c>
      <c r="D210" s="6" t="str">
        <f>IF(ISNUMBER(F!G210)=FALSE,"--",IF(F!G210=0,"--",F!G210))</f>
        <v>--</v>
      </c>
      <c r="E210" s="6" t="str">
        <f>IF(D210="--","",F!H210)</f>
        <v/>
      </c>
      <c r="F210" s="6" t="str">
        <f>IF(ISNUMBER(F!I210)=FALSE,"--",IF(F!I210=0,"--",F!I210))</f>
        <v>--</v>
      </c>
      <c r="G210" s="6" t="str">
        <f>IF(F210="--","",F!J210)</f>
        <v/>
      </c>
      <c r="H210" s="6"/>
      <c r="I210" s="6" t="str">
        <f>IF(F!Z210=-1,-1,F!AV210)</f>
        <v/>
      </c>
      <c r="J210" s="6"/>
      <c r="K210" s="6" t="str">
        <f>IF(F!AC210=-1,-1,F!AX210)</f>
        <v/>
      </c>
      <c r="L210" s="6"/>
      <c r="M210" s="6" t="str">
        <f>IF(F!AF210=-1,-1,F!AZ210)</f>
        <v/>
      </c>
      <c r="N210" s="6"/>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6" t="str">
        <f t="shared" si="88"/>
        <v/>
      </c>
      <c r="R210" s="5" t="str">
        <f>IF($B210="--","",IF($P210="toetsen",toetsen(F!$B210,Q210),IF($P210="toetsen alleen IW",toetsen_alleen_IW(F!$B210,Q210),IF($P210="toetsen alleen LN",toetsen_alleen_LN(F!$B210,Q210),IF($P210="toetsen geen MV en SV",toetsen_geen_MV_en_SV(F!$B210,Q210),IF($P210="toetsen alleen MV en SV",toetsen_alleen_MV_en_SV(F!$B210,Q210),""))))))</f>
        <v/>
      </c>
      <c r="S210" s="5" t="str">
        <f>IF($P210="toetsen",IF(OR(Q210="",VLOOKUP(F!$B210,E!$B$1:$AK$300,10,FALSE)=1000000000),"",IF(Q210&lt;=VLOOKUP(F!$B210,E!$B$1:$AK$300,10,FALSE),"ja","nee")),"")</f>
        <v/>
      </c>
      <c r="T210" s="87" t="str">
        <f t="shared" si="83"/>
        <v/>
      </c>
      <c r="U210" s="5" t="str">
        <f>IF($D210="--","",IF($P210="toetsen",toetsen(F!$B210,T210),IF($P210="toetsen alleen IW",toetsen_alleen_IW(F!$B210,T210),IF($P210="toetsen alleen LN",toetsen_alleen_LN(F!$B210,T210),IF($P210="toetsen geen MV en SV",toetsen_geen_MV_en_SV(F!$B210,T210),IF($P210="toetsen alleen MV en SV",toetsen_alleen_MV_en_SV(F!$B210,T210),""))))))</f>
        <v/>
      </c>
      <c r="V210" s="5" t="str">
        <f>IF($P210="toetsen",IF(OR(T210="",VLOOKUP(F!$B210,E!$B$1:$AK$300,10,FALSE)=1000000000),"",IF(T210&lt;=VLOOKUP(F!$B210,E!$B$1:$AK$300,10,FALSE),"ja","nee")),"")</f>
        <v/>
      </c>
      <c r="W210" s="6" t="str">
        <f t="shared" si="84"/>
        <v/>
      </c>
      <c r="X210" s="5" t="str">
        <f>IF($F210="--","",IF($P210="toetsen",toetsen(F!$B210,W210),IF($P210="toetsen alleen IW",toetsen_alleen_IW(F!$B210,W210),IF($P210="toetsen alleen LN",toetsen_alleen_LN(F!$B210,W210),IF($P210="toetsen geen MV en SV",toetsen_geen_MV_en_SV(F!$B210,W210),IF($P210="toetsen alleen MV en SV",toetsen_alleen_MV_en_SV(F!$B210,W210),""))))))</f>
        <v/>
      </c>
      <c r="Y210" s="5" t="str">
        <f>IF($P210="toetsen",IF(OR(W210="",VLOOKUP(F!$B210,E!$B$1:$AK$300,10,FALSE)=1000000000),"",IF(W210&lt;=VLOOKUP(F!$B210,E!$B$1:$AK$300,10,FALSE),"ja","nee")),"")</f>
        <v/>
      </c>
      <c r="AA210" s="4"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6" t="str">
        <f t="shared" si="85"/>
        <v>--</v>
      </c>
      <c r="AJ210" s="6"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6" t="str">
        <f t="shared" si="86"/>
        <v>--</v>
      </c>
      <c r="AL210" s="6"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6" t="str">
        <f t="shared" si="87"/>
        <v>--</v>
      </c>
      <c r="AN210" s="6"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6" t="str">
        <f t="shared" si="74"/>
        <v>--</v>
      </c>
      <c r="AQ210" s="6" t="str">
        <f t="shared" si="75"/>
        <v/>
      </c>
      <c r="AR210" s="6" t="str">
        <f t="shared" si="76"/>
        <v>--</v>
      </c>
      <c r="AS210" s="6" t="str">
        <f t="shared" si="77"/>
        <v/>
      </c>
      <c r="AT210" s="6" t="str">
        <f t="shared" si="78"/>
        <v/>
      </c>
      <c r="AU210" s="6" t="str">
        <f>IFERROR(IF(AR210="--","",IF(HLOOKUP(SMALL($Q$4:$Y$4,3),$Q$4:$Y$501,ROW(AP210)-3,FALSE)=0,"",IF(HLOOKUP(SMALL($Q$4:$Y$4,3),$Q$4:$Y$501,ROW(AP210)-3,FALSE)="nee",VLOOKUP("De kwaliteitseis emissiearme grond (maximale concentratie) wordt overschreden.",H!$O$10:'H'!$P$59,2,FALSE),""))),"")</f>
        <v/>
      </c>
      <c r="AV210" s="6" t="str">
        <f t="shared" si="68"/>
        <v>--</v>
      </c>
      <c r="AW210" s="6" t="str">
        <f t="shared" si="69"/>
        <v/>
      </c>
      <c r="AX210" s="6" t="str">
        <f t="shared" si="70"/>
        <v>--</v>
      </c>
      <c r="AY210" s="6" t="str">
        <f t="shared" si="79"/>
        <v/>
      </c>
      <c r="AZ210" s="6" t="str">
        <f t="shared" si="80"/>
        <v/>
      </c>
      <c r="BA210" s="6" t="str">
        <f>IFERROR(IF(AR210="--","",IF(HLOOKUP(SMALL($Q$4:$Y$4,6),$Q$4:$Y$501,ROW(AP210)-3,FALSE)=0,"",IF(HLOOKUP(SMALL($Q$4:$Y$4,6),$Q$4:$Y$501,ROW(AP210)-3,FALSE)="nee",VLOOKUP("De kwaliteitseis emissiearme grond (maximale concentratie) wordt overschreden.",H!$O$10:'H'!$P$59,2,FALSE),""))),"")</f>
        <v/>
      </c>
      <c r="BB210" s="6" t="str">
        <f t="shared" si="71"/>
        <v>--</v>
      </c>
      <c r="BC210" s="6" t="str">
        <f t="shared" si="72"/>
        <v/>
      </c>
      <c r="BD210" s="6" t="str">
        <f t="shared" si="73"/>
        <v>--</v>
      </c>
      <c r="BE210" s="6" t="str">
        <f t="shared" si="81"/>
        <v/>
      </c>
      <c r="BF210" s="6"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6" t="str">
        <f>IF(ISNUMBER(F!E211)=FALSE,"--",IF(F!E211=0,"--",F!E211))</f>
        <v>--</v>
      </c>
      <c r="C211" s="6" t="str">
        <f>IF(B211="--","",F!F211)</f>
        <v/>
      </c>
      <c r="D211" s="6" t="str">
        <f>IF(ISNUMBER(F!G211)=FALSE,"--",IF(F!G211=0,"--",F!G211))</f>
        <v>--</v>
      </c>
      <c r="E211" s="6" t="str">
        <f>IF(D211="--","",F!H211)</f>
        <v/>
      </c>
      <c r="F211" s="6" t="str">
        <f>IF(ISNUMBER(F!I211)=FALSE,"--",IF(F!I211=0,"--",F!I211))</f>
        <v>--</v>
      </c>
      <c r="G211" s="6" t="str">
        <f>IF(F211="--","",F!J211)</f>
        <v/>
      </c>
      <c r="H211" s="6"/>
      <c r="I211" s="6" t="str">
        <f>IF(F!Z211=-1,-1,F!AV211)</f>
        <v/>
      </c>
      <c r="J211" s="6"/>
      <c r="K211" s="6" t="str">
        <f>IF(F!AC211=-1,-1,F!AX211)</f>
        <v/>
      </c>
      <c r="L211" s="6"/>
      <c r="M211" s="6" t="str">
        <f>IF(F!AF211=-1,-1,F!AZ211)</f>
        <v/>
      </c>
      <c r="N211" s="6"/>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6" t="str">
        <f t="shared" si="88"/>
        <v/>
      </c>
      <c r="R211" s="5" t="str">
        <f>IF($B211="--","",IF($P211="toetsen",toetsen(F!$B211,Q211),IF($P211="toetsen alleen IW",toetsen_alleen_IW(F!$B211,Q211),IF($P211="toetsen alleen LN",toetsen_alleen_LN(F!$B211,Q211),IF($P211="toetsen geen MV en SV",toetsen_geen_MV_en_SV(F!$B211,Q211),IF($P211="toetsen alleen MV en SV",toetsen_alleen_MV_en_SV(F!$B211,Q211),""))))))</f>
        <v/>
      </c>
      <c r="S211" s="5" t="str">
        <f>IF($P211="toetsen",IF(OR(Q211="",VLOOKUP(F!$B211,E!$B$1:$AK$300,10,FALSE)=1000000000),"",IF(Q211&lt;=VLOOKUP(F!$B211,E!$B$1:$AK$300,10,FALSE),"ja","nee")),"")</f>
        <v/>
      </c>
      <c r="T211" s="87" t="str">
        <f t="shared" si="83"/>
        <v/>
      </c>
      <c r="U211" s="5" t="str">
        <f>IF($D211="--","",IF($P211="toetsen",toetsen(F!$B211,T211),IF($P211="toetsen alleen IW",toetsen_alleen_IW(F!$B211,T211),IF($P211="toetsen alleen LN",toetsen_alleen_LN(F!$B211,T211),IF($P211="toetsen geen MV en SV",toetsen_geen_MV_en_SV(F!$B211,T211),IF($P211="toetsen alleen MV en SV",toetsen_alleen_MV_en_SV(F!$B211,T211),""))))))</f>
        <v/>
      </c>
      <c r="V211" s="5" t="str">
        <f>IF($P211="toetsen",IF(OR(T211="",VLOOKUP(F!$B211,E!$B$1:$AK$300,10,FALSE)=1000000000),"",IF(T211&lt;=VLOOKUP(F!$B211,E!$B$1:$AK$300,10,FALSE),"ja","nee")),"")</f>
        <v/>
      </c>
      <c r="W211" s="6" t="str">
        <f t="shared" si="84"/>
        <v/>
      </c>
      <c r="X211" s="5" t="str">
        <f>IF($F211="--","",IF($P211="toetsen",toetsen(F!$B211,W211),IF($P211="toetsen alleen IW",toetsen_alleen_IW(F!$B211,W211),IF($P211="toetsen alleen LN",toetsen_alleen_LN(F!$B211,W211),IF($P211="toetsen geen MV en SV",toetsen_geen_MV_en_SV(F!$B211,W211),IF($P211="toetsen alleen MV en SV",toetsen_alleen_MV_en_SV(F!$B211,W211),""))))))</f>
        <v/>
      </c>
      <c r="Y211" s="5" t="str">
        <f>IF($P211="toetsen",IF(OR(W211="",VLOOKUP(F!$B211,E!$B$1:$AK$300,10,FALSE)=1000000000),"",IF(W211&lt;=VLOOKUP(F!$B211,E!$B$1:$AK$300,10,FALSE),"ja","nee")),"")</f>
        <v/>
      </c>
      <c r="AA211" s="4"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6" t="str">
        <f t="shared" si="85"/>
        <v>--</v>
      </c>
      <c r="AJ211" s="6"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6" t="str">
        <f t="shared" si="86"/>
        <v>--</v>
      </c>
      <c r="AL211" s="6"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6" t="str">
        <f t="shared" si="87"/>
        <v>--</v>
      </c>
      <c r="AN211" s="6"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6" t="str">
        <f t="shared" si="74"/>
        <v>--</v>
      </c>
      <c r="AQ211" s="6" t="str">
        <f t="shared" si="75"/>
        <v/>
      </c>
      <c r="AR211" s="6" t="str">
        <f t="shared" si="76"/>
        <v>--</v>
      </c>
      <c r="AS211" s="6" t="str">
        <f t="shared" si="77"/>
        <v/>
      </c>
      <c r="AT211" s="6" t="str">
        <f t="shared" si="78"/>
        <v/>
      </c>
      <c r="AU211" s="6" t="str">
        <f>IFERROR(IF(AR211="--","",IF(HLOOKUP(SMALL($Q$4:$Y$4,3),$Q$4:$Y$501,ROW(AP211)-3,FALSE)=0,"",IF(HLOOKUP(SMALL($Q$4:$Y$4,3),$Q$4:$Y$501,ROW(AP211)-3,FALSE)="nee",VLOOKUP("De kwaliteitseis emissiearme grond (maximale concentratie) wordt overschreden.",H!$O$10:'H'!$P$59,2,FALSE),""))),"")</f>
        <v/>
      </c>
      <c r="AV211" s="6" t="str">
        <f t="shared" si="68"/>
        <v>--</v>
      </c>
      <c r="AW211" s="6" t="str">
        <f t="shared" si="69"/>
        <v/>
      </c>
      <c r="AX211" s="6" t="str">
        <f t="shared" si="70"/>
        <v>--</v>
      </c>
      <c r="AY211" s="6" t="str">
        <f t="shared" si="79"/>
        <v/>
      </c>
      <c r="AZ211" s="6" t="str">
        <f t="shared" si="80"/>
        <v/>
      </c>
      <c r="BA211" s="6" t="str">
        <f>IFERROR(IF(AR211="--","",IF(HLOOKUP(SMALL($Q$4:$Y$4,6),$Q$4:$Y$501,ROW(AP211)-3,FALSE)=0,"",IF(HLOOKUP(SMALL($Q$4:$Y$4,6),$Q$4:$Y$501,ROW(AP211)-3,FALSE)="nee",VLOOKUP("De kwaliteitseis emissiearme grond (maximale concentratie) wordt overschreden.",H!$O$10:'H'!$P$59,2,FALSE),""))),"")</f>
        <v/>
      </c>
      <c r="BB211" s="6" t="str">
        <f t="shared" si="71"/>
        <v>--</v>
      </c>
      <c r="BC211" s="6" t="str">
        <f t="shared" si="72"/>
        <v/>
      </c>
      <c r="BD211" s="6" t="str">
        <f t="shared" si="73"/>
        <v>--</v>
      </c>
      <c r="BE211" s="6" t="str">
        <f t="shared" si="81"/>
        <v/>
      </c>
      <c r="BF211" s="6"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6" t="str">
        <f>IF(ISNUMBER(F!E212)=FALSE,"--",IF(F!E212=0,"--",F!E212))</f>
        <v>--</v>
      </c>
      <c r="C212" s="6" t="str">
        <f>IF(B212="--","",F!F212)</f>
        <v/>
      </c>
      <c r="D212" s="6" t="str">
        <f>IF(ISNUMBER(F!G212)=FALSE,"--",IF(F!G212=0,"--",F!G212))</f>
        <v>--</v>
      </c>
      <c r="E212" s="6" t="str">
        <f>IF(D212="--","",F!H212)</f>
        <v/>
      </c>
      <c r="F212" s="6" t="str">
        <f>IF(ISNUMBER(F!I212)=FALSE,"--",IF(F!I212=0,"--",F!I212))</f>
        <v>--</v>
      </c>
      <c r="G212" s="6" t="str">
        <f>IF(F212="--","",F!J212)</f>
        <v/>
      </c>
      <c r="H212" s="6"/>
      <c r="I212" s="6">
        <f>IF(F!Z212=-1,-1,F!AV212)</f>
        <v>0</v>
      </c>
      <c r="J212" s="6"/>
      <c r="K212" s="6">
        <f>IF(F!AC212=-1,-1,F!AX212)</f>
        <v>0</v>
      </c>
      <c r="L212" s="6"/>
      <c r="M212" s="6">
        <f>IF(F!AF212=-1,-1,F!AZ212)</f>
        <v>0</v>
      </c>
      <c r="N212" s="6"/>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6">
        <f t="shared" si="88"/>
        <v>0</v>
      </c>
      <c r="R212" s="5" t="str">
        <f>IF($B212="--","",IF($P212="toetsen",toetsen(F!$B212,Q212),IF($P212="toetsen alleen IW",toetsen_alleen_IW(F!$B212,Q212),IF($P212="toetsen alleen LN",toetsen_alleen_LN(F!$B212,Q212),IF($P212="toetsen geen MV en SV",toetsen_geen_MV_en_SV(F!$B212,Q212),IF($P212="toetsen alleen MV en SV",toetsen_alleen_MV_en_SV(F!$B212,Q212),""))))))</f>
        <v/>
      </c>
      <c r="S212" s="5" t="str">
        <f>IF($P212="toetsen",IF(OR(Q212="",VLOOKUP(F!$B212,E!$B$1:$AK$300,10,FALSE)=1000000000),"",IF(Q212&lt;=VLOOKUP(F!$B212,E!$B$1:$AK$300,10,FALSE),"ja","nee")),"")</f>
        <v/>
      </c>
      <c r="T212" s="87">
        <f t="shared" si="83"/>
        <v>0</v>
      </c>
      <c r="U212" s="5" t="str">
        <f>IF($D212="--","",IF($P212="toetsen",toetsen(F!$B212,T212),IF($P212="toetsen alleen IW",toetsen_alleen_IW(F!$B212,T212),IF($P212="toetsen alleen LN",toetsen_alleen_LN(F!$B212,T212),IF($P212="toetsen geen MV en SV",toetsen_geen_MV_en_SV(F!$B212,T212),IF($P212="toetsen alleen MV en SV",toetsen_alleen_MV_en_SV(F!$B212,T212),""))))))</f>
        <v/>
      </c>
      <c r="V212" s="5" t="str">
        <f>IF($P212="toetsen",IF(OR(T212="",VLOOKUP(F!$B212,E!$B$1:$AK$300,10,FALSE)=1000000000),"",IF(T212&lt;=VLOOKUP(F!$B212,E!$B$1:$AK$300,10,FALSE),"ja","nee")),"")</f>
        <v/>
      </c>
      <c r="W212" s="6">
        <f t="shared" si="84"/>
        <v>0</v>
      </c>
      <c r="X212" s="5" t="str">
        <f>IF($F212="--","",IF($P212="toetsen",toetsen(F!$B212,W212),IF($P212="toetsen alleen IW",toetsen_alleen_IW(F!$B212,W212),IF($P212="toetsen alleen LN",toetsen_alleen_LN(F!$B212,W212),IF($P212="toetsen geen MV en SV",toetsen_geen_MV_en_SV(F!$B212,W212),IF($P212="toetsen alleen MV en SV",toetsen_alleen_MV_en_SV(F!$B212,W212),""))))))</f>
        <v/>
      </c>
      <c r="Y212" s="5" t="str">
        <f>IF($P212="toetsen",IF(OR(W212="",VLOOKUP(F!$B212,E!$B$1:$AK$300,10,FALSE)=1000000000),"",IF(W212&lt;=VLOOKUP(F!$B212,E!$B$1:$AK$300,10,FALSE),"ja","nee")),"")</f>
        <v/>
      </c>
      <c r="AA212" s="4"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6" t="str">
        <f t="shared" si="85"/>
        <v>--</v>
      </c>
      <c r="AJ212" s="6"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6" t="str">
        <f t="shared" si="86"/>
        <v>--</v>
      </c>
      <c r="AL212" s="6"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6" t="str">
        <f t="shared" si="87"/>
        <v>--</v>
      </c>
      <c r="AN212" s="6"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6" t="str">
        <f t="shared" si="74"/>
        <v>--</v>
      </c>
      <c r="AQ212" s="6" t="str">
        <f t="shared" si="75"/>
        <v/>
      </c>
      <c r="AR212" s="6" t="str">
        <f t="shared" si="76"/>
        <v>--</v>
      </c>
      <c r="AS212" s="6" t="str">
        <f t="shared" si="77"/>
        <v/>
      </c>
      <c r="AT212" s="6" t="str">
        <f t="shared" si="78"/>
        <v/>
      </c>
      <c r="AU212" s="6" t="str">
        <f>IFERROR(IF(AR212="--","",IF(HLOOKUP(SMALL($Q$4:$Y$4,3),$Q$4:$Y$501,ROW(AP212)-3,FALSE)=0,"",IF(HLOOKUP(SMALL($Q$4:$Y$4,3),$Q$4:$Y$501,ROW(AP212)-3,FALSE)="nee",VLOOKUP("De kwaliteitseis emissiearme grond (maximale concentratie) wordt overschreden.",H!$O$10:'H'!$P$59,2,FALSE),""))),"")</f>
        <v/>
      </c>
      <c r="AV212" s="6" t="str">
        <f t="shared" si="68"/>
        <v>--</v>
      </c>
      <c r="AW212" s="6" t="str">
        <f t="shared" si="69"/>
        <v/>
      </c>
      <c r="AX212" s="6" t="str">
        <f t="shared" si="70"/>
        <v>--</v>
      </c>
      <c r="AY212" s="6" t="str">
        <f t="shared" si="79"/>
        <v/>
      </c>
      <c r="AZ212" s="6" t="str">
        <f t="shared" si="80"/>
        <v/>
      </c>
      <c r="BA212" s="6" t="str">
        <f>IFERROR(IF(AR212="--","",IF(HLOOKUP(SMALL($Q$4:$Y$4,6),$Q$4:$Y$501,ROW(AP212)-3,FALSE)=0,"",IF(HLOOKUP(SMALL($Q$4:$Y$4,6),$Q$4:$Y$501,ROW(AP212)-3,FALSE)="nee",VLOOKUP("De kwaliteitseis emissiearme grond (maximale concentratie) wordt overschreden.",H!$O$10:'H'!$P$59,2,FALSE),""))),"")</f>
        <v/>
      </c>
      <c r="BB212" s="6" t="str">
        <f t="shared" si="71"/>
        <v>--</v>
      </c>
      <c r="BC212" s="6" t="str">
        <f t="shared" si="72"/>
        <v/>
      </c>
      <c r="BD212" s="6" t="str">
        <f t="shared" si="73"/>
        <v>--</v>
      </c>
      <c r="BE212" s="6" t="str">
        <f t="shared" si="81"/>
        <v/>
      </c>
      <c r="BF212" s="6"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6" t="str">
        <f>IF(ISNUMBER(F!E213)=FALSE,"--",IF(F!E213=0,"--",F!E213))</f>
        <v>--</v>
      </c>
      <c r="C213" s="6" t="str">
        <f>IF(B213="--","",F!F213)</f>
        <v/>
      </c>
      <c r="D213" s="6" t="str">
        <f>IF(ISNUMBER(F!G213)=FALSE,"--",IF(F!G213=0,"--",F!G213))</f>
        <v>--</v>
      </c>
      <c r="E213" s="6" t="str">
        <f>IF(D213="--","",F!H213)</f>
        <v/>
      </c>
      <c r="F213" s="6" t="str">
        <f>IF(ISNUMBER(F!I213)=FALSE,"--",IF(F!I213=0,"--",F!I213))</f>
        <v>--</v>
      </c>
      <c r="G213" s="6" t="str">
        <f>IF(F213="--","",F!J213)</f>
        <v/>
      </c>
      <c r="H213" s="6"/>
      <c r="I213" s="6" t="str">
        <f>IF(F!Z213=-1,-1,F!AV213)</f>
        <v/>
      </c>
      <c r="J213" s="6"/>
      <c r="K213" s="6" t="str">
        <f>IF(F!AC213=-1,-1,F!AX213)</f>
        <v/>
      </c>
      <c r="L213" s="6"/>
      <c r="M213" s="6" t="str">
        <f>IF(F!AF213=-1,-1,F!AZ213)</f>
        <v/>
      </c>
      <c r="N213" s="6"/>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6" t="str">
        <f t="shared" si="88"/>
        <v/>
      </c>
      <c r="R213" s="5" t="str">
        <f>IF($B213="--","",IF($P213="toetsen",toetsen(F!$B213,Q213),IF($P213="toetsen alleen IW",toetsen_alleen_IW(F!$B213,Q213),IF($P213="toetsen alleen LN",toetsen_alleen_LN(F!$B213,Q213),IF($P213="toetsen geen MV en SV",toetsen_geen_MV_en_SV(F!$B213,Q213),IF($P213="toetsen alleen MV en SV",toetsen_alleen_MV_en_SV(F!$B213,Q213),""))))))</f>
        <v/>
      </c>
      <c r="S213" s="5" t="str">
        <f>IF($P213="toetsen",IF(OR(Q213="",VLOOKUP(F!$B213,E!$B$1:$AK$300,10,FALSE)=1000000000),"",IF(Q213&lt;=VLOOKUP(F!$B213,E!$B$1:$AK$300,10,FALSE),"ja","nee")),"")</f>
        <v/>
      </c>
      <c r="T213" s="87" t="str">
        <f t="shared" si="83"/>
        <v/>
      </c>
      <c r="U213" s="5" t="str">
        <f>IF($D213="--","",IF($P213="toetsen",toetsen(F!$B213,T213),IF($P213="toetsen alleen IW",toetsen_alleen_IW(F!$B213,T213),IF($P213="toetsen alleen LN",toetsen_alleen_LN(F!$B213,T213),IF($P213="toetsen geen MV en SV",toetsen_geen_MV_en_SV(F!$B213,T213),IF($P213="toetsen alleen MV en SV",toetsen_alleen_MV_en_SV(F!$B213,T213),""))))))</f>
        <v/>
      </c>
      <c r="V213" s="5" t="str">
        <f>IF($P213="toetsen",IF(OR(T213="",VLOOKUP(F!$B213,E!$B$1:$AK$300,10,FALSE)=1000000000),"",IF(T213&lt;=VLOOKUP(F!$B213,E!$B$1:$AK$300,10,FALSE),"ja","nee")),"")</f>
        <v/>
      </c>
      <c r="W213" s="6" t="str">
        <f t="shared" si="84"/>
        <v/>
      </c>
      <c r="X213" s="5" t="str">
        <f>IF($F213="--","",IF($P213="toetsen",toetsen(F!$B213,W213),IF($P213="toetsen alleen IW",toetsen_alleen_IW(F!$B213,W213),IF($P213="toetsen alleen LN",toetsen_alleen_LN(F!$B213,W213),IF($P213="toetsen geen MV en SV",toetsen_geen_MV_en_SV(F!$B213,W213),IF($P213="toetsen alleen MV en SV",toetsen_alleen_MV_en_SV(F!$B213,W213),""))))))</f>
        <v/>
      </c>
      <c r="Y213" s="5" t="str">
        <f>IF($P213="toetsen",IF(OR(W213="",VLOOKUP(F!$B213,E!$B$1:$AK$300,10,FALSE)=1000000000),"",IF(W213&lt;=VLOOKUP(F!$B213,E!$B$1:$AK$300,10,FALSE),"ja","nee")),"")</f>
        <v/>
      </c>
      <c r="AA213" s="4"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6" t="str">
        <f t="shared" si="85"/>
        <v>--</v>
      </c>
      <c r="AJ213" s="6"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6" t="str">
        <f t="shared" si="86"/>
        <v>--</v>
      </c>
      <c r="AL213" s="6"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6" t="str">
        <f t="shared" si="87"/>
        <v>--</v>
      </c>
      <c r="AN213" s="6"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6" t="str">
        <f t="shared" si="74"/>
        <v>--</v>
      </c>
      <c r="AQ213" s="6" t="str">
        <f t="shared" si="75"/>
        <v/>
      </c>
      <c r="AR213" s="6" t="str">
        <f t="shared" si="76"/>
        <v>--</v>
      </c>
      <c r="AS213" s="6" t="str">
        <f t="shared" si="77"/>
        <v/>
      </c>
      <c r="AT213" s="6" t="str">
        <f t="shared" si="78"/>
        <v/>
      </c>
      <c r="AU213" s="6" t="str">
        <f>IFERROR(IF(AR213="--","",IF(HLOOKUP(SMALL($Q$4:$Y$4,3),$Q$4:$Y$501,ROW(AP213)-3,FALSE)=0,"",IF(HLOOKUP(SMALL($Q$4:$Y$4,3),$Q$4:$Y$501,ROW(AP213)-3,FALSE)="nee",VLOOKUP("De kwaliteitseis emissiearme grond (maximale concentratie) wordt overschreden.",H!$O$10:'H'!$P$59,2,FALSE),""))),"")</f>
        <v/>
      </c>
      <c r="AV213" s="6" t="str">
        <f t="shared" si="68"/>
        <v>--</v>
      </c>
      <c r="AW213" s="6" t="str">
        <f t="shared" si="69"/>
        <v/>
      </c>
      <c r="AX213" s="6" t="str">
        <f t="shared" si="70"/>
        <v>--</v>
      </c>
      <c r="AY213" s="6" t="str">
        <f t="shared" si="79"/>
        <v/>
      </c>
      <c r="AZ213" s="6" t="str">
        <f t="shared" si="80"/>
        <v/>
      </c>
      <c r="BA213" s="6" t="str">
        <f>IFERROR(IF(AR213="--","",IF(HLOOKUP(SMALL($Q$4:$Y$4,6),$Q$4:$Y$501,ROW(AP213)-3,FALSE)=0,"",IF(HLOOKUP(SMALL($Q$4:$Y$4,6),$Q$4:$Y$501,ROW(AP213)-3,FALSE)="nee",VLOOKUP("De kwaliteitseis emissiearme grond (maximale concentratie) wordt overschreden.",H!$O$10:'H'!$P$59,2,FALSE),""))),"")</f>
        <v/>
      </c>
      <c r="BB213" s="6" t="str">
        <f t="shared" si="71"/>
        <v>--</v>
      </c>
      <c r="BC213" s="6" t="str">
        <f t="shared" si="72"/>
        <v/>
      </c>
      <c r="BD213" s="6" t="str">
        <f t="shared" si="73"/>
        <v>--</v>
      </c>
      <c r="BE213" s="6" t="str">
        <f t="shared" si="81"/>
        <v/>
      </c>
      <c r="BF213" s="6"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6" t="str">
        <f>IF(ISNUMBER(F!E214)=FALSE,"--",IF(F!E214=0,"--",F!E214))</f>
        <v>--</v>
      </c>
      <c r="C214" s="6" t="str">
        <f>IF(B214="--","",F!F214)</f>
        <v/>
      </c>
      <c r="D214" s="6" t="str">
        <f>IF(ISNUMBER(F!G214)=FALSE,"--",IF(F!G214=0,"--",F!G214))</f>
        <v>--</v>
      </c>
      <c r="E214" s="6" t="str">
        <f>IF(D214="--","",F!H214)</f>
        <v/>
      </c>
      <c r="F214" s="6" t="str">
        <f>IF(ISNUMBER(F!I214)=FALSE,"--",IF(F!I214=0,"--",F!I214))</f>
        <v>--</v>
      </c>
      <c r="G214" s="6" t="str">
        <f>IF(F214="--","",F!J214)</f>
        <v/>
      </c>
      <c r="H214" s="6"/>
      <c r="I214" s="6" t="str">
        <f>IF(F!Z214=-1,-1,F!AV214)</f>
        <v/>
      </c>
      <c r="J214" s="6"/>
      <c r="K214" s="6" t="str">
        <f>IF(F!AC214=-1,-1,F!AX214)</f>
        <v/>
      </c>
      <c r="L214" s="6"/>
      <c r="M214" s="6" t="str">
        <f>IF(F!AF214=-1,-1,F!AZ214)</f>
        <v/>
      </c>
      <c r="N214" s="6"/>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6" t="str">
        <f t="shared" si="88"/>
        <v/>
      </c>
      <c r="R214" s="5" t="str">
        <f>IF($B214="--","",IF($P214="toetsen",toetsen(F!$B214,Q214),IF($P214="toetsen alleen IW",toetsen_alleen_IW(F!$B214,Q214),IF($P214="toetsen alleen LN",toetsen_alleen_LN(F!$B214,Q214),IF($P214="toetsen geen MV en SV",toetsen_geen_MV_en_SV(F!$B214,Q214),IF($P214="toetsen alleen MV en SV",toetsen_alleen_MV_en_SV(F!$B214,Q214),""))))))</f>
        <v/>
      </c>
      <c r="S214" s="5" t="str">
        <f>IF($P214="toetsen",IF(OR(Q214="",VLOOKUP(F!$B214,E!$B$1:$AK$300,10,FALSE)=1000000000),"",IF(Q214&lt;=VLOOKUP(F!$B214,E!$B$1:$AK$300,10,FALSE),"ja","nee")),"")</f>
        <v/>
      </c>
      <c r="T214" s="87" t="str">
        <f t="shared" si="83"/>
        <v/>
      </c>
      <c r="U214" s="5" t="str">
        <f>IF($D214="--","",IF($P214="toetsen",toetsen(F!$B214,T214),IF($P214="toetsen alleen IW",toetsen_alleen_IW(F!$B214,T214),IF($P214="toetsen alleen LN",toetsen_alleen_LN(F!$B214,T214),IF($P214="toetsen geen MV en SV",toetsen_geen_MV_en_SV(F!$B214,T214),IF($P214="toetsen alleen MV en SV",toetsen_alleen_MV_en_SV(F!$B214,T214),""))))))</f>
        <v/>
      </c>
      <c r="V214" s="5" t="str">
        <f>IF($P214="toetsen",IF(OR(T214="",VLOOKUP(F!$B214,E!$B$1:$AK$300,10,FALSE)=1000000000),"",IF(T214&lt;=VLOOKUP(F!$B214,E!$B$1:$AK$300,10,FALSE),"ja","nee")),"")</f>
        <v/>
      </c>
      <c r="W214" s="6" t="str">
        <f t="shared" si="84"/>
        <v/>
      </c>
      <c r="X214" s="5" t="str">
        <f>IF($F214="--","",IF($P214="toetsen",toetsen(F!$B214,W214),IF($P214="toetsen alleen IW",toetsen_alleen_IW(F!$B214,W214),IF($P214="toetsen alleen LN",toetsen_alleen_LN(F!$B214,W214),IF($P214="toetsen geen MV en SV",toetsen_geen_MV_en_SV(F!$B214,W214),IF($P214="toetsen alleen MV en SV",toetsen_alleen_MV_en_SV(F!$B214,W214),""))))))</f>
        <v/>
      </c>
      <c r="Y214" s="5" t="str">
        <f>IF($P214="toetsen",IF(OR(W214="",VLOOKUP(F!$B214,E!$B$1:$AK$300,10,FALSE)=1000000000),"",IF(W214&lt;=VLOOKUP(F!$B214,E!$B$1:$AK$300,10,FALSE),"ja","nee")),"")</f>
        <v/>
      </c>
      <c r="AA214" s="4"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6" t="str">
        <f t="shared" si="85"/>
        <v>--</v>
      </c>
      <c r="AJ214" s="6"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6" t="str">
        <f t="shared" si="86"/>
        <v>--</v>
      </c>
      <c r="AL214" s="6"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6" t="str">
        <f t="shared" si="87"/>
        <v>--</v>
      </c>
      <c r="AN214" s="6"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6" t="str">
        <f t="shared" si="74"/>
        <v>--</v>
      </c>
      <c r="AQ214" s="6" t="str">
        <f t="shared" si="75"/>
        <v/>
      </c>
      <c r="AR214" s="6" t="str">
        <f t="shared" si="76"/>
        <v>--</v>
      </c>
      <c r="AS214" s="6" t="str">
        <f t="shared" si="77"/>
        <v/>
      </c>
      <c r="AT214" s="6" t="str">
        <f t="shared" si="78"/>
        <v/>
      </c>
      <c r="AU214" s="6" t="str">
        <f>IFERROR(IF(AR214="--","",IF(HLOOKUP(SMALL($Q$4:$Y$4,3),$Q$4:$Y$501,ROW(AP214)-3,FALSE)=0,"",IF(HLOOKUP(SMALL($Q$4:$Y$4,3),$Q$4:$Y$501,ROW(AP214)-3,FALSE)="nee",VLOOKUP("De kwaliteitseis emissiearme grond (maximale concentratie) wordt overschreden.",H!$O$10:'H'!$P$59,2,FALSE),""))),"")</f>
        <v/>
      </c>
      <c r="AV214" s="6" t="str">
        <f t="shared" si="68"/>
        <v>--</v>
      </c>
      <c r="AW214" s="6" t="str">
        <f t="shared" si="69"/>
        <v/>
      </c>
      <c r="AX214" s="6" t="str">
        <f t="shared" si="70"/>
        <v>--</v>
      </c>
      <c r="AY214" s="6" t="str">
        <f t="shared" si="79"/>
        <v/>
      </c>
      <c r="AZ214" s="6" t="str">
        <f t="shared" si="80"/>
        <v/>
      </c>
      <c r="BA214" s="6" t="str">
        <f>IFERROR(IF(AR214="--","",IF(HLOOKUP(SMALL($Q$4:$Y$4,6),$Q$4:$Y$501,ROW(AP214)-3,FALSE)=0,"",IF(HLOOKUP(SMALL($Q$4:$Y$4,6),$Q$4:$Y$501,ROW(AP214)-3,FALSE)="nee",VLOOKUP("De kwaliteitseis emissiearme grond (maximale concentratie) wordt overschreden.",H!$O$10:'H'!$P$59,2,FALSE),""))),"")</f>
        <v/>
      </c>
      <c r="BB214" s="6" t="str">
        <f t="shared" si="71"/>
        <v>--</v>
      </c>
      <c r="BC214" s="6" t="str">
        <f t="shared" si="72"/>
        <v/>
      </c>
      <c r="BD214" s="6" t="str">
        <f t="shared" si="73"/>
        <v>--</v>
      </c>
      <c r="BE214" s="6" t="str">
        <f t="shared" si="81"/>
        <v/>
      </c>
      <c r="BF214" s="6"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6" t="str">
        <f>IF(ISNUMBER(F!E215)=FALSE,"--",IF(F!E215=0,"--",F!E215))</f>
        <v>--</v>
      </c>
      <c r="C215" s="6" t="str">
        <f>IF(B215="--","",F!F215)</f>
        <v/>
      </c>
      <c r="D215" s="6" t="str">
        <f>IF(ISNUMBER(F!G215)=FALSE,"--",IF(F!G215=0,"--",F!G215))</f>
        <v>--</v>
      </c>
      <c r="E215" s="6" t="str">
        <f>IF(D215="--","",F!H215)</f>
        <v/>
      </c>
      <c r="F215" s="6" t="str">
        <f>IF(ISNUMBER(F!I215)=FALSE,"--",IF(F!I215=0,"--",F!I215))</f>
        <v>--</v>
      </c>
      <c r="G215" s="6" t="str">
        <f>IF(F215="--","",F!J215)</f>
        <v/>
      </c>
      <c r="H215" s="6"/>
      <c r="I215" s="6" t="str">
        <f>IF(F!Z215=-1,-1,F!AV215)</f>
        <v/>
      </c>
      <c r="J215" s="6"/>
      <c r="K215" s="6" t="str">
        <f>IF(F!AC215=-1,-1,F!AX215)</f>
        <v/>
      </c>
      <c r="L215" s="6"/>
      <c r="M215" s="6" t="str">
        <f>IF(F!AF215=-1,-1,F!AZ215)</f>
        <v/>
      </c>
      <c r="N215" s="6"/>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6" t="str">
        <f t="shared" si="88"/>
        <v/>
      </c>
      <c r="R215" s="5" t="str">
        <f>IF($B215="--","",IF($P215="toetsen",toetsen(F!$B215,Q215),IF($P215="toetsen alleen IW",toetsen_alleen_IW(F!$B215,Q215),IF($P215="toetsen alleen LN",toetsen_alleen_LN(F!$B215,Q215),IF($P215="toetsen geen MV en SV",toetsen_geen_MV_en_SV(F!$B215,Q215),IF($P215="toetsen alleen MV en SV",toetsen_alleen_MV_en_SV(F!$B215,Q215),""))))))</f>
        <v/>
      </c>
      <c r="S215" s="5" t="str">
        <f>IF($P215="toetsen",IF(OR(Q215="",VLOOKUP(F!$B215,E!$B$1:$AK$300,10,FALSE)=1000000000),"",IF(Q215&lt;=VLOOKUP(F!$B215,E!$B$1:$AK$300,10,FALSE),"ja","nee")),"")</f>
        <v/>
      </c>
      <c r="T215" s="87" t="str">
        <f t="shared" si="83"/>
        <v/>
      </c>
      <c r="U215" s="5" t="str">
        <f>IF($D215="--","",IF($P215="toetsen",toetsen(F!$B215,T215),IF($P215="toetsen alleen IW",toetsen_alleen_IW(F!$B215,T215),IF($P215="toetsen alleen LN",toetsen_alleen_LN(F!$B215,T215),IF($P215="toetsen geen MV en SV",toetsen_geen_MV_en_SV(F!$B215,T215),IF($P215="toetsen alleen MV en SV",toetsen_alleen_MV_en_SV(F!$B215,T215),""))))))</f>
        <v/>
      </c>
      <c r="V215" s="5" t="str">
        <f>IF($P215="toetsen",IF(OR(T215="",VLOOKUP(F!$B215,E!$B$1:$AK$300,10,FALSE)=1000000000),"",IF(T215&lt;=VLOOKUP(F!$B215,E!$B$1:$AK$300,10,FALSE),"ja","nee")),"")</f>
        <v/>
      </c>
      <c r="W215" s="6" t="str">
        <f t="shared" si="84"/>
        <v/>
      </c>
      <c r="X215" s="5" t="str">
        <f>IF($F215="--","",IF($P215="toetsen",toetsen(F!$B215,W215),IF($P215="toetsen alleen IW",toetsen_alleen_IW(F!$B215,W215),IF($P215="toetsen alleen LN",toetsen_alleen_LN(F!$B215,W215),IF($P215="toetsen geen MV en SV",toetsen_geen_MV_en_SV(F!$B215,W215),IF($P215="toetsen alleen MV en SV",toetsen_alleen_MV_en_SV(F!$B215,W215),""))))))</f>
        <v/>
      </c>
      <c r="Y215" s="5" t="str">
        <f>IF($P215="toetsen",IF(OR(W215="",VLOOKUP(F!$B215,E!$B$1:$AK$300,10,FALSE)=1000000000),"",IF(W215&lt;=VLOOKUP(F!$B215,E!$B$1:$AK$300,10,FALSE),"ja","nee")),"")</f>
        <v/>
      </c>
      <c r="AA215" s="4"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6" t="str">
        <f t="shared" si="85"/>
        <v>--</v>
      </c>
      <c r="AJ215" s="6"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6" t="str">
        <f t="shared" si="86"/>
        <v>--</v>
      </c>
      <c r="AL215" s="6"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6" t="str">
        <f t="shared" si="87"/>
        <v>--</v>
      </c>
      <c r="AN215" s="6"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6" t="str">
        <f t="shared" si="74"/>
        <v>--</v>
      </c>
      <c r="AQ215" s="6" t="str">
        <f t="shared" si="75"/>
        <v/>
      </c>
      <c r="AR215" s="6" t="str">
        <f t="shared" si="76"/>
        <v>--</v>
      </c>
      <c r="AS215" s="6" t="str">
        <f t="shared" si="77"/>
        <v/>
      </c>
      <c r="AT215" s="6" t="str">
        <f t="shared" si="78"/>
        <v/>
      </c>
      <c r="AU215" s="6" t="str">
        <f>IFERROR(IF(AR215="--","",IF(HLOOKUP(SMALL($Q$4:$Y$4,3),$Q$4:$Y$501,ROW(AP215)-3,FALSE)=0,"",IF(HLOOKUP(SMALL($Q$4:$Y$4,3),$Q$4:$Y$501,ROW(AP215)-3,FALSE)="nee",VLOOKUP("De kwaliteitseis emissiearme grond (maximale concentratie) wordt overschreden.",H!$O$10:'H'!$P$59,2,FALSE),""))),"")</f>
        <v/>
      </c>
      <c r="AV215" s="6" t="str">
        <f t="shared" si="68"/>
        <v>--</v>
      </c>
      <c r="AW215" s="6" t="str">
        <f t="shared" si="69"/>
        <v/>
      </c>
      <c r="AX215" s="6" t="str">
        <f t="shared" si="70"/>
        <v>--</v>
      </c>
      <c r="AY215" s="6" t="str">
        <f t="shared" si="79"/>
        <v/>
      </c>
      <c r="AZ215" s="6" t="str">
        <f t="shared" si="80"/>
        <v/>
      </c>
      <c r="BA215" s="6" t="str">
        <f>IFERROR(IF(AR215="--","",IF(HLOOKUP(SMALL($Q$4:$Y$4,6),$Q$4:$Y$501,ROW(AP215)-3,FALSE)=0,"",IF(HLOOKUP(SMALL($Q$4:$Y$4,6),$Q$4:$Y$501,ROW(AP215)-3,FALSE)="nee",VLOOKUP("De kwaliteitseis emissiearme grond (maximale concentratie) wordt overschreden.",H!$O$10:'H'!$P$59,2,FALSE),""))),"")</f>
        <v/>
      </c>
      <c r="BB215" s="6" t="str">
        <f t="shared" si="71"/>
        <v>--</v>
      </c>
      <c r="BC215" s="6" t="str">
        <f t="shared" si="72"/>
        <v/>
      </c>
      <c r="BD215" s="6" t="str">
        <f t="shared" si="73"/>
        <v>--</v>
      </c>
      <c r="BE215" s="6" t="str">
        <f t="shared" si="81"/>
        <v/>
      </c>
      <c r="BF215" s="6"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6" t="str">
        <f>IF(ISNUMBER(F!E216)=FALSE,"--",IF(F!E216=0,"--",F!E216))</f>
        <v>--</v>
      </c>
      <c r="C216" s="6" t="str">
        <f>IF(B216="--","",F!F216)</f>
        <v/>
      </c>
      <c r="D216" s="6" t="str">
        <f>IF(ISNUMBER(F!G216)=FALSE,"--",IF(F!G216=0,"--",F!G216))</f>
        <v>--</v>
      </c>
      <c r="E216" s="6" t="str">
        <f>IF(D216="--","",F!H216)</f>
        <v/>
      </c>
      <c r="F216" s="6" t="str">
        <f>IF(ISNUMBER(F!I216)=FALSE,"--",IF(F!I216=0,"--",F!I216))</f>
        <v>--</v>
      </c>
      <c r="G216" s="6" t="str">
        <f>IF(F216="--","",F!J216)</f>
        <v/>
      </c>
      <c r="H216" s="6"/>
      <c r="I216" s="6" t="str">
        <f>IF(F!Z216=-1,-1,F!AV216)</f>
        <v/>
      </c>
      <c r="J216" s="6"/>
      <c r="K216" s="6" t="str">
        <f>IF(F!AC216=-1,-1,F!AX216)</f>
        <v/>
      </c>
      <c r="L216" s="6"/>
      <c r="M216" s="6" t="str">
        <f>IF(F!AF216=-1,-1,F!AZ216)</f>
        <v/>
      </c>
      <c r="N216" s="6"/>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6" t="str">
        <f t="shared" si="88"/>
        <v/>
      </c>
      <c r="R216" s="5" t="str">
        <f>IF($B216="--","",IF($P216="toetsen",toetsen(F!$B216,Q216),IF($P216="toetsen alleen IW",toetsen_alleen_IW(F!$B216,Q216),IF($P216="toetsen alleen LN",toetsen_alleen_LN(F!$B216,Q216),IF($P216="toetsen geen MV en SV",toetsen_geen_MV_en_SV(F!$B216,Q216),IF($P216="toetsen alleen MV en SV",toetsen_alleen_MV_en_SV(F!$B216,Q216),""))))))</f>
        <v/>
      </c>
      <c r="S216" s="5" t="str">
        <f>IF($P216="toetsen",IF(OR(Q216="",VLOOKUP(F!$B216,E!$B$1:$AK$300,10,FALSE)=1000000000),"",IF(Q216&lt;=VLOOKUP(F!$B216,E!$B$1:$AK$300,10,FALSE),"ja","nee")),"")</f>
        <v/>
      </c>
      <c r="T216" s="87" t="str">
        <f t="shared" si="83"/>
        <v/>
      </c>
      <c r="U216" s="5" t="str">
        <f>IF($D216="--","",IF($P216="toetsen",toetsen(F!$B216,T216),IF($P216="toetsen alleen IW",toetsen_alleen_IW(F!$B216,T216),IF($P216="toetsen alleen LN",toetsen_alleen_LN(F!$B216,T216),IF($P216="toetsen geen MV en SV",toetsen_geen_MV_en_SV(F!$B216,T216),IF($P216="toetsen alleen MV en SV",toetsen_alleen_MV_en_SV(F!$B216,T216),""))))))</f>
        <v/>
      </c>
      <c r="V216" s="5" t="str">
        <f>IF($P216="toetsen",IF(OR(T216="",VLOOKUP(F!$B216,E!$B$1:$AK$300,10,FALSE)=1000000000),"",IF(T216&lt;=VLOOKUP(F!$B216,E!$B$1:$AK$300,10,FALSE),"ja","nee")),"")</f>
        <v/>
      </c>
      <c r="W216" s="6" t="str">
        <f t="shared" si="84"/>
        <v/>
      </c>
      <c r="X216" s="5" t="str">
        <f>IF($F216="--","",IF($P216="toetsen",toetsen(F!$B216,W216),IF($P216="toetsen alleen IW",toetsen_alleen_IW(F!$B216,W216),IF($P216="toetsen alleen LN",toetsen_alleen_LN(F!$B216,W216),IF($P216="toetsen geen MV en SV",toetsen_geen_MV_en_SV(F!$B216,W216),IF($P216="toetsen alleen MV en SV",toetsen_alleen_MV_en_SV(F!$B216,W216),""))))))</f>
        <v/>
      </c>
      <c r="Y216" s="5" t="str">
        <f>IF($P216="toetsen",IF(OR(W216="",VLOOKUP(F!$B216,E!$B$1:$AK$300,10,FALSE)=1000000000),"",IF(W216&lt;=VLOOKUP(F!$B216,E!$B$1:$AK$300,10,FALSE),"ja","nee")),"")</f>
        <v/>
      </c>
      <c r="AA216" s="4"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6" t="str">
        <f t="shared" si="85"/>
        <v>--</v>
      </c>
      <c r="AJ216" s="6"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6" t="str">
        <f t="shared" si="86"/>
        <v>--</v>
      </c>
      <c r="AL216" s="6"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6" t="str">
        <f t="shared" si="87"/>
        <v>--</v>
      </c>
      <c r="AN216" s="6"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6" t="str">
        <f t="shared" si="74"/>
        <v>--</v>
      </c>
      <c r="AQ216" s="6" t="str">
        <f t="shared" si="75"/>
        <v/>
      </c>
      <c r="AR216" s="6" t="str">
        <f t="shared" si="76"/>
        <v>--</v>
      </c>
      <c r="AS216" s="6" t="str">
        <f t="shared" si="77"/>
        <v/>
      </c>
      <c r="AT216" s="6" t="str">
        <f t="shared" si="78"/>
        <v/>
      </c>
      <c r="AU216" s="6" t="str">
        <f>IFERROR(IF(AR216="--","",IF(HLOOKUP(SMALL($Q$4:$Y$4,3),$Q$4:$Y$501,ROW(AP216)-3,FALSE)=0,"",IF(HLOOKUP(SMALL($Q$4:$Y$4,3),$Q$4:$Y$501,ROW(AP216)-3,FALSE)="nee",VLOOKUP("De kwaliteitseis emissiearme grond (maximale concentratie) wordt overschreden.",H!$O$10:'H'!$P$59,2,FALSE),""))),"")</f>
        <v/>
      </c>
      <c r="AV216" s="6" t="str">
        <f t="shared" si="68"/>
        <v>--</v>
      </c>
      <c r="AW216" s="6" t="str">
        <f t="shared" si="69"/>
        <v/>
      </c>
      <c r="AX216" s="6" t="str">
        <f t="shared" si="70"/>
        <v>--</v>
      </c>
      <c r="AY216" s="6" t="str">
        <f t="shared" si="79"/>
        <v/>
      </c>
      <c r="AZ216" s="6" t="str">
        <f t="shared" si="80"/>
        <v/>
      </c>
      <c r="BA216" s="6" t="str">
        <f>IFERROR(IF(AR216="--","",IF(HLOOKUP(SMALL($Q$4:$Y$4,6),$Q$4:$Y$501,ROW(AP216)-3,FALSE)=0,"",IF(HLOOKUP(SMALL($Q$4:$Y$4,6),$Q$4:$Y$501,ROW(AP216)-3,FALSE)="nee",VLOOKUP("De kwaliteitseis emissiearme grond (maximale concentratie) wordt overschreden.",H!$O$10:'H'!$P$59,2,FALSE),""))),"")</f>
        <v/>
      </c>
      <c r="BB216" s="6" t="str">
        <f t="shared" si="71"/>
        <v>--</v>
      </c>
      <c r="BC216" s="6" t="str">
        <f t="shared" si="72"/>
        <v/>
      </c>
      <c r="BD216" s="6" t="str">
        <f t="shared" si="73"/>
        <v>--</v>
      </c>
      <c r="BE216" s="6" t="str">
        <f t="shared" si="81"/>
        <v/>
      </c>
      <c r="BF216" s="6"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6" t="str">
        <f>IF(ISNUMBER(F!E217)=FALSE,"--",IF(F!E217=0,"--",F!E217))</f>
        <v>--</v>
      </c>
      <c r="C217" s="6" t="str">
        <f>IF(B217="--","",F!F217)</f>
        <v/>
      </c>
      <c r="D217" s="6" t="str">
        <f>IF(ISNUMBER(F!G217)=FALSE,"--",IF(F!G217=0,"--",F!G217))</f>
        <v>--</v>
      </c>
      <c r="E217" s="6" t="str">
        <f>IF(D217="--","",F!H217)</f>
        <v/>
      </c>
      <c r="F217" s="6" t="str">
        <f>IF(ISNUMBER(F!I217)=FALSE,"--",IF(F!I217=0,"--",F!I217))</f>
        <v>--</v>
      </c>
      <c r="G217" s="6" t="str">
        <f>IF(F217="--","",F!J217)</f>
        <v/>
      </c>
      <c r="H217" s="6"/>
      <c r="I217" s="6" t="str">
        <f>IF(F!Z217=-1,-1,F!AV217)</f>
        <v/>
      </c>
      <c r="J217" s="6"/>
      <c r="K217" s="6" t="str">
        <f>IF(F!AC217=-1,-1,F!AX217)</f>
        <v/>
      </c>
      <c r="L217" s="6"/>
      <c r="M217" s="6" t="str">
        <f>IF(F!AF217=-1,-1,F!AZ217)</f>
        <v/>
      </c>
      <c r="N217" s="6"/>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6" t="str">
        <f t="shared" si="88"/>
        <v/>
      </c>
      <c r="R217" s="5" t="str">
        <f>IF($B217="--","",IF($P217="toetsen",toetsen(F!$B217,Q217),IF($P217="toetsen alleen IW",toetsen_alleen_IW(F!$B217,Q217),IF($P217="toetsen alleen LN",toetsen_alleen_LN(F!$B217,Q217),IF($P217="toetsen geen MV en SV",toetsen_geen_MV_en_SV(F!$B217,Q217),IF($P217="toetsen alleen MV en SV",toetsen_alleen_MV_en_SV(F!$B217,Q217),""))))))</f>
        <v/>
      </c>
      <c r="S217" s="5" t="str">
        <f>IF($P217="toetsen",IF(OR(Q217="",VLOOKUP(F!$B217,E!$B$1:$AK$300,10,FALSE)=1000000000),"",IF(Q217&lt;=VLOOKUP(F!$B217,E!$B$1:$AK$300,10,FALSE),"ja","nee")),"")</f>
        <v/>
      </c>
      <c r="T217" s="87" t="str">
        <f t="shared" si="83"/>
        <v/>
      </c>
      <c r="U217" s="5" t="str">
        <f>IF($D217="--","",IF($P217="toetsen",toetsen(F!$B217,T217),IF($P217="toetsen alleen IW",toetsen_alleen_IW(F!$B217,T217),IF($P217="toetsen alleen LN",toetsen_alleen_LN(F!$B217,T217),IF($P217="toetsen geen MV en SV",toetsen_geen_MV_en_SV(F!$B217,T217),IF($P217="toetsen alleen MV en SV",toetsen_alleen_MV_en_SV(F!$B217,T217),""))))))</f>
        <v/>
      </c>
      <c r="V217" s="5" t="str">
        <f>IF($P217="toetsen",IF(OR(T217="",VLOOKUP(F!$B217,E!$B$1:$AK$300,10,FALSE)=1000000000),"",IF(T217&lt;=VLOOKUP(F!$B217,E!$B$1:$AK$300,10,FALSE),"ja","nee")),"")</f>
        <v/>
      </c>
      <c r="W217" s="6" t="str">
        <f t="shared" si="84"/>
        <v/>
      </c>
      <c r="X217" s="5" t="str">
        <f>IF($F217="--","",IF($P217="toetsen",toetsen(F!$B217,W217),IF($P217="toetsen alleen IW",toetsen_alleen_IW(F!$B217,W217),IF($P217="toetsen alleen LN",toetsen_alleen_LN(F!$B217,W217),IF($P217="toetsen geen MV en SV",toetsen_geen_MV_en_SV(F!$B217,W217),IF($P217="toetsen alleen MV en SV",toetsen_alleen_MV_en_SV(F!$B217,W217),""))))))</f>
        <v/>
      </c>
      <c r="Y217" s="5" t="str">
        <f>IF($P217="toetsen",IF(OR(W217="",VLOOKUP(F!$B217,E!$B$1:$AK$300,10,FALSE)=1000000000),"",IF(W217&lt;=VLOOKUP(F!$B217,E!$B$1:$AK$300,10,FALSE),"ja","nee")),"")</f>
        <v/>
      </c>
      <c r="AA217" s="4"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6" t="str">
        <f t="shared" si="85"/>
        <v>--</v>
      </c>
      <c r="AJ217" s="6"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6" t="str">
        <f t="shared" si="86"/>
        <v>--</v>
      </c>
      <c r="AL217" s="6"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6" t="str">
        <f t="shared" si="87"/>
        <v>--</v>
      </c>
      <c r="AN217" s="6"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6" t="str">
        <f t="shared" si="74"/>
        <v>--</v>
      </c>
      <c r="AQ217" s="6" t="str">
        <f t="shared" si="75"/>
        <v/>
      </c>
      <c r="AR217" s="6" t="str">
        <f t="shared" si="76"/>
        <v>--</v>
      </c>
      <c r="AS217" s="6" t="str">
        <f t="shared" si="77"/>
        <v/>
      </c>
      <c r="AT217" s="6" t="str">
        <f t="shared" si="78"/>
        <v/>
      </c>
      <c r="AU217" s="6" t="str">
        <f>IFERROR(IF(AR217="--","",IF(HLOOKUP(SMALL($Q$4:$Y$4,3),$Q$4:$Y$501,ROW(AP217)-3,FALSE)=0,"",IF(HLOOKUP(SMALL($Q$4:$Y$4,3),$Q$4:$Y$501,ROW(AP217)-3,FALSE)="nee",VLOOKUP("De kwaliteitseis emissiearme grond (maximale concentratie) wordt overschreden.",H!$O$10:'H'!$P$59,2,FALSE),""))),"")</f>
        <v/>
      </c>
      <c r="AV217" s="6" t="str">
        <f t="shared" si="68"/>
        <v>--</v>
      </c>
      <c r="AW217" s="6" t="str">
        <f t="shared" si="69"/>
        <v/>
      </c>
      <c r="AX217" s="6" t="str">
        <f t="shared" si="70"/>
        <v>--</v>
      </c>
      <c r="AY217" s="6" t="str">
        <f t="shared" si="79"/>
        <v/>
      </c>
      <c r="AZ217" s="6" t="str">
        <f t="shared" si="80"/>
        <v/>
      </c>
      <c r="BA217" s="6" t="str">
        <f>IFERROR(IF(AR217="--","",IF(HLOOKUP(SMALL($Q$4:$Y$4,6),$Q$4:$Y$501,ROW(AP217)-3,FALSE)=0,"",IF(HLOOKUP(SMALL($Q$4:$Y$4,6),$Q$4:$Y$501,ROW(AP217)-3,FALSE)="nee",VLOOKUP("De kwaliteitseis emissiearme grond (maximale concentratie) wordt overschreden.",H!$O$10:'H'!$P$59,2,FALSE),""))),"")</f>
        <v/>
      </c>
      <c r="BB217" s="6" t="str">
        <f t="shared" si="71"/>
        <v>--</v>
      </c>
      <c r="BC217" s="6" t="str">
        <f t="shared" si="72"/>
        <v/>
      </c>
      <c r="BD217" s="6" t="str">
        <f t="shared" si="73"/>
        <v>--</v>
      </c>
      <c r="BE217" s="6" t="str">
        <f t="shared" si="81"/>
        <v/>
      </c>
      <c r="BF217" s="6"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6" t="str">
        <f>IF(ISNUMBER(F!E218)=FALSE,"--",IF(F!E218=0,"--",F!E218))</f>
        <v>--</v>
      </c>
      <c r="C218" s="6" t="str">
        <f>IF(B218="--","",F!F218)</f>
        <v/>
      </c>
      <c r="D218" s="6" t="str">
        <f>IF(ISNUMBER(F!G218)=FALSE,"--",IF(F!G218=0,"--",F!G218))</f>
        <v>--</v>
      </c>
      <c r="E218" s="6" t="str">
        <f>IF(D218="--","",F!H218)</f>
        <v/>
      </c>
      <c r="F218" s="6" t="str">
        <f>IF(ISNUMBER(F!I218)=FALSE,"--",IF(F!I218=0,"--",F!I218))</f>
        <v>--</v>
      </c>
      <c r="G218" s="6" t="str">
        <f>IF(F218="--","",F!J218)</f>
        <v/>
      </c>
      <c r="H218" s="6"/>
      <c r="I218" s="6" t="str">
        <f>IF(F!Z218=-1,-1,F!AV218)</f>
        <v/>
      </c>
      <c r="J218" s="6"/>
      <c r="K218" s="6" t="str">
        <f>IF(F!AC218=-1,-1,F!AX218)</f>
        <v/>
      </c>
      <c r="L218" s="6"/>
      <c r="M218" s="6" t="str">
        <f>IF(F!AF218=-1,-1,F!AZ218)</f>
        <v/>
      </c>
      <c r="N218" s="6"/>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6" t="str">
        <f t="shared" si="88"/>
        <v/>
      </c>
      <c r="R218" s="5" t="str">
        <f>IF($B218="--","",IF($P218="toetsen",toetsen(F!$B218,Q218),IF($P218="toetsen alleen IW",toetsen_alleen_IW(F!$B218,Q218),IF($P218="toetsen alleen LN",toetsen_alleen_LN(F!$B218,Q218),IF($P218="toetsen geen MV en SV",toetsen_geen_MV_en_SV(F!$B218,Q218),IF($P218="toetsen alleen MV en SV",toetsen_alleen_MV_en_SV(F!$B218,Q218),""))))))</f>
        <v/>
      </c>
      <c r="S218" s="5" t="str">
        <f>IF($P218="toetsen",IF(OR(Q218="",VLOOKUP(F!$B218,E!$B$1:$AK$300,10,FALSE)=1000000000),"",IF(Q218&lt;=VLOOKUP(F!$B218,E!$B$1:$AK$300,10,FALSE),"ja","nee")),"")</f>
        <v/>
      </c>
      <c r="T218" s="87" t="str">
        <f t="shared" si="83"/>
        <v/>
      </c>
      <c r="U218" s="5" t="str">
        <f>IF($D218="--","",IF($P218="toetsen",toetsen(F!$B218,T218),IF($P218="toetsen alleen IW",toetsen_alleen_IW(F!$B218,T218),IF($P218="toetsen alleen LN",toetsen_alleen_LN(F!$B218,T218),IF($P218="toetsen geen MV en SV",toetsen_geen_MV_en_SV(F!$B218,T218),IF($P218="toetsen alleen MV en SV",toetsen_alleen_MV_en_SV(F!$B218,T218),""))))))</f>
        <v/>
      </c>
      <c r="V218" s="5" t="str">
        <f>IF($P218="toetsen",IF(OR(T218="",VLOOKUP(F!$B218,E!$B$1:$AK$300,10,FALSE)=1000000000),"",IF(T218&lt;=VLOOKUP(F!$B218,E!$B$1:$AK$300,10,FALSE),"ja","nee")),"")</f>
        <v/>
      </c>
      <c r="W218" s="6" t="str">
        <f t="shared" si="84"/>
        <v/>
      </c>
      <c r="X218" s="5" t="str">
        <f>IF($F218="--","",IF($P218="toetsen",toetsen(F!$B218,W218),IF($P218="toetsen alleen IW",toetsen_alleen_IW(F!$B218,W218),IF($P218="toetsen alleen LN",toetsen_alleen_LN(F!$B218,W218),IF($P218="toetsen geen MV en SV",toetsen_geen_MV_en_SV(F!$B218,W218),IF($P218="toetsen alleen MV en SV",toetsen_alleen_MV_en_SV(F!$B218,W218),""))))))</f>
        <v/>
      </c>
      <c r="Y218" s="5" t="str">
        <f>IF($P218="toetsen",IF(OR(W218="",VLOOKUP(F!$B218,E!$B$1:$AK$300,10,FALSE)=1000000000),"",IF(W218&lt;=VLOOKUP(F!$B218,E!$B$1:$AK$300,10,FALSE),"ja","nee")),"")</f>
        <v/>
      </c>
      <c r="AA218" s="4"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6" t="str">
        <f t="shared" si="85"/>
        <v>--</v>
      </c>
      <c r="AJ218" s="6"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6" t="str">
        <f t="shared" si="86"/>
        <v>--</v>
      </c>
      <c r="AL218" s="6"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6" t="str">
        <f t="shared" si="87"/>
        <v>--</v>
      </c>
      <c r="AN218" s="6"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6" t="str">
        <f t="shared" si="74"/>
        <v>--</v>
      </c>
      <c r="AQ218" s="6" t="str">
        <f t="shared" si="75"/>
        <v/>
      </c>
      <c r="AR218" s="6" t="str">
        <f t="shared" si="76"/>
        <v>--</v>
      </c>
      <c r="AS218" s="6" t="str">
        <f t="shared" si="77"/>
        <v/>
      </c>
      <c r="AT218" s="6" t="str">
        <f t="shared" si="78"/>
        <v/>
      </c>
      <c r="AU218" s="6" t="str">
        <f>IFERROR(IF(AR218="--","",IF(HLOOKUP(SMALL($Q$4:$Y$4,3),$Q$4:$Y$501,ROW(AP218)-3,FALSE)=0,"",IF(HLOOKUP(SMALL($Q$4:$Y$4,3),$Q$4:$Y$501,ROW(AP218)-3,FALSE)="nee",VLOOKUP("De kwaliteitseis emissiearme grond (maximale concentratie) wordt overschreden.",H!$O$10:'H'!$P$59,2,FALSE),""))),"")</f>
        <v/>
      </c>
      <c r="AV218" s="6" t="str">
        <f t="shared" si="68"/>
        <v>--</v>
      </c>
      <c r="AW218" s="6" t="str">
        <f t="shared" si="69"/>
        <v/>
      </c>
      <c r="AX218" s="6" t="str">
        <f t="shared" si="70"/>
        <v>--</v>
      </c>
      <c r="AY218" s="6" t="str">
        <f t="shared" si="79"/>
        <v/>
      </c>
      <c r="AZ218" s="6" t="str">
        <f t="shared" si="80"/>
        <v/>
      </c>
      <c r="BA218" s="6" t="str">
        <f>IFERROR(IF(AR218="--","",IF(HLOOKUP(SMALL($Q$4:$Y$4,6),$Q$4:$Y$501,ROW(AP218)-3,FALSE)=0,"",IF(HLOOKUP(SMALL($Q$4:$Y$4,6),$Q$4:$Y$501,ROW(AP218)-3,FALSE)="nee",VLOOKUP("De kwaliteitseis emissiearme grond (maximale concentratie) wordt overschreden.",H!$O$10:'H'!$P$59,2,FALSE),""))),"")</f>
        <v/>
      </c>
      <c r="BB218" s="6" t="str">
        <f t="shared" si="71"/>
        <v>--</v>
      </c>
      <c r="BC218" s="6" t="str">
        <f t="shared" si="72"/>
        <v/>
      </c>
      <c r="BD218" s="6" t="str">
        <f t="shared" si="73"/>
        <v>--</v>
      </c>
      <c r="BE218" s="6" t="str">
        <f t="shared" si="81"/>
        <v/>
      </c>
      <c r="BF218" s="6"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6" t="str">
        <f>IF(ISNUMBER(F!E219)=FALSE,"--",IF(F!E219=0,"--",F!E219))</f>
        <v>--</v>
      </c>
      <c r="C219" s="6" t="str">
        <f>IF(B219="--","",F!F219)</f>
        <v/>
      </c>
      <c r="D219" s="6" t="str">
        <f>IF(ISNUMBER(F!G219)=FALSE,"--",IF(F!G219=0,"--",F!G219))</f>
        <v>--</v>
      </c>
      <c r="E219" s="6" t="str">
        <f>IF(D219="--","",F!H219)</f>
        <v/>
      </c>
      <c r="F219" s="6" t="str">
        <f>IF(ISNUMBER(F!I219)=FALSE,"--",IF(F!I219=0,"--",F!I219))</f>
        <v>--</v>
      </c>
      <c r="G219" s="6" t="str">
        <f>IF(F219="--","",F!J219)</f>
        <v/>
      </c>
      <c r="H219" s="6"/>
      <c r="I219" s="6" t="str">
        <f>IF(F!Z219=-1,-1,F!AV219)</f>
        <v/>
      </c>
      <c r="J219" s="6"/>
      <c r="K219" s="6" t="str">
        <f>IF(F!AC219=-1,-1,F!AX219)</f>
        <v/>
      </c>
      <c r="L219" s="6"/>
      <c r="M219" s="6" t="str">
        <f>IF(F!AF219=-1,-1,F!AZ219)</f>
        <v/>
      </c>
      <c r="N219" s="6"/>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6" t="str">
        <f t="shared" si="88"/>
        <v/>
      </c>
      <c r="R219" s="5" t="str">
        <f>IF($B219="--","",IF($P219="toetsen",toetsen(F!$B219,Q219),IF($P219="toetsen alleen IW",toetsen_alleen_IW(F!$B219,Q219),IF($P219="toetsen alleen LN",toetsen_alleen_LN(F!$B219,Q219),IF($P219="toetsen geen MV en SV",toetsen_geen_MV_en_SV(F!$B219,Q219),IF($P219="toetsen alleen MV en SV",toetsen_alleen_MV_en_SV(F!$B219,Q219),""))))))</f>
        <v/>
      </c>
      <c r="S219" s="5" t="str">
        <f>IF($P219="toetsen",IF(OR(Q219="",VLOOKUP(F!$B219,E!$B$1:$AK$300,10,FALSE)=1000000000),"",IF(Q219&lt;=VLOOKUP(F!$B219,E!$B$1:$AK$300,10,FALSE),"ja","nee")),"")</f>
        <v/>
      </c>
      <c r="T219" s="87" t="str">
        <f t="shared" si="83"/>
        <v/>
      </c>
      <c r="U219" s="5" t="str">
        <f>IF($D219="--","",IF($P219="toetsen",toetsen(F!$B219,T219),IF($P219="toetsen alleen IW",toetsen_alleen_IW(F!$B219,T219),IF($P219="toetsen alleen LN",toetsen_alleen_LN(F!$B219,T219),IF($P219="toetsen geen MV en SV",toetsen_geen_MV_en_SV(F!$B219,T219),IF($P219="toetsen alleen MV en SV",toetsen_alleen_MV_en_SV(F!$B219,T219),""))))))</f>
        <v/>
      </c>
      <c r="V219" s="5" t="str">
        <f>IF($P219="toetsen",IF(OR(T219="",VLOOKUP(F!$B219,E!$B$1:$AK$300,10,FALSE)=1000000000),"",IF(T219&lt;=VLOOKUP(F!$B219,E!$B$1:$AK$300,10,FALSE),"ja","nee")),"")</f>
        <v/>
      </c>
      <c r="W219" s="6" t="str">
        <f t="shared" si="84"/>
        <v/>
      </c>
      <c r="X219" s="5" t="str">
        <f>IF($F219="--","",IF($P219="toetsen",toetsen(F!$B219,W219),IF($P219="toetsen alleen IW",toetsen_alleen_IW(F!$B219,W219),IF($P219="toetsen alleen LN",toetsen_alleen_LN(F!$B219,W219),IF($P219="toetsen geen MV en SV",toetsen_geen_MV_en_SV(F!$B219,W219),IF($P219="toetsen alleen MV en SV",toetsen_alleen_MV_en_SV(F!$B219,W219),""))))))</f>
        <v/>
      </c>
      <c r="Y219" s="5" t="str">
        <f>IF($P219="toetsen",IF(OR(W219="",VLOOKUP(F!$B219,E!$B$1:$AK$300,10,FALSE)=1000000000),"",IF(W219&lt;=VLOOKUP(F!$B219,E!$B$1:$AK$300,10,FALSE),"ja","nee")),"")</f>
        <v/>
      </c>
      <c r="AA219" s="4"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6" t="str">
        <f t="shared" si="85"/>
        <v>--</v>
      </c>
      <c r="AJ219" s="6"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6" t="str">
        <f t="shared" si="86"/>
        <v>--</v>
      </c>
      <c r="AL219" s="6"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6" t="str">
        <f t="shared" si="87"/>
        <v>--</v>
      </c>
      <c r="AN219" s="6"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6" t="str">
        <f t="shared" si="74"/>
        <v>--</v>
      </c>
      <c r="AQ219" s="6" t="str">
        <f t="shared" si="75"/>
        <v/>
      </c>
      <c r="AR219" s="6" t="str">
        <f t="shared" si="76"/>
        <v>--</v>
      </c>
      <c r="AS219" s="6" t="str">
        <f t="shared" si="77"/>
        <v/>
      </c>
      <c r="AT219" s="6" t="str">
        <f t="shared" si="78"/>
        <v/>
      </c>
      <c r="AU219" s="6" t="str">
        <f>IFERROR(IF(AR219="--","",IF(HLOOKUP(SMALL($Q$4:$Y$4,3),$Q$4:$Y$501,ROW(AP219)-3,FALSE)=0,"",IF(HLOOKUP(SMALL($Q$4:$Y$4,3),$Q$4:$Y$501,ROW(AP219)-3,FALSE)="nee",VLOOKUP("De kwaliteitseis emissiearme grond (maximale concentratie) wordt overschreden.",H!$O$10:'H'!$P$59,2,FALSE),""))),"")</f>
        <v/>
      </c>
      <c r="AV219" s="6" t="str">
        <f t="shared" si="68"/>
        <v>--</v>
      </c>
      <c r="AW219" s="6" t="str">
        <f t="shared" si="69"/>
        <v/>
      </c>
      <c r="AX219" s="6" t="str">
        <f t="shared" si="70"/>
        <v>--</v>
      </c>
      <c r="AY219" s="6" t="str">
        <f t="shared" si="79"/>
        <v/>
      </c>
      <c r="AZ219" s="6" t="str">
        <f t="shared" si="80"/>
        <v/>
      </c>
      <c r="BA219" s="6" t="str">
        <f>IFERROR(IF(AR219="--","",IF(HLOOKUP(SMALL($Q$4:$Y$4,6),$Q$4:$Y$501,ROW(AP219)-3,FALSE)=0,"",IF(HLOOKUP(SMALL($Q$4:$Y$4,6),$Q$4:$Y$501,ROW(AP219)-3,FALSE)="nee",VLOOKUP("De kwaliteitseis emissiearme grond (maximale concentratie) wordt overschreden.",H!$O$10:'H'!$P$59,2,FALSE),""))),"")</f>
        <v/>
      </c>
      <c r="BB219" s="6" t="str">
        <f t="shared" si="71"/>
        <v>--</v>
      </c>
      <c r="BC219" s="6" t="str">
        <f t="shared" si="72"/>
        <v/>
      </c>
      <c r="BD219" s="6" t="str">
        <f t="shared" si="73"/>
        <v>--</v>
      </c>
      <c r="BE219" s="6" t="str">
        <f t="shared" si="81"/>
        <v/>
      </c>
      <c r="BF219" s="6"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6" t="str">
        <f>IF(ISNUMBER(F!E220)=FALSE,"--",IF(F!E220=0,"--",F!E220))</f>
        <v>--</v>
      </c>
      <c r="C220" s="6" t="str">
        <f>IF(B220="--","",F!F220)</f>
        <v/>
      </c>
      <c r="D220" s="6" t="str">
        <f>IF(ISNUMBER(F!G220)=FALSE,"--",IF(F!G220=0,"--",F!G220))</f>
        <v>--</v>
      </c>
      <c r="E220" s="6" t="str">
        <f>IF(D220="--","",F!H220)</f>
        <v/>
      </c>
      <c r="F220" s="6" t="str">
        <f>IF(ISNUMBER(F!I220)=FALSE,"--",IF(F!I220=0,"--",F!I220))</f>
        <v>--</v>
      </c>
      <c r="G220" s="6" t="str">
        <f>IF(F220="--","",F!J220)</f>
        <v/>
      </c>
      <c r="H220" s="6"/>
      <c r="I220" s="6" t="str">
        <f>IF(F!Z220=-1,-1,F!AV220)</f>
        <v/>
      </c>
      <c r="J220" s="6"/>
      <c r="K220" s="6" t="str">
        <f>IF(F!AC220=-1,-1,F!AX220)</f>
        <v/>
      </c>
      <c r="L220" s="6"/>
      <c r="M220" s="6" t="str">
        <f>IF(F!AF220=-1,-1,F!AZ220)</f>
        <v/>
      </c>
      <c r="N220" s="6"/>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6" t="str">
        <f t="shared" si="88"/>
        <v/>
      </c>
      <c r="R220" s="5" t="str">
        <f>IF($B220="--","",IF($P220="toetsen",toetsen(F!$B220,Q220),IF($P220="toetsen alleen IW",toetsen_alleen_IW(F!$B220,Q220),IF($P220="toetsen alleen LN",toetsen_alleen_LN(F!$B220,Q220),IF($P220="toetsen geen MV en SV",toetsen_geen_MV_en_SV(F!$B220,Q220),IF($P220="toetsen alleen MV en SV",toetsen_alleen_MV_en_SV(F!$B220,Q220),""))))))</f>
        <v/>
      </c>
      <c r="S220" s="5" t="str">
        <f>IF($P220="toetsen",IF(OR(Q220="",VLOOKUP(F!$B220,E!$B$1:$AK$300,10,FALSE)=1000000000),"",IF(Q220&lt;=VLOOKUP(F!$B220,E!$B$1:$AK$300,10,FALSE),"ja","nee")),"")</f>
        <v/>
      </c>
      <c r="T220" s="87" t="str">
        <f t="shared" si="83"/>
        <v/>
      </c>
      <c r="U220" s="5" t="str">
        <f>IF($D220="--","",IF($P220="toetsen",toetsen(F!$B220,T220),IF($P220="toetsen alleen IW",toetsen_alleen_IW(F!$B220,T220),IF($P220="toetsen alleen LN",toetsen_alleen_LN(F!$B220,T220),IF($P220="toetsen geen MV en SV",toetsen_geen_MV_en_SV(F!$B220,T220),IF($P220="toetsen alleen MV en SV",toetsen_alleen_MV_en_SV(F!$B220,T220),""))))))</f>
        <v/>
      </c>
      <c r="V220" s="5" t="str">
        <f>IF($P220="toetsen",IF(OR(T220="",VLOOKUP(F!$B220,E!$B$1:$AK$300,10,FALSE)=1000000000),"",IF(T220&lt;=VLOOKUP(F!$B220,E!$B$1:$AK$300,10,FALSE),"ja","nee")),"")</f>
        <v/>
      </c>
      <c r="W220" s="6" t="str">
        <f t="shared" si="84"/>
        <v/>
      </c>
      <c r="X220" s="5" t="str">
        <f>IF($F220="--","",IF($P220="toetsen",toetsen(F!$B220,W220),IF($P220="toetsen alleen IW",toetsen_alleen_IW(F!$B220,W220),IF($P220="toetsen alleen LN",toetsen_alleen_LN(F!$B220,W220),IF($P220="toetsen geen MV en SV",toetsen_geen_MV_en_SV(F!$B220,W220),IF($P220="toetsen alleen MV en SV",toetsen_alleen_MV_en_SV(F!$B220,W220),""))))))</f>
        <v/>
      </c>
      <c r="Y220" s="5" t="str">
        <f>IF($P220="toetsen",IF(OR(W220="",VLOOKUP(F!$B220,E!$B$1:$AK$300,10,FALSE)=1000000000),"",IF(W220&lt;=VLOOKUP(F!$B220,E!$B$1:$AK$300,10,FALSE),"ja","nee")),"")</f>
        <v/>
      </c>
      <c r="AA220" s="4"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6" t="str">
        <f t="shared" si="85"/>
        <v>--</v>
      </c>
      <c r="AJ220" s="6"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6" t="str">
        <f t="shared" si="86"/>
        <v>--</v>
      </c>
      <c r="AL220" s="6"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6" t="str">
        <f t="shared" si="87"/>
        <v>--</v>
      </c>
      <c r="AN220" s="6"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6" t="str">
        <f t="shared" si="74"/>
        <v>--</v>
      </c>
      <c r="AQ220" s="6" t="str">
        <f t="shared" si="75"/>
        <v/>
      </c>
      <c r="AR220" s="6" t="str">
        <f t="shared" si="76"/>
        <v>--</v>
      </c>
      <c r="AS220" s="6" t="str">
        <f t="shared" si="77"/>
        <v/>
      </c>
      <c r="AT220" s="6" t="str">
        <f t="shared" si="78"/>
        <v/>
      </c>
      <c r="AU220" s="6" t="str">
        <f>IFERROR(IF(AR220="--","",IF(HLOOKUP(SMALL($Q$4:$Y$4,3),$Q$4:$Y$501,ROW(AP220)-3,FALSE)=0,"",IF(HLOOKUP(SMALL($Q$4:$Y$4,3),$Q$4:$Y$501,ROW(AP220)-3,FALSE)="nee",VLOOKUP("De kwaliteitseis emissiearme grond (maximale concentratie) wordt overschreden.",H!$O$10:'H'!$P$59,2,FALSE),""))),"")</f>
        <v/>
      </c>
      <c r="AV220" s="6" t="str">
        <f t="shared" si="68"/>
        <v>--</v>
      </c>
      <c r="AW220" s="6" t="str">
        <f t="shared" si="69"/>
        <v/>
      </c>
      <c r="AX220" s="6" t="str">
        <f t="shared" si="70"/>
        <v>--</v>
      </c>
      <c r="AY220" s="6" t="str">
        <f t="shared" si="79"/>
        <v/>
      </c>
      <c r="AZ220" s="6" t="str">
        <f t="shared" si="80"/>
        <v/>
      </c>
      <c r="BA220" s="6" t="str">
        <f>IFERROR(IF(AR220="--","",IF(HLOOKUP(SMALL($Q$4:$Y$4,6),$Q$4:$Y$501,ROW(AP220)-3,FALSE)=0,"",IF(HLOOKUP(SMALL($Q$4:$Y$4,6),$Q$4:$Y$501,ROW(AP220)-3,FALSE)="nee",VLOOKUP("De kwaliteitseis emissiearme grond (maximale concentratie) wordt overschreden.",H!$O$10:'H'!$P$59,2,FALSE),""))),"")</f>
        <v/>
      </c>
      <c r="BB220" s="6" t="str">
        <f t="shared" si="71"/>
        <v>--</v>
      </c>
      <c r="BC220" s="6" t="str">
        <f t="shared" si="72"/>
        <v/>
      </c>
      <c r="BD220" s="6" t="str">
        <f t="shared" si="73"/>
        <v>--</v>
      </c>
      <c r="BE220" s="6" t="str">
        <f t="shared" si="81"/>
        <v/>
      </c>
      <c r="BF220" s="6"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6" t="str">
        <f>IF(ISNUMBER(F!E221)=FALSE,"--",IF(F!E221=0,"--",F!E221))</f>
        <v>--</v>
      </c>
      <c r="C221" s="6" t="str">
        <f>IF(B221="--","",F!F221)</f>
        <v/>
      </c>
      <c r="D221" s="6" t="str">
        <f>IF(ISNUMBER(F!G221)=FALSE,"--",IF(F!G221=0,"--",F!G221))</f>
        <v>--</v>
      </c>
      <c r="E221" s="6" t="str">
        <f>IF(D221="--","",F!H221)</f>
        <v/>
      </c>
      <c r="F221" s="6" t="str">
        <f>IF(ISNUMBER(F!I221)=FALSE,"--",IF(F!I221=0,"--",F!I221))</f>
        <v>--</v>
      </c>
      <c r="G221" s="6" t="str">
        <f>IF(F221="--","",F!J221)</f>
        <v/>
      </c>
      <c r="H221" s="6"/>
      <c r="I221" s="6" t="str">
        <f>IF(F!Z221=-1,-1,F!AV221)</f>
        <v/>
      </c>
      <c r="J221" s="6"/>
      <c r="K221" s="6" t="str">
        <f>IF(F!AC221=-1,-1,F!AX221)</f>
        <v/>
      </c>
      <c r="L221" s="6"/>
      <c r="M221" s="6" t="str">
        <f>IF(F!AF221=-1,-1,F!AZ221)</f>
        <v/>
      </c>
      <c r="N221" s="6"/>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6" t="str">
        <f t="shared" si="88"/>
        <v/>
      </c>
      <c r="R221" s="5" t="str">
        <f>IF($B221="--","",IF($P221="toetsen",toetsen(F!$B221,Q221),IF($P221="toetsen alleen IW",toetsen_alleen_IW(F!$B221,Q221),IF($P221="toetsen alleen LN",toetsen_alleen_LN(F!$B221,Q221),IF($P221="toetsen geen MV en SV",toetsen_geen_MV_en_SV(F!$B221,Q221),IF($P221="toetsen alleen MV en SV",toetsen_alleen_MV_en_SV(F!$B221,Q221),""))))))</f>
        <v/>
      </c>
      <c r="S221" s="5" t="str">
        <f>IF($P221="toetsen",IF(OR(Q221="",VLOOKUP(F!$B221,E!$B$1:$AK$300,10,FALSE)=1000000000),"",IF(Q221&lt;=VLOOKUP(F!$B221,E!$B$1:$AK$300,10,FALSE),"ja","nee")),"")</f>
        <v/>
      </c>
      <c r="T221" s="87" t="str">
        <f t="shared" si="83"/>
        <v/>
      </c>
      <c r="U221" s="5" t="str">
        <f>IF($D221="--","",IF($P221="toetsen",toetsen(F!$B221,T221),IF($P221="toetsen alleen IW",toetsen_alleen_IW(F!$B221,T221),IF($P221="toetsen alleen LN",toetsen_alleen_LN(F!$B221,T221),IF($P221="toetsen geen MV en SV",toetsen_geen_MV_en_SV(F!$B221,T221),IF($P221="toetsen alleen MV en SV",toetsen_alleen_MV_en_SV(F!$B221,T221),""))))))</f>
        <v/>
      </c>
      <c r="V221" s="5" t="str">
        <f>IF($P221="toetsen",IF(OR(T221="",VLOOKUP(F!$B221,E!$B$1:$AK$300,10,FALSE)=1000000000),"",IF(T221&lt;=VLOOKUP(F!$B221,E!$B$1:$AK$300,10,FALSE),"ja","nee")),"")</f>
        <v/>
      </c>
      <c r="W221" s="6" t="str">
        <f t="shared" si="84"/>
        <v/>
      </c>
      <c r="X221" s="5" t="str">
        <f>IF($F221="--","",IF($P221="toetsen",toetsen(F!$B221,W221),IF($P221="toetsen alleen IW",toetsen_alleen_IW(F!$B221,W221),IF($P221="toetsen alleen LN",toetsen_alleen_LN(F!$B221,W221),IF($P221="toetsen geen MV en SV",toetsen_geen_MV_en_SV(F!$B221,W221),IF($P221="toetsen alleen MV en SV",toetsen_alleen_MV_en_SV(F!$B221,W221),""))))))</f>
        <v/>
      </c>
      <c r="Y221" s="5" t="str">
        <f>IF($P221="toetsen",IF(OR(W221="",VLOOKUP(F!$B221,E!$B$1:$AK$300,10,FALSE)=1000000000),"",IF(W221&lt;=VLOOKUP(F!$B221,E!$B$1:$AK$300,10,FALSE),"ja","nee")),"")</f>
        <v/>
      </c>
      <c r="AA221" s="4"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6" t="str">
        <f t="shared" si="85"/>
        <v>--</v>
      </c>
      <c r="AJ221" s="6"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6" t="str">
        <f t="shared" si="86"/>
        <v>--</v>
      </c>
      <c r="AL221" s="6"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6" t="str">
        <f t="shared" si="87"/>
        <v>--</v>
      </c>
      <c r="AN221" s="6"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6" t="str">
        <f t="shared" si="74"/>
        <v>--</v>
      </c>
      <c r="AQ221" s="6" t="str">
        <f t="shared" si="75"/>
        <v/>
      </c>
      <c r="AR221" s="6" t="str">
        <f t="shared" si="76"/>
        <v>--</v>
      </c>
      <c r="AS221" s="6" t="str">
        <f t="shared" si="77"/>
        <v/>
      </c>
      <c r="AT221" s="6" t="str">
        <f t="shared" si="78"/>
        <v/>
      </c>
      <c r="AU221" s="6" t="str">
        <f>IFERROR(IF(AR221="--","",IF(HLOOKUP(SMALL($Q$4:$Y$4,3),$Q$4:$Y$501,ROW(AP221)-3,FALSE)=0,"",IF(HLOOKUP(SMALL($Q$4:$Y$4,3),$Q$4:$Y$501,ROW(AP221)-3,FALSE)="nee",VLOOKUP("De kwaliteitseis emissiearme grond (maximale concentratie) wordt overschreden.",H!$O$10:'H'!$P$59,2,FALSE),""))),"")</f>
        <v/>
      </c>
      <c r="AV221" s="6" t="str">
        <f t="shared" si="68"/>
        <v>--</v>
      </c>
      <c r="AW221" s="6" t="str">
        <f t="shared" si="69"/>
        <v/>
      </c>
      <c r="AX221" s="6" t="str">
        <f t="shared" si="70"/>
        <v>--</v>
      </c>
      <c r="AY221" s="6" t="str">
        <f t="shared" si="79"/>
        <v/>
      </c>
      <c r="AZ221" s="6" t="str">
        <f t="shared" si="80"/>
        <v/>
      </c>
      <c r="BA221" s="6" t="str">
        <f>IFERROR(IF(AR221="--","",IF(HLOOKUP(SMALL($Q$4:$Y$4,6),$Q$4:$Y$501,ROW(AP221)-3,FALSE)=0,"",IF(HLOOKUP(SMALL($Q$4:$Y$4,6),$Q$4:$Y$501,ROW(AP221)-3,FALSE)="nee",VLOOKUP("De kwaliteitseis emissiearme grond (maximale concentratie) wordt overschreden.",H!$O$10:'H'!$P$59,2,FALSE),""))),"")</f>
        <v/>
      </c>
      <c r="BB221" s="6" t="str">
        <f t="shared" si="71"/>
        <v>--</v>
      </c>
      <c r="BC221" s="6" t="str">
        <f t="shared" si="72"/>
        <v/>
      </c>
      <c r="BD221" s="6" t="str">
        <f t="shared" si="73"/>
        <v>--</v>
      </c>
      <c r="BE221" s="6" t="str">
        <f t="shared" si="81"/>
        <v/>
      </c>
      <c r="BF221" s="6"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6" t="str">
        <f>IF(ISNUMBER(F!E222)=FALSE,"--",IF(F!E222=0,"--",F!E222))</f>
        <v>--</v>
      </c>
      <c r="C222" s="6" t="str">
        <f>IF(B222="--","",F!F222)</f>
        <v/>
      </c>
      <c r="D222" s="6" t="str">
        <f>IF(ISNUMBER(F!G222)=FALSE,"--",IF(F!G222=0,"--",F!G222))</f>
        <v>--</v>
      </c>
      <c r="E222" s="6" t="str">
        <f>IF(D222="--","",F!H222)</f>
        <v/>
      </c>
      <c r="F222" s="6" t="str">
        <f>IF(ISNUMBER(F!I222)=FALSE,"--",IF(F!I222=0,"--",F!I222))</f>
        <v>--</v>
      </c>
      <c r="G222" s="6" t="str">
        <f>IF(F222="--","",F!J222)</f>
        <v/>
      </c>
      <c r="H222" s="6"/>
      <c r="I222" s="6" t="str">
        <f>IF(F!Z222=-1,-1,F!AV222)</f>
        <v/>
      </c>
      <c r="J222" s="6"/>
      <c r="K222" s="6" t="str">
        <f>IF(F!AC222=-1,-1,F!AX222)</f>
        <v/>
      </c>
      <c r="L222" s="6"/>
      <c r="M222" s="6" t="str">
        <f>IF(F!AF222=-1,-1,F!AZ222)</f>
        <v/>
      </c>
      <c r="N222" s="6"/>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6" t="str">
        <f t="shared" si="88"/>
        <v/>
      </c>
      <c r="R222" s="5" t="str">
        <f>IF($B222="--","",IF($P222="toetsen",toetsen(F!$B222,Q222),IF($P222="toetsen alleen IW",toetsen_alleen_IW(F!$B222,Q222),IF($P222="toetsen alleen LN",toetsen_alleen_LN(F!$B222,Q222),IF($P222="toetsen geen MV en SV",toetsen_geen_MV_en_SV(F!$B222,Q222),IF($P222="toetsen alleen MV en SV",toetsen_alleen_MV_en_SV(F!$B222,Q222),""))))))</f>
        <v/>
      </c>
      <c r="S222" s="5" t="str">
        <f>IF($P222="toetsen",IF(OR(Q222="",VLOOKUP(F!$B222,E!$B$1:$AK$300,10,FALSE)=1000000000),"",IF(Q222&lt;=VLOOKUP(F!$B222,E!$B$1:$AK$300,10,FALSE),"ja","nee")),"")</f>
        <v/>
      </c>
      <c r="T222" s="87" t="str">
        <f t="shared" si="83"/>
        <v/>
      </c>
      <c r="U222" s="5" t="str">
        <f>IF($D222="--","",IF($P222="toetsen",toetsen(F!$B222,T222),IF($P222="toetsen alleen IW",toetsen_alleen_IW(F!$B222,T222),IF($P222="toetsen alleen LN",toetsen_alleen_LN(F!$B222,T222),IF($P222="toetsen geen MV en SV",toetsen_geen_MV_en_SV(F!$B222,T222),IF($P222="toetsen alleen MV en SV",toetsen_alleen_MV_en_SV(F!$B222,T222),""))))))</f>
        <v/>
      </c>
      <c r="V222" s="5" t="str">
        <f>IF($P222="toetsen",IF(OR(T222="",VLOOKUP(F!$B222,E!$B$1:$AK$300,10,FALSE)=1000000000),"",IF(T222&lt;=VLOOKUP(F!$B222,E!$B$1:$AK$300,10,FALSE),"ja","nee")),"")</f>
        <v/>
      </c>
      <c r="W222" s="6" t="str">
        <f t="shared" si="84"/>
        <v/>
      </c>
      <c r="X222" s="5" t="str">
        <f>IF($F222="--","",IF($P222="toetsen",toetsen(F!$B222,W222),IF($P222="toetsen alleen IW",toetsen_alleen_IW(F!$B222,W222),IF($P222="toetsen alleen LN",toetsen_alleen_LN(F!$B222,W222),IF($P222="toetsen geen MV en SV",toetsen_geen_MV_en_SV(F!$B222,W222),IF($P222="toetsen alleen MV en SV",toetsen_alleen_MV_en_SV(F!$B222,W222),""))))))</f>
        <v/>
      </c>
      <c r="Y222" s="5" t="str">
        <f>IF($P222="toetsen",IF(OR(W222="",VLOOKUP(F!$B222,E!$B$1:$AK$300,10,FALSE)=1000000000),"",IF(W222&lt;=VLOOKUP(F!$B222,E!$B$1:$AK$300,10,FALSE),"ja","nee")),"")</f>
        <v/>
      </c>
      <c r="AA222" s="4"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6" t="str">
        <f t="shared" si="85"/>
        <v>--</v>
      </c>
      <c r="AJ222" s="6"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6" t="str">
        <f t="shared" si="86"/>
        <v>--</v>
      </c>
      <c r="AL222" s="6"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6" t="str">
        <f t="shared" si="87"/>
        <v>--</v>
      </c>
      <c r="AN222" s="6"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6" t="str">
        <f t="shared" si="74"/>
        <v>--</v>
      </c>
      <c r="AQ222" s="6" t="str">
        <f t="shared" si="75"/>
        <v/>
      </c>
      <c r="AR222" s="6" t="str">
        <f t="shared" si="76"/>
        <v>--</v>
      </c>
      <c r="AS222" s="6" t="str">
        <f t="shared" si="77"/>
        <v/>
      </c>
      <c r="AT222" s="6" t="str">
        <f t="shared" si="78"/>
        <v/>
      </c>
      <c r="AU222" s="6" t="str">
        <f>IFERROR(IF(AR222="--","",IF(HLOOKUP(SMALL($Q$4:$Y$4,3),$Q$4:$Y$501,ROW(AP222)-3,FALSE)=0,"",IF(HLOOKUP(SMALL($Q$4:$Y$4,3),$Q$4:$Y$501,ROW(AP222)-3,FALSE)="nee",VLOOKUP("De kwaliteitseis emissiearme grond (maximale concentratie) wordt overschreden.",H!$O$10:'H'!$P$59,2,FALSE),""))),"")</f>
        <v/>
      </c>
      <c r="AV222" s="6" t="str">
        <f t="shared" si="68"/>
        <v>--</v>
      </c>
      <c r="AW222" s="6" t="str">
        <f t="shared" si="69"/>
        <v/>
      </c>
      <c r="AX222" s="6" t="str">
        <f t="shared" si="70"/>
        <v>--</v>
      </c>
      <c r="AY222" s="6" t="str">
        <f t="shared" si="79"/>
        <v/>
      </c>
      <c r="AZ222" s="6" t="str">
        <f t="shared" si="80"/>
        <v/>
      </c>
      <c r="BA222" s="6" t="str">
        <f>IFERROR(IF(AR222="--","",IF(HLOOKUP(SMALL($Q$4:$Y$4,6),$Q$4:$Y$501,ROW(AP222)-3,FALSE)=0,"",IF(HLOOKUP(SMALL($Q$4:$Y$4,6),$Q$4:$Y$501,ROW(AP222)-3,FALSE)="nee",VLOOKUP("De kwaliteitseis emissiearme grond (maximale concentratie) wordt overschreden.",H!$O$10:'H'!$P$59,2,FALSE),""))),"")</f>
        <v/>
      </c>
      <c r="BB222" s="6" t="str">
        <f t="shared" si="71"/>
        <v>--</v>
      </c>
      <c r="BC222" s="6" t="str">
        <f t="shared" si="72"/>
        <v/>
      </c>
      <c r="BD222" s="6" t="str">
        <f t="shared" si="73"/>
        <v>--</v>
      </c>
      <c r="BE222" s="6" t="str">
        <f t="shared" si="81"/>
        <v/>
      </c>
      <c r="BF222" s="6"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6" t="str">
        <f>IF(ISNUMBER(F!E223)=FALSE,"--",IF(F!E223=0,"--",F!E223))</f>
        <v>--</v>
      </c>
      <c r="C223" s="6" t="str">
        <f>IF(B223="--","",F!F223)</f>
        <v/>
      </c>
      <c r="D223" s="6" t="str">
        <f>IF(ISNUMBER(F!G223)=FALSE,"--",IF(F!G223=0,"--",F!G223))</f>
        <v>--</v>
      </c>
      <c r="E223" s="6" t="str">
        <f>IF(D223="--","",F!H223)</f>
        <v/>
      </c>
      <c r="F223" s="6" t="str">
        <f>IF(ISNUMBER(F!I223)=FALSE,"--",IF(F!I223=0,"--",F!I223))</f>
        <v>--</v>
      </c>
      <c r="G223" s="6" t="str">
        <f>IF(F223="--","",F!J223)</f>
        <v/>
      </c>
      <c r="H223" s="6"/>
      <c r="I223" s="6" t="str">
        <f>IF(F!Z223=-1,-1,F!AV223)</f>
        <v/>
      </c>
      <c r="J223" s="6"/>
      <c r="K223" s="6" t="str">
        <f>IF(F!AC223=-1,-1,F!AX223)</f>
        <v/>
      </c>
      <c r="L223" s="6"/>
      <c r="M223" s="6" t="str">
        <f>IF(F!AF223=-1,-1,F!AZ223)</f>
        <v/>
      </c>
      <c r="N223" s="6"/>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6" t="str">
        <f t="shared" si="88"/>
        <v/>
      </c>
      <c r="R223" s="5" t="str">
        <f>IF($B223="--","",IF($P223="toetsen",toetsen(F!$B223,Q223),IF($P223="toetsen alleen IW",toetsen_alleen_IW(F!$B223,Q223),IF($P223="toetsen alleen LN",toetsen_alleen_LN(F!$B223,Q223),IF($P223="toetsen geen MV en SV",toetsen_geen_MV_en_SV(F!$B223,Q223),IF($P223="toetsen alleen MV en SV",toetsen_alleen_MV_en_SV(F!$B223,Q223),""))))))</f>
        <v/>
      </c>
      <c r="S223" s="5" t="str">
        <f>IF($P223="toetsen",IF(OR(Q223="",VLOOKUP(F!$B223,E!$B$1:$AK$300,10,FALSE)=1000000000),"",IF(Q223&lt;=VLOOKUP(F!$B223,E!$B$1:$AK$300,10,FALSE),"ja","nee")),"")</f>
        <v/>
      </c>
      <c r="T223" s="87" t="str">
        <f t="shared" si="83"/>
        <v/>
      </c>
      <c r="U223" s="5" t="str">
        <f>IF($D223="--","",IF($P223="toetsen",toetsen(F!$B223,T223),IF($P223="toetsen alleen IW",toetsen_alleen_IW(F!$B223,T223),IF($P223="toetsen alleen LN",toetsen_alleen_LN(F!$B223,T223),IF($P223="toetsen geen MV en SV",toetsen_geen_MV_en_SV(F!$B223,T223),IF($P223="toetsen alleen MV en SV",toetsen_alleen_MV_en_SV(F!$B223,T223),""))))))</f>
        <v/>
      </c>
      <c r="V223" s="5" t="str">
        <f>IF($P223="toetsen",IF(OR(T223="",VLOOKUP(F!$B223,E!$B$1:$AK$300,10,FALSE)=1000000000),"",IF(T223&lt;=VLOOKUP(F!$B223,E!$B$1:$AK$300,10,FALSE),"ja","nee")),"")</f>
        <v/>
      </c>
      <c r="W223" s="6" t="str">
        <f t="shared" si="84"/>
        <v/>
      </c>
      <c r="X223" s="5" t="str">
        <f>IF($F223="--","",IF($P223="toetsen",toetsen(F!$B223,W223),IF($P223="toetsen alleen IW",toetsen_alleen_IW(F!$B223,W223),IF($P223="toetsen alleen LN",toetsen_alleen_LN(F!$B223,W223),IF($P223="toetsen geen MV en SV",toetsen_geen_MV_en_SV(F!$B223,W223),IF($P223="toetsen alleen MV en SV",toetsen_alleen_MV_en_SV(F!$B223,W223),""))))))</f>
        <v/>
      </c>
      <c r="Y223" s="5" t="str">
        <f>IF($P223="toetsen",IF(OR(W223="",VLOOKUP(F!$B223,E!$B$1:$AK$300,10,FALSE)=1000000000),"",IF(W223&lt;=VLOOKUP(F!$B223,E!$B$1:$AK$300,10,FALSE),"ja","nee")),"")</f>
        <v/>
      </c>
      <c r="AA223" s="4"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6" t="str">
        <f t="shared" si="85"/>
        <v>--</v>
      </c>
      <c r="AJ223" s="6"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6" t="str">
        <f t="shared" si="86"/>
        <v>--</v>
      </c>
      <c r="AL223" s="6"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6" t="str">
        <f t="shared" si="87"/>
        <v>--</v>
      </c>
      <c r="AN223" s="6"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6" t="str">
        <f t="shared" si="74"/>
        <v>--</v>
      </c>
      <c r="AQ223" s="6" t="str">
        <f t="shared" si="75"/>
        <v/>
      </c>
      <c r="AR223" s="6" t="str">
        <f t="shared" si="76"/>
        <v>--</v>
      </c>
      <c r="AS223" s="6" t="str">
        <f t="shared" si="77"/>
        <v/>
      </c>
      <c r="AT223" s="6" t="str">
        <f t="shared" si="78"/>
        <v/>
      </c>
      <c r="AU223" s="6" t="str">
        <f>IFERROR(IF(AR223="--","",IF(HLOOKUP(SMALL($Q$4:$Y$4,3),$Q$4:$Y$501,ROW(AP223)-3,FALSE)=0,"",IF(HLOOKUP(SMALL($Q$4:$Y$4,3),$Q$4:$Y$501,ROW(AP223)-3,FALSE)="nee",VLOOKUP("De kwaliteitseis emissiearme grond (maximale concentratie) wordt overschreden.",H!$O$10:'H'!$P$59,2,FALSE),""))),"")</f>
        <v/>
      </c>
      <c r="AV223" s="6" t="str">
        <f t="shared" si="68"/>
        <v>--</v>
      </c>
      <c r="AW223" s="6" t="str">
        <f t="shared" si="69"/>
        <v/>
      </c>
      <c r="AX223" s="6" t="str">
        <f t="shared" si="70"/>
        <v>--</v>
      </c>
      <c r="AY223" s="6" t="str">
        <f t="shared" si="79"/>
        <v/>
      </c>
      <c r="AZ223" s="6" t="str">
        <f t="shared" si="80"/>
        <v/>
      </c>
      <c r="BA223" s="6" t="str">
        <f>IFERROR(IF(AR223="--","",IF(HLOOKUP(SMALL($Q$4:$Y$4,6),$Q$4:$Y$501,ROW(AP223)-3,FALSE)=0,"",IF(HLOOKUP(SMALL($Q$4:$Y$4,6),$Q$4:$Y$501,ROW(AP223)-3,FALSE)="nee",VLOOKUP("De kwaliteitseis emissiearme grond (maximale concentratie) wordt overschreden.",H!$O$10:'H'!$P$59,2,FALSE),""))),"")</f>
        <v/>
      </c>
      <c r="BB223" s="6" t="str">
        <f t="shared" si="71"/>
        <v>--</v>
      </c>
      <c r="BC223" s="6" t="str">
        <f t="shared" si="72"/>
        <v/>
      </c>
      <c r="BD223" s="6" t="str">
        <f t="shared" si="73"/>
        <v>--</v>
      </c>
      <c r="BE223" s="6" t="str">
        <f t="shared" si="81"/>
        <v/>
      </c>
      <c r="BF223" s="6"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6" t="str">
        <f>IF(ISNUMBER(F!E224)=FALSE,"--",IF(F!E224=0,"--",F!E224))</f>
        <v>--</v>
      </c>
      <c r="C224" s="6" t="str">
        <f>IF(B224="--","",F!F224)</f>
        <v/>
      </c>
      <c r="D224" s="6" t="str">
        <f>IF(ISNUMBER(F!G224)=FALSE,"--",IF(F!G224=0,"--",F!G224))</f>
        <v>--</v>
      </c>
      <c r="E224" s="6" t="str">
        <f>IF(D224="--","",F!H224)</f>
        <v/>
      </c>
      <c r="F224" s="6" t="str">
        <f>IF(ISNUMBER(F!I224)=FALSE,"--",IF(F!I224=0,"--",F!I224))</f>
        <v>--</v>
      </c>
      <c r="G224" s="6" t="str">
        <f>IF(F224="--","",F!J224)</f>
        <v/>
      </c>
      <c r="H224" s="6"/>
      <c r="I224" s="6" t="str">
        <f>IF(F!Z224=-1,-1,F!AV224)</f>
        <v/>
      </c>
      <c r="J224" s="6"/>
      <c r="K224" s="6" t="str">
        <f>IF(F!AC224=-1,-1,F!AX224)</f>
        <v/>
      </c>
      <c r="L224" s="6"/>
      <c r="M224" s="6" t="str">
        <f>IF(F!AF224=-1,-1,F!AZ224)</f>
        <v/>
      </c>
      <c r="N224" s="6"/>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6" t="str">
        <f t="shared" si="88"/>
        <v/>
      </c>
      <c r="R224" s="5" t="str">
        <f>IF($B224="--","",IF($P224="toetsen",toetsen(F!$B224,Q224),IF($P224="toetsen alleen IW",toetsen_alleen_IW(F!$B224,Q224),IF($P224="toetsen alleen LN",toetsen_alleen_LN(F!$B224,Q224),IF($P224="toetsen geen MV en SV",toetsen_geen_MV_en_SV(F!$B224,Q224),IF($P224="toetsen alleen MV en SV",toetsen_alleen_MV_en_SV(F!$B224,Q224),""))))))</f>
        <v/>
      </c>
      <c r="S224" s="5" t="str">
        <f>IF($P224="toetsen",IF(OR(Q224="",VLOOKUP(F!$B224,E!$B$1:$AK$300,10,FALSE)=1000000000),"",IF(Q224&lt;=VLOOKUP(F!$B224,E!$B$1:$AK$300,10,FALSE),"ja","nee")),"")</f>
        <v/>
      </c>
      <c r="T224" s="87" t="str">
        <f t="shared" si="83"/>
        <v/>
      </c>
      <c r="U224" s="5" t="str">
        <f>IF($D224="--","",IF($P224="toetsen",toetsen(F!$B224,T224),IF($P224="toetsen alleen IW",toetsen_alleen_IW(F!$B224,T224),IF($P224="toetsen alleen LN",toetsen_alleen_LN(F!$B224,T224),IF($P224="toetsen geen MV en SV",toetsen_geen_MV_en_SV(F!$B224,T224),IF($P224="toetsen alleen MV en SV",toetsen_alleen_MV_en_SV(F!$B224,T224),""))))))</f>
        <v/>
      </c>
      <c r="V224" s="5" t="str">
        <f>IF($P224="toetsen",IF(OR(T224="",VLOOKUP(F!$B224,E!$B$1:$AK$300,10,FALSE)=1000000000),"",IF(T224&lt;=VLOOKUP(F!$B224,E!$B$1:$AK$300,10,FALSE),"ja","nee")),"")</f>
        <v/>
      </c>
      <c r="W224" s="6" t="str">
        <f t="shared" si="84"/>
        <v/>
      </c>
      <c r="X224" s="5" t="str">
        <f>IF($F224="--","",IF($P224="toetsen",toetsen(F!$B224,W224),IF($P224="toetsen alleen IW",toetsen_alleen_IW(F!$B224,W224),IF($P224="toetsen alleen LN",toetsen_alleen_LN(F!$B224,W224),IF($P224="toetsen geen MV en SV",toetsen_geen_MV_en_SV(F!$B224,W224),IF($P224="toetsen alleen MV en SV",toetsen_alleen_MV_en_SV(F!$B224,W224),""))))))</f>
        <v/>
      </c>
      <c r="Y224" s="5" t="str">
        <f>IF($P224="toetsen",IF(OR(W224="",VLOOKUP(F!$B224,E!$B$1:$AK$300,10,FALSE)=1000000000),"",IF(W224&lt;=VLOOKUP(F!$B224,E!$B$1:$AK$300,10,FALSE),"ja","nee")),"")</f>
        <v/>
      </c>
      <c r="AA224" s="4"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6" t="str">
        <f t="shared" si="85"/>
        <v>--</v>
      </c>
      <c r="AJ224" s="6"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6" t="str">
        <f t="shared" si="86"/>
        <v>--</v>
      </c>
      <c r="AL224" s="6"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6" t="str">
        <f t="shared" si="87"/>
        <v>--</v>
      </c>
      <c r="AN224" s="6"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6" t="str">
        <f t="shared" si="74"/>
        <v>--</v>
      </c>
      <c r="AQ224" s="6" t="str">
        <f t="shared" si="75"/>
        <v/>
      </c>
      <c r="AR224" s="6" t="str">
        <f t="shared" si="76"/>
        <v>--</v>
      </c>
      <c r="AS224" s="6" t="str">
        <f t="shared" si="77"/>
        <v/>
      </c>
      <c r="AT224" s="6" t="str">
        <f t="shared" si="78"/>
        <v/>
      </c>
      <c r="AU224" s="6" t="str">
        <f>IFERROR(IF(AR224="--","",IF(HLOOKUP(SMALL($Q$4:$Y$4,3),$Q$4:$Y$501,ROW(AP224)-3,FALSE)=0,"",IF(HLOOKUP(SMALL($Q$4:$Y$4,3),$Q$4:$Y$501,ROW(AP224)-3,FALSE)="nee",VLOOKUP("De kwaliteitseis emissiearme grond (maximale concentratie) wordt overschreden.",H!$O$10:'H'!$P$59,2,FALSE),""))),"")</f>
        <v/>
      </c>
      <c r="AV224" s="6" t="str">
        <f t="shared" si="68"/>
        <v>--</v>
      </c>
      <c r="AW224" s="6" t="str">
        <f t="shared" si="69"/>
        <v/>
      </c>
      <c r="AX224" s="6" t="str">
        <f t="shared" si="70"/>
        <v>--</v>
      </c>
      <c r="AY224" s="6" t="str">
        <f t="shared" si="79"/>
        <v/>
      </c>
      <c r="AZ224" s="6" t="str">
        <f t="shared" si="80"/>
        <v/>
      </c>
      <c r="BA224" s="6" t="str">
        <f>IFERROR(IF(AR224="--","",IF(HLOOKUP(SMALL($Q$4:$Y$4,6),$Q$4:$Y$501,ROW(AP224)-3,FALSE)=0,"",IF(HLOOKUP(SMALL($Q$4:$Y$4,6),$Q$4:$Y$501,ROW(AP224)-3,FALSE)="nee",VLOOKUP("De kwaliteitseis emissiearme grond (maximale concentratie) wordt overschreden.",H!$O$10:'H'!$P$59,2,FALSE),""))),"")</f>
        <v/>
      </c>
      <c r="BB224" s="6" t="str">
        <f t="shared" si="71"/>
        <v>--</v>
      </c>
      <c r="BC224" s="6" t="str">
        <f t="shared" si="72"/>
        <v/>
      </c>
      <c r="BD224" s="6" t="str">
        <f t="shared" si="73"/>
        <v>--</v>
      </c>
      <c r="BE224" s="6" t="str">
        <f t="shared" si="81"/>
        <v/>
      </c>
      <c r="BF224" s="6"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6" t="str">
        <f>IF(ISNUMBER(F!E225)=FALSE,"--",IF(F!E225=0,"--",F!E225))</f>
        <v>--</v>
      </c>
      <c r="C225" s="6" t="str">
        <f>IF(B225="--","",F!F225)</f>
        <v/>
      </c>
      <c r="D225" s="6" t="str">
        <f>IF(ISNUMBER(F!G225)=FALSE,"--",IF(F!G225=0,"--",F!G225))</f>
        <v>--</v>
      </c>
      <c r="E225" s="6" t="str">
        <f>IF(D225="--","",F!H225)</f>
        <v/>
      </c>
      <c r="F225" s="6" t="str">
        <f>IF(ISNUMBER(F!I225)=FALSE,"--",IF(F!I225=0,"--",F!I225))</f>
        <v>--</v>
      </c>
      <c r="G225" s="6" t="str">
        <f>IF(F225="--","",F!J225)</f>
        <v/>
      </c>
      <c r="H225" s="6"/>
      <c r="I225" s="6" t="str">
        <f>IF(F!Z225=-1,-1,F!AV225)</f>
        <v/>
      </c>
      <c r="J225" s="6"/>
      <c r="K225" s="6" t="str">
        <f>IF(F!AC225=-1,-1,F!AX225)</f>
        <v/>
      </c>
      <c r="L225" s="6"/>
      <c r="M225" s="6" t="str">
        <f>IF(F!AF225=-1,-1,F!AZ225)</f>
        <v/>
      </c>
      <c r="N225" s="6"/>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6" t="str">
        <f t="shared" si="88"/>
        <v/>
      </c>
      <c r="R225" s="5" t="str">
        <f>IF($B225="--","",IF($P225="toetsen",toetsen(F!$B225,Q225),IF($P225="toetsen alleen IW",toetsen_alleen_IW(F!$B225,Q225),IF($P225="toetsen alleen LN",toetsen_alleen_LN(F!$B225,Q225),IF($P225="toetsen geen MV en SV",toetsen_geen_MV_en_SV(F!$B225,Q225),IF($P225="toetsen alleen MV en SV",toetsen_alleen_MV_en_SV(F!$B225,Q225),""))))))</f>
        <v/>
      </c>
      <c r="S225" s="5" t="str">
        <f>IF($P225="toetsen",IF(OR(Q225="",VLOOKUP(F!$B225,E!$B$1:$AK$300,10,FALSE)=1000000000),"",IF(Q225&lt;=VLOOKUP(F!$B225,E!$B$1:$AK$300,10,FALSE),"ja","nee")),"")</f>
        <v/>
      </c>
      <c r="T225" s="87" t="str">
        <f t="shared" si="83"/>
        <v/>
      </c>
      <c r="U225" s="5" t="str">
        <f>IF($D225="--","",IF($P225="toetsen",toetsen(F!$B225,T225),IF($P225="toetsen alleen IW",toetsen_alleen_IW(F!$B225,T225),IF($P225="toetsen alleen LN",toetsen_alleen_LN(F!$B225,T225),IF($P225="toetsen geen MV en SV",toetsen_geen_MV_en_SV(F!$B225,T225),IF($P225="toetsen alleen MV en SV",toetsen_alleen_MV_en_SV(F!$B225,T225),""))))))</f>
        <v/>
      </c>
      <c r="V225" s="5" t="str">
        <f>IF($P225="toetsen",IF(OR(T225="",VLOOKUP(F!$B225,E!$B$1:$AK$300,10,FALSE)=1000000000),"",IF(T225&lt;=VLOOKUP(F!$B225,E!$B$1:$AK$300,10,FALSE),"ja","nee")),"")</f>
        <v/>
      </c>
      <c r="W225" s="6" t="str">
        <f t="shared" si="84"/>
        <v/>
      </c>
      <c r="X225" s="5" t="str">
        <f>IF($F225="--","",IF($P225="toetsen",toetsen(F!$B225,W225),IF($P225="toetsen alleen IW",toetsen_alleen_IW(F!$B225,W225),IF($P225="toetsen alleen LN",toetsen_alleen_LN(F!$B225,W225),IF($P225="toetsen geen MV en SV",toetsen_geen_MV_en_SV(F!$B225,W225),IF($P225="toetsen alleen MV en SV",toetsen_alleen_MV_en_SV(F!$B225,W225),""))))))</f>
        <v/>
      </c>
      <c r="Y225" s="5" t="str">
        <f>IF($P225="toetsen",IF(OR(W225="",VLOOKUP(F!$B225,E!$B$1:$AK$300,10,FALSE)=1000000000),"",IF(W225&lt;=VLOOKUP(F!$B225,E!$B$1:$AK$300,10,FALSE),"ja","nee")),"")</f>
        <v/>
      </c>
      <c r="AA225" s="4"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6" t="str">
        <f t="shared" si="85"/>
        <v>--</v>
      </c>
      <c r="AJ225" s="6"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6" t="str">
        <f t="shared" si="86"/>
        <v>--</v>
      </c>
      <c r="AL225" s="6"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6" t="str">
        <f t="shared" si="87"/>
        <v>--</v>
      </c>
      <c r="AN225" s="6"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6" t="str">
        <f t="shared" si="74"/>
        <v>--</v>
      </c>
      <c r="AQ225" s="6" t="str">
        <f t="shared" si="75"/>
        <v/>
      </c>
      <c r="AR225" s="6" t="str">
        <f t="shared" si="76"/>
        <v>--</v>
      </c>
      <c r="AS225" s="6" t="str">
        <f t="shared" si="77"/>
        <v/>
      </c>
      <c r="AT225" s="6" t="str">
        <f t="shared" si="78"/>
        <v/>
      </c>
      <c r="AU225" s="6" t="str">
        <f>IFERROR(IF(AR225="--","",IF(HLOOKUP(SMALL($Q$4:$Y$4,3),$Q$4:$Y$501,ROW(AP225)-3,FALSE)=0,"",IF(HLOOKUP(SMALL($Q$4:$Y$4,3),$Q$4:$Y$501,ROW(AP225)-3,FALSE)="nee",VLOOKUP("De kwaliteitseis emissiearme grond (maximale concentratie) wordt overschreden.",H!$O$10:'H'!$P$59,2,FALSE),""))),"")</f>
        <v/>
      </c>
      <c r="AV225" s="6" t="str">
        <f t="shared" si="68"/>
        <v>--</v>
      </c>
      <c r="AW225" s="6" t="str">
        <f t="shared" si="69"/>
        <v/>
      </c>
      <c r="AX225" s="6" t="str">
        <f t="shared" si="70"/>
        <v>--</v>
      </c>
      <c r="AY225" s="6" t="str">
        <f t="shared" si="79"/>
        <v/>
      </c>
      <c r="AZ225" s="6" t="str">
        <f t="shared" si="80"/>
        <v/>
      </c>
      <c r="BA225" s="6" t="str">
        <f>IFERROR(IF(AR225="--","",IF(HLOOKUP(SMALL($Q$4:$Y$4,6),$Q$4:$Y$501,ROW(AP225)-3,FALSE)=0,"",IF(HLOOKUP(SMALL($Q$4:$Y$4,6),$Q$4:$Y$501,ROW(AP225)-3,FALSE)="nee",VLOOKUP("De kwaliteitseis emissiearme grond (maximale concentratie) wordt overschreden.",H!$O$10:'H'!$P$59,2,FALSE),""))),"")</f>
        <v/>
      </c>
      <c r="BB225" s="6" t="str">
        <f t="shared" si="71"/>
        <v>--</v>
      </c>
      <c r="BC225" s="6" t="str">
        <f t="shared" si="72"/>
        <v/>
      </c>
      <c r="BD225" s="6" t="str">
        <f t="shared" si="73"/>
        <v>--</v>
      </c>
      <c r="BE225" s="6" t="str">
        <f t="shared" si="81"/>
        <v/>
      </c>
      <c r="BF225" s="6"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6" t="str">
        <f>IF(ISNUMBER(F!E226)=FALSE,"--",IF(F!E226=0,"--",F!E226))</f>
        <v>--</v>
      </c>
      <c r="C226" s="6" t="str">
        <f>IF(B226="--","",F!F226)</f>
        <v/>
      </c>
      <c r="D226" s="6" t="str">
        <f>IF(ISNUMBER(F!G226)=FALSE,"--",IF(F!G226=0,"--",F!G226))</f>
        <v>--</v>
      </c>
      <c r="E226" s="6" t="str">
        <f>IF(D226="--","",F!H226)</f>
        <v/>
      </c>
      <c r="F226" s="6" t="str">
        <f>IF(ISNUMBER(F!I226)=FALSE,"--",IF(F!I226=0,"--",F!I226))</f>
        <v>--</v>
      </c>
      <c r="G226" s="6" t="str">
        <f>IF(F226="--","",F!J226)</f>
        <v/>
      </c>
      <c r="H226" s="6"/>
      <c r="I226" s="6" t="str">
        <f>IF(F!Z226=-1,-1,F!AV226)</f>
        <v/>
      </c>
      <c r="J226" s="6"/>
      <c r="K226" s="6" t="str">
        <f>IF(F!AC226=-1,-1,F!AX226)</f>
        <v/>
      </c>
      <c r="L226" s="6"/>
      <c r="M226" s="6" t="str">
        <f>IF(F!AF226=-1,-1,F!AZ226)</f>
        <v/>
      </c>
      <c r="N226" s="6"/>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6" t="str">
        <f t="shared" si="88"/>
        <v/>
      </c>
      <c r="R226" s="5" t="str">
        <f>IF($B226="--","",IF($P226="toetsen",toetsen(F!$B226,Q226),IF($P226="toetsen alleen IW",toetsen_alleen_IW(F!$B226,Q226),IF($P226="toetsen alleen LN",toetsen_alleen_LN(F!$B226,Q226),IF($P226="toetsen geen MV en SV",toetsen_geen_MV_en_SV(F!$B226,Q226),IF($P226="toetsen alleen MV en SV",toetsen_alleen_MV_en_SV(F!$B226,Q226),""))))))</f>
        <v/>
      </c>
      <c r="S226" s="5" t="str">
        <f>IF($P226="toetsen",IF(OR(Q226="",VLOOKUP(F!$B226,E!$B$1:$AK$300,10,FALSE)=1000000000),"",IF(Q226&lt;=VLOOKUP(F!$B226,E!$B$1:$AK$300,10,FALSE),"ja","nee")),"")</f>
        <v/>
      </c>
      <c r="T226" s="87" t="str">
        <f t="shared" si="83"/>
        <v/>
      </c>
      <c r="U226" s="5" t="str">
        <f>IF($D226="--","",IF($P226="toetsen",toetsen(F!$B226,T226),IF($P226="toetsen alleen IW",toetsen_alleen_IW(F!$B226,T226),IF($P226="toetsen alleen LN",toetsen_alleen_LN(F!$B226,T226),IF($P226="toetsen geen MV en SV",toetsen_geen_MV_en_SV(F!$B226,T226),IF($P226="toetsen alleen MV en SV",toetsen_alleen_MV_en_SV(F!$B226,T226),""))))))</f>
        <v/>
      </c>
      <c r="V226" s="5" t="str">
        <f>IF($P226="toetsen",IF(OR(T226="",VLOOKUP(F!$B226,E!$B$1:$AK$300,10,FALSE)=1000000000),"",IF(T226&lt;=VLOOKUP(F!$B226,E!$B$1:$AK$300,10,FALSE),"ja","nee")),"")</f>
        <v/>
      </c>
      <c r="W226" s="6" t="str">
        <f t="shared" si="84"/>
        <v/>
      </c>
      <c r="X226" s="5" t="str">
        <f>IF($F226="--","",IF($P226="toetsen",toetsen(F!$B226,W226),IF($P226="toetsen alleen IW",toetsen_alleen_IW(F!$B226,W226),IF($P226="toetsen alleen LN",toetsen_alleen_LN(F!$B226,W226),IF($P226="toetsen geen MV en SV",toetsen_geen_MV_en_SV(F!$B226,W226),IF($P226="toetsen alleen MV en SV",toetsen_alleen_MV_en_SV(F!$B226,W226),""))))))</f>
        <v/>
      </c>
      <c r="Y226" s="5" t="str">
        <f>IF($P226="toetsen",IF(OR(W226="",VLOOKUP(F!$B226,E!$B$1:$AK$300,10,FALSE)=1000000000),"",IF(W226&lt;=VLOOKUP(F!$B226,E!$B$1:$AK$300,10,FALSE),"ja","nee")),"")</f>
        <v/>
      </c>
      <c r="AA226" s="4"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6" t="str">
        <f t="shared" si="85"/>
        <v>--</v>
      </c>
      <c r="AJ226" s="6"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6" t="str">
        <f t="shared" si="86"/>
        <v>--</v>
      </c>
      <c r="AL226" s="6"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6" t="str">
        <f t="shared" si="87"/>
        <v>--</v>
      </c>
      <c r="AN226" s="6"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6" t="str">
        <f t="shared" si="74"/>
        <v>--</v>
      </c>
      <c r="AQ226" s="6" t="str">
        <f t="shared" si="75"/>
        <v/>
      </c>
      <c r="AR226" s="6" t="str">
        <f t="shared" si="76"/>
        <v>--</v>
      </c>
      <c r="AS226" s="6" t="str">
        <f t="shared" si="77"/>
        <v/>
      </c>
      <c r="AT226" s="6" t="str">
        <f t="shared" si="78"/>
        <v/>
      </c>
      <c r="AU226" s="6" t="str">
        <f>IFERROR(IF(AR226="--","",IF(HLOOKUP(SMALL($Q$4:$Y$4,3),$Q$4:$Y$501,ROW(AP226)-3,FALSE)=0,"",IF(HLOOKUP(SMALL($Q$4:$Y$4,3),$Q$4:$Y$501,ROW(AP226)-3,FALSE)="nee",VLOOKUP("De kwaliteitseis emissiearme grond (maximale concentratie) wordt overschreden.",H!$O$10:'H'!$P$59,2,FALSE),""))),"")</f>
        <v/>
      </c>
      <c r="AV226" s="6" t="str">
        <f t="shared" si="68"/>
        <v>--</v>
      </c>
      <c r="AW226" s="6" t="str">
        <f t="shared" si="69"/>
        <v/>
      </c>
      <c r="AX226" s="6" t="str">
        <f t="shared" si="70"/>
        <v>--</v>
      </c>
      <c r="AY226" s="6" t="str">
        <f t="shared" si="79"/>
        <v/>
      </c>
      <c r="AZ226" s="6" t="str">
        <f t="shared" si="80"/>
        <v/>
      </c>
      <c r="BA226" s="6" t="str">
        <f>IFERROR(IF(AR226="--","",IF(HLOOKUP(SMALL($Q$4:$Y$4,6),$Q$4:$Y$501,ROW(AP226)-3,FALSE)=0,"",IF(HLOOKUP(SMALL($Q$4:$Y$4,6),$Q$4:$Y$501,ROW(AP226)-3,FALSE)="nee",VLOOKUP("De kwaliteitseis emissiearme grond (maximale concentratie) wordt overschreden.",H!$O$10:'H'!$P$59,2,FALSE),""))),"")</f>
        <v/>
      </c>
      <c r="BB226" s="6" t="str">
        <f t="shared" si="71"/>
        <v>--</v>
      </c>
      <c r="BC226" s="6" t="str">
        <f t="shared" si="72"/>
        <v/>
      </c>
      <c r="BD226" s="6" t="str">
        <f t="shared" si="73"/>
        <v>--</v>
      </c>
      <c r="BE226" s="6" t="str">
        <f t="shared" si="81"/>
        <v/>
      </c>
      <c r="BF226" s="6"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6" t="str">
        <f>IF(ISNUMBER(F!E227)=FALSE,"--",IF(F!E227=0,"--",F!E227))</f>
        <v>--</v>
      </c>
      <c r="C227" s="6" t="str">
        <f>IF(B227="--","",F!F227)</f>
        <v/>
      </c>
      <c r="D227" s="6" t="str">
        <f>IF(ISNUMBER(F!G227)=FALSE,"--",IF(F!G227=0,"--",F!G227))</f>
        <v>--</v>
      </c>
      <c r="E227" s="6" t="str">
        <f>IF(D227="--","",F!H227)</f>
        <v/>
      </c>
      <c r="F227" s="6" t="str">
        <f>IF(ISNUMBER(F!I227)=FALSE,"--",IF(F!I227=0,"--",F!I227))</f>
        <v>--</v>
      </c>
      <c r="G227" s="6" t="str">
        <f>IF(F227="--","",F!J227)</f>
        <v/>
      </c>
      <c r="H227" s="6"/>
      <c r="I227" s="6" t="str">
        <f>IF(F!Z227=-1,-1,F!AV227)</f>
        <v/>
      </c>
      <c r="J227" s="6"/>
      <c r="K227" s="6" t="str">
        <f>IF(F!AC227=-1,-1,F!AX227)</f>
        <v/>
      </c>
      <c r="L227" s="6"/>
      <c r="M227" s="6" t="str">
        <f>IF(F!AF227=-1,-1,F!AZ227)</f>
        <v/>
      </c>
      <c r="N227" s="6"/>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6" t="str">
        <f t="shared" si="88"/>
        <v/>
      </c>
      <c r="R227" s="5" t="str">
        <f>IF($B227="--","",IF($P227="toetsen",toetsen(F!$B227,Q227),IF($P227="toetsen alleen IW",toetsen_alleen_IW(F!$B227,Q227),IF($P227="toetsen alleen LN",toetsen_alleen_LN(F!$B227,Q227),IF($P227="toetsen geen MV en SV",toetsen_geen_MV_en_SV(F!$B227,Q227),IF($P227="toetsen alleen MV en SV",toetsen_alleen_MV_en_SV(F!$B227,Q227),""))))))</f>
        <v/>
      </c>
      <c r="S227" s="5" t="str">
        <f>IF($P227="toetsen",IF(OR(Q227="",VLOOKUP(F!$B227,E!$B$1:$AK$300,10,FALSE)=1000000000),"",IF(Q227&lt;=VLOOKUP(F!$B227,E!$B$1:$AK$300,10,FALSE),"ja","nee")),"")</f>
        <v/>
      </c>
      <c r="T227" s="87" t="str">
        <f t="shared" si="83"/>
        <v/>
      </c>
      <c r="U227" s="5" t="str">
        <f>IF($D227="--","",IF($P227="toetsen",toetsen(F!$B227,T227),IF($P227="toetsen alleen IW",toetsen_alleen_IW(F!$B227,T227),IF($P227="toetsen alleen LN",toetsen_alleen_LN(F!$B227,T227),IF($P227="toetsen geen MV en SV",toetsen_geen_MV_en_SV(F!$B227,T227),IF($P227="toetsen alleen MV en SV",toetsen_alleen_MV_en_SV(F!$B227,T227),""))))))</f>
        <v/>
      </c>
      <c r="V227" s="5" t="str">
        <f>IF($P227="toetsen",IF(OR(T227="",VLOOKUP(F!$B227,E!$B$1:$AK$300,10,FALSE)=1000000000),"",IF(T227&lt;=VLOOKUP(F!$B227,E!$B$1:$AK$300,10,FALSE),"ja","nee")),"")</f>
        <v/>
      </c>
      <c r="W227" s="6" t="str">
        <f t="shared" si="84"/>
        <v/>
      </c>
      <c r="X227" s="5" t="str">
        <f>IF($F227="--","",IF($P227="toetsen",toetsen(F!$B227,W227),IF($P227="toetsen alleen IW",toetsen_alleen_IW(F!$B227,W227),IF($P227="toetsen alleen LN",toetsen_alleen_LN(F!$B227,W227),IF($P227="toetsen geen MV en SV",toetsen_geen_MV_en_SV(F!$B227,W227),IF($P227="toetsen alleen MV en SV",toetsen_alleen_MV_en_SV(F!$B227,W227),""))))))</f>
        <v/>
      </c>
      <c r="Y227" s="5" t="str">
        <f>IF($P227="toetsen",IF(OR(W227="",VLOOKUP(F!$B227,E!$B$1:$AK$300,10,FALSE)=1000000000),"",IF(W227&lt;=VLOOKUP(F!$B227,E!$B$1:$AK$300,10,FALSE),"ja","nee")),"")</f>
        <v/>
      </c>
      <c r="AA227" s="4"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6" t="str">
        <f t="shared" si="85"/>
        <v>--</v>
      </c>
      <c r="AJ227" s="6"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6" t="str">
        <f t="shared" si="86"/>
        <v>--</v>
      </c>
      <c r="AL227" s="6"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6" t="str">
        <f t="shared" si="87"/>
        <v>--</v>
      </c>
      <c r="AN227" s="6"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6" t="str">
        <f t="shared" si="74"/>
        <v>--</v>
      </c>
      <c r="AQ227" s="6" t="str">
        <f t="shared" si="75"/>
        <v/>
      </c>
      <c r="AR227" s="6" t="str">
        <f t="shared" si="76"/>
        <v>--</v>
      </c>
      <c r="AS227" s="6" t="str">
        <f t="shared" si="77"/>
        <v/>
      </c>
      <c r="AT227" s="6" t="str">
        <f t="shared" si="78"/>
        <v/>
      </c>
      <c r="AU227" s="6" t="str">
        <f>IFERROR(IF(AR227="--","",IF(HLOOKUP(SMALL($Q$4:$Y$4,3),$Q$4:$Y$501,ROW(AP227)-3,FALSE)=0,"",IF(HLOOKUP(SMALL($Q$4:$Y$4,3),$Q$4:$Y$501,ROW(AP227)-3,FALSE)="nee",VLOOKUP("De kwaliteitseis emissiearme grond (maximale concentratie) wordt overschreden.",H!$O$10:'H'!$P$59,2,FALSE),""))),"")</f>
        <v/>
      </c>
      <c r="AV227" s="6" t="str">
        <f t="shared" si="68"/>
        <v>--</v>
      </c>
      <c r="AW227" s="6" t="str">
        <f t="shared" si="69"/>
        <v/>
      </c>
      <c r="AX227" s="6" t="str">
        <f t="shared" si="70"/>
        <v>--</v>
      </c>
      <c r="AY227" s="6" t="str">
        <f t="shared" si="79"/>
        <v/>
      </c>
      <c r="AZ227" s="6" t="str">
        <f t="shared" si="80"/>
        <v/>
      </c>
      <c r="BA227" s="6" t="str">
        <f>IFERROR(IF(AR227="--","",IF(HLOOKUP(SMALL($Q$4:$Y$4,6),$Q$4:$Y$501,ROW(AP227)-3,FALSE)=0,"",IF(HLOOKUP(SMALL($Q$4:$Y$4,6),$Q$4:$Y$501,ROW(AP227)-3,FALSE)="nee",VLOOKUP("De kwaliteitseis emissiearme grond (maximale concentratie) wordt overschreden.",H!$O$10:'H'!$P$59,2,FALSE),""))),"")</f>
        <v/>
      </c>
      <c r="BB227" s="6" t="str">
        <f t="shared" si="71"/>
        <v>--</v>
      </c>
      <c r="BC227" s="6" t="str">
        <f t="shared" si="72"/>
        <v/>
      </c>
      <c r="BD227" s="6" t="str">
        <f t="shared" si="73"/>
        <v>--</v>
      </c>
      <c r="BE227" s="6" t="str">
        <f t="shared" si="81"/>
        <v/>
      </c>
      <c r="BF227" s="6"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6" t="str">
        <f>IF(ISNUMBER(F!E228)=FALSE,"--",IF(F!E228=0,"--",F!E228))</f>
        <v>--</v>
      </c>
      <c r="C228" s="6" t="str">
        <f>IF(B228="--","",F!F228)</f>
        <v/>
      </c>
      <c r="D228" s="6" t="str">
        <f>IF(ISNUMBER(F!G228)=FALSE,"--",IF(F!G228=0,"--",F!G228))</f>
        <v>--</v>
      </c>
      <c r="E228" s="6" t="str">
        <f>IF(D228="--","",F!H228)</f>
        <v/>
      </c>
      <c r="F228" s="6" t="str">
        <f>IF(ISNUMBER(F!I228)=FALSE,"--",IF(F!I228=0,"--",F!I228))</f>
        <v>--</v>
      </c>
      <c r="G228" s="6" t="str">
        <f>IF(F228="--","",F!J228)</f>
        <v/>
      </c>
      <c r="H228" s="6"/>
      <c r="I228" s="6" t="str">
        <f>IF(F!Z228=-1,-1,F!AV228)</f>
        <v/>
      </c>
      <c r="J228" s="6"/>
      <c r="K228" s="6" t="str">
        <f>IF(F!AC228=-1,-1,F!AX228)</f>
        <v/>
      </c>
      <c r="L228" s="6"/>
      <c r="M228" s="6" t="str">
        <f>IF(F!AF228=-1,-1,F!AZ228)</f>
        <v/>
      </c>
      <c r="N228" s="6"/>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6" t="str">
        <f t="shared" si="88"/>
        <v/>
      </c>
      <c r="R228" s="5" t="str">
        <f>IF($B228="--","",IF($P228="toetsen",toetsen(F!$B228,Q228),IF($P228="toetsen alleen IW",toetsen_alleen_IW(F!$B228,Q228),IF($P228="toetsen alleen LN",toetsen_alleen_LN(F!$B228,Q228),IF($P228="toetsen geen MV en SV",toetsen_geen_MV_en_SV(F!$B228,Q228),IF($P228="toetsen alleen MV en SV",toetsen_alleen_MV_en_SV(F!$B228,Q228),""))))))</f>
        <v/>
      </c>
      <c r="S228" s="5" t="str">
        <f>IF($P228="toetsen",IF(OR(Q228="",VLOOKUP(F!$B228,E!$B$1:$AK$300,10,FALSE)=1000000000),"",IF(Q228&lt;=VLOOKUP(F!$B228,E!$B$1:$AK$300,10,FALSE),"ja","nee")),"")</f>
        <v/>
      </c>
      <c r="T228" s="87" t="str">
        <f t="shared" si="83"/>
        <v/>
      </c>
      <c r="U228" s="5" t="str">
        <f>IF($D228="--","",IF($P228="toetsen",toetsen(F!$B228,T228),IF($P228="toetsen alleen IW",toetsen_alleen_IW(F!$B228,T228),IF($P228="toetsen alleen LN",toetsen_alleen_LN(F!$B228,T228),IF($P228="toetsen geen MV en SV",toetsen_geen_MV_en_SV(F!$B228,T228),IF($P228="toetsen alleen MV en SV",toetsen_alleen_MV_en_SV(F!$B228,T228),""))))))</f>
        <v/>
      </c>
      <c r="V228" s="5" t="str">
        <f>IF($P228="toetsen",IF(OR(T228="",VLOOKUP(F!$B228,E!$B$1:$AK$300,10,FALSE)=1000000000),"",IF(T228&lt;=VLOOKUP(F!$B228,E!$B$1:$AK$300,10,FALSE),"ja","nee")),"")</f>
        <v/>
      </c>
      <c r="W228" s="6" t="str">
        <f t="shared" si="84"/>
        <v/>
      </c>
      <c r="X228" s="5" t="str">
        <f>IF($F228="--","",IF($P228="toetsen",toetsen(F!$B228,W228),IF($P228="toetsen alleen IW",toetsen_alleen_IW(F!$B228,W228),IF($P228="toetsen alleen LN",toetsen_alleen_LN(F!$B228,W228),IF($P228="toetsen geen MV en SV",toetsen_geen_MV_en_SV(F!$B228,W228),IF($P228="toetsen alleen MV en SV",toetsen_alleen_MV_en_SV(F!$B228,W228),""))))))</f>
        <v/>
      </c>
      <c r="Y228" s="5" t="str">
        <f>IF($P228="toetsen",IF(OR(W228="",VLOOKUP(F!$B228,E!$B$1:$AK$300,10,FALSE)=1000000000),"",IF(W228&lt;=VLOOKUP(F!$B228,E!$B$1:$AK$300,10,FALSE),"ja","nee")),"")</f>
        <v/>
      </c>
      <c r="AA228" s="4"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6" t="str">
        <f t="shared" si="85"/>
        <v>--</v>
      </c>
      <c r="AJ228" s="6"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6" t="str">
        <f t="shared" si="86"/>
        <v>--</v>
      </c>
      <c r="AL228" s="6"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6" t="str">
        <f t="shared" si="87"/>
        <v>--</v>
      </c>
      <c r="AN228" s="6"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6" t="str">
        <f t="shared" si="74"/>
        <v>--</v>
      </c>
      <c r="AQ228" s="6" t="str">
        <f t="shared" si="75"/>
        <v/>
      </c>
      <c r="AR228" s="6" t="str">
        <f t="shared" si="76"/>
        <v>--</v>
      </c>
      <c r="AS228" s="6" t="str">
        <f t="shared" si="77"/>
        <v/>
      </c>
      <c r="AT228" s="6" t="str">
        <f t="shared" si="78"/>
        <v/>
      </c>
      <c r="AU228" s="6" t="str">
        <f>IFERROR(IF(AR228="--","",IF(HLOOKUP(SMALL($Q$4:$Y$4,3),$Q$4:$Y$501,ROW(AP228)-3,FALSE)=0,"",IF(HLOOKUP(SMALL($Q$4:$Y$4,3),$Q$4:$Y$501,ROW(AP228)-3,FALSE)="nee",VLOOKUP("De kwaliteitseis emissiearme grond (maximale concentratie) wordt overschreden.",H!$O$10:'H'!$P$59,2,FALSE),""))),"")</f>
        <v/>
      </c>
      <c r="AV228" s="6" t="str">
        <f t="shared" si="68"/>
        <v>--</v>
      </c>
      <c r="AW228" s="6" t="str">
        <f t="shared" si="69"/>
        <v/>
      </c>
      <c r="AX228" s="6" t="str">
        <f t="shared" si="70"/>
        <v>--</v>
      </c>
      <c r="AY228" s="6" t="str">
        <f t="shared" si="79"/>
        <v/>
      </c>
      <c r="AZ228" s="6" t="str">
        <f t="shared" si="80"/>
        <v/>
      </c>
      <c r="BA228" s="6" t="str">
        <f>IFERROR(IF(AR228="--","",IF(HLOOKUP(SMALL($Q$4:$Y$4,6),$Q$4:$Y$501,ROW(AP228)-3,FALSE)=0,"",IF(HLOOKUP(SMALL($Q$4:$Y$4,6),$Q$4:$Y$501,ROW(AP228)-3,FALSE)="nee",VLOOKUP("De kwaliteitseis emissiearme grond (maximale concentratie) wordt overschreden.",H!$O$10:'H'!$P$59,2,FALSE),""))),"")</f>
        <v/>
      </c>
      <c r="BB228" s="6" t="str">
        <f t="shared" si="71"/>
        <v>--</v>
      </c>
      <c r="BC228" s="6" t="str">
        <f t="shared" si="72"/>
        <v/>
      </c>
      <c r="BD228" s="6" t="str">
        <f t="shared" si="73"/>
        <v>--</v>
      </c>
      <c r="BE228" s="6" t="str">
        <f t="shared" si="81"/>
        <v/>
      </c>
      <c r="BF228" s="6"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6" t="str">
        <f>IF(ISNUMBER(F!E229)=FALSE,"--",IF(F!E229=0,"--",F!E229))</f>
        <v>--</v>
      </c>
      <c r="C229" s="6" t="str">
        <f>IF(B229="--","",F!F229)</f>
        <v/>
      </c>
      <c r="D229" s="6" t="str">
        <f>IF(ISNUMBER(F!G229)=FALSE,"--",IF(F!G229=0,"--",F!G229))</f>
        <v>--</v>
      </c>
      <c r="E229" s="6" t="str">
        <f>IF(D229="--","",F!H229)</f>
        <v/>
      </c>
      <c r="F229" s="6" t="str">
        <f>IF(ISNUMBER(F!I229)=FALSE,"--",IF(F!I229=0,"--",F!I229))</f>
        <v>--</v>
      </c>
      <c r="G229" s="6" t="str">
        <f>IF(F229="--","",F!J229)</f>
        <v/>
      </c>
      <c r="H229" s="6"/>
      <c r="I229" s="6" t="str">
        <f>IF(F!Z229=-1,-1,F!AV229)</f>
        <v/>
      </c>
      <c r="J229" s="6"/>
      <c r="K229" s="6" t="str">
        <f>IF(F!AC229=-1,-1,F!AX229)</f>
        <v/>
      </c>
      <c r="L229" s="6"/>
      <c r="M229" s="6" t="str">
        <f>IF(F!AF229=-1,-1,F!AZ229)</f>
        <v/>
      </c>
      <c r="N229" s="6"/>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6" t="str">
        <f t="shared" si="88"/>
        <v/>
      </c>
      <c r="R229" s="5" t="str">
        <f>IF($B229="--","",IF($P229="toetsen",toetsen(F!$B229,Q229),IF($P229="toetsen alleen IW",toetsen_alleen_IW(F!$B229,Q229),IF($P229="toetsen alleen LN",toetsen_alleen_LN(F!$B229,Q229),IF($P229="toetsen geen MV en SV",toetsen_geen_MV_en_SV(F!$B229,Q229),IF($P229="toetsen alleen MV en SV",toetsen_alleen_MV_en_SV(F!$B229,Q229),""))))))</f>
        <v/>
      </c>
      <c r="S229" s="5" t="str">
        <f>IF($P229="toetsen",IF(OR(Q229="",VLOOKUP(F!$B229,E!$B$1:$AK$300,10,FALSE)=1000000000),"",IF(Q229&lt;=VLOOKUP(F!$B229,E!$B$1:$AK$300,10,FALSE),"ja","nee")),"")</f>
        <v/>
      </c>
      <c r="T229" s="87" t="str">
        <f t="shared" si="83"/>
        <v/>
      </c>
      <c r="U229" s="5" t="str">
        <f>IF($D229="--","",IF($P229="toetsen",toetsen(F!$B229,T229),IF($P229="toetsen alleen IW",toetsen_alleen_IW(F!$B229,T229),IF($P229="toetsen alleen LN",toetsen_alleen_LN(F!$B229,T229),IF($P229="toetsen geen MV en SV",toetsen_geen_MV_en_SV(F!$B229,T229),IF($P229="toetsen alleen MV en SV",toetsen_alleen_MV_en_SV(F!$B229,T229),""))))))</f>
        <v/>
      </c>
      <c r="V229" s="5" t="str">
        <f>IF($P229="toetsen",IF(OR(T229="",VLOOKUP(F!$B229,E!$B$1:$AK$300,10,FALSE)=1000000000),"",IF(T229&lt;=VLOOKUP(F!$B229,E!$B$1:$AK$300,10,FALSE),"ja","nee")),"")</f>
        <v/>
      </c>
      <c r="W229" s="6" t="str">
        <f t="shared" si="84"/>
        <v/>
      </c>
      <c r="X229" s="5" t="str">
        <f>IF($F229="--","",IF($P229="toetsen",toetsen(F!$B229,W229),IF($P229="toetsen alleen IW",toetsen_alleen_IW(F!$B229,W229),IF($P229="toetsen alleen LN",toetsen_alleen_LN(F!$B229,W229),IF($P229="toetsen geen MV en SV",toetsen_geen_MV_en_SV(F!$B229,W229),IF($P229="toetsen alleen MV en SV",toetsen_alleen_MV_en_SV(F!$B229,W229),""))))))</f>
        <v/>
      </c>
      <c r="Y229" s="5" t="str">
        <f>IF($P229="toetsen",IF(OR(W229="",VLOOKUP(F!$B229,E!$B$1:$AK$300,10,FALSE)=1000000000),"",IF(W229&lt;=VLOOKUP(F!$B229,E!$B$1:$AK$300,10,FALSE),"ja","nee")),"")</f>
        <v/>
      </c>
      <c r="AA229" s="4"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6" t="str">
        <f t="shared" si="85"/>
        <v>--</v>
      </c>
      <c r="AJ229" s="6"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6" t="str">
        <f t="shared" si="86"/>
        <v>--</v>
      </c>
      <c r="AL229" s="6"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6" t="str">
        <f t="shared" si="87"/>
        <v>--</v>
      </c>
      <c r="AN229" s="6"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6" t="str">
        <f t="shared" si="74"/>
        <v>--</v>
      </c>
      <c r="AQ229" s="6" t="str">
        <f t="shared" si="75"/>
        <v/>
      </c>
      <c r="AR229" s="6" t="str">
        <f t="shared" si="76"/>
        <v>--</v>
      </c>
      <c r="AS229" s="6" t="str">
        <f t="shared" si="77"/>
        <v/>
      </c>
      <c r="AT229" s="6" t="str">
        <f t="shared" si="78"/>
        <v/>
      </c>
      <c r="AU229" s="6" t="str">
        <f>IFERROR(IF(AR229="--","",IF(HLOOKUP(SMALL($Q$4:$Y$4,3),$Q$4:$Y$501,ROW(AP229)-3,FALSE)=0,"",IF(HLOOKUP(SMALL($Q$4:$Y$4,3),$Q$4:$Y$501,ROW(AP229)-3,FALSE)="nee",VLOOKUP("De kwaliteitseis emissiearme grond (maximale concentratie) wordt overschreden.",H!$O$10:'H'!$P$59,2,FALSE),""))),"")</f>
        <v/>
      </c>
      <c r="AV229" s="6" t="str">
        <f t="shared" si="68"/>
        <v>--</v>
      </c>
      <c r="AW229" s="6" t="str">
        <f t="shared" si="69"/>
        <v/>
      </c>
      <c r="AX229" s="6" t="str">
        <f t="shared" si="70"/>
        <v>--</v>
      </c>
      <c r="AY229" s="6" t="str">
        <f t="shared" si="79"/>
        <v/>
      </c>
      <c r="AZ229" s="6" t="str">
        <f t="shared" si="80"/>
        <v/>
      </c>
      <c r="BA229" s="6" t="str">
        <f>IFERROR(IF(AR229="--","",IF(HLOOKUP(SMALL($Q$4:$Y$4,6),$Q$4:$Y$501,ROW(AP229)-3,FALSE)=0,"",IF(HLOOKUP(SMALL($Q$4:$Y$4,6),$Q$4:$Y$501,ROW(AP229)-3,FALSE)="nee",VLOOKUP("De kwaliteitseis emissiearme grond (maximale concentratie) wordt overschreden.",H!$O$10:'H'!$P$59,2,FALSE),""))),"")</f>
        <v/>
      </c>
      <c r="BB229" s="6" t="str">
        <f t="shared" si="71"/>
        <v>--</v>
      </c>
      <c r="BC229" s="6" t="str">
        <f t="shared" si="72"/>
        <v/>
      </c>
      <c r="BD229" s="6" t="str">
        <f t="shared" si="73"/>
        <v>--</v>
      </c>
      <c r="BE229" s="6" t="str">
        <f t="shared" si="81"/>
        <v/>
      </c>
      <c r="BF229" s="6"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6" t="str">
        <f>IF(ISNUMBER(F!E230)=FALSE,"--",IF(F!E230=0,"--",F!E230))</f>
        <v>--</v>
      </c>
      <c r="C230" s="6" t="str">
        <f>IF(B230="--","",F!F230)</f>
        <v/>
      </c>
      <c r="D230" s="6" t="str">
        <f>IF(ISNUMBER(F!G230)=FALSE,"--",IF(F!G230=0,"--",F!G230))</f>
        <v>--</v>
      </c>
      <c r="E230" s="6" t="str">
        <f>IF(D230="--","",F!H230)</f>
        <v/>
      </c>
      <c r="F230" s="6" t="str">
        <f>IF(ISNUMBER(F!I230)=FALSE,"--",IF(F!I230=0,"--",F!I230))</f>
        <v>--</v>
      </c>
      <c r="G230" s="6" t="str">
        <f>IF(F230="--","",F!J230)</f>
        <v/>
      </c>
      <c r="H230" s="6"/>
      <c r="I230" s="6" t="str">
        <f>IF(F!Z230=-1,-1,F!AV230)</f>
        <v/>
      </c>
      <c r="J230" s="6"/>
      <c r="K230" s="6" t="str">
        <f>IF(F!AC230=-1,-1,F!AX230)</f>
        <v/>
      </c>
      <c r="L230" s="6"/>
      <c r="M230" s="6" t="str">
        <f>IF(F!AF230=-1,-1,F!AZ230)</f>
        <v/>
      </c>
      <c r="N230" s="6"/>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6" t="str">
        <f t="shared" si="88"/>
        <v/>
      </c>
      <c r="R230" s="5" t="str">
        <f>IF($B230="--","",IF($P230="toetsen",toetsen(F!$B230,Q230),IF($P230="toetsen alleen IW",toetsen_alleen_IW(F!$B230,Q230),IF($P230="toetsen alleen LN",toetsen_alleen_LN(F!$B230,Q230),IF($P230="toetsen geen MV en SV",toetsen_geen_MV_en_SV(F!$B230,Q230),IF($P230="toetsen alleen MV en SV",toetsen_alleen_MV_en_SV(F!$B230,Q230),""))))))</f>
        <v/>
      </c>
      <c r="S230" s="5" t="str">
        <f>IF($P230="toetsen",IF(OR(Q230="",VLOOKUP(F!$B230,E!$B$1:$AK$300,10,FALSE)=1000000000),"",IF(Q230&lt;=VLOOKUP(F!$B230,E!$B$1:$AK$300,10,FALSE),"ja","nee")),"")</f>
        <v/>
      </c>
      <c r="T230" s="87" t="str">
        <f t="shared" si="83"/>
        <v/>
      </c>
      <c r="U230" s="5" t="str">
        <f>IF($D230="--","",IF($P230="toetsen",toetsen(F!$B230,T230),IF($P230="toetsen alleen IW",toetsen_alleen_IW(F!$B230,T230),IF($P230="toetsen alleen LN",toetsen_alleen_LN(F!$B230,T230),IF($P230="toetsen geen MV en SV",toetsen_geen_MV_en_SV(F!$B230,T230),IF($P230="toetsen alleen MV en SV",toetsen_alleen_MV_en_SV(F!$B230,T230),""))))))</f>
        <v/>
      </c>
      <c r="V230" s="5" t="str">
        <f>IF($P230="toetsen",IF(OR(T230="",VLOOKUP(F!$B230,E!$B$1:$AK$300,10,FALSE)=1000000000),"",IF(T230&lt;=VLOOKUP(F!$B230,E!$B$1:$AK$300,10,FALSE),"ja","nee")),"")</f>
        <v/>
      </c>
      <c r="W230" s="6" t="str">
        <f t="shared" si="84"/>
        <v/>
      </c>
      <c r="X230" s="5" t="str">
        <f>IF($F230="--","",IF($P230="toetsen",toetsen(F!$B230,W230),IF($P230="toetsen alleen IW",toetsen_alleen_IW(F!$B230,W230),IF($P230="toetsen alleen LN",toetsen_alleen_LN(F!$B230,W230),IF($P230="toetsen geen MV en SV",toetsen_geen_MV_en_SV(F!$B230,W230),IF($P230="toetsen alleen MV en SV",toetsen_alleen_MV_en_SV(F!$B230,W230),""))))))</f>
        <v/>
      </c>
      <c r="Y230" s="5" t="str">
        <f>IF($P230="toetsen",IF(OR(W230="",VLOOKUP(F!$B230,E!$B$1:$AK$300,10,FALSE)=1000000000),"",IF(W230&lt;=VLOOKUP(F!$B230,E!$B$1:$AK$300,10,FALSE),"ja","nee")),"")</f>
        <v/>
      </c>
      <c r="AA230" s="4"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6" t="str">
        <f t="shared" si="85"/>
        <v>--</v>
      </c>
      <c r="AJ230" s="6"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6" t="str">
        <f t="shared" si="86"/>
        <v>--</v>
      </c>
      <c r="AL230" s="6"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6" t="str">
        <f t="shared" si="87"/>
        <v>--</v>
      </c>
      <c r="AN230" s="6"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6" t="str">
        <f t="shared" si="74"/>
        <v>--</v>
      </c>
      <c r="AQ230" s="6" t="str">
        <f t="shared" si="75"/>
        <v/>
      </c>
      <c r="AR230" s="6" t="str">
        <f t="shared" si="76"/>
        <v>--</v>
      </c>
      <c r="AS230" s="6" t="str">
        <f t="shared" si="77"/>
        <v/>
      </c>
      <c r="AT230" s="6" t="str">
        <f t="shared" si="78"/>
        <v/>
      </c>
      <c r="AU230" s="6" t="str">
        <f>IFERROR(IF(AR230="--","",IF(HLOOKUP(SMALL($Q$4:$Y$4,3),$Q$4:$Y$501,ROW(AP230)-3,FALSE)=0,"",IF(HLOOKUP(SMALL($Q$4:$Y$4,3),$Q$4:$Y$501,ROW(AP230)-3,FALSE)="nee",VLOOKUP("De kwaliteitseis emissiearme grond (maximale concentratie) wordt overschreden.",H!$O$10:'H'!$P$59,2,FALSE),""))),"")</f>
        <v/>
      </c>
      <c r="AV230" s="6" t="str">
        <f t="shared" si="68"/>
        <v>--</v>
      </c>
      <c r="AW230" s="6" t="str">
        <f t="shared" si="69"/>
        <v/>
      </c>
      <c r="AX230" s="6" t="str">
        <f t="shared" si="70"/>
        <v>--</v>
      </c>
      <c r="AY230" s="6" t="str">
        <f t="shared" si="79"/>
        <v/>
      </c>
      <c r="AZ230" s="6" t="str">
        <f t="shared" si="80"/>
        <v/>
      </c>
      <c r="BA230" s="6" t="str">
        <f>IFERROR(IF(AR230="--","",IF(HLOOKUP(SMALL($Q$4:$Y$4,6),$Q$4:$Y$501,ROW(AP230)-3,FALSE)=0,"",IF(HLOOKUP(SMALL($Q$4:$Y$4,6),$Q$4:$Y$501,ROW(AP230)-3,FALSE)="nee",VLOOKUP("De kwaliteitseis emissiearme grond (maximale concentratie) wordt overschreden.",H!$O$10:'H'!$P$59,2,FALSE),""))),"")</f>
        <v/>
      </c>
      <c r="BB230" s="6" t="str">
        <f t="shared" si="71"/>
        <v>--</v>
      </c>
      <c r="BC230" s="6" t="str">
        <f t="shared" si="72"/>
        <v/>
      </c>
      <c r="BD230" s="6" t="str">
        <f t="shared" si="73"/>
        <v>--</v>
      </c>
      <c r="BE230" s="6" t="str">
        <f t="shared" si="81"/>
        <v/>
      </c>
      <c r="BF230" s="6"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6" t="str">
        <f>IF(ISNUMBER(F!E231)=FALSE,"--",IF(F!E231=0,"--",F!E231))</f>
        <v>--</v>
      </c>
      <c r="C231" s="6" t="str">
        <f>IF(B231="--","",F!F231)</f>
        <v/>
      </c>
      <c r="D231" s="6" t="str">
        <f>IF(ISNUMBER(F!G231)=FALSE,"--",IF(F!G231=0,"--",F!G231))</f>
        <v>--</v>
      </c>
      <c r="E231" s="6" t="str">
        <f>IF(D231="--","",F!H231)</f>
        <v/>
      </c>
      <c r="F231" s="6" t="str">
        <f>IF(ISNUMBER(F!I231)=FALSE,"--",IF(F!I231=0,"--",F!I231))</f>
        <v>--</v>
      </c>
      <c r="G231" s="6" t="str">
        <f>IF(F231="--","",F!J231)</f>
        <v/>
      </c>
      <c r="H231" s="6"/>
      <c r="I231" s="6" t="str">
        <f>IF(F!Z231=-1,-1,F!AV231)</f>
        <v/>
      </c>
      <c r="J231" s="6"/>
      <c r="K231" s="6" t="str">
        <f>IF(F!AC231=-1,-1,F!AX231)</f>
        <v/>
      </c>
      <c r="L231" s="6"/>
      <c r="M231" s="6" t="str">
        <f>IF(F!AF231=-1,-1,F!AZ231)</f>
        <v/>
      </c>
      <c r="N231" s="6"/>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6" t="str">
        <f t="shared" si="88"/>
        <v/>
      </c>
      <c r="R231" s="5" t="str">
        <f>IF($B231="--","",IF($P231="toetsen",toetsen(F!$B231,Q231),IF($P231="toetsen alleen IW",toetsen_alleen_IW(F!$B231,Q231),IF($P231="toetsen alleen LN",toetsen_alleen_LN(F!$B231,Q231),IF($P231="toetsen geen MV en SV",toetsen_geen_MV_en_SV(F!$B231,Q231),IF($P231="toetsen alleen MV en SV",toetsen_alleen_MV_en_SV(F!$B231,Q231),""))))))</f>
        <v/>
      </c>
      <c r="S231" s="5" t="str">
        <f>IF($P231="toetsen",IF(OR(Q231="",VLOOKUP(F!$B231,E!$B$1:$AK$300,10,FALSE)=1000000000),"",IF(Q231&lt;=VLOOKUP(F!$B231,E!$B$1:$AK$300,10,FALSE),"ja","nee")),"")</f>
        <v/>
      </c>
      <c r="T231" s="87" t="str">
        <f t="shared" si="83"/>
        <v/>
      </c>
      <c r="U231" s="5" t="str">
        <f>IF($D231="--","",IF($P231="toetsen",toetsen(F!$B231,T231),IF($P231="toetsen alleen IW",toetsen_alleen_IW(F!$B231,T231),IF($P231="toetsen alleen LN",toetsen_alleen_LN(F!$B231,T231),IF($P231="toetsen geen MV en SV",toetsen_geen_MV_en_SV(F!$B231,T231),IF($P231="toetsen alleen MV en SV",toetsen_alleen_MV_en_SV(F!$B231,T231),""))))))</f>
        <v/>
      </c>
      <c r="V231" s="5" t="str">
        <f>IF($P231="toetsen",IF(OR(T231="",VLOOKUP(F!$B231,E!$B$1:$AK$300,10,FALSE)=1000000000),"",IF(T231&lt;=VLOOKUP(F!$B231,E!$B$1:$AK$300,10,FALSE),"ja","nee")),"")</f>
        <v/>
      </c>
      <c r="W231" s="6" t="str">
        <f t="shared" si="84"/>
        <v/>
      </c>
      <c r="X231" s="5" t="str">
        <f>IF($F231="--","",IF($P231="toetsen",toetsen(F!$B231,W231),IF($P231="toetsen alleen IW",toetsen_alleen_IW(F!$B231,W231),IF($P231="toetsen alleen LN",toetsen_alleen_LN(F!$B231,W231),IF($P231="toetsen geen MV en SV",toetsen_geen_MV_en_SV(F!$B231,W231),IF($P231="toetsen alleen MV en SV",toetsen_alleen_MV_en_SV(F!$B231,W231),""))))))</f>
        <v/>
      </c>
      <c r="Y231" s="5" t="str">
        <f>IF($P231="toetsen",IF(OR(W231="",VLOOKUP(F!$B231,E!$B$1:$AK$300,10,FALSE)=1000000000),"",IF(W231&lt;=VLOOKUP(F!$B231,E!$B$1:$AK$300,10,FALSE),"ja","nee")),"")</f>
        <v/>
      </c>
      <c r="AA231" s="4"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6" t="str">
        <f t="shared" si="85"/>
        <v>--</v>
      </c>
      <c r="AJ231" s="6"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6" t="str">
        <f t="shared" si="86"/>
        <v>--</v>
      </c>
      <c r="AL231" s="6"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6" t="str">
        <f t="shared" si="87"/>
        <v>--</v>
      </c>
      <c r="AN231" s="6"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6" t="str">
        <f t="shared" si="74"/>
        <v>--</v>
      </c>
      <c r="AQ231" s="6" t="str">
        <f t="shared" si="75"/>
        <v/>
      </c>
      <c r="AR231" s="6" t="str">
        <f t="shared" si="76"/>
        <v>--</v>
      </c>
      <c r="AS231" s="6" t="str">
        <f t="shared" si="77"/>
        <v/>
      </c>
      <c r="AT231" s="6" t="str">
        <f t="shared" si="78"/>
        <v/>
      </c>
      <c r="AU231" s="6" t="str">
        <f>IFERROR(IF(AR231="--","",IF(HLOOKUP(SMALL($Q$4:$Y$4,3),$Q$4:$Y$501,ROW(AP231)-3,FALSE)=0,"",IF(HLOOKUP(SMALL($Q$4:$Y$4,3),$Q$4:$Y$501,ROW(AP231)-3,FALSE)="nee",VLOOKUP("De kwaliteitseis emissiearme grond (maximale concentratie) wordt overschreden.",H!$O$10:'H'!$P$59,2,FALSE),""))),"")</f>
        <v/>
      </c>
      <c r="AV231" s="6" t="str">
        <f t="shared" si="68"/>
        <v>--</v>
      </c>
      <c r="AW231" s="6" t="str">
        <f t="shared" si="69"/>
        <v/>
      </c>
      <c r="AX231" s="6" t="str">
        <f t="shared" si="70"/>
        <v>--</v>
      </c>
      <c r="AY231" s="6" t="str">
        <f t="shared" si="79"/>
        <v/>
      </c>
      <c r="AZ231" s="6" t="str">
        <f t="shared" si="80"/>
        <v/>
      </c>
      <c r="BA231" s="6" t="str">
        <f>IFERROR(IF(AR231="--","",IF(HLOOKUP(SMALL($Q$4:$Y$4,6),$Q$4:$Y$501,ROW(AP231)-3,FALSE)=0,"",IF(HLOOKUP(SMALL($Q$4:$Y$4,6),$Q$4:$Y$501,ROW(AP231)-3,FALSE)="nee",VLOOKUP("De kwaliteitseis emissiearme grond (maximale concentratie) wordt overschreden.",H!$O$10:'H'!$P$59,2,FALSE),""))),"")</f>
        <v/>
      </c>
      <c r="BB231" s="6" t="str">
        <f t="shared" si="71"/>
        <v>--</v>
      </c>
      <c r="BC231" s="6" t="str">
        <f t="shared" si="72"/>
        <v/>
      </c>
      <c r="BD231" s="6" t="str">
        <f t="shared" si="73"/>
        <v>--</v>
      </c>
      <c r="BE231" s="6" t="str">
        <f t="shared" si="81"/>
        <v/>
      </c>
      <c r="BF231" s="6"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6" t="str">
        <f>IF(ISNUMBER(F!E232)=FALSE,"--",IF(F!E232=0,"--",F!E232))</f>
        <v>--</v>
      </c>
      <c r="C232" s="6" t="str">
        <f>IF(B232="--","",F!F232)</f>
        <v/>
      </c>
      <c r="D232" s="6" t="str">
        <f>IF(ISNUMBER(F!G232)=FALSE,"--",IF(F!G232=0,"--",F!G232))</f>
        <v>--</v>
      </c>
      <c r="E232" s="6" t="str">
        <f>IF(D232="--","",F!H232)</f>
        <v/>
      </c>
      <c r="F232" s="6" t="str">
        <f>IF(ISNUMBER(F!I232)=FALSE,"--",IF(F!I232=0,"--",F!I232))</f>
        <v>--</v>
      </c>
      <c r="G232" s="6" t="str">
        <f>IF(F232="--","",F!J232)</f>
        <v/>
      </c>
      <c r="H232" s="6"/>
      <c r="I232" s="6" t="str">
        <f>IF(F!Z232=-1,-1,F!AV232)</f>
        <v/>
      </c>
      <c r="J232" s="6"/>
      <c r="K232" s="6" t="str">
        <f>IF(F!AC232=-1,-1,F!AX232)</f>
        <v/>
      </c>
      <c r="L232" s="6"/>
      <c r="M232" s="6" t="str">
        <f>IF(F!AF232=-1,-1,F!AZ232)</f>
        <v/>
      </c>
      <c r="N232" s="6"/>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6" t="str">
        <f t="shared" si="88"/>
        <v/>
      </c>
      <c r="R232" s="5" t="str">
        <f>IF($B232="--","",IF($P232="toetsen",toetsen(F!$B232,Q232),IF($P232="toetsen alleen IW",toetsen_alleen_IW(F!$B232,Q232),IF($P232="toetsen alleen LN",toetsen_alleen_LN(F!$B232,Q232),IF($P232="toetsen geen MV en SV",toetsen_geen_MV_en_SV(F!$B232,Q232),IF($P232="toetsen alleen MV en SV",toetsen_alleen_MV_en_SV(F!$B232,Q232),""))))))</f>
        <v/>
      </c>
      <c r="S232" s="5" t="str">
        <f>IF($P232="toetsen",IF(OR(Q232="",VLOOKUP(F!$B232,E!$B$1:$AK$300,10,FALSE)=1000000000),"",IF(Q232&lt;=VLOOKUP(F!$B232,E!$B$1:$AK$300,10,FALSE),"ja","nee")),"")</f>
        <v/>
      </c>
      <c r="T232" s="87" t="str">
        <f t="shared" si="83"/>
        <v/>
      </c>
      <c r="U232" s="5" t="str">
        <f>IF($D232="--","",IF($P232="toetsen",toetsen(F!$B232,T232),IF($P232="toetsen alleen IW",toetsen_alleen_IW(F!$B232,T232),IF($P232="toetsen alleen LN",toetsen_alleen_LN(F!$B232,T232),IF($P232="toetsen geen MV en SV",toetsen_geen_MV_en_SV(F!$B232,T232),IF($P232="toetsen alleen MV en SV",toetsen_alleen_MV_en_SV(F!$B232,T232),""))))))</f>
        <v/>
      </c>
      <c r="V232" s="5" t="str">
        <f>IF($P232="toetsen",IF(OR(T232="",VLOOKUP(F!$B232,E!$B$1:$AK$300,10,FALSE)=1000000000),"",IF(T232&lt;=VLOOKUP(F!$B232,E!$B$1:$AK$300,10,FALSE),"ja","nee")),"")</f>
        <v/>
      </c>
      <c r="W232" s="6" t="str">
        <f t="shared" si="84"/>
        <v/>
      </c>
      <c r="X232" s="5" t="str">
        <f>IF($F232="--","",IF($P232="toetsen",toetsen(F!$B232,W232),IF($P232="toetsen alleen IW",toetsen_alleen_IW(F!$B232,W232),IF($P232="toetsen alleen LN",toetsen_alleen_LN(F!$B232,W232),IF($P232="toetsen geen MV en SV",toetsen_geen_MV_en_SV(F!$B232,W232),IF($P232="toetsen alleen MV en SV",toetsen_alleen_MV_en_SV(F!$B232,W232),""))))))</f>
        <v/>
      </c>
      <c r="Y232" s="5" t="str">
        <f>IF($P232="toetsen",IF(OR(W232="",VLOOKUP(F!$B232,E!$B$1:$AK$300,10,FALSE)=1000000000),"",IF(W232&lt;=VLOOKUP(F!$B232,E!$B$1:$AK$300,10,FALSE),"ja","nee")),"")</f>
        <v/>
      </c>
      <c r="AA232" s="4"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6" t="str">
        <f t="shared" si="85"/>
        <v>--</v>
      </c>
      <c r="AJ232" s="6"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6" t="str">
        <f t="shared" si="86"/>
        <v>--</v>
      </c>
      <c r="AL232" s="6"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6" t="str">
        <f t="shared" si="87"/>
        <v>--</v>
      </c>
      <c r="AN232" s="6"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6" t="str">
        <f t="shared" si="74"/>
        <v>--</v>
      </c>
      <c r="AQ232" s="6" t="str">
        <f t="shared" si="75"/>
        <v/>
      </c>
      <c r="AR232" s="6" t="str">
        <f t="shared" si="76"/>
        <v>--</v>
      </c>
      <c r="AS232" s="6" t="str">
        <f t="shared" si="77"/>
        <v/>
      </c>
      <c r="AT232" s="6" t="str">
        <f t="shared" si="78"/>
        <v/>
      </c>
      <c r="AU232" s="6" t="str">
        <f>IFERROR(IF(AR232="--","",IF(HLOOKUP(SMALL($Q$4:$Y$4,3),$Q$4:$Y$501,ROW(AP232)-3,FALSE)=0,"",IF(HLOOKUP(SMALL($Q$4:$Y$4,3),$Q$4:$Y$501,ROW(AP232)-3,FALSE)="nee",VLOOKUP("De kwaliteitseis emissiearme grond (maximale concentratie) wordt overschreden.",H!$O$10:'H'!$P$59,2,FALSE),""))),"")</f>
        <v/>
      </c>
      <c r="AV232" s="6" t="str">
        <f t="shared" si="68"/>
        <v>--</v>
      </c>
      <c r="AW232" s="6" t="str">
        <f t="shared" si="69"/>
        <v/>
      </c>
      <c r="AX232" s="6" t="str">
        <f t="shared" si="70"/>
        <v>--</v>
      </c>
      <c r="AY232" s="6" t="str">
        <f t="shared" si="79"/>
        <v/>
      </c>
      <c r="AZ232" s="6" t="str">
        <f t="shared" si="80"/>
        <v/>
      </c>
      <c r="BA232" s="6" t="str">
        <f>IFERROR(IF(AR232="--","",IF(HLOOKUP(SMALL($Q$4:$Y$4,6),$Q$4:$Y$501,ROW(AP232)-3,FALSE)=0,"",IF(HLOOKUP(SMALL($Q$4:$Y$4,6),$Q$4:$Y$501,ROW(AP232)-3,FALSE)="nee",VLOOKUP("De kwaliteitseis emissiearme grond (maximale concentratie) wordt overschreden.",H!$O$10:'H'!$P$59,2,FALSE),""))),"")</f>
        <v/>
      </c>
      <c r="BB232" s="6" t="str">
        <f t="shared" si="71"/>
        <v>--</v>
      </c>
      <c r="BC232" s="6" t="str">
        <f t="shared" si="72"/>
        <v/>
      </c>
      <c r="BD232" s="6" t="str">
        <f t="shared" si="73"/>
        <v>--</v>
      </c>
      <c r="BE232" s="6" t="str">
        <f t="shared" si="81"/>
        <v/>
      </c>
      <c r="BF232" s="6"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6" t="str">
        <f>IF(ISNUMBER(F!E233)=FALSE,"--",IF(F!E233=0,"--",F!E233))</f>
        <v>--</v>
      </c>
      <c r="C233" s="6" t="str">
        <f>IF(B233="--","",F!F233)</f>
        <v/>
      </c>
      <c r="D233" s="6" t="str">
        <f>IF(ISNUMBER(F!G233)=FALSE,"--",IF(F!G233=0,"--",F!G233))</f>
        <v>--</v>
      </c>
      <c r="E233" s="6" t="str">
        <f>IF(D233="--","",F!H233)</f>
        <v/>
      </c>
      <c r="F233" s="6" t="str">
        <f>IF(ISNUMBER(F!I233)=FALSE,"--",IF(F!I233=0,"--",F!I233))</f>
        <v>--</v>
      </c>
      <c r="G233" s="6" t="str">
        <f>IF(F233="--","",F!J233)</f>
        <v/>
      </c>
      <c r="H233" s="6"/>
      <c r="I233" s="6" t="str">
        <f>IF(F!Z233=-1,-1,F!AV233)</f>
        <v/>
      </c>
      <c r="J233" s="6"/>
      <c r="K233" s="6" t="str">
        <f>IF(F!AC233=-1,-1,F!AX233)</f>
        <v/>
      </c>
      <c r="L233" s="6"/>
      <c r="M233" s="6" t="str">
        <f>IF(F!AF233=-1,-1,F!AZ233)</f>
        <v/>
      </c>
      <c r="N233" s="6"/>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6" t="str">
        <f t="shared" si="88"/>
        <v/>
      </c>
      <c r="R233" s="5" t="str">
        <f>IF($B233="--","",IF($P233="toetsen",toetsen(F!$B233,Q233),IF($P233="toetsen alleen IW",toetsen_alleen_IW(F!$B233,Q233),IF($P233="toetsen alleen LN",toetsen_alleen_LN(F!$B233,Q233),IF($P233="toetsen geen MV en SV",toetsen_geen_MV_en_SV(F!$B233,Q233),IF($P233="toetsen alleen MV en SV",toetsen_alleen_MV_en_SV(F!$B233,Q233),""))))))</f>
        <v/>
      </c>
      <c r="S233" s="5" t="str">
        <f>IF($P233="toetsen",IF(OR(Q233="",VLOOKUP(F!$B233,E!$B$1:$AK$300,10,FALSE)=1000000000),"",IF(Q233&lt;=VLOOKUP(F!$B233,E!$B$1:$AK$300,10,FALSE),"ja","nee")),"")</f>
        <v/>
      </c>
      <c r="T233" s="87" t="str">
        <f t="shared" si="83"/>
        <v/>
      </c>
      <c r="U233" s="5" t="str">
        <f>IF($D233="--","",IF($P233="toetsen",toetsen(F!$B233,T233),IF($P233="toetsen alleen IW",toetsen_alleen_IW(F!$B233,T233),IF($P233="toetsen alleen LN",toetsen_alleen_LN(F!$B233,T233),IF($P233="toetsen geen MV en SV",toetsen_geen_MV_en_SV(F!$B233,T233),IF($P233="toetsen alleen MV en SV",toetsen_alleen_MV_en_SV(F!$B233,T233),""))))))</f>
        <v/>
      </c>
      <c r="V233" s="5" t="str">
        <f>IF($P233="toetsen",IF(OR(T233="",VLOOKUP(F!$B233,E!$B$1:$AK$300,10,FALSE)=1000000000),"",IF(T233&lt;=VLOOKUP(F!$B233,E!$B$1:$AK$300,10,FALSE),"ja","nee")),"")</f>
        <v/>
      </c>
      <c r="W233" s="6" t="str">
        <f t="shared" si="84"/>
        <v/>
      </c>
      <c r="X233" s="5" t="str">
        <f>IF($F233="--","",IF($P233="toetsen",toetsen(F!$B233,W233),IF($P233="toetsen alleen IW",toetsen_alleen_IW(F!$B233,W233),IF($P233="toetsen alleen LN",toetsen_alleen_LN(F!$B233,W233),IF($P233="toetsen geen MV en SV",toetsen_geen_MV_en_SV(F!$B233,W233),IF($P233="toetsen alleen MV en SV",toetsen_alleen_MV_en_SV(F!$B233,W233),""))))))</f>
        <v/>
      </c>
      <c r="Y233" s="5" t="str">
        <f>IF($P233="toetsen",IF(OR(W233="",VLOOKUP(F!$B233,E!$B$1:$AK$300,10,FALSE)=1000000000),"",IF(W233&lt;=VLOOKUP(F!$B233,E!$B$1:$AK$300,10,FALSE),"ja","nee")),"")</f>
        <v/>
      </c>
      <c r="AA233" s="4"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6" t="str">
        <f t="shared" si="85"/>
        <v>--</v>
      </c>
      <c r="AJ233" s="6"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6" t="str">
        <f t="shared" si="86"/>
        <v>--</v>
      </c>
      <c r="AL233" s="6"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6" t="str">
        <f t="shared" si="87"/>
        <v>--</v>
      </c>
      <c r="AN233" s="6"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6" t="str">
        <f t="shared" si="74"/>
        <v>--</v>
      </c>
      <c r="AQ233" s="6" t="str">
        <f t="shared" si="75"/>
        <v/>
      </c>
      <c r="AR233" s="6" t="str">
        <f t="shared" si="76"/>
        <v>--</v>
      </c>
      <c r="AS233" s="6" t="str">
        <f t="shared" si="77"/>
        <v/>
      </c>
      <c r="AT233" s="6" t="str">
        <f t="shared" si="78"/>
        <v/>
      </c>
      <c r="AU233" s="6" t="str">
        <f>IFERROR(IF(AR233="--","",IF(HLOOKUP(SMALL($Q$4:$Y$4,3),$Q$4:$Y$501,ROW(AP233)-3,FALSE)=0,"",IF(HLOOKUP(SMALL($Q$4:$Y$4,3),$Q$4:$Y$501,ROW(AP233)-3,FALSE)="nee",VLOOKUP("De kwaliteitseis emissiearme grond (maximale concentratie) wordt overschreden.",H!$O$10:'H'!$P$59,2,FALSE),""))),"")</f>
        <v/>
      </c>
      <c r="AV233" s="6" t="str">
        <f t="shared" si="68"/>
        <v>--</v>
      </c>
      <c r="AW233" s="6" t="str">
        <f t="shared" si="69"/>
        <v/>
      </c>
      <c r="AX233" s="6" t="str">
        <f t="shared" si="70"/>
        <v>--</v>
      </c>
      <c r="AY233" s="6" t="str">
        <f t="shared" si="79"/>
        <v/>
      </c>
      <c r="AZ233" s="6" t="str">
        <f t="shared" si="80"/>
        <v/>
      </c>
      <c r="BA233" s="6" t="str">
        <f>IFERROR(IF(AR233="--","",IF(HLOOKUP(SMALL($Q$4:$Y$4,6),$Q$4:$Y$501,ROW(AP233)-3,FALSE)=0,"",IF(HLOOKUP(SMALL($Q$4:$Y$4,6),$Q$4:$Y$501,ROW(AP233)-3,FALSE)="nee",VLOOKUP("De kwaliteitseis emissiearme grond (maximale concentratie) wordt overschreden.",H!$O$10:'H'!$P$59,2,FALSE),""))),"")</f>
        <v/>
      </c>
      <c r="BB233" s="6" t="str">
        <f t="shared" si="71"/>
        <v>--</v>
      </c>
      <c r="BC233" s="6" t="str">
        <f t="shared" si="72"/>
        <v/>
      </c>
      <c r="BD233" s="6" t="str">
        <f t="shared" si="73"/>
        <v>--</v>
      </c>
      <c r="BE233" s="6" t="str">
        <f t="shared" si="81"/>
        <v/>
      </c>
      <c r="BF233" s="6"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6" t="str">
        <f>IF(ISNUMBER(F!E234)=FALSE,"--",IF(F!E234=0,"--",F!E234))</f>
        <v>--</v>
      </c>
      <c r="C234" s="6" t="str">
        <f>IF(B234="--","",F!F234)</f>
        <v/>
      </c>
      <c r="D234" s="6" t="str">
        <f>IF(ISNUMBER(F!G234)=FALSE,"--",IF(F!G234=0,"--",F!G234))</f>
        <v>--</v>
      </c>
      <c r="E234" s="6" t="str">
        <f>IF(D234="--","",F!H234)</f>
        <v/>
      </c>
      <c r="F234" s="6" t="str">
        <f>IF(ISNUMBER(F!I234)=FALSE,"--",IF(F!I234=0,"--",F!I234))</f>
        <v>--</v>
      </c>
      <c r="G234" s="6" t="str">
        <f>IF(F234="--","",F!J234)</f>
        <v/>
      </c>
      <c r="H234" s="6"/>
      <c r="I234" s="6" t="str">
        <f>IF(F!Z234=-1,-1,F!AV234)</f>
        <v/>
      </c>
      <c r="J234" s="6"/>
      <c r="K234" s="6" t="str">
        <f>IF(F!AC234=-1,-1,F!AX234)</f>
        <v/>
      </c>
      <c r="L234" s="6"/>
      <c r="M234" s="6" t="str">
        <f>IF(F!AF234=-1,-1,F!AZ234)</f>
        <v/>
      </c>
      <c r="N234" s="6"/>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6" t="str">
        <f t="shared" si="88"/>
        <v/>
      </c>
      <c r="R234" s="5" t="str">
        <f>IF($B234="--","",IF($P234="toetsen",toetsen(F!$B234,Q234),IF($P234="toetsen alleen IW",toetsen_alleen_IW(F!$B234,Q234),IF($P234="toetsen alleen LN",toetsen_alleen_LN(F!$B234,Q234),IF($P234="toetsen geen MV en SV",toetsen_geen_MV_en_SV(F!$B234,Q234),IF($P234="toetsen alleen MV en SV",toetsen_alleen_MV_en_SV(F!$B234,Q234),""))))))</f>
        <v/>
      </c>
      <c r="S234" s="5" t="str">
        <f>IF($P234="toetsen",IF(OR(Q234="",VLOOKUP(F!$B234,E!$B$1:$AK$300,10,FALSE)=1000000000),"",IF(Q234&lt;=VLOOKUP(F!$B234,E!$B$1:$AK$300,10,FALSE),"ja","nee")),"")</f>
        <v/>
      </c>
      <c r="T234" s="87" t="str">
        <f t="shared" si="83"/>
        <v/>
      </c>
      <c r="U234" s="5" t="str">
        <f>IF($D234="--","",IF($P234="toetsen",toetsen(F!$B234,T234),IF($P234="toetsen alleen IW",toetsen_alleen_IW(F!$B234,T234),IF($P234="toetsen alleen LN",toetsen_alleen_LN(F!$B234,T234),IF($P234="toetsen geen MV en SV",toetsen_geen_MV_en_SV(F!$B234,T234),IF($P234="toetsen alleen MV en SV",toetsen_alleen_MV_en_SV(F!$B234,T234),""))))))</f>
        <v/>
      </c>
      <c r="V234" s="5" t="str">
        <f>IF($P234="toetsen",IF(OR(T234="",VLOOKUP(F!$B234,E!$B$1:$AK$300,10,FALSE)=1000000000),"",IF(T234&lt;=VLOOKUP(F!$B234,E!$B$1:$AK$300,10,FALSE),"ja","nee")),"")</f>
        <v/>
      </c>
      <c r="W234" s="6" t="str">
        <f t="shared" si="84"/>
        <v/>
      </c>
      <c r="X234" s="5" t="str">
        <f>IF($F234="--","",IF($P234="toetsen",toetsen(F!$B234,W234),IF($P234="toetsen alleen IW",toetsen_alleen_IW(F!$B234,W234),IF($P234="toetsen alleen LN",toetsen_alleen_LN(F!$B234,W234),IF($P234="toetsen geen MV en SV",toetsen_geen_MV_en_SV(F!$B234,W234),IF($P234="toetsen alleen MV en SV",toetsen_alleen_MV_en_SV(F!$B234,W234),""))))))</f>
        <v/>
      </c>
      <c r="Y234" s="5" t="str">
        <f>IF($P234="toetsen",IF(OR(W234="",VLOOKUP(F!$B234,E!$B$1:$AK$300,10,FALSE)=1000000000),"",IF(W234&lt;=VLOOKUP(F!$B234,E!$B$1:$AK$300,10,FALSE),"ja","nee")),"")</f>
        <v/>
      </c>
      <c r="AA234" s="4"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6" t="str">
        <f t="shared" si="85"/>
        <v>--</v>
      </c>
      <c r="AJ234" s="6"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6" t="str">
        <f t="shared" si="86"/>
        <v>--</v>
      </c>
      <c r="AL234" s="6"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6" t="str">
        <f t="shared" si="87"/>
        <v>--</v>
      </c>
      <c r="AN234" s="6"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6" t="str">
        <f t="shared" si="74"/>
        <v>--</v>
      </c>
      <c r="AQ234" s="6" t="str">
        <f t="shared" si="75"/>
        <v/>
      </c>
      <c r="AR234" s="6" t="str">
        <f t="shared" si="76"/>
        <v>--</v>
      </c>
      <c r="AS234" s="6" t="str">
        <f t="shared" si="77"/>
        <v/>
      </c>
      <c r="AT234" s="6" t="str">
        <f t="shared" si="78"/>
        <v/>
      </c>
      <c r="AU234" s="6" t="str">
        <f>IFERROR(IF(AR234="--","",IF(HLOOKUP(SMALL($Q$4:$Y$4,3),$Q$4:$Y$501,ROW(AP234)-3,FALSE)=0,"",IF(HLOOKUP(SMALL($Q$4:$Y$4,3),$Q$4:$Y$501,ROW(AP234)-3,FALSE)="nee",VLOOKUP("De kwaliteitseis emissiearme grond (maximale concentratie) wordt overschreden.",H!$O$10:'H'!$P$59,2,FALSE),""))),"")</f>
        <v/>
      </c>
      <c r="AV234" s="6" t="str">
        <f t="shared" si="68"/>
        <v>--</v>
      </c>
      <c r="AW234" s="6" t="str">
        <f t="shared" si="69"/>
        <v/>
      </c>
      <c r="AX234" s="6" t="str">
        <f t="shared" si="70"/>
        <v>--</v>
      </c>
      <c r="AY234" s="6" t="str">
        <f t="shared" si="79"/>
        <v/>
      </c>
      <c r="AZ234" s="6" t="str">
        <f t="shared" si="80"/>
        <v/>
      </c>
      <c r="BA234" s="6" t="str">
        <f>IFERROR(IF(AR234="--","",IF(HLOOKUP(SMALL($Q$4:$Y$4,6),$Q$4:$Y$501,ROW(AP234)-3,FALSE)=0,"",IF(HLOOKUP(SMALL($Q$4:$Y$4,6),$Q$4:$Y$501,ROW(AP234)-3,FALSE)="nee",VLOOKUP("De kwaliteitseis emissiearme grond (maximale concentratie) wordt overschreden.",H!$O$10:'H'!$P$59,2,FALSE),""))),"")</f>
        <v/>
      </c>
      <c r="BB234" s="6" t="str">
        <f t="shared" si="71"/>
        <v>--</v>
      </c>
      <c r="BC234" s="6" t="str">
        <f t="shared" si="72"/>
        <v/>
      </c>
      <c r="BD234" s="6" t="str">
        <f t="shared" si="73"/>
        <v>--</v>
      </c>
      <c r="BE234" s="6" t="str">
        <f t="shared" si="81"/>
        <v/>
      </c>
      <c r="BF234" s="6"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6" t="str">
        <f>IF(ISNUMBER(F!E235)=FALSE,"--",IF(F!E235=0,"--",F!E235))</f>
        <v>--</v>
      </c>
      <c r="C235" s="6" t="str">
        <f>IF(B235="--","",F!F235)</f>
        <v/>
      </c>
      <c r="D235" s="6" t="str">
        <f>IF(ISNUMBER(F!G235)=FALSE,"--",IF(F!G235=0,"--",F!G235))</f>
        <v>--</v>
      </c>
      <c r="E235" s="6" t="str">
        <f>IF(D235="--","",F!H235)</f>
        <v/>
      </c>
      <c r="F235" s="6" t="str">
        <f>IF(ISNUMBER(F!I235)=FALSE,"--",IF(F!I235=0,"--",F!I235))</f>
        <v>--</v>
      </c>
      <c r="G235" s="6" t="str">
        <f>IF(F235="--","",F!J235)</f>
        <v/>
      </c>
      <c r="H235" s="6"/>
      <c r="I235" s="6" t="str">
        <f>IF(F!Z235=-1,-1,F!AV235)</f>
        <v/>
      </c>
      <c r="J235" s="6"/>
      <c r="K235" s="6" t="str">
        <f>IF(F!AC235=-1,-1,F!AX235)</f>
        <v/>
      </c>
      <c r="L235" s="6"/>
      <c r="M235" s="6" t="str">
        <f>IF(F!AF235=-1,-1,F!AZ235)</f>
        <v/>
      </c>
      <c r="N235" s="6"/>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6" t="str">
        <f t="shared" si="88"/>
        <v/>
      </c>
      <c r="R235" s="5" t="str">
        <f>IF($B235="--","",IF($P235="toetsen",toetsen(F!$B235,Q235),IF($P235="toetsen alleen IW",toetsen_alleen_IW(F!$B235,Q235),IF($P235="toetsen alleen LN",toetsen_alleen_LN(F!$B235,Q235),IF($P235="toetsen geen MV en SV",toetsen_geen_MV_en_SV(F!$B235,Q235),IF($P235="toetsen alleen MV en SV",toetsen_alleen_MV_en_SV(F!$B235,Q235),""))))))</f>
        <v/>
      </c>
      <c r="S235" s="5" t="str">
        <f>IF($P235="toetsen",IF(OR(Q235="",VLOOKUP(F!$B235,E!$B$1:$AK$300,10,FALSE)=1000000000),"",IF(Q235&lt;=VLOOKUP(F!$B235,E!$B$1:$AK$300,10,FALSE),"ja","nee")),"")</f>
        <v/>
      </c>
      <c r="T235" s="87" t="str">
        <f t="shared" si="83"/>
        <v/>
      </c>
      <c r="U235" s="5" t="str">
        <f>IF($D235="--","",IF($P235="toetsen",toetsen(F!$B235,T235),IF($P235="toetsen alleen IW",toetsen_alleen_IW(F!$B235,T235),IF($P235="toetsen alleen LN",toetsen_alleen_LN(F!$B235,T235),IF($P235="toetsen geen MV en SV",toetsen_geen_MV_en_SV(F!$B235,T235),IF($P235="toetsen alleen MV en SV",toetsen_alleen_MV_en_SV(F!$B235,T235),""))))))</f>
        <v/>
      </c>
      <c r="V235" s="5" t="str">
        <f>IF($P235="toetsen",IF(OR(T235="",VLOOKUP(F!$B235,E!$B$1:$AK$300,10,FALSE)=1000000000),"",IF(T235&lt;=VLOOKUP(F!$B235,E!$B$1:$AK$300,10,FALSE),"ja","nee")),"")</f>
        <v/>
      </c>
      <c r="W235" s="6" t="str">
        <f t="shared" si="84"/>
        <v/>
      </c>
      <c r="X235" s="5" t="str">
        <f>IF($F235="--","",IF($P235="toetsen",toetsen(F!$B235,W235),IF($P235="toetsen alleen IW",toetsen_alleen_IW(F!$B235,W235),IF($P235="toetsen alleen LN",toetsen_alleen_LN(F!$B235,W235),IF($P235="toetsen geen MV en SV",toetsen_geen_MV_en_SV(F!$B235,W235),IF($P235="toetsen alleen MV en SV",toetsen_alleen_MV_en_SV(F!$B235,W235),""))))))</f>
        <v/>
      </c>
      <c r="Y235" s="5" t="str">
        <f>IF($P235="toetsen",IF(OR(W235="",VLOOKUP(F!$B235,E!$B$1:$AK$300,10,FALSE)=1000000000),"",IF(W235&lt;=VLOOKUP(F!$B235,E!$B$1:$AK$300,10,FALSE),"ja","nee")),"")</f>
        <v/>
      </c>
      <c r="AA235" s="4"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6" t="str">
        <f t="shared" si="85"/>
        <v>--</v>
      </c>
      <c r="AJ235" s="6"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6" t="str">
        <f t="shared" si="86"/>
        <v>--</v>
      </c>
      <c r="AL235" s="6"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6" t="str">
        <f t="shared" si="87"/>
        <v>--</v>
      </c>
      <c r="AN235" s="6"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6" t="str">
        <f t="shared" si="74"/>
        <v>--</v>
      </c>
      <c r="AQ235" s="6" t="str">
        <f t="shared" si="75"/>
        <v/>
      </c>
      <c r="AR235" s="6" t="str">
        <f t="shared" si="76"/>
        <v>--</v>
      </c>
      <c r="AS235" s="6" t="str">
        <f t="shared" si="77"/>
        <v/>
      </c>
      <c r="AT235" s="6" t="str">
        <f t="shared" si="78"/>
        <v/>
      </c>
      <c r="AU235" s="6" t="str">
        <f>IFERROR(IF(AR235="--","",IF(HLOOKUP(SMALL($Q$4:$Y$4,3),$Q$4:$Y$501,ROW(AP235)-3,FALSE)=0,"",IF(HLOOKUP(SMALL($Q$4:$Y$4,3),$Q$4:$Y$501,ROW(AP235)-3,FALSE)="nee",VLOOKUP("De kwaliteitseis emissiearme grond (maximale concentratie) wordt overschreden.",H!$O$10:'H'!$P$59,2,FALSE),""))),"")</f>
        <v/>
      </c>
      <c r="AV235" s="6" t="str">
        <f t="shared" si="68"/>
        <v>--</v>
      </c>
      <c r="AW235" s="6" t="str">
        <f t="shared" si="69"/>
        <v/>
      </c>
      <c r="AX235" s="6" t="str">
        <f t="shared" si="70"/>
        <v>--</v>
      </c>
      <c r="AY235" s="6" t="str">
        <f t="shared" si="79"/>
        <v/>
      </c>
      <c r="AZ235" s="6" t="str">
        <f t="shared" si="80"/>
        <v/>
      </c>
      <c r="BA235" s="6" t="str">
        <f>IFERROR(IF(AR235="--","",IF(HLOOKUP(SMALL($Q$4:$Y$4,6),$Q$4:$Y$501,ROW(AP235)-3,FALSE)=0,"",IF(HLOOKUP(SMALL($Q$4:$Y$4,6),$Q$4:$Y$501,ROW(AP235)-3,FALSE)="nee",VLOOKUP("De kwaliteitseis emissiearme grond (maximale concentratie) wordt overschreden.",H!$O$10:'H'!$P$59,2,FALSE),""))),"")</f>
        <v/>
      </c>
      <c r="BB235" s="6" t="str">
        <f t="shared" si="71"/>
        <v>--</v>
      </c>
      <c r="BC235" s="6" t="str">
        <f t="shared" si="72"/>
        <v/>
      </c>
      <c r="BD235" s="6" t="str">
        <f t="shared" si="73"/>
        <v>--</v>
      </c>
      <c r="BE235" s="6" t="str">
        <f t="shared" si="81"/>
        <v/>
      </c>
      <c r="BF235" s="6"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6" t="str">
        <f>IF(ISNUMBER(F!E236)=FALSE,"--",IF(F!E236=0,"--",F!E236))</f>
        <v>--</v>
      </c>
      <c r="C236" s="6" t="str">
        <f>IF(B236="--","",F!F236)</f>
        <v/>
      </c>
      <c r="D236" s="6" t="str">
        <f>IF(ISNUMBER(F!G236)=FALSE,"--",IF(F!G236=0,"--",F!G236))</f>
        <v>--</v>
      </c>
      <c r="E236" s="6" t="str">
        <f>IF(D236="--","",F!H236)</f>
        <v/>
      </c>
      <c r="F236" s="6" t="str">
        <f>IF(ISNUMBER(F!I236)=FALSE,"--",IF(F!I236=0,"--",F!I236))</f>
        <v>--</v>
      </c>
      <c r="G236" s="6" t="str">
        <f>IF(F236="--","",F!J236)</f>
        <v/>
      </c>
      <c r="H236" s="6"/>
      <c r="I236" s="6" t="str">
        <f>IF(F!Z236=-1,-1,F!AV236)</f>
        <v/>
      </c>
      <c r="J236" s="6"/>
      <c r="K236" s="6" t="str">
        <f>IF(F!AC236=-1,-1,F!AX236)</f>
        <v/>
      </c>
      <c r="L236" s="6"/>
      <c r="M236" s="6" t="str">
        <f>IF(F!AF236=-1,-1,F!AZ236)</f>
        <v/>
      </c>
      <c r="N236" s="6"/>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6" t="str">
        <f t="shared" si="88"/>
        <v/>
      </c>
      <c r="R236" s="5" t="str">
        <f>IF($B236="--","",IF($P236="toetsen",toetsen(F!$B236,Q236),IF($P236="toetsen alleen IW",toetsen_alleen_IW(F!$B236,Q236),IF($P236="toetsen alleen LN",toetsen_alleen_LN(F!$B236,Q236),IF($P236="toetsen geen MV en SV",toetsen_geen_MV_en_SV(F!$B236,Q236),IF($P236="toetsen alleen MV en SV",toetsen_alleen_MV_en_SV(F!$B236,Q236),""))))))</f>
        <v/>
      </c>
      <c r="S236" s="5" t="str">
        <f>IF($P236="toetsen",IF(OR(Q236="",VLOOKUP(F!$B236,E!$B$1:$AK$300,10,FALSE)=1000000000),"",IF(Q236&lt;=VLOOKUP(F!$B236,E!$B$1:$AK$300,10,FALSE),"ja","nee")),"")</f>
        <v/>
      </c>
      <c r="T236" s="87" t="str">
        <f t="shared" si="83"/>
        <v/>
      </c>
      <c r="U236" s="5" t="str">
        <f>IF($D236="--","",IF($P236="toetsen",toetsen(F!$B236,T236),IF($P236="toetsen alleen IW",toetsen_alleen_IW(F!$B236,T236),IF($P236="toetsen alleen LN",toetsen_alleen_LN(F!$B236,T236),IF($P236="toetsen geen MV en SV",toetsen_geen_MV_en_SV(F!$B236,T236),IF($P236="toetsen alleen MV en SV",toetsen_alleen_MV_en_SV(F!$B236,T236),""))))))</f>
        <v/>
      </c>
      <c r="V236" s="5" t="str">
        <f>IF($P236="toetsen",IF(OR(T236="",VLOOKUP(F!$B236,E!$B$1:$AK$300,10,FALSE)=1000000000),"",IF(T236&lt;=VLOOKUP(F!$B236,E!$B$1:$AK$300,10,FALSE),"ja","nee")),"")</f>
        <v/>
      </c>
      <c r="W236" s="6" t="str">
        <f t="shared" si="84"/>
        <v/>
      </c>
      <c r="X236" s="5" t="str">
        <f>IF($F236="--","",IF($P236="toetsen",toetsen(F!$B236,W236),IF($P236="toetsen alleen IW",toetsen_alleen_IW(F!$B236,W236),IF($P236="toetsen alleen LN",toetsen_alleen_LN(F!$B236,W236),IF($P236="toetsen geen MV en SV",toetsen_geen_MV_en_SV(F!$B236,W236),IF($P236="toetsen alleen MV en SV",toetsen_alleen_MV_en_SV(F!$B236,W236),""))))))</f>
        <v/>
      </c>
      <c r="Y236" s="5" t="str">
        <f>IF($P236="toetsen",IF(OR(W236="",VLOOKUP(F!$B236,E!$B$1:$AK$300,10,FALSE)=1000000000),"",IF(W236&lt;=VLOOKUP(F!$B236,E!$B$1:$AK$300,10,FALSE),"ja","nee")),"")</f>
        <v/>
      </c>
      <c r="AA236" s="4"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6" t="str">
        <f t="shared" si="85"/>
        <v>--</v>
      </c>
      <c r="AJ236" s="6"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6" t="str">
        <f t="shared" si="86"/>
        <v>--</v>
      </c>
      <c r="AL236" s="6"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6" t="str">
        <f t="shared" si="87"/>
        <v>--</v>
      </c>
      <c r="AN236" s="6"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6" t="str">
        <f t="shared" si="74"/>
        <v>--</v>
      </c>
      <c r="AQ236" s="6" t="str">
        <f t="shared" si="75"/>
        <v/>
      </c>
      <c r="AR236" s="6" t="str">
        <f t="shared" si="76"/>
        <v>--</v>
      </c>
      <c r="AS236" s="6" t="str">
        <f t="shared" si="77"/>
        <v/>
      </c>
      <c r="AT236" s="6" t="str">
        <f t="shared" si="78"/>
        <v/>
      </c>
      <c r="AU236" s="6" t="str">
        <f>IFERROR(IF(AR236="--","",IF(HLOOKUP(SMALL($Q$4:$Y$4,3),$Q$4:$Y$501,ROW(AP236)-3,FALSE)=0,"",IF(HLOOKUP(SMALL($Q$4:$Y$4,3),$Q$4:$Y$501,ROW(AP236)-3,FALSE)="nee",VLOOKUP("De kwaliteitseis emissiearme grond (maximale concentratie) wordt overschreden.",H!$O$10:'H'!$P$59,2,FALSE),""))),"")</f>
        <v/>
      </c>
      <c r="AV236" s="6" t="str">
        <f t="shared" si="68"/>
        <v>--</v>
      </c>
      <c r="AW236" s="6" t="str">
        <f t="shared" si="69"/>
        <v/>
      </c>
      <c r="AX236" s="6" t="str">
        <f t="shared" si="70"/>
        <v>--</v>
      </c>
      <c r="AY236" s="6" t="str">
        <f t="shared" si="79"/>
        <v/>
      </c>
      <c r="AZ236" s="6" t="str">
        <f t="shared" si="80"/>
        <v/>
      </c>
      <c r="BA236" s="6" t="str">
        <f>IFERROR(IF(AR236="--","",IF(HLOOKUP(SMALL($Q$4:$Y$4,6),$Q$4:$Y$501,ROW(AP236)-3,FALSE)=0,"",IF(HLOOKUP(SMALL($Q$4:$Y$4,6),$Q$4:$Y$501,ROW(AP236)-3,FALSE)="nee",VLOOKUP("De kwaliteitseis emissiearme grond (maximale concentratie) wordt overschreden.",H!$O$10:'H'!$P$59,2,FALSE),""))),"")</f>
        <v/>
      </c>
      <c r="BB236" s="6" t="str">
        <f t="shared" si="71"/>
        <v>--</v>
      </c>
      <c r="BC236" s="6" t="str">
        <f t="shared" si="72"/>
        <v/>
      </c>
      <c r="BD236" s="6" t="str">
        <f t="shared" si="73"/>
        <v>--</v>
      </c>
      <c r="BE236" s="6" t="str">
        <f t="shared" si="81"/>
        <v/>
      </c>
      <c r="BF236" s="6"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6" t="str">
        <f>IF(ISNUMBER(F!E237)=FALSE,"--",IF(F!E237=0,"--",F!E237))</f>
        <v>--</v>
      </c>
      <c r="C237" s="6" t="str">
        <f>IF(B237="--","",F!F237)</f>
        <v/>
      </c>
      <c r="D237" s="6" t="str">
        <f>IF(ISNUMBER(F!G237)=FALSE,"--",IF(F!G237=0,"--",F!G237))</f>
        <v>--</v>
      </c>
      <c r="E237" s="6" t="str">
        <f>IF(D237="--","",F!H237)</f>
        <v/>
      </c>
      <c r="F237" s="6" t="str">
        <f>IF(ISNUMBER(F!I237)=FALSE,"--",IF(F!I237=0,"--",F!I237))</f>
        <v>--</v>
      </c>
      <c r="G237" s="6" t="str">
        <f>IF(F237="--","",F!J237)</f>
        <v/>
      </c>
      <c r="H237" s="6"/>
      <c r="I237" s="6" t="str">
        <f>IF(F!Z237=-1,-1,F!AV237)</f>
        <v/>
      </c>
      <c r="J237" s="6"/>
      <c r="K237" s="6" t="str">
        <f>IF(F!AC237=-1,-1,F!AX237)</f>
        <v/>
      </c>
      <c r="L237" s="6"/>
      <c r="M237" s="6" t="str">
        <f>IF(F!AF237=-1,-1,F!AZ237)</f>
        <v/>
      </c>
      <c r="N237" s="6"/>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6" t="str">
        <f t="shared" si="88"/>
        <v/>
      </c>
      <c r="R237" s="5" t="str">
        <f>IF($B237="--","",IF($P237="toetsen",toetsen(F!$B237,Q237),IF($P237="toetsen alleen IW",toetsen_alleen_IW(F!$B237,Q237),IF($P237="toetsen alleen LN",toetsen_alleen_LN(F!$B237,Q237),IF($P237="toetsen geen MV en SV",toetsen_geen_MV_en_SV(F!$B237,Q237),IF($P237="toetsen alleen MV en SV",toetsen_alleen_MV_en_SV(F!$B237,Q237),""))))))</f>
        <v/>
      </c>
      <c r="S237" s="5" t="str">
        <f>IF($P237="toetsen",IF(OR(Q237="",VLOOKUP(F!$B237,E!$B$1:$AK$300,10,FALSE)=1000000000),"",IF(Q237&lt;=VLOOKUP(F!$B237,E!$B$1:$AK$300,10,FALSE),"ja","nee")),"")</f>
        <v/>
      </c>
      <c r="T237" s="87" t="str">
        <f t="shared" si="83"/>
        <v/>
      </c>
      <c r="U237" s="5" t="str">
        <f>IF($D237="--","",IF($P237="toetsen",toetsen(F!$B237,T237),IF($P237="toetsen alleen IW",toetsen_alleen_IW(F!$B237,T237),IF($P237="toetsen alleen LN",toetsen_alleen_LN(F!$B237,T237),IF($P237="toetsen geen MV en SV",toetsen_geen_MV_en_SV(F!$B237,T237),IF($P237="toetsen alleen MV en SV",toetsen_alleen_MV_en_SV(F!$B237,T237),""))))))</f>
        <v/>
      </c>
      <c r="V237" s="5" t="str">
        <f>IF($P237="toetsen",IF(OR(T237="",VLOOKUP(F!$B237,E!$B$1:$AK$300,10,FALSE)=1000000000),"",IF(T237&lt;=VLOOKUP(F!$B237,E!$B$1:$AK$300,10,FALSE),"ja","nee")),"")</f>
        <v/>
      </c>
      <c r="W237" s="6" t="str">
        <f t="shared" si="84"/>
        <v/>
      </c>
      <c r="X237" s="5" t="str">
        <f>IF($F237="--","",IF($P237="toetsen",toetsen(F!$B237,W237),IF($P237="toetsen alleen IW",toetsen_alleen_IW(F!$B237,W237),IF($P237="toetsen alleen LN",toetsen_alleen_LN(F!$B237,W237),IF($P237="toetsen geen MV en SV",toetsen_geen_MV_en_SV(F!$B237,W237),IF($P237="toetsen alleen MV en SV",toetsen_alleen_MV_en_SV(F!$B237,W237),""))))))</f>
        <v/>
      </c>
      <c r="Y237" s="5" t="str">
        <f>IF($P237="toetsen",IF(OR(W237="",VLOOKUP(F!$B237,E!$B$1:$AK$300,10,FALSE)=1000000000),"",IF(W237&lt;=VLOOKUP(F!$B237,E!$B$1:$AK$300,10,FALSE),"ja","nee")),"")</f>
        <v/>
      </c>
      <c r="AA237" s="4"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6" t="str">
        <f t="shared" si="85"/>
        <v>--</v>
      </c>
      <c r="AJ237" s="6"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6" t="str">
        <f t="shared" si="86"/>
        <v>--</v>
      </c>
      <c r="AL237" s="6"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6" t="str">
        <f t="shared" si="87"/>
        <v>--</v>
      </c>
      <c r="AN237" s="6"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6" t="str">
        <f t="shared" si="74"/>
        <v>--</v>
      </c>
      <c r="AQ237" s="6" t="str">
        <f t="shared" si="75"/>
        <v/>
      </c>
      <c r="AR237" s="6" t="str">
        <f t="shared" si="76"/>
        <v>--</v>
      </c>
      <c r="AS237" s="6" t="str">
        <f t="shared" si="77"/>
        <v/>
      </c>
      <c r="AT237" s="6" t="str">
        <f t="shared" si="78"/>
        <v/>
      </c>
      <c r="AU237" s="6" t="str">
        <f>IFERROR(IF(AR237="--","",IF(HLOOKUP(SMALL($Q$4:$Y$4,3),$Q$4:$Y$501,ROW(AP237)-3,FALSE)=0,"",IF(HLOOKUP(SMALL($Q$4:$Y$4,3),$Q$4:$Y$501,ROW(AP237)-3,FALSE)="nee",VLOOKUP("De kwaliteitseis emissiearme grond (maximale concentratie) wordt overschreden.",H!$O$10:'H'!$P$59,2,FALSE),""))),"")</f>
        <v/>
      </c>
      <c r="AV237" s="6" t="str">
        <f t="shared" si="68"/>
        <v>--</v>
      </c>
      <c r="AW237" s="6" t="str">
        <f t="shared" si="69"/>
        <v/>
      </c>
      <c r="AX237" s="6" t="str">
        <f t="shared" si="70"/>
        <v>--</v>
      </c>
      <c r="AY237" s="6" t="str">
        <f t="shared" si="79"/>
        <v/>
      </c>
      <c r="AZ237" s="6" t="str">
        <f t="shared" si="80"/>
        <v/>
      </c>
      <c r="BA237" s="6" t="str">
        <f>IFERROR(IF(AR237="--","",IF(HLOOKUP(SMALL($Q$4:$Y$4,6),$Q$4:$Y$501,ROW(AP237)-3,FALSE)=0,"",IF(HLOOKUP(SMALL($Q$4:$Y$4,6),$Q$4:$Y$501,ROW(AP237)-3,FALSE)="nee",VLOOKUP("De kwaliteitseis emissiearme grond (maximale concentratie) wordt overschreden.",H!$O$10:'H'!$P$59,2,FALSE),""))),"")</f>
        <v/>
      </c>
      <c r="BB237" s="6" t="str">
        <f t="shared" si="71"/>
        <v>--</v>
      </c>
      <c r="BC237" s="6" t="str">
        <f t="shared" si="72"/>
        <v/>
      </c>
      <c r="BD237" s="6" t="str">
        <f t="shared" si="73"/>
        <v>--</v>
      </c>
      <c r="BE237" s="6" t="str">
        <f t="shared" si="81"/>
        <v/>
      </c>
      <c r="BF237" s="6"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6" t="str">
        <f>IF(ISNUMBER(F!E238)=FALSE,"--",IF(F!E238=0,"--",F!E238))</f>
        <v>--</v>
      </c>
      <c r="C238" s="6" t="str">
        <f>IF(B238="--","",F!F238)</f>
        <v/>
      </c>
      <c r="D238" s="6" t="str">
        <f>IF(ISNUMBER(F!G238)=FALSE,"--",IF(F!G238=0,"--",F!G238))</f>
        <v>--</v>
      </c>
      <c r="E238" s="6" t="str">
        <f>IF(D238="--","",F!H238)</f>
        <v/>
      </c>
      <c r="F238" s="6" t="str">
        <f>IF(ISNUMBER(F!I238)=FALSE,"--",IF(F!I238=0,"--",F!I238))</f>
        <v>--</v>
      </c>
      <c r="G238" s="6" t="str">
        <f>IF(F238="--","",F!J238)</f>
        <v/>
      </c>
      <c r="H238" s="6"/>
      <c r="I238" s="6" t="str">
        <f>IF(F!Z238=-1,-1,F!AV238)</f>
        <v/>
      </c>
      <c r="J238" s="6"/>
      <c r="K238" s="6" t="str">
        <f>IF(F!AC238=-1,-1,F!AX238)</f>
        <v/>
      </c>
      <c r="L238" s="6"/>
      <c r="M238" s="6" t="str">
        <f>IF(F!AF238=-1,-1,F!AZ238)</f>
        <v/>
      </c>
      <c r="N238" s="6"/>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6" t="str">
        <f t="shared" si="88"/>
        <v/>
      </c>
      <c r="R238" s="5" t="str">
        <f>IF($B238="--","",IF($P238="toetsen",toetsen(F!$B238,Q238),IF($P238="toetsen alleen IW",toetsen_alleen_IW(F!$B238,Q238),IF($P238="toetsen alleen LN",toetsen_alleen_LN(F!$B238,Q238),IF($P238="toetsen geen MV en SV",toetsen_geen_MV_en_SV(F!$B238,Q238),IF($P238="toetsen alleen MV en SV",toetsen_alleen_MV_en_SV(F!$B238,Q238),""))))))</f>
        <v/>
      </c>
      <c r="S238" s="5" t="str">
        <f>IF($P238="toetsen",IF(OR(Q238="",VLOOKUP(F!$B238,E!$B$1:$AK$300,10,FALSE)=1000000000),"",IF(Q238&lt;=VLOOKUP(F!$B238,E!$B$1:$AK$300,10,FALSE),"ja","nee")),"")</f>
        <v/>
      </c>
      <c r="T238" s="87" t="str">
        <f t="shared" si="83"/>
        <v/>
      </c>
      <c r="U238" s="5" t="str">
        <f>IF($D238="--","",IF($P238="toetsen",toetsen(F!$B238,T238),IF($P238="toetsen alleen IW",toetsen_alleen_IW(F!$B238,T238),IF($P238="toetsen alleen LN",toetsen_alleen_LN(F!$B238,T238),IF($P238="toetsen geen MV en SV",toetsen_geen_MV_en_SV(F!$B238,T238),IF($P238="toetsen alleen MV en SV",toetsen_alleen_MV_en_SV(F!$B238,T238),""))))))</f>
        <v/>
      </c>
      <c r="V238" s="5" t="str">
        <f>IF($P238="toetsen",IF(OR(T238="",VLOOKUP(F!$B238,E!$B$1:$AK$300,10,FALSE)=1000000000),"",IF(T238&lt;=VLOOKUP(F!$B238,E!$B$1:$AK$300,10,FALSE),"ja","nee")),"")</f>
        <v/>
      </c>
      <c r="W238" s="6" t="str">
        <f t="shared" si="84"/>
        <v/>
      </c>
      <c r="X238" s="5" t="str">
        <f>IF($F238="--","",IF($P238="toetsen",toetsen(F!$B238,W238),IF($P238="toetsen alleen IW",toetsen_alleen_IW(F!$B238,W238),IF($P238="toetsen alleen LN",toetsen_alleen_LN(F!$B238,W238),IF($P238="toetsen geen MV en SV",toetsen_geen_MV_en_SV(F!$B238,W238),IF($P238="toetsen alleen MV en SV",toetsen_alleen_MV_en_SV(F!$B238,W238),""))))))</f>
        <v/>
      </c>
      <c r="Y238" s="5" t="str">
        <f>IF($P238="toetsen",IF(OR(W238="",VLOOKUP(F!$B238,E!$B$1:$AK$300,10,FALSE)=1000000000),"",IF(W238&lt;=VLOOKUP(F!$B238,E!$B$1:$AK$300,10,FALSE),"ja","nee")),"")</f>
        <v/>
      </c>
      <c r="AA238" s="4"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6" t="str">
        <f t="shared" si="85"/>
        <v>--</v>
      </c>
      <c r="AJ238" s="6"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6" t="str">
        <f t="shared" si="86"/>
        <v>--</v>
      </c>
      <c r="AL238" s="6"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6" t="str">
        <f t="shared" si="87"/>
        <v>--</v>
      </c>
      <c r="AN238" s="6"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6" t="str">
        <f t="shared" si="74"/>
        <v>--</v>
      </c>
      <c r="AQ238" s="6" t="str">
        <f t="shared" si="75"/>
        <v/>
      </c>
      <c r="AR238" s="6" t="str">
        <f t="shared" si="76"/>
        <v>--</v>
      </c>
      <c r="AS238" s="6" t="str">
        <f t="shared" si="77"/>
        <v/>
      </c>
      <c r="AT238" s="6" t="str">
        <f t="shared" si="78"/>
        <v/>
      </c>
      <c r="AU238" s="6" t="str">
        <f>IFERROR(IF(AR238="--","",IF(HLOOKUP(SMALL($Q$4:$Y$4,3),$Q$4:$Y$501,ROW(AP238)-3,FALSE)=0,"",IF(HLOOKUP(SMALL($Q$4:$Y$4,3),$Q$4:$Y$501,ROW(AP238)-3,FALSE)="nee",VLOOKUP("De kwaliteitseis emissiearme grond (maximale concentratie) wordt overschreden.",H!$O$10:'H'!$P$59,2,FALSE),""))),"")</f>
        <v/>
      </c>
      <c r="AV238" s="6" t="str">
        <f t="shared" si="68"/>
        <v>--</v>
      </c>
      <c r="AW238" s="6" t="str">
        <f t="shared" si="69"/>
        <v/>
      </c>
      <c r="AX238" s="6" t="str">
        <f t="shared" si="70"/>
        <v>--</v>
      </c>
      <c r="AY238" s="6" t="str">
        <f t="shared" si="79"/>
        <v/>
      </c>
      <c r="AZ238" s="6" t="str">
        <f t="shared" si="80"/>
        <v/>
      </c>
      <c r="BA238" s="6" t="str">
        <f>IFERROR(IF(AR238="--","",IF(HLOOKUP(SMALL($Q$4:$Y$4,6),$Q$4:$Y$501,ROW(AP238)-3,FALSE)=0,"",IF(HLOOKUP(SMALL($Q$4:$Y$4,6),$Q$4:$Y$501,ROW(AP238)-3,FALSE)="nee",VLOOKUP("De kwaliteitseis emissiearme grond (maximale concentratie) wordt overschreden.",H!$O$10:'H'!$P$59,2,FALSE),""))),"")</f>
        <v/>
      </c>
      <c r="BB238" s="6" t="str">
        <f t="shared" si="71"/>
        <v>--</v>
      </c>
      <c r="BC238" s="6" t="str">
        <f t="shared" si="72"/>
        <v/>
      </c>
      <c r="BD238" s="6" t="str">
        <f t="shared" si="73"/>
        <v>--</v>
      </c>
      <c r="BE238" s="6" t="str">
        <f t="shared" si="81"/>
        <v/>
      </c>
      <c r="BF238" s="6"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6" t="str">
        <f>IF(ISNUMBER(F!E239)=FALSE,"--",IF(F!E239=0,"--",F!E239))</f>
        <v>--</v>
      </c>
      <c r="C239" s="6" t="str">
        <f>IF(B239="--","",F!F239)</f>
        <v/>
      </c>
      <c r="D239" s="6" t="str">
        <f>IF(ISNUMBER(F!G239)=FALSE,"--",IF(F!G239=0,"--",F!G239))</f>
        <v>--</v>
      </c>
      <c r="E239" s="6" t="str">
        <f>IF(D239="--","",F!H239)</f>
        <v/>
      </c>
      <c r="F239" s="6" t="str">
        <f>IF(ISNUMBER(F!I239)=FALSE,"--",IF(F!I239=0,"--",F!I239))</f>
        <v>--</v>
      </c>
      <c r="G239" s="6" t="str">
        <f>IF(F239="--","",F!J239)</f>
        <v/>
      </c>
      <c r="H239" s="6"/>
      <c r="I239" s="6" t="str">
        <f>IF(F!Z239=-1,-1,F!AV239)</f>
        <v/>
      </c>
      <c r="J239" s="6"/>
      <c r="K239" s="6" t="str">
        <f>IF(F!AC239=-1,-1,F!AX239)</f>
        <v/>
      </c>
      <c r="L239" s="6"/>
      <c r="M239" s="6" t="str">
        <f>IF(F!AF239=-1,-1,F!AZ239)</f>
        <v/>
      </c>
      <c r="N239" s="6"/>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6" t="str">
        <f t="shared" si="88"/>
        <v/>
      </c>
      <c r="R239" s="5" t="str">
        <f>IF($B239="--","",IF($P239="toetsen",toetsen(F!$B239,Q239),IF($P239="toetsen alleen IW",toetsen_alleen_IW(F!$B239,Q239),IF($P239="toetsen alleen LN",toetsen_alleen_LN(F!$B239,Q239),IF($P239="toetsen geen MV en SV",toetsen_geen_MV_en_SV(F!$B239,Q239),IF($P239="toetsen alleen MV en SV",toetsen_alleen_MV_en_SV(F!$B239,Q239),""))))))</f>
        <v/>
      </c>
      <c r="S239" s="5" t="str">
        <f>IF($P239="toetsen",IF(OR(Q239="",VLOOKUP(F!$B239,E!$B$1:$AK$300,10,FALSE)=1000000000),"",IF(Q239&lt;=VLOOKUP(F!$B239,E!$B$1:$AK$300,10,FALSE),"ja","nee")),"")</f>
        <v/>
      </c>
      <c r="T239" s="87" t="str">
        <f t="shared" si="83"/>
        <v/>
      </c>
      <c r="U239" s="5" t="str">
        <f>IF($D239="--","",IF($P239="toetsen",toetsen(F!$B239,T239),IF($P239="toetsen alleen IW",toetsen_alleen_IW(F!$B239,T239),IF($P239="toetsen alleen LN",toetsen_alleen_LN(F!$B239,T239),IF($P239="toetsen geen MV en SV",toetsen_geen_MV_en_SV(F!$B239,T239),IF($P239="toetsen alleen MV en SV",toetsen_alleen_MV_en_SV(F!$B239,T239),""))))))</f>
        <v/>
      </c>
      <c r="V239" s="5" t="str">
        <f>IF($P239="toetsen",IF(OR(T239="",VLOOKUP(F!$B239,E!$B$1:$AK$300,10,FALSE)=1000000000),"",IF(T239&lt;=VLOOKUP(F!$B239,E!$B$1:$AK$300,10,FALSE),"ja","nee")),"")</f>
        <v/>
      </c>
      <c r="W239" s="6" t="str">
        <f t="shared" si="84"/>
        <v/>
      </c>
      <c r="X239" s="5" t="str">
        <f>IF($F239="--","",IF($P239="toetsen",toetsen(F!$B239,W239),IF($P239="toetsen alleen IW",toetsen_alleen_IW(F!$B239,W239),IF($P239="toetsen alleen LN",toetsen_alleen_LN(F!$B239,W239),IF($P239="toetsen geen MV en SV",toetsen_geen_MV_en_SV(F!$B239,W239),IF($P239="toetsen alleen MV en SV",toetsen_alleen_MV_en_SV(F!$B239,W239),""))))))</f>
        <v/>
      </c>
      <c r="Y239" s="5" t="str">
        <f>IF($P239="toetsen",IF(OR(W239="",VLOOKUP(F!$B239,E!$B$1:$AK$300,10,FALSE)=1000000000),"",IF(W239&lt;=VLOOKUP(F!$B239,E!$B$1:$AK$300,10,FALSE),"ja","nee")),"")</f>
        <v/>
      </c>
      <c r="AA239" s="4"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6" t="str">
        <f t="shared" si="85"/>
        <v>--</v>
      </c>
      <c r="AJ239" s="6"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6" t="str">
        <f t="shared" si="86"/>
        <v>--</v>
      </c>
      <c r="AL239" s="6"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6" t="str">
        <f t="shared" si="87"/>
        <v>--</v>
      </c>
      <c r="AN239" s="6"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6" t="str">
        <f t="shared" si="74"/>
        <v>--</v>
      </c>
      <c r="AQ239" s="6" t="str">
        <f t="shared" si="75"/>
        <v/>
      </c>
      <c r="AR239" s="6" t="str">
        <f t="shared" si="76"/>
        <v>--</v>
      </c>
      <c r="AS239" s="6" t="str">
        <f t="shared" si="77"/>
        <v/>
      </c>
      <c r="AT239" s="6" t="str">
        <f t="shared" si="78"/>
        <v/>
      </c>
      <c r="AU239" s="6" t="str">
        <f>IFERROR(IF(AR239="--","",IF(HLOOKUP(SMALL($Q$4:$Y$4,3),$Q$4:$Y$501,ROW(AP239)-3,FALSE)=0,"",IF(HLOOKUP(SMALL($Q$4:$Y$4,3),$Q$4:$Y$501,ROW(AP239)-3,FALSE)="nee",VLOOKUP("De kwaliteitseis emissiearme grond (maximale concentratie) wordt overschreden.",H!$O$10:'H'!$P$59,2,FALSE),""))),"")</f>
        <v/>
      </c>
      <c r="AV239" s="6" t="str">
        <f t="shared" si="68"/>
        <v>--</v>
      </c>
      <c r="AW239" s="6" t="str">
        <f t="shared" si="69"/>
        <v/>
      </c>
      <c r="AX239" s="6" t="str">
        <f t="shared" si="70"/>
        <v>--</v>
      </c>
      <c r="AY239" s="6" t="str">
        <f t="shared" si="79"/>
        <v/>
      </c>
      <c r="AZ239" s="6" t="str">
        <f t="shared" si="80"/>
        <v/>
      </c>
      <c r="BA239" s="6" t="str">
        <f>IFERROR(IF(AR239="--","",IF(HLOOKUP(SMALL($Q$4:$Y$4,6),$Q$4:$Y$501,ROW(AP239)-3,FALSE)=0,"",IF(HLOOKUP(SMALL($Q$4:$Y$4,6),$Q$4:$Y$501,ROW(AP239)-3,FALSE)="nee",VLOOKUP("De kwaliteitseis emissiearme grond (maximale concentratie) wordt overschreden.",H!$O$10:'H'!$P$59,2,FALSE),""))),"")</f>
        <v/>
      </c>
      <c r="BB239" s="6" t="str">
        <f t="shared" si="71"/>
        <v>--</v>
      </c>
      <c r="BC239" s="6" t="str">
        <f t="shared" si="72"/>
        <v/>
      </c>
      <c r="BD239" s="6" t="str">
        <f t="shared" si="73"/>
        <v>--</v>
      </c>
      <c r="BE239" s="6" t="str">
        <f t="shared" si="81"/>
        <v/>
      </c>
      <c r="BF239" s="6"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6" t="str">
        <f>IF(ISNUMBER(F!E240)=FALSE,"--",IF(F!E240=0,"--",F!E240))</f>
        <v>--</v>
      </c>
      <c r="C240" s="6" t="str">
        <f>IF(B240="--","",F!F240)</f>
        <v/>
      </c>
      <c r="D240" s="6" t="str">
        <f>IF(ISNUMBER(F!G240)=FALSE,"--",IF(F!G240=0,"--",F!G240))</f>
        <v>--</v>
      </c>
      <c r="E240" s="6" t="str">
        <f>IF(D240="--","",F!H240)</f>
        <v/>
      </c>
      <c r="F240" s="6" t="str">
        <f>IF(ISNUMBER(F!I240)=FALSE,"--",IF(F!I240=0,"--",F!I240))</f>
        <v>--</v>
      </c>
      <c r="G240" s="6" t="str">
        <f>IF(F240="--","",F!J240)</f>
        <v/>
      </c>
      <c r="H240" s="6"/>
      <c r="I240" s="6" t="str">
        <f>IF(F!Z240=-1,-1,F!AV240)</f>
        <v/>
      </c>
      <c r="J240" s="6"/>
      <c r="K240" s="6" t="str">
        <f>IF(F!AC240=-1,-1,F!AX240)</f>
        <v/>
      </c>
      <c r="L240" s="6"/>
      <c r="M240" s="6" t="str">
        <f>IF(F!AF240=-1,-1,F!AZ240)</f>
        <v/>
      </c>
      <c r="N240" s="6"/>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6" t="str">
        <f t="shared" si="88"/>
        <v/>
      </c>
      <c r="R240" s="5" t="str">
        <f>IF($B240="--","",IF($P240="toetsen",toetsen(F!$B240,Q240),IF($P240="toetsen alleen IW",toetsen_alleen_IW(F!$B240,Q240),IF($P240="toetsen alleen LN",toetsen_alleen_LN(F!$B240,Q240),IF($P240="toetsen geen MV en SV",toetsen_geen_MV_en_SV(F!$B240,Q240),IF($P240="toetsen alleen MV en SV",toetsen_alleen_MV_en_SV(F!$B240,Q240),""))))))</f>
        <v/>
      </c>
      <c r="S240" s="5" t="str">
        <f>IF($P240="toetsen",IF(OR(Q240="",VLOOKUP(F!$B240,E!$B$1:$AK$300,10,FALSE)=1000000000),"",IF(Q240&lt;=VLOOKUP(F!$B240,E!$B$1:$AK$300,10,FALSE),"ja","nee")),"")</f>
        <v/>
      </c>
      <c r="T240" s="87" t="str">
        <f t="shared" si="83"/>
        <v/>
      </c>
      <c r="U240" s="5" t="str">
        <f>IF($D240="--","",IF($P240="toetsen",toetsen(F!$B240,T240),IF($P240="toetsen alleen IW",toetsen_alleen_IW(F!$B240,T240),IF($P240="toetsen alleen LN",toetsen_alleen_LN(F!$B240,T240),IF($P240="toetsen geen MV en SV",toetsen_geen_MV_en_SV(F!$B240,T240),IF($P240="toetsen alleen MV en SV",toetsen_alleen_MV_en_SV(F!$B240,T240),""))))))</f>
        <v/>
      </c>
      <c r="V240" s="5" t="str">
        <f>IF($P240="toetsen",IF(OR(T240="",VLOOKUP(F!$B240,E!$B$1:$AK$300,10,FALSE)=1000000000),"",IF(T240&lt;=VLOOKUP(F!$B240,E!$B$1:$AK$300,10,FALSE),"ja","nee")),"")</f>
        <v/>
      </c>
      <c r="W240" s="6" t="str">
        <f t="shared" si="84"/>
        <v/>
      </c>
      <c r="X240" s="5" t="str">
        <f>IF($F240="--","",IF($P240="toetsen",toetsen(F!$B240,W240),IF($P240="toetsen alleen IW",toetsen_alleen_IW(F!$B240,W240),IF($P240="toetsen alleen LN",toetsen_alleen_LN(F!$B240,W240),IF($P240="toetsen geen MV en SV",toetsen_geen_MV_en_SV(F!$B240,W240),IF($P240="toetsen alleen MV en SV",toetsen_alleen_MV_en_SV(F!$B240,W240),""))))))</f>
        <v/>
      </c>
      <c r="Y240" s="5" t="str">
        <f>IF($P240="toetsen",IF(OR(W240="",VLOOKUP(F!$B240,E!$B$1:$AK$300,10,FALSE)=1000000000),"",IF(W240&lt;=VLOOKUP(F!$B240,E!$B$1:$AK$300,10,FALSE),"ja","nee")),"")</f>
        <v/>
      </c>
      <c r="AA240" s="4"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6" t="str">
        <f t="shared" si="85"/>
        <v>--</v>
      </c>
      <c r="AJ240" s="6"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6" t="str">
        <f t="shared" si="86"/>
        <v>--</v>
      </c>
      <c r="AL240" s="6"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6" t="str">
        <f t="shared" si="87"/>
        <v>--</v>
      </c>
      <c r="AN240" s="6"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6" t="str">
        <f t="shared" si="74"/>
        <v>--</v>
      </c>
      <c r="AQ240" s="6" t="str">
        <f t="shared" si="75"/>
        <v/>
      </c>
      <c r="AR240" s="6" t="str">
        <f t="shared" si="76"/>
        <v>--</v>
      </c>
      <c r="AS240" s="6" t="str">
        <f t="shared" si="77"/>
        <v/>
      </c>
      <c r="AT240" s="6" t="str">
        <f t="shared" si="78"/>
        <v/>
      </c>
      <c r="AU240" s="6" t="str">
        <f>IFERROR(IF(AR240="--","",IF(HLOOKUP(SMALL($Q$4:$Y$4,3),$Q$4:$Y$501,ROW(AP240)-3,FALSE)=0,"",IF(HLOOKUP(SMALL($Q$4:$Y$4,3),$Q$4:$Y$501,ROW(AP240)-3,FALSE)="nee",VLOOKUP("De kwaliteitseis emissiearme grond (maximale concentratie) wordt overschreden.",H!$O$10:'H'!$P$59,2,FALSE),""))),"")</f>
        <v/>
      </c>
      <c r="AV240" s="6" t="str">
        <f t="shared" si="68"/>
        <v>--</v>
      </c>
      <c r="AW240" s="6" t="str">
        <f t="shared" si="69"/>
        <v/>
      </c>
      <c r="AX240" s="6" t="str">
        <f t="shared" si="70"/>
        <v>--</v>
      </c>
      <c r="AY240" s="6" t="str">
        <f t="shared" si="79"/>
        <v/>
      </c>
      <c r="AZ240" s="6" t="str">
        <f t="shared" si="80"/>
        <v/>
      </c>
      <c r="BA240" s="6" t="str">
        <f>IFERROR(IF(AR240="--","",IF(HLOOKUP(SMALL($Q$4:$Y$4,6),$Q$4:$Y$501,ROW(AP240)-3,FALSE)=0,"",IF(HLOOKUP(SMALL($Q$4:$Y$4,6),$Q$4:$Y$501,ROW(AP240)-3,FALSE)="nee",VLOOKUP("De kwaliteitseis emissiearme grond (maximale concentratie) wordt overschreden.",H!$O$10:'H'!$P$59,2,FALSE),""))),"")</f>
        <v/>
      </c>
      <c r="BB240" s="6" t="str">
        <f t="shared" si="71"/>
        <v>--</v>
      </c>
      <c r="BC240" s="6" t="str">
        <f t="shared" si="72"/>
        <v/>
      </c>
      <c r="BD240" s="6" t="str">
        <f t="shared" si="73"/>
        <v>--</v>
      </c>
      <c r="BE240" s="6" t="str">
        <f t="shared" si="81"/>
        <v/>
      </c>
      <c r="BF240" s="6"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6">
        <f>IF(ISNUMBER(F!E241)=FALSE,"--",IF(F!E241=0,"--",F!E241))</f>
        <v>5</v>
      </c>
      <c r="C241" s="6" t="str">
        <f>IF(B241="--","",F!F241)</f>
        <v>&lt;</v>
      </c>
      <c r="D241" s="6">
        <f>IF(ISNUMBER(F!G241)=FALSE,"--",IF(F!G241=0,"--",F!G241))</f>
        <v>5</v>
      </c>
      <c r="E241" s="6" t="str">
        <f>IF(D241="--","",F!H241)</f>
        <v>&lt;</v>
      </c>
      <c r="F241" s="6">
        <f>IF(ISNUMBER(F!I241)=FALSE,"--",IF(F!I241=0,"--",F!I241))</f>
        <v>5</v>
      </c>
      <c r="G241" s="6" t="str">
        <f>IF(F241="--","",F!J241)</f>
        <v>&lt;</v>
      </c>
      <c r="H241" s="6"/>
      <c r="I241" s="6">
        <f>IF(F!Z241=-1,-1,F!AV241)</f>
        <v>-1</v>
      </c>
      <c r="J241" s="6"/>
      <c r="K241" s="6">
        <f>IF(F!AC241=-1,-1,F!AX241)</f>
        <v>-1</v>
      </c>
      <c r="L241" s="6"/>
      <c r="M241" s="6">
        <f>IF(F!AF241=-1,-1,F!AZ241)</f>
        <v>-1</v>
      </c>
      <c r="N241" s="6"/>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6">
        <f t="shared" si="88"/>
        <v>-1</v>
      </c>
      <c r="R241" s="5" t="str">
        <f>IF($B241="--","",IF($P241="toetsen",toetsen(F!$B241,Q241),IF($P241="toetsen alleen IW",toetsen_alleen_IW(F!$B241,Q241),IF($P241="toetsen alleen LN",toetsen_alleen_LN(F!$B241,Q241),IF($P241="toetsen geen MV en SV",toetsen_geen_MV_en_SV(F!$B241,Q241),IF($P241="toetsen alleen MV en SV",toetsen_alleen_MV_en_SV(F!$B241,Q241),""))))))</f>
        <v/>
      </c>
      <c r="S241" s="5" t="str">
        <f>IF($P241="toetsen",IF(OR(Q241="",VLOOKUP(F!$B241,E!$B$1:$AK$300,10,FALSE)=1000000000),"",IF(Q241&lt;=VLOOKUP(F!$B241,E!$B$1:$AK$300,10,FALSE),"ja","nee")),"")</f>
        <v/>
      </c>
      <c r="T241" s="87">
        <f t="shared" si="83"/>
        <v>-1</v>
      </c>
      <c r="U241" s="5" t="str">
        <f>IF($D241="--","",IF($P241="toetsen",toetsen(F!$B241,T241),IF($P241="toetsen alleen IW",toetsen_alleen_IW(F!$B241,T241),IF($P241="toetsen alleen LN",toetsen_alleen_LN(F!$B241,T241),IF($P241="toetsen geen MV en SV",toetsen_geen_MV_en_SV(F!$B241,T241),IF($P241="toetsen alleen MV en SV",toetsen_alleen_MV_en_SV(F!$B241,T241),""))))))</f>
        <v/>
      </c>
      <c r="V241" s="5" t="str">
        <f>IF($P241="toetsen",IF(OR(T241="",VLOOKUP(F!$B241,E!$B$1:$AK$300,10,FALSE)=1000000000),"",IF(T241&lt;=VLOOKUP(F!$B241,E!$B$1:$AK$300,10,FALSE),"ja","nee")),"")</f>
        <v/>
      </c>
      <c r="W241" s="6">
        <f t="shared" si="84"/>
        <v>-1</v>
      </c>
      <c r="X241" s="5" t="str">
        <f>IF($F241="--","",IF($P241="toetsen",toetsen(F!$B241,W241),IF($P241="toetsen alleen IW",toetsen_alleen_IW(F!$B241,W241),IF($P241="toetsen alleen LN",toetsen_alleen_LN(F!$B241,W241),IF($P241="toetsen geen MV en SV",toetsen_geen_MV_en_SV(F!$B241,W241),IF($P241="toetsen alleen MV en SV",toetsen_alleen_MV_en_SV(F!$B241,W241),""))))))</f>
        <v/>
      </c>
      <c r="Y241" s="5" t="str">
        <f>IF($P241="toetsen",IF(OR(W241="",VLOOKUP(F!$B241,E!$B$1:$AK$300,10,FALSE)=1000000000),"",IF(W241&lt;=VLOOKUP(F!$B241,E!$B$1:$AK$300,10,FALSE),"ja","nee")),"")</f>
        <v/>
      </c>
      <c r="AA241" s="4"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6" t="str">
        <f t="shared" si="85"/>
        <v>5,0</v>
      </c>
      <c r="AJ241" s="6"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rg</v>
      </c>
      <c r="AK241" s="6" t="str">
        <f t="shared" si="86"/>
        <v>5,0</v>
      </c>
      <c r="AL241" s="6"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rg</v>
      </c>
      <c r="AM241" s="6" t="str">
        <f t="shared" si="87"/>
        <v>5,0</v>
      </c>
      <c r="AN241" s="6"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rg</v>
      </c>
      <c r="AP241" s="6" t="str">
        <f t="shared" si="74"/>
        <v>5,0</v>
      </c>
      <c r="AQ241" s="6" t="str">
        <f t="shared" si="75"/>
        <v>&lt;</v>
      </c>
      <c r="AR241" s="6" t="str">
        <f t="shared" si="76"/>
        <v>rg</v>
      </c>
      <c r="AS241" s="6" t="str">
        <f t="shared" si="77"/>
        <v>&lt;</v>
      </c>
      <c r="AT241" s="6" t="str">
        <f t="shared" si="78"/>
        <v/>
      </c>
      <c r="AU241" s="6" t="str">
        <f>IFERROR(IF(AR241="--","",IF(HLOOKUP(SMALL($Q$4:$Y$4,3),$Q$4:$Y$501,ROW(AP241)-3,FALSE)=0,"",IF(HLOOKUP(SMALL($Q$4:$Y$4,3),$Q$4:$Y$501,ROW(AP241)-3,FALSE)="nee",VLOOKUP("De kwaliteitseis emissiearme grond (maximale concentratie) wordt overschreden.",H!$O$10:'H'!$P$59,2,FALSE),""))),"")</f>
        <v/>
      </c>
      <c r="AV241" s="6" t="str">
        <f t="shared" si="68"/>
        <v>5,0</v>
      </c>
      <c r="AW241" s="6" t="str">
        <f t="shared" si="69"/>
        <v>&lt;</v>
      </c>
      <c r="AX241" s="6" t="str">
        <f t="shared" si="70"/>
        <v>rg</v>
      </c>
      <c r="AY241" s="6" t="str">
        <f t="shared" si="79"/>
        <v>&lt;</v>
      </c>
      <c r="AZ241" s="6" t="str">
        <f t="shared" si="80"/>
        <v/>
      </c>
      <c r="BA241" s="6" t="str">
        <f>IFERROR(IF(AR241="--","",IF(HLOOKUP(SMALL($Q$4:$Y$4,6),$Q$4:$Y$501,ROW(AP241)-3,FALSE)=0,"",IF(HLOOKUP(SMALL($Q$4:$Y$4,6),$Q$4:$Y$501,ROW(AP241)-3,FALSE)="nee",VLOOKUP("De kwaliteitseis emissiearme grond (maximale concentratie) wordt overschreden.",H!$O$10:'H'!$P$59,2,FALSE),""))),"")</f>
        <v/>
      </c>
      <c r="BB241" s="6" t="str">
        <f t="shared" si="71"/>
        <v>5,0</v>
      </c>
      <c r="BC241" s="6" t="str">
        <f t="shared" si="72"/>
        <v>&lt;</v>
      </c>
      <c r="BD241" s="6" t="str">
        <f t="shared" si="73"/>
        <v>rg</v>
      </c>
      <c r="BE241" s="6" t="str">
        <f t="shared" si="81"/>
        <v>&lt;</v>
      </c>
      <c r="BF241" s="6"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6" t="str">
        <f>IF(ISNUMBER(F!E242)=FALSE,"--",IF(F!E242=0,"--",F!E242))</f>
        <v>--</v>
      </c>
      <c r="C242" s="6" t="str">
        <f>IF(B242="--","",F!F242)</f>
        <v/>
      </c>
      <c r="D242" s="6" t="str">
        <f>IF(ISNUMBER(F!G242)=FALSE,"--",IF(F!G242=0,"--",F!G242))</f>
        <v>--</v>
      </c>
      <c r="E242" s="6" t="str">
        <f>IF(D242="--","",F!H242)</f>
        <v/>
      </c>
      <c r="F242" s="6" t="str">
        <f>IF(ISNUMBER(F!I242)=FALSE,"--",IF(F!I242=0,"--",F!I242))</f>
        <v>--</v>
      </c>
      <c r="G242" s="6" t="str">
        <f>IF(F242="--","",F!J242)</f>
        <v/>
      </c>
      <c r="H242" s="6"/>
      <c r="I242" s="6" t="str">
        <f>IF(F!Z242=-1,-1,F!AV242)</f>
        <v/>
      </c>
      <c r="J242" s="6"/>
      <c r="K242" s="6" t="str">
        <f>IF(F!AC242=-1,-1,F!AX242)</f>
        <v/>
      </c>
      <c r="L242" s="6"/>
      <c r="M242" s="6" t="str">
        <f>IF(F!AF242=-1,-1,F!AZ242)</f>
        <v/>
      </c>
      <c r="N242" s="6"/>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6" t="str">
        <f t="shared" si="88"/>
        <v/>
      </c>
      <c r="R242" s="5" t="str">
        <f>IF($B242="--","",IF($P242="toetsen",toetsen(F!$B242,Q242),IF($P242="toetsen alleen IW",toetsen_alleen_IW(F!$B242,Q242),IF($P242="toetsen alleen LN",toetsen_alleen_LN(F!$B242,Q242),IF($P242="toetsen geen MV en SV",toetsen_geen_MV_en_SV(F!$B242,Q242),IF($P242="toetsen alleen MV en SV",toetsen_alleen_MV_en_SV(F!$B242,Q242),""))))))</f>
        <v/>
      </c>
      <c r="S242" s="5" t="str">
        <f>IF($P242="toetsen",IF(OR(Q242="",VLOOKUP(F!$B242,E!$B$1:$AK$300,10,FALSE)=1000000000),"",IF(Q242&lt;=VLOOKUP(F!$B242,E!$B$1:$AK$300,10,FALSE),"ja","nee")),"")</f>
        <v/>
      </c>
      <c r="T242" s="87" t="str">
        <f t="shared" si="83"/>
        <v/>
      </c>
      <c r="U242" s="5" t="str">
        <f>IF($D242="--","",IF($P242="toetsen",toetsen(F!$B242,T242),IF($P242="toetsen alleen IW",toetsen_alleen_IW(F!$B242,T242),IF($P242="toetsen alleen LN",toetsen_alleen_LN(F!$B242,T242),IF($P242="toetsen geen MV en SV",toetsen_geen_MV_en_SV(F!$B242,T242),IF($P242="toetsen alleen MV en SV",toetsen_alleen_MV_en_SV(F!$B242,T242),""))))))</f>
        <v/>
      </c>
      <c r="V242" s="5" t="str">
        <f>IF($P242="toetsen",IF(OR(T242="",VLOOKUP(F!$B242,E!$B$1:$AK$300,10,FALSE)=1000000000),"",IF(T242&lt;=VLOOKUP(F!$B242,E!$B$1:$AK$300,10,FALSE),"ja","nee")),"")</f>
        <v/>
      </c>
      <c r="W242" s="6" t="str">
        <f t="shared" si="84"/>
        <v/>
      </c>
      <c r="X242" s="5" t="str">
        <f>IF($F242="--","",IF($P242="toetsen",toetsen(F!$B242,W242),IF($P242="toetsen alleen IW",toetsen_alleen_IW(F!$B242,W242),IF($P242="toetsen alleen LN",toetsen_alleen_LN(F!$B242,W242),IF($P242="toetsen geen MV en SV",toetsen_geen_MV_en_SV(F!$B242,W242),IF($P242="toetsen alleen MV en SV",toetsen_alleen_MV_en_SV(F!$B242,W242),""))))))</f>
        <v/>
      </c>
      <c r="Y242" s="5" t="str">
        <f>IF($P242="toetsen",IF(OR(W242="",VLOOKUP(F!$B242,E!$B$1:$AK$300,10,FALSE)=1000000000),"",IF(W242&lt;=VLOOKUP(F!$B242,E!$B$1:$AK$300,10,FALSE),"ja","nee")),"")</f>
        <v/>
      </c>
      <c r="AA242" s="4"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6" t="str">
        <f t="shared" si="85"/>
        <v>--</v>
      </c>
      <c r="AJ242" s="6"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6" t="str">
        <f t="shared" si="86"/>
        <v>--</v>
      </c>
      <c r="AL242" s="6"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6" t="str">
        <f t="shared" si="87"/>
        <v>--</v>
      </c>
      <c r="AN242" s="6"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6" t="str">
        <f t="shared" si="74"/>
        <v>--</v>
      </c>
      <c r="AQ242" s="6" t="str">
        <f t="shared" si="75"/>
        <v/>
      </c>
      <c r="AR242" s="6" t="str">
        <f t="shared" si="76"/>
        <v>--</v>
      </c>
      <c r="AS242" s="6" t="str">
        <f t="shared" si="77"/>
        <v/>
      </c>
      <c r="AT242" s="6" t="str">
        <f t="shared" si="78"/>
        <v/>
      </c>
      <c r="AU242" s="6" t="str">
        <f>IFERROR(IF(AR242="--","",IF(HLOOKUP(SMALL($Q$4:$Y$4,3),$Q$4:$Y$501,ROW(AP242)-3,FALSE)=0,"",IF(HLOOKUP(SMALL($Q$4:$Y$4,3),$Q$4:$Y$501,ROW(AP242)-3,FALSE)="nee",VLOOKUP("De kwaliteitseis emissiearme grond (maximale concentratie) wordt overschreden.",H!$O$10:'H'!$P$59,2,FALSE),""))),"")</f>
        <v/>
      </c>
      <c r="AV242" s="6" t="str">
        <f t="shared" si="68"/>
        <v>--</v>
      </c>
      <c r="AW242" s="6" t="str">
        <f t="shared" si="69"/>
        <v/>
      </c>
      <c r="AX242" s="6" t="str">
        <f t="shared" si="70"/>
        <v>--</v>
      </c>
      <c r="AY242" s="6" t="str">
        <f t="shared" si="79"/>
        <v/>
      </c>
      <c r="AZ242" s="6" t="str">
        <f t="shared" si="80"/>
        <v/>
      </c>
      <c r="BA242" s="6" t="str">
        <f>IFERROR(IF(AR242="--","",IF(HLOOKUP(SMALL($Q$4:$Y$4,6),$Q$4:$Y$501,ROW(AP242)-3,FALSE)=0,"",IF(HLOOKUP(SMALL($Q$4:$Y$4,6),$Q$4:$Y$501,ROW(AP242)-3,FALSE)="nee",VLOOKUP("De kwaliteitseis emissiearme grond (maximale concentratie) wordt overschreden.",H!$O$10:'H'!$P$59,2,FALSE),""))),"")</f>
        <v/>
      </c>
      <c r="BB242" s="6" t="str">
        <f t="shared" si="71"/>
        <v>--</v>
      </c>
      <c r="BC242" s="6" t="str">
        <f t="shared" si="72"/>
        <v/>
      </c>
      <c r="BD242" s="6" t="str">
        <f t="shared" si="73"/>
        <v>--</v>
      </c>
      <c r="BE242" s="6" t="str">
        <f t="shared" si="81"/>
        <v/>
      </c>
      <c r="BF242" s="6"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6">
        <f>IF(ISNUMBER(F!E243)=FALSE,"--",IF(F!E243=0,"--",F!E243))</f>
        <v>5</v>
      </c>
      <c r="C243" s="6" t="str">
        <f>IF(B243="--","",F!F243)</f>
        <v>&lt;</v>
      </c>
      <c r="D243" s="6">
        <f>IF(ISNUMBER(F!G243)=FALSE,"--",IF(F!G243=0,"--",F!G243))</f>
        <v>5</v>
      </c>
      <c r="E243" s="6" t="str">
        <f>IF(D243="--","",F!H243)</f>
        <v>&lt;</v>
      </c>
      <c r="F243" s="6">
        <f>IF(ISNUMBER(F!I243)=FALSE,"--",IF(F!I243=0,"--",F!I243))</f>
        <v>5</v>
      </c>
      <c r="G243" s="6" t="str">
        <f>IF(F243="--","",F!J243)</f>
        <v>&lt;</v>
      </c>
      <c r="H243" s="6"/>
      <c r="I243" s="6">
        <f>IF(F!Z243=-1,-1,F!AV243)</f>
        <v>-1</v>
      </c>
      <c r="J243" s="6"/>
      <c r="K243" s="6">
        <f>IF(F!AC243=-1,-1,F!AX243)</f>
        <v>-1</v>
      </c>
      <c r="L243" s="6"/>
      <c r="M243" s="6">
        <f>IF(F!AF243=-1,-1,F!AZ243)</f>
        <v>-1</v>
      </c>
      <c r="N243" s="6"/>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6">
        <f t="shared" si="88"/>
        <v>-1</v>
      </c>
      <c r="R243" s="5" t="str">
        <f>IF($B243="--","",IF($P243="toetsen",toetsen(F!$B243,Q243),IF($P243="toetsen alleen IW",toetsen_alleen_IW(F!$B243,Q243),IF($P243="toetsen alleen LN",toetsen_alleen_LN(F!$B243,Q243),IF($P243="toetsen geen MV en SV",toetsen_geen_MV_en_SV(F!$B243,Q243),IF($P243="toetsen alleen MV en SV",toetsen_alleen_MV_en_SV(F!$B243,Q243),""))))))</f>
        <v/>
      </c>
      <c r="S243" s="5" t="str">
        <f>IF($P243="toetsen",IF(OR(Q243="",VLOOKUP(F!$B243,E!$B$1:$AK$300,10,FALSE)=1000000000),"",IF(Q243&lt;=VLOOKUP(F!$B243,E!$B$1:$AK$300,10,FALSE),"ja","nee")),"")</f>
        <v/>
      </c>
      <c r="T243" s="87">
        <f t="shared" si="83"/>
        <v>-1</v>
      </c>
      <c r="U243" s="5" t="str">
        <f>IF($D243="--","",IF($P243="toetsen",toetsen(F!$B243,T243),IF($P243="toetsen alleen IW",toetsen_alleen_IW(F!$B243,T243),IF($P243="toetsen alleen LN",toetsen_alleen_LN(F!$B243,T243),IF($P243="toetsen geen MV en SV",toetsen_geen_MV_en_SV(F!$B243,T243),IF($P243="toetsen alleen MV en SV",toetsen_alleen_MV_en_SV(F!$B243,T243),""))))))</f>
        <v/>
      </c>
      <c r="V243" s="5" t="str">
        <f>IF($P243="toetsen",IF(OR(T243="",VLOOKUP(F!$B243,E!$B$1:$AK$300,10,FALSE)=1000000000),"",IF(T243&lt;=VLOOKUP(F!$B243,E!$B$1:$AK$300,10,FALSE),"ja","nee")),"")</f>
        <v/>
      </c>
      <c r="W243" s="6">
        <f t="shared" si="84"/>
        <v>-1</v>
      </c>
      <c r="X243" s="5" t="str">
        <f>IF($F243="--","",IF($P243="toetsen",toetsen(F!$B243,W243),IF($P243="toetsen alleen IW",toetsen_alleen_IW(F!$B243,W243),IF($P243="toetsen alleen LN",toetsen_alleen_LN(F!$B243,W243),IF($P243="toetsen geen MV en SV",toetsen_geen_MV_en_SV(F!$B243,W243),IF($P243="toetsen alleen MV en SV",toetsen_alleen_MV_en_SV(F!$B243,W243),""))))))</f>
        <v/>
      </c>
      <c r="Y243" s="5" t="str">
        <f>IF($P243="toetsen",IF(OR(W243="",VLOOKUP(F!$B243,E!$B$1:$AK$300,10,FALSE)=1000000000),"",IF(W243&lt;=VLOOKUP(F!$B243,E!$B$1:$AK$300,10,FALSE),"ja","nee")),"")</f>
        <v/>
      </c>
      <c r="AA243" s="4"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6" t="str">
        <f t="shared" si="85"/>
        <v>5,0</v>
      </c>
      <c r="AJ243" s="6"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rg</v>
      </c>
      <c r="AK243" s="6" t="str">
        <f t="shared" si="86"/>
        <v>5,0</v>
      </c>
      <c r="AL243" s="6"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rg</v>
      </c>
      <c r="AM243" s="6" t="str">
        <f t="shared" si="87"/>
        <v>5,0</v>
      </c>
      <c r="AN243" s="6"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rg</v>
      </c>
      <c r="AP243" s="6" t="str">
        <f t="shared" si="74"/>
        <v>5,0</v>
      </c>
      <c r="AQ243" s="6" t="str">
        <f t="shared" si="75"/>
        <v>&lt;</v>
      </c>
      <c r="AR243" s="6" t="str">
        <f t="shared" si="76"/>
        <v>rg</v>
      </c>
      <c r="AS243" s="6" t="str">
        <f t="shared" si="77"/>
        <v>&lt;</v>
      </c>
      <c r="AT243" s="6" t="str">
        <f t="shared" si="78"/>
        <v/>
      </c>
      <c r="AU243" s="6" t="str">
        <f>IFERROR(IF(AR243="--","",IF(HLOOKUP(SMALL($Q$4:$Y$4,3),$Q$4:$Y$501,ROW(AP243)-3,FALSE)=0,"",IF(HLOOKUP(SMALL($Q$4:$Y$4,3),$Q$4:$Y$501,ROW(AP243)-3,FALSE)="nee",VLOOKUP("De kwaliteitseis emissiearme grond (maximale concentratie) wordt overschreden.",H!$O$10:'H'!$P$59,2,FALSE),""))),"")</f>
        <v/>
      </c>
      <c r="AV243" s="6" t="str">
        <f t="shared" si="68"/>
        <v>5,0</v>
      </c>
      <c r="AW243" s="6" t="str">
        <f t="shared" si="69"/>
        <v>&lt;</v>
      </c>
      <c r="AX243" s="6" t="str">
        <f t="shared" si="70"/>
        <v>rg</v>
      </c>
      <c r="AY243" s="6" t="str">
        <f t="shared" si="79"/>
        <v>&lt;</v>
      </c>
      <c r="AZ243" s="6" t="str">
        <f t="shared" si="80"/>
        <v/>
      </c>
      <c r="BA243" s="6" t="str">
        <f>IFERROR(IF(AR243="--","",IF(HLOOKUP(SMALL($Q$4:$Y$4,6),$Q$4:$Y$501,ROW(AP243)-3,FALSE)=0,"",IF(HLOOKUP(SMALL($Q$4:$Y$4,6),$Q$4:$Y$501,ROW(AP243)-3,FALSE)="nee",VLOOKUP("De kwaliteitseis emissiearme grond (maximale concentratie) wordt overschreden.",H!$O$10:'H'!$P$59,2,FALSE),""))),"")</f>
        <v/>
      </c>
      <c r="BB243" s="6" t="str">
        <f t="shared" si="71"/>
        <v>5,0</v>
      </c>
      <c r="BC243" s="6" t="str">
        <f t="shared" si="72"/>
        <v>&lt;</v>
      </c>
      <c r="BD243" s="6" t="str">
        <f t="shared" si="73"/>
        <v>rg</v>
      </c>
      <c r="BE243" s="6" t="str">
        <f t="shared" si="81"/>
        <v>&lt;</v>
      </c>
      <c r="BF243" s="6"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6" t="str">
        <f>IF(ISNUMBER(F!E244)=FALSE,"--",IF(F!E244=0,"--",F!E244))</f>
        <v>--</v>
      </c>
      <c r="C244" s="6" t="str">
        <f>IF(B244="--","",F!F244)</f>
        <v/>
      </c>
      <c r="D244" s="6" t="str">
        <f>IF(ISNUMBER(F!G244)=FALSE,"--",IF(F!G244=0,"--",F!G244))</f>
        <v>--</v>
      </c>
      <c r="E244" s="6" t="str">
        <f>IF(D244="--","",F!H244)</f>
        <v/>
      </c>
      <c r="F244" s="6" t="str">
        <f>IF(ISNUMBER(F!I244)=FALSE,"--",IF(F!I244=0,"--",F!I244))</f>
        <v>--</v>
      </c>
      <c r="G244" s="6" t="str">
        <f>IF(F244="--","",F!J244)</f>
        <v/>
      </c>
      <c r="H244" s="6"/>
      <c r="I244" s="6" t="str">
        <f>IF(F!Z244=-1,-1,F!AV244)</f>
        <v/>
      </c>
      <c r="J244" s="6"/>
      <c r="K244" s="6" t="str">
        <f>IF(F!AC244=-1,-1,F!AX244)</f>
        <v/>
      </c>
      <c r="L244" s="6"/>
      <c r="M244" s="6" t="str">
        <f>IF(F!AF244=-1,-1,F!AZ244)</f>
        <v/>
      </c>
      <c r="N244" s="6"/>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6" t="str">
        <f t="shared" si="88"/>
        <v/>
      </c>
      <c r="R244" s="5" t="str">
        <f>IF($B244="--","",IF($P244="toetsen",toetsen(F!$B244,Q244),IF($P244="toetsen alleen IW",toetsen_alleen_IW(F!$B244,Q244),IF($P244="toetsen alleen LN",toetsen_alleen_LN(F!$B244,Q244),IF($P244="toetsen geen MV en SV",toetsen_geen_MV_en_SV(F!$B244,Q244),IF($P244="toetsen alleen MV en SV",toetsen_alleen_MV_en_SV(F!$B244,Q244),""))))))</f>
        <v/>
      </c>
      <c r="S244" s="5" t="str">
        <f>IF($P244="toetsen",IF(OR(Q244="",VLOOKUP(F!$B244,E!$B$1:$AK$300,10,FALSE)=1000000000),"",IF(Q244&lt;=VLOOKUP(F!$B244,E!$B$1:$AK$300,10,FALSE),"ja","nee")),"")</f>
        <v/>
      </c>
      <c r="T244" s="87" t="str">
        <f t="shared" si="83"/>
        <v/>
      </c>
      <c r="U244" s="5" t="str">
        <f>IF($D244="--","",IF($P244="toetsen",toetsen(F!$B244,T244),IF($P244="toetsen alleen IW",toetsen_alleen_IW(F!$B244,T244),IF($P244="toetsen alleen LN",toetsen_alleen_LN(F!$B244,T244),IF($P244="toetsen geen MV en SV",toetsen_geen_MV_en_SV(F!$B244,T244),IF($P244="toetsen alleen MV en SV",toetsen_alleen_MV_en_SV(F!$B244,T244),""))))))</f>
        <v/>
      </c>
      <c r="V244" s="5" t="str">
        <f>IF($P244="toetsen",IF(OR(T244="",VLOOKUP(F!$B244,E!$B$1:$AK$300,10,FALSE)=1000000000),"",IF(T244&lt;=VLOOKUP(F!$B244,E!$B$1:$AK$300,10,FALSE),"ja","nee")),"")</f>
        <v/>
      </c>
      <c r="W244" s="6" t="str">
        <f t="shared" si="84"/>
        <v/>
      </c>
      <c r="X244" s="5" t="str">
        <f>IF($F244="--","",IF($P244="toetsen",toetsen(F!$B244,W244),IF($P244="toetsen alleen IW",toetsen_alleen_IW(F!$B244,W244),IF($P244="toetsen alleen LN",toetsen_alleen_LN(F!$B244,W244),IF($P244="toetsen geen MV en SV",toetsen_geen_MV_en_SV(F!$B244,W244),IF($P244="toetsen alleen MV en SV",toetsen_alleen_MV_en_SV(F!$B244,W244),""))))))</f>
        <v/>
      </c>
      <c r="Y244" s="5" t="str">
        <f>IF($P244="toetsen",IF(OR(W244="",VLOOKUP(F!$B244,E!$B$1:$AK$300,10,FALSE)=1000000000),"",IF(W244&lt;=VLOOKUP(F!$B244,E!$B$1:$AK$300,10,FALSE),"ja","nee")),"")</f>
        <v/>
      </c>
      <c r="AA244" s="4"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6" t="str">
        <f t="shared" si="85"/>
        <v>--</v>
      </c>
      <c r="AJ244" s="6"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6" t="str">
        <f t="shared" si="86"/>
        <v>--</v>
      </c>
      <c r="AL244" s="6"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6" t="str">
        <f t="shared" si="87"/>
        <v>--</v>
      </c>
      <c r="AN244" s="6"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6" t="str">
        <f t="shared" si="74"/>
        <v>--</v>
      </c>
      <c r="AQ244" s="6" t="str">
        <f t="shared" si="75"/>
        <v/>
      </c>
      <c r="AR244" s="6" t="str">
        <f t="shared" si="76"/>
        <v>--</v>
      </c>
      <c r="AS244" s="6" t="str">
        <f t="shared" si="77"/>
        <v/>
      </c>
      <c r="AT244" s="6" t="str">
        <f t="shared" si="78"/>
        <v/>
      </c>
      <c r="AU244" s="6" t="str">
        <f>IFERROR(IF(AR244="--","",IF(HLOOKUP(SMALL($Q$4:$Y$4,3),$Q$4:$Y$501,ROW(AP244)-3,FALSE)=0,"",IF(HLOOKUP(SMALL($Q$4:$Y$4,3),$Q$4:$Y$501,ROW(AP244)-3,FALSE)="nee",VLOOKUP("De kwaliteitseis emissiearme grond (maximale concentratie) wordt overschreden.",H!$O$10:'H'!$P$59,2,FALSE),""))),"")</f>
        <v/>
      </c>
      <c r="AV244" s="6" t="str">
        <f t="shared" si="68"/>
        <v>--</v>
      </c>
      <c r="AW244" s="6" t="str">
        <f t="shared" si="69"/>
        <v/>
      </c>
      <c r="AX244" s="6" t="str">
        <f t="shared" si="70"/>
        <v>--</v>
      </c>
      <c r="AY244" s="6" t="str">
        <f t="shared" si="79"/>
        <v/>
      </c>
      <c r="AZ244" s="6" t="str">
        <f t="shared" si="80"/>
        <v/>
      </c>
      <c r="BA244" s="6" t="str">
        <f>IFERROR(IF(AR244="--","",IF(HLOOKUP(SMALL($Q$4:$Y$4,6),$Q$4:$Y$501,ROW(AP244)-3,FALSE)=0,"",IF(HLOOKUP(SMALL($Q$4:$Y$4,6),$Q$4:$Y$501,ROW(AP244)-3,FALSE)="nee",VLOOKUP("De kwaliteitseis emissiearme grond (maximale concentratie) wordt overschreden.",H!$O$10:'H'!$P$59,2,FALSE),""))),"")</f>
        <v/>
      </c>
      <c r="BB244" s="6" t="str">
        <f t="shared" si="71"/>
        <v>--</v>
      </c>
      <c r="BC244" s="6" t="str">
        <f t="shared" si="72"/>
        <v/>
      </c>
      <c r="BD244" s="6" t="str">
        <f t="shared" si="73"/>
        <v>--</v>
      </c>
      <c r="BE244" s="6" t="str">
        <f t="shared" si="81"/>
        <v/>
      </c>
      <c r="BF244" s="6"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6" t="str">
        <f>IF(ISNUMBER(F!E245)=FALSE,"--",IF(F!E245=0,"--",F!E245))</f>
        <v>--</v>
      </c>
      <c r="C245" s="6" t="str">
        <f>IF(B245="--","",F!F245)</f>
        <v/>
      </c>
      <c r="D245" s="6" t="str">
        <f>IF(ISNUMBER(F!G245)=FALSE,"--",IF(F!G245=0,"--",F!G245))</f>
        <v>--</v>
      </c>
      <c r="E245" s="6" t="str">
        <f>IF(D245="--","",F!H245)</f>
        <v/>
      </c>
      <c r="F245" s="6" t="str">
        <f>IF(ISNUMBER(F!I245)=FALSE,"--",IF(F!I245=0,"--",F!I245))</f>
        <v>--</v>
      </c>
      <c r="G245" s="6" t="str">
        <f>IF(F245="--","",F!J245)</f>
        <v/>
      </c>
      <c r="H245" s="6"/>
      <c r="I245" s="6">
        <f>IF(F!Z245=-1,-1,F!AV245)</f>
        <v>0</v>
      </c>
      <c r="J245" s="6"/>
      <c r="K245" s="6">
        <f>IF(F!AC245=-1,-1,F!AX245)</f>
        <v>0</v>
      </c>
      <c r="L245" s="6"/>
      <c r="M245" s="6">
        <f>IF(F!AF245=-1,-1,F!AZ245)</f>
        <v>0</v>
      </c>
      <c r="N245" s="6"/>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6">
        <f t="shared" si="88"/>
        <v>0</v>
      </c>
      <c r="R245" s="5" t="str">
        <f>IF($B245="--","",IF($P245="toetsen",toetsen(F!$B245,Q245),IF($P245="toetsen alleen IW",toetsen_alleen_IW(F!$B245,Q245),IF($P245="toetsen alleen LN",toetsen_alleen_LN(F!$B245,Q245),IF($P245="toetsen geen MV en SV",toetsen_geen_MV_en_SV(F!$B245,Q245),IF($P245="toetsen alleen MV en SV",toetsen_alleen_MV_en_SV(F!$B245,Q245),""))))))</f>
        <v/>
      </c>
      <c r="S245" s="5" t="str">
        <f>IF($P245="toetsen",IF(OR(Q245="",VLOOKUP(F!$B245,E!$B$1:$AK$300,10,FALSE)=1000000000),"",IF(Q245&lt;=VLOOKUP(F!$B245,E!$B$1:$AK$300,10,FALSE),"ja","nee")),"")</f>
        <v/>
      </c>
      <c r="T245" s="87">
        <f t="shared" si="83"/>
        <v>0</v>
      </c>
      <c r="U245" s="5" t="str">
        <f>IF($D245="--","",IF($P245="toetsen",toetsen(F!$B245,T245),IF($P245="toetsen alleen IW",toetsen_alleen_IW(F!$B245,T245),IF($P245="toetsen alleen LN",toetsen_alleen_LN(F!$B245,T245),IF($P245="toetsen geen MV en SV",toetsen_geen_MV_en_SV(F!$B245,T245),IF($P245="toetsen alleen MV en SV",toetsen_alleen_MV_en_SV(F!$B245,T245),""))))))</f>
        <v/>
      </c>
      <c r="V245" s="5" t="str">
        <f>IF($P245="toetsen",IF(OR(T245="",VLOOKUP(F!$B245,E!$B$1:$AK$300,10,FALSE)=1000000000),"",IF(T245&lt;=VLOOKUP(F!$B245,E!$B$1:$AK$300,10,FALSE),"ja","nee")),"")</f>
        <v/>
      </c>
      <c r="W245" s="6">
        <f t="shared" si="84"/>
        <v>0</v>
      </c>
      <c r="X245" s="5" t="str">
        <f>IF($F245="--","",IF($P245="toetsen",toetsen(F!$B245,W245),IF($P245="toetsen alleen IW",toetsen_alleen_IW(F!$B245,W245),IF($P245="toetsen alleen LN",toetsen_alleen_LN(F!$B245,W245),IF($P245="toetsen geen MV en SV",toetsen_geen_MV_en_SV(F!$B245,W245),IF($P245="toetsen alleen MV en SV",toetsen_alleen_MV_en_SV(F!$B245,W245),""))))))</f>
        <v/>
      </c>
      <c r="Y245" s="5" t="str">
        <f>IF($P245="toetsen",IF(OR(W245="",VLOOKUP(F!$B245,E!$B$1:$AK$300,10,FALSE)=1000000000),"",IF(W245&lt;=VLOOKUP(F!$B245,E!$B$1:$AK$300,10,FALSE),"ja","nee")),"")</f>
        <v/>
      </c>
      <c r="AA245" s="4"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6" t="str">
        <f t="shared" si="85"/>
        <v>--</v>
      </c>
      <c r="AJ245" s="6"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6" t="str">
        <f t="shared" si="86"/>
        <v>--</v>
      </c>
      <c r="AL245" s="6"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6" t="str">
        <f t="shared" si="87"/>
        <v>--</v>
      </c>
      <c r="AN245" s="6"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6" t="str">
        <f t="shared" si="74"/>
        <v>--</v>
      </c>
      <c r="AQ245" s="6" t="str">
        <f t="shared" si="75"/>
        <v/>
      </c>
      <c r="AR245" s="6" t="str">
        <f t="shared" si="76"/>
        <v>--</v>
      </c>
      <c r="AS245" s="6" t="str">
        <f t="shared" si="77"/>
        <v/>
      </c>
      <c r="AT245" s="6" t="str">
        <f t="shared" si="78"/>
        <v/>
      </c>
      <c r="AU245" s="6" t="str">
        <f>IFERROR(IF(AR245="--","",IF(HLOOKUP(SMALL($Q$4:$Y$4,3),$Q$4:$Y$501,ROW(AP245)-3,FALSE)=0,"",IF(HLOOKUP(SMALL($Q$4:$Y$4,3),$Q$4:$Y$501,ROW(AP245)-3,FALSE)="nee",VLOOKUP("De kwaliteitseis emissiearme grond (maximale concentratie) wordt overschreden.",H!$O$10:'H'!$P$59,2,FALSE),""))),"")</f>
        <v/>
      </c>
      <c r="AV245" s="6" t="str">
        <f t="shared" si="68"/>
        <v>--</v>
      </c>
      <c r="AW245" s="6" t="str">
        <f t="shared" si="69"/>
        <v/>
      </c>
      <c r="AX245" s="6" t="str">
        <f t="shared" si="70"/>
        <v>--</v>
      </c>
      <c r="AY245" s="6" t="str">
        <f t="shared" si="79"/>
        <v/>
      </c>
      <c r="AZ245" s="6" t="str">
        <f t="shared" si="80"/>
        <v/>
      </c>
      <c r="BA245" s="6" t="str">
        <f>IFERROR(IF(AR245="--","",IF(HLOOKUP(SMALL($Q$4:$Y$4,6),$Q$4:$Y$501,ROW(AP245)-3,FALSE)=0,"",IF(HLOOKUP(SMALL($Q$4:$Y$4,6),$Q$4:$Y$501,ROW(AP245)-3,FALSE)="nee",VLOOKUP("De kwaliteitseis emissiearme grond (maximale concentratie) wordt overschreden.",H!$O$10:'H'!$P$59,2,FALSE),""))),"")</f>
        <v/>
      </c>
      <c r="BB245" s="6" t="str">
        <f t="shared" si="71"/>
        <v>--</v>
      </c>
      <c r="BC245" s="6" t="str">
        <f t="shared" si="72"/>
        <v/>
      </c>
      <c r="BD245" s="6" t="str">
        <f t="shared" si="73"/>
        <v>--</v>
      </c>
      <c r="BE245" s="6" t="str">
        <f t="shared" si="81"/>
        <v/>
      </c>
      <c r="BF245" s="6"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6">
        <f>IF(ISNUMBER(F!E246)=FALSE,"--",IF(F!E246=0,"--",F!E246))</f>
        <v>5</v>
      </c>
      <c r="C246" s="6" t="str">
        <f>IF(B246="--","",F!F246)</f>
        <v>&lt;</v>
      </c>
      <c r="D246" s="6">
        <f>IF(ISNUMBER(F!G246)=FALSE,"--",IF(F!G246=0,"--",F!G246))</f>
        <v>5</v>
      </c>
      <c r="E246" s="6" t="str">
        <f>IF(D246="--","",F!H246)</f>
        <v>&lt;</v>
      </c>
      <c r="F246" s="6">
        <f>IF(ISNUMBER(F!I246)=FALSE,"--",IF(F!I246=0,"--",F!I246))</f>
        <v>5</v>
      </c>
      <c r="G246" s="6" t="str">
        <f>IF(F246="--","",F!J246)</f>
        <v>&lt;</v>
      </c>
      <c r="H246" s="6"/>
      <c r="I246" s="6">
        <f>IF(F!Z246=-1,-1,F!AV246)</f>
        <v>-1</v>
      </c>
      <c r="J246" s="6"/>
      <c r="K246" s="6">
        <f>IF(F!AC246=-1,-1,F!AX246)</f>
        <v>-1</v>
      </c>
      <c r="L246" s="6"/>
      <c r="M246" s="6">
        <f>IF(F!AF246=-1,-1,F!AZ246)</f>
        <v>-1</v>
      </c>
      <c r="N246" s="6"/>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6">
        <f t="shared" si="88"/>
        <v>-1</v>
      </c>
      <c r="R246" s="5" t="str">
        <f>IF($B246="--","",IF($P246="toetsen",toetsen(F!$B246,Q246),IF($P246="toetsen alleen IW",toetsen_alleen_IW(F!$B246,Q246),IF($P246="toetsen alleen LN",toetsen_alleen_LN(F!$B246,Q246),IF($P246="toetsen geen MV en SV",toetsen_geen_MV_en_SV(F!$B246,Q246),IF($P246="toetsen alleen MV en SV",toetsen_alleen_MV_en_SV(F!$B246,Q246),""))))))</f>
        <v/>
      </c>
      <c r="S246" s="5" t="str">
        <f>IF($P246="toetsen",IF(OR(Q246="",VLOOKUP(F!$B246,E!$B$1:$AK$300,10,FALSE)=1000000000),"",IF(Q246&lt;=VLOOKUP(F!$B246,E!$B$1:$AK$300,10,FALSE),"ja","nee")),"")</f>
        <v/>
      </c>
      <c r="T246" s="87">
        <f t="shared" si="83"/>
        <v>-1</v>
      </c>
      <c r="U246" s="5" t="str">
        <f>IF($D246="--","",IF($P246="toetsen",toetsen(F!$B246,T246),IF($P246="toetsen alleen IW",toetsen_alleen_IW(F!$B246,T246),IF($P246="toetsen alleen LN",toetsen_alleen_LN(F!$B246,T246),IF($P246="toetsen geen MV en SV",toetsen_geen_MV_en_SV(F!$B246,T246),IF($P246="toetsen alleen MV en SV",toetsen_alleen_MV_en_SV(F!$B246,T246),""))))))</f>
        <v/>
      </c>
      <c r="V246" s="5" t="str">
        <f>IF($P246="toetsen",IF(OR(T246="",VLOOKUP(F!$B246,E!$B$1:$AK$300,10,FALSE)=1000000000),"",IF(T246&lt;=VLOOKUP(F!$B246,E!$B$1:$AK$300,10,FALSE),"ja","nee")),"")</f>
        <v/>
      </c>
      <c r="W246" s="6">
        <f t="shared" si="84"/>
        <v>-1</v>
      </c>
      <c r="X246" s="5" t="str">
        <f>IF($F246="--","",IF($P246="toetsen",toetsen(F!$B246,W246),IF($P246="toetsen alleen IW",toetsen_alleen_IW(F!$B246,W246),IF($P246="toetsen alleen LN",toetsen_alleen_LN(F!$B246,W246),IF($P246="toetsen geen MV en SV",toetsen_geen_MV_en_SV(F!$B246,W246),IF($P246="toetsen alleen MV en SV",toetsen_alleen_MV_en_SV(F!$B246,W246),""))))))</f>
        <v/>
      </c>
      <c r="Y246" s="5" t="str">
        <f>IF($P246="toetsen",IF(OR(W246="",VLOOKUP(F!$B246,E!$B$1:$AK$300,10,FALSE)=1000000000),"",IF(W246&lt;=VLOOKUP(F!$B246,E!$B$1:$AK$300,10,FALSE),"ja","nee")),"")</f>
        <v/>
      </c>
      <c r="AA246" s="4"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6" t="str">
        <f t="shared" si="85"/>
        <v>5,0</v>
      </c>
      <c r="AJ246" s="6"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rg</v>
      </c>
      <c r="AK246" s="6" t="str">
        <f t="shared" si="86"/>
        <v>5,0</v>
      </c>
      <c r="AL246" s="6"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rg</v>
      </c>
      <c r="AM246" s="6" t="str">
        <f t="shared" si="87"/>
        <v>5,0</v>
      </c>
      <c r="AN246" s="6"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rg</v>
      </c>
      <c r="AP246" s="6" t="str">
        <f t="shared" si="74"/>
        <v>5,0</v>
      </c>
      <c r="AQ246" s="6" t="str">
        <f t="shared" si="75"/>
        <v>&lt;</v>
      </c>
      <c r="AR246" s="6" t="str">
        <f t="shared" si="76"/>
        <v>rg</v>
      </c>
      <c r="AS246" s="6" t="str">
        <f t="shared" si="77"/>
        <v>&lt;</v>
      </c>
      <c r="AT246" s="6" t="str">
        <f t="shared" si="78"/>
        <v/>
      </c>
      <c r="AU246" s="6" t="str">
        <f>IFERROR(IF(AR246="--","",IF(HLOOKUP(SMALL($Q$4:$Y$4,3),$Q$4:$Y$501,ROW(AP246)-3,FALSE)=0,"",IF(HLOOKUP(SMALL($Q$4:$Y$4,3),$Q$4:$Y$501,ROW(AP246)-3,FALSE)="nee",VLOOKUP("De kwaliteitseis emissiearme grond (maximale concentratie) wordt overschreden.",H!$O$10:'H'!$P$59,2,FALSE),""))),"")</f>
        <v/>
      </c>
      <c r="AV246" s="6" t="str">
        <f t="shared" si="68"/>
        <v>5,0</v>
      </c>
      <c r="AW246" s="6" t="str">
        <f t="shared" si="69"/>
        <v>&lt;</v>
      </c>
      <c r="AX246" s="6" t="str">
        <f t="shared" si="70"/>
        <v>rg</v>
      </c>
      <c r="AY246" s="6" t="str">
        <f t="shared" si="79"/>
        <v>&lt;</v>
      </c>
      <c r="AZ246" s="6" t="str">
        <f t="shared" si="80"/>
        <v/>
      </c>
      <c r="BA246" s="6" t="str">
        <f>IFERROR(IF(AR246="--","",IF(HLOOKUP(SMALL($Q$4:$Y$4,6),$Q$4:$Y$501,ROW(AP246)-3,FALSE)=0,"",IF(HLOOKUP(SMALL($Q$4:$Y$4,6),$Q$4:$Y$501,ROW(AP246)-3,FALSE)="nee",VLOOKUP("De kwaliteitseis emissiearme grond (maximale concentratie) wordt overschreden.",H!$O$10:'H'!$P$59,2,FALSE),""))),"")</f>
        <v/>
      </c>
      <c r="BB246" s="6" t="str">
        <f t="shared" si="71"/>
        <v>5,0</v>
      </c>
      <c r="BC246" s="6" t="str">
        <f t="shared" si="72"/>
        <v>&lt;</v>
      </c>
      <c r="BD246" s="6" t="str">
        <f t="shared" si="73"/>
        <v>rg</v>
      </c>
      <c r="BE246" s="6" t="str">
        <f t="shared" si="81"/>
        <v>&lt;</v>
      </c>
      <c r="BF246" s="6"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6">
        <f>IF(ISNUMBER(F!E247)=FALSE,"--",IF(F!E247=0,"--",F!E247))</f>
        <v>5</v>
      </c>
      <c r="C247" s="6" t="str">
        <f>IF(B247="--","",F!F247)</f>
        <v>&lt;</v>
      </c>
      <c r="D247" s="6">
        <f>IF(ISNUMBER(F!G247)=FALSE,"--",IF(F!G247=0,"--",F!G247))</f>
        <v>5</v>
      </c>
      <c r="E247" s="6" t="str">
        <f>IF(D247="--","",F!H247)</f>
        <v>&lt;</v>
      </c>
      <c r="F247" s="6">
        <f>IF(ISNUMBER(F!I247)=FALSE,"--",IF(F!I247=0,"--",F!I247))</f>
        <v>5</v>
      </c>
      <c r="G247" s="6" t="str">
        <f>IF(F247="--","",F!J247)</f>
        <v>&lt;</v>
      </c>
      <c r="H247" s="6"/>
      <c r="I247" s="6">
        <f>IF(F!Z247=-1,-1,F!AV247)</f>
        <v>-1</v>
      </c>
      <c r="J247" s="6"/>
      <c r="K247" s="6">
        <f>IF(F!AC247=-1,-1,F!AX247)</f>
        <v>-1</v>
      </c>
      <c r="L247" s="6"/>
      <c r="M247" s="6">
        <f>IF(F!AF247=-1,-1,F!AZ247)</f>
        <v>-1</v>
      </c>
      <c r="N247" s="6"/>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6">
        <f t="shared" si="88"/>
        <v>-1</v>
      </c>
      <c r="R247" s="5" t="str">
        <f>IF($B247="--","",IF($P247="toetsen",toetsen(F!$B247,Q247),IF($P247="toetsen alleen IW",toetsen_alleen_IW(F!$B247,Q247),IF($P247="toetsen alleen LN",toetsen_alleen_LN(F!$B247,Q247),IF($P247="toetsen geen MV en SV",toetsen_geen_MV_en_SV(F!$B247,Q247),IF($P247="toetsen alleen MV en SV",toetsen_alleen_MV_en_SV(F!$B247,Q247),""))))))</f>
        <v/>
      </c>
      <c r="S247" s="5" t="str">
        <f>IF($P247="toetsen",IF(OR(Q247="",VLOOKUP(F!$B247,E!$B$1:$AK$300,10,FALSE)=1000000000),"",IF(Q247&lt;=VLOOKUP(F!$B247,E!$B$1:$AK$300,10,FALSE),"ja","nee")),"")</f>
        <v/>
      </c>
      <c r="T247" s="87">
        <f t="shared" si="83"/>
        <v>-1</v>
      </c>
      <c r="U247" s="5" t="str">
        <f>IF($D247="--","",IF($P247="toetsen",toetsen(F!$B247,T247),IF($P247="toetsen alleen IW",toetsen_alleen_IW(F!$B247,T247),IF($P247="toetsen alleen LN",toetsen_alleen_LN(F!$B247,T247),IF($P247="toetsen geen MV en SV",toetsen_geen_MV_en_SV(F!$B247,T247),IF($P247="toetsen alleen MV en SV",toetsen_alleen_MV_en_SV(F!$B247,T247),""))))))</f>
        <v/>
      </c>
      <c r="V247" s="5" t="str">
        <f>IF($P247="toetsen",IF(OR(T247="",VLOOKUP(F!$B247,E!$B$1:$AK$300,10,FALSE)=1000000000),"",IF(T247&lt;=VLOOKUP(F!$B247,E!$B$1:$AK$300,10,FALSE),"ja","nee")),"")</f>
        <v/>
      </c>
      <c r="W247" s="6">
        <f t="shared" si="84"/>
        <v>-1</v>
      </c>
      <c r="X247" s="5" t="str">
        <f>IF($F247="--","",IF($P247="toetsen",toetsen(F!$B247,W247),IF($P247="toetsen alleen IW",toetsen_alleen_IW(F!$B247,W247),IF($P247="toetsen alleen LN",toetsen_alleen_LN(F!$B247,W247),IF($P247="toetsen geen MV en SV",toetsen_geen_MV_en_SV(F!$B247,W247),IF($P247="toetsen alleen MV en SV",toetsen_alleen_MV_en_SV(F!$B247,W247),""))))))</f>
        <v/>
      </c>
      <c r="Y247" s="5" t="str">
        <f>IF($P247="toetsen",IF(OR(W247="",VLOOKUP(F!$B247,E!$B$1:$AK$300,10,FALSE)=1000000000),"",IF(W247&lt;=VLOOKUP(F!$B247,E!$B$1:$AK$300,10,FALSE),"ja","nee")),"")</f>
        <v/>
      </c>
      <c r="AA247" s="4"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6" t="str">
        <f t="shared" si="85"/>
        <v>5,0</v>
      </c>
      <c r="AJ247" s="6"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rg</v>
      </c>
      <c r="AK247" s="6" t="str">
        <f t="shared" si="86"/>
        <v>5,0</v>
      </c>
      <c r="AL247" s="6"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rg</v>
      </c>
      <c r="AM247" s="6" t="str">
        <f t="shared" si="87"/>
        <v>5,0</v>
      </c>
      <c r="AN247" s="6"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rg</v>
      </c>
      <c r="AP247" s="6" t="str">
        <f t="shared" si="74"/>
        <v>5,0</v>
      </c>
      <c r="AQ247" s="6" t="str">
        <f t="shared" si="75"/>
        <v>&lt;</v>
      </c>
      <c r="AR247" s="6" t="str">
        <f t="shared" si="76"/>
        <v>rg</v>
      </c>
      <c r="AS247" s="6" t="str">
        <f t="shared" si="77"/>
        <v>&lt;</v>
      </c>
      <c r="AT247" s="6" t="str">
        <f t="shared" si="78"/>
        <v/>
      </c>
      <c r="AU247" s="6" t="str">
        <f>IFERROR(IF(AR247="--","",IF(HLOOKUP(SMALL($Q$4:$Y$4,3),$Q$4:$Y$501,ROW(AP247)-3,FALSE)=0,"",IF(HLOOKUP(SMALL($Q$4:$Y$4,3),$Q$4:$Y$501,ROW(AP247)-3,FALSE)="nee",VLOOKUP("De kwaliteitseis emissiearme grond (maximale concentratie) wordt overschreden.",H!$O$10:'H'!$P$59,2,FALSE),""))),"")</f>
        <v/>
      </c>
      <c r="AV247" s="6" t="str">
        <f t="shared" si="68"/>
        <v>5,0</v>
      </c>
      <c r="AW247" s="6" t="str">
        <f t="shared" si="69"/>
        <v>&lt;</v>
      </c>
      <c r="AX247" s="6" t="str">
        <f t="shared" si="70"/>
        <v>rg</v>
      </c>
      <c r="AY247" s="6" t="str">
        <f t="shared" si="79"/>
        <v>&lt;</v>
      </c>
      <c r="AZ247" s="6" t="str">
        <f t="shared" si="80"/>
        <v/>
      </c>
      <c r="BA247" s="6" t="str">
        <f>IFERROR(IF(AR247="--","",IF(HLOOKUP(SMALL($Q$4:$Y$4,6),$Q$4:$Y$501,ROW(AP247)-3,FALSE)=0,"",IF(HLOOKUP(SMALL($Q$4:$Y$4,6),$Q$4:$Y$501,ROW(AP247)-3,FALSE)="nee",VLOOKUP("De kwaliteitseis emissiearme grond (maximale concentratie) wordt overschreden.",H!$O$10:'H'!$P$59,2,FALSE),""))),"")</f>
        <v/>
      </c>
      <c r="BB247" s="6" t="str">
        <f t="shared" si="71"/>
        <v>5,0</v>
      </c>
      <c r="BC247" s="6" t="str">
        <f t="shared" si="72"/>
        <v>&lt;</v>
      </c>
      <c r="BD247" s="6" t="str">
        <f t="shared" si="73"/>
        <v>rg</v>
      </c>
      <c r="BE247" s="6" t="str">
        <f t="shared" si="81"/>
        <v>&lt;</v>
      </c>
      <c r="BF247" s="6"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6">
        <f>IF(ISNUMBER(F!E248)=FALSE,"--",IF(F!E248=0,"--",F!E248))</f>
        <v>20</v>
      </c>
      <c r="C248" s="6" t="str">
        <f>IF(B248="--","",F!F248)</f>
        <v>&lt;</v>
      </c>
      <c r="D248" s="6">
        <f>IF(ISNUMBER(F!G248)=FALSE,"--",IF(F!G248=0,"--",F!G248))</f>
        <v>20</v>
      </c>
      <c r="E248" s="6" t="str">
        <f>IF(D248="--","",F!H248)</f>
        <v>&lt;</v>
      </c>
      <c r="F248" s="6">
        <f>IF(ISNUMBER(F!I248)=FALSE,"--",IF(F!I248=0,"--",F!I248))</f>
        <v>20</v>
      </c>
      <c r="G248" s="6" t="str">
        <f>IF(F248="--","",F!J248)</f>
        <v>&lt;</v>
      </c>
      <c r="H248" s="6"/>
      <c r="I248" s="6">
        <f>IF(F!Z248=-1,-1,F!AV248)</f>
        <v>-1</v>
      </c>
      <c r="J248" s="6"/>
      <c r="K248" s="6">
        <f>IF(F!AC248=-1,-1,F!AX248)</f>
        <v>-1</v>
      </c>
      <c r="L248" s="6"/>
      <c r="M248" s="6">
        <f>IF(F!AF248=-1,-1,F!AZ248)</f>
        <v>-1</v>
      </c>
      <c r="N248" s="6"/>
      <c r="P248" s="17"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6">
        <f t="shared" si="88"/>
        <v>-1</v>
      </c>
      <c r="R248" s="102" t="str">
        <f>IF($B248="--","",IF($P248="toetsen",toetsen(1200,Q248),IF($P248="toetsen alleen IW",toetsen_alleen_IW(1200,Q248),IF($P248="toetsen alleen LN",toetsen_alleen_LN(1200,Q248),IF($P248="toetsen geen MV en SV",toetsen_geen_MV_en_SV(1200,Q248),IF($P248="toetsen alleen MV en SV",toetsen_alleen_MV_en_SV(1200,Q248),""))))))</f>
        <v>-</v>
      </c>
      <c r="S248" s="102"/>
      <c r="T248" s="87">
        <f t="shared" si="83"/>
        <v>-1</v>
      </c>
      <c r="U248" s="102" t="str">
        <f>IF($D248="--","",IF($P248="toetsen",toetsen(1200,T248),IF($P248="toetsen alleen IW",toetsen_alleen_IW(1200,T248),IF($P248="toetsen alleen LN",toetsen_alleen_LN(1200,T248),IF($P248="toetsen geen MV en SV",toetsen_geen_MV_en_SV(1200,T248),IF($P248="toetsen alleen MV en SV",toetsen_alleen_MV_en_SV(1200,T248),""))))))</f>
        <v>-</v>
      </c>
      <c r="V248" s="102"/>
      <c r="W248" s="6">
        <f t="shared" si="84"/>
        <v>-1</v>
      </c>
      <c r="X248" s="102" t="str">
        <f>IF($F248="--","",IF($P248="toetsen",toetsen(1200,W248),IF($P248="toetsen alleen IW",toetsen_alleen_IW(1200,W248),IF($P248="toetsen alleen LN",toetsen_alleen_LN(1200,W248),IF($P248="toetsen geen MV en SV",toetsen_geen_MV_en_SV(1200,W248),IF($P248="toetsen alleen MV en SV",toetsen_alleen_MV_en_SV(1200,W248),""))))))</f>
        <v>-</v>
      </c>
      <c r="Y248" s="102"/>
      <c r="AA248" s="4"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6" t="str">
        <f t="shared" si="85"/>
        <v>20</v>
      </c>
      <c r="AJ248" s="6"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rg</v>
      </c>
      <c r="AK248" s="6" t="str">
        <f t="shared" si="86"/>
        <v>20</v>
      </c>
      <c r="AL248" s="6"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rg</v>
      </c>
      <c r="AM248" s="6" t="str">
        <f t="shared" si="87"/>
        <v>20</v>
      </c>
      <c r="AN248" s="6"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rg</v>
      </c>
      <c r="AP248" s="6" t="str">
        <f t="shared" si="74"/>
        <v>20</v>
      </c>
      <c r="AQ248" s="6" t="str">
        <f t="shared" si="75"/>
        <v>&lt;</v>
      </c>
      <c r="AR248" s="6" t="str">
        <f t="shared" si="76"/>
        <v>rg</v>
      </c>
      <c r="AS248" s="6" t="str">
        <f t="shared" si="77"/>
        <v>&lt;</v>
      </c>
      <c r="AT248" s="6" t="str">
        <f t="shared" si="78"/>
        <v>-</v>
      </c>
      <c r="AU248" s="6" t="str">
        <f>IFERROR(IF(AR248="--","",IF(HLOOKUP(SMALL($Q$4:$Y$4,3),$Q$4:$Y$501,ROW(AP248)-3,FALSE)=0,"",IF(HLOOKUP(SMALL($Q$4:$Y$4,3),$Q$4:$Y$501,ROW(AP248)-3,FALSE)="nee",VLOOKUP("De kwaliteitseis emissiearme grond (maximale concentratie) wordt overschreden.",H!$O$10:'H'!$P$59,2,FALSE),""))),"")</f>
        <v/>
      </c>
      <c r="AV248" s="6" t="str">
        <f t="shared" si="68"/>
        <v>20</v>
      </c>
      <c r="AW248" s="6" t="str">
        <f t="shared" si="69"/>
        <v>&lt;</v>
      </c>
      <c r="AX248" s="6" t="str">
        <f t="shared" si="70"/>
        <v>rg</v>
      </c>
      <c r="AY248" s="6" t="str">
        <f t="shared" si="79"/>
        <v>&lt;</v>
      </c>
      <c r="AZ248" s="6" t="str">
        <f t="shared" si="80"/>
        <v>-</v>
      </c>
      <c r="BA248" s="6" t="str">
        <f>IFERROR(IF(AR248="--","",IF(HLOOKUP(SMALL($Q$4:$Y$4,6),$Q$4:$Y$501,ROW(AP248)-3,FALSE)=0,"",IF(HLOOKUP(SMALL($Q$4:$Y$4,6),$Q$4:$Y$501,ROW(AP248)-3,FALSE)="nee",VLOOKUP("De kwaliteitseis emissiearme grond (maximale concentratie) wordt overschreden.",H!$O$10:'H'!$P$59,2,FALSE),""))),"")</f>
        <v/>
      </c>
      <c r="BB248" s="6" t="str">
        <f t="shared" si="71"/>
        <v>20</v>
      </c>
      <c r="BC248" s="6" t="str">
        <f t="shared" si="72"/>
        <v>&lt;</v>
      </c>
      <c r="BD248" s="6" t="str">
        <f t="shared" si="73"/>
        <v>rg</v>
      </c>
      <c r="BE248" s="6" t="str">
        <f t="shared" si="81"/>
        <v>&lt;</v>
      </c>
      <c r="BF248" s="6" t="str">
        <f t="shared" si="82"/>
        <v>-</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6" t="str">
        <f>IF(ISNUMBER(F!E249)=FALSE,"--",IF(F!E249=0,"--",F!E249))</f>
        <v>--</v>
      </c>
      <c r="C249" s="6" t="str">
        <f>IF(B249="--","",F!F249)</f>
        <v/>
      </c>
      <c r="D249" s="6" t="str">
        <f>IF(ISNUMBER(F!G249)=FALSE,"--",IF(F!G249=0,"--",F!G249))</f>
        <v>--</v>
      </c>
      <c r="E249" s="6" t="str">
        <f>IF(D249="--","",F!H249)</f>
        <v/>
      </c>
      <c r="F249" s="6" t="str">
        <f>IF(ISNUMBER(F!I249)=FALSE,"--",IF(F!I249=0,"--",F!I249))</f>
        <v>--</v>
      </c>
      <c r="G249" s="6" t="str">
        <f>IF(F249="--","",F!J249)</f>
        <v/>
      </c>
      <c r="H249" s="6"/>
      <c r="I249" s="6">
        <f>IF(F!Z249=-1,-1,F!AV249)</f>
        <v>0</v>
      </c>
      <c r="J249" s="6"/>
      <c r="K249" s="6">
        <f>IF(F!AC249=-1,-1,F!AX249)</f>
        <v>0</v>
      </c>
      <c r="L249" s="6"/>
      <c r="M249" s="6">
        <f>IF(F!AF249=-1,-1,F!AZ249)</f>
        <v>0</v>
      </c>
      <c r="N249" s="6"/>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6">
        <f t="shared" si="88"/>
        <v>0</v>
      </c>
      <c r="R249" s="5" t="str">
        <f>IF($B249="--","",IF($P249="toetsen",toetsen(F!$B249,Q249),IF($P249="toetsen alleen IW",toetsen_alleen_IW(F!$B249,Q249),IF($P249="toetsen alleen LN",toetsen_alleen_LN(F!$B249,Q249),IF($P249="toetsen geen MV en SV",toetsen_geen_MV_en_SV(F!$B249,Q249),IF($P249="toetsen alleen MV en SV",toetsen_alleen_MV_en_SV(F!$B249,Q249),""))))))</f>
        <v/>
      </c>
      <c r="S249" s="5" t="str">
        <f>IF($P249="toetsen",IF(OR(Q249="",VLOOKUP(F!$B249,E!$B$1:$AK$300,10,FALSE)=1000000000),"",IF(Q249&lt;=VLOOKUP(F!$B249,E!$B$1:$AK$300,10,FALSE),"ja","nee")),"")</f>
        <v/>
      </c>
      <c r="T249" s="87">
        <f t="shared" si="83"/>
        <v>0</v>
      </c>
      <c r="U249" s="5" t="str">
        <f>IF($D249="--","",IF($P249="toetsen",toetsen(F!$B249,T249),IF($P249="toetsen alleen IW",toetsen_alleen_IW(F!$B249,T249),IF($P249="toetsen alleen LN",toetsen_alleen_LN(F!$B249,T249),IF($P249="toetsen geen MV en SV",toetsen_geen_MV_en_SV(F!$B249,T249),IF($P249="toetsen alleen MV en SV",toetsen_alleen_MV_en_SV(F!$B249,T249),""))))))</f>
        <v/>
      </c>
      <c r="V249" s="5" t="str">
        <f>IF($P249="toetsen",IF(OR(T249="",VLOOKUP(F!$B249,E!$B$1:$AK$300,10,FALSE)=1000000000),"",IF(T249&lt;=VLOOKUP(F!$B249,E!$B$1:$AK$300,10,FALSE),"ja","nee")),"")</f>
        <v/>
      </c>
      <c r="W249" s="6">
        <f t="shared" si="84"/>
        <v>0</v>
      </c>
      <c r="X249" s="5" t="str">
        <f>IF($F249="--","",IF($P249="toetsen",toetsen(F!$B249,W249),IF($P249="toetsen alleen IW",toetsen_alleen_IW(F!$B249,W249),IF($P249="toetsen alleen LN",toetsen_alleen_LN(F!$B249,W249),IF($P249="toetsen geen MV en SV",toetsen_geen_MV_en_SV(F!$B249,W249),IF($P249="toetsen alleen MV en SV",toetsen_alleen_MV_en_SV(F!$B249,W249),""))))))</f>
        <v/>
      </c>
      <c r="Y249" s="5" t="str">
        <f>IF($P249="toetsen",IF(OR(W249="",VLOOKUP(F!$B249,E!$B$1:$AK$300,10,FALSE)=1000000000),"",IF(W249&lt;=VLOOKUP(F!$B249,E!$B$1:$AK$300,10,FALSE),"ja","nee")),"")</f>
        <v/>
      </c>
      <c r="AA249" s="4"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6" t="str">
        <f t="shared" si="85"/>
        <v>--</v>
      </c>
      <c r="AJ249" s="6"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6" t="str">
        <f t="shared" si="86"/>
        <v>--</v>
      </c>
      <c r="AL249" s="6"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6" t="str">
        <f t="shared" si="87"/>
        <v>--</v>
      </c>
      <c r="AN249" s="6"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6" t="str">
        <f t="shared" si="74"/>
        <v>--</v>
      </c>
      <c r="AQ249" s="6" t="str">
        <f t="shared" si="75"/>
        <v/>
      </c>
      <c r="AR249" s="6" t="str">
        <f t="shared" si="76"/>
        <v>--</v>
      </c>
      <c r="AS249" s="6" t="str">
        <f t="shared" si="77"/>
        <v/>
      </c>
      <c r="AT249" s="6" t="str">
        <f t="shared" si="78"/>
        <v/>
      </c>
      <c r="AU249" s="6" t="str">
        <f>IFERROR(IF(AR249="--","",IF(HLOOKUP(SMALL($Q$4:$Y$4,3),$Q$4:$Y$501,ROW(AP249)-3,FALSE)=0,"",IF(HLOOKUP(SMALL($Q$4:$Y$4,3),$Q$4:$Y$501,ROW(AP249)-3,FALSE)="nee",VLOOKUP("De kwaliteitseis emissiearme grond (maximale concentratie) wordt overschreden.",H!$O$10:'H'!$P$59,2,FALSE),""))),"")</f>
        <v/>
      </c>
      <c r="AV249" s="6" t="str">
        <f t="shared" si="68"/>
        <v>--</v>
      </c>
      <c r="AW249" s="6" t="str">
        <f t="shared" si="69"/>
        <v/>
      </c>
      <c r="AX249" s="6" t="str">
        <f t="shared" si="70"/>
        <v>--</v>
      </c>
      <c r="AY249" s="6" t="str">
        <f t="shared" si="79"/>
        <v/>
      </c>
      <c r="AZ249" s="6" t="str">
        <f t="shared" si="80"/>
        <v/>
      </c>
      <c r="BA249" s="6" t="str">
        <f>IFERROR(IF(AR249="--","",IF(HLOOKUP(SMALL($Q$4:$Y$4,6),$Q$4:$Y$501,ROW(AP249)-3,FALSE)=0,"",IF(HLOOKUP(SMALL($Q$4:$Y$4,6),$Q$4:$Y$501,ROW(AP249)-3,FALSE)="nee",VLOOKUP("De kwaliteitseis emissiearme grond (maximale concentratie) wordt overschreden.",H!$O$10:'H'!$P$59,2,FALSE),""))),"")</f>
        <v/>
      </c>
      <c r="BB249" s="6" t="str">
        <f t="shared" si="71"/>
        <v>--</v>
      </c>
      <c r="BC249" s="6" t="str">
        <f t="shared" si="72"/>
        <v/>
      </c>
      <c r="BD249" s="6" t="str">
        <f t="shared" si="73"/>
        <v>--</v>
      </c>
      <c r="BE249" s="6" t="str">
        <f t="shared" si="81"/>
        <v/>
      </c>
      <c r="BF249" s="6"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6" t="str">
        <f>IF(ISNUMBER(F!E250)=FALSE,"--",IF(F!E250=0,"--",F!E250))</f>
        <v>--</v>
      </c>
      <c r="C250" s="6" t="str">
        <f>IF(B250="--","",F!F250)</f>
        <v/>
      </c>
      <c r="D250" s="6" t="str">
        <f>IF(ISNUMBER(F!G250)=FALSE,"--",IF(F!G250=0,"--",F!G250))</f>
        <v>--</v>
      </c>
      <c r="E250" s="6" t="str">
        <f>IF(D250="--","",F!H250)</f>
        <v/>
      </c>
      <c r="F250" s="6" t="str">
        <f>IF(ISNUMBER(F!I250)=FALSE,"--",IF(F!I250=0,"--",F!I250))</f>
        <v>--</v>
      </c>
      <c r="G250" s="6" t="str">
        <f>IF(F250="--","",F!J250)</f>
        <v/>
      </c>
      <c r="H250" s="6"/>
      <c r="I250" s="6" t="str">
        <f>IF(F!Z250=-1,-1,F!AV250)</f>
        <v/>
      </c>
      <c r="J250" s="6"/>
      <c r="K250" s="6" t="str">
        <f>IF(F!AC250=-1,-1,F!AX250)</f>
        <v/>
      </c>
      <c r="L250" s="6"/>
      <c r="M250" s="6" t="str">
        <f>IF(F!AF250=-1,-1,F!AZ250)</f>
        <v/>
      </c>
      <c r="N250" s="6"/>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6" t="str">
        <f t="shared" si="88"/>
        <v/>
      </c>
      <c r="R250" s="5" t="str">
        <f>IF($B250="--","",IF($P250="toetsen",toetsen(F!$B250,Q250),IF($P250="toetsen alleen IW",toetsen_alleen_IW(F!$B250,Q250),IF($P250="toetsen alleen LN",toetsen_alleen_LN(F!$B250,Q250),IF($P250="toetsen geen MV en SV",toetsen_geen_MV_en_SV(F!$B250,Q250),IF($P250="toetsen alleen MV en SV",toetsen_alleen_MV_en_SV(F!$B250,Q250),""))))))</f>
        <v/>
      </c>
      <c r="S250" s="5" t="str">
        <f>IF($P250="toetsen",IF(OR(Q250="",VLOOKUP(F!$B250,E!$B$1:$AK$300,10,FALSE)=1000000000),"",IF(Q250&lt;=VLOOKUP(F!$B250,E!$B$1:$AK$300,10,FALSE),"ja","nee")),"")</f>
        <v/>
      </c>
      <c r="T250" s="87" t="str">
        <f t="shared" si="83"/>
        <v/>
      </c>
      <c r="U250" s="5" t="str">
        <f>IF($D250="--","",IF($P250="toetsen",toetsen(F!$B250,T250),IF($P250="toetsen alleen IW",toetsen_alleen_IW(F!$B250,T250),IF($P250="toetsen alleen LN",toetsen_alleen_LN(F!$B250,T250),IF($P250="toetsen geen MV en SV",toetsen_geen_MV_en_SV(F!$B250,T250),IF($P250="toetsen alleen MV en SV",toetsen_alleen_MV_en_SV(F!$B250,T250),""))))))</f>
        <v/>
      </c>
      <c r="V250" s="5" t="str">
        <f>IF($P250="toetsen",IF(OR(T250="",VLOOKUP(F!$B250,E!$B$1:$AK$300,10,FALSE)=1000000000),"",IF(T250&lt;=VLOOKUP(F!$B250,E!$B$1:$AK$300,10,FALSE),"ja","nee")),"")</f>
        <v/>
      </c>
      <c r="W250" s="6" t="str">
        <f t="shared" si="84"/>
        <v/>
      </c>
      <c r="X250" s="5" t="str">
        <f>IF($F250="--","",IF($P250="toetsen",toetsen(F!$B250,W250),IF($P250="toetsen alleen IW",toetsen_alleen_IW(F!$B250,W250),IF($P250="toetsen alleen LN",toetsen_alleen_LN(F!$B250,W250),IF($P250="toetsen geen MV en SV",toetsen_geen_MV_en_SV(F!$B250,W250),IF($P250="toetsen alleen MV en SV",toetsen_alleen_MV_en_SV(F!$B250,W250),""))))))</f>
        <v/>
      </c>
      <c r="Y250" s="5" t="str">
        <f>IF($P250="toetsen",IF(OR(W250="",VLOOKUP(F!$B250,E!$B$1:$AK$300,10,FALSE)=1000000000),"",IF(W250&lt;=VLOOKUP(F!$B250,E!$B$1:$AK$300,10,FALSE),"ja","nee")),"")</f>
        <v/>
      </c>
      <c r="AA250" s="4"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6" t="str">
        <f t="shared" si="85"/>
        <v>--</v>
      </c>
      <c r="AJ250" s="6"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6" t="str">
        <f t="shared" si="86"/>
        <v>--</v>
      </c>
      <c r="AL250" s="6"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6" t="str">
        <f t="shared" si="87"/>
        <v>--</v>
      </c>
      <c r="AN250" s="6"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6" t="str">
        <f t="shared" si="74"/>
        <v>--</v>
      </c>
      <c r="AQ250" s="6" t="str">
        <f t="shared" si="75"/>
        <v/>
      </c>
      <c r="AR250" s="6" t="str">
        <f t="shared" si="76"/>
        <v>--</v>
      </c>
      <c r="AS250" s="6" t="str">
        <f t="shared" si="77"/>
        <v/>
      </c>
      <c r="AT250" s="6" t="str">
        <f t="shared" si="78"/>
        <v/>
      </c>
      <c r="AU250" s="6" t="str">
        <f>IFERROR(IF(AR250="--","",IF(HLOOKUP(SMALL($Q$4:$Y$4,3),$Q$4:$Y$501,ROW(AP250)-3,FALSE)=0,"",IF(HLOOKUP(SMALL($Q$4:$Y$4,3),$Q$4:$Y$501,ROW(AP250)-3,FALSE)="nee",VLOOKUP("De kwaliteitseis emissiearme grond (maximale concentratie) wordt overschreden.",H!$O$10:'H'!$P$59,2,FALSE),""))),"")</f>
        <v/>
      </c>
      <c r="AV250" s="6" t="str">
        <f t="shared" si="68"/>
        <v>--</v>
      </c>
      <c r="AW250" s="6" t="str">
        <f t="shared" si="69"/>
        <v/>
      </c>
      <c r="AX250" s="6" t="str">
        <f t="shared" si="70"/>
        <v>--</v>
      </c>
      <c r="AY250" s="6" t="str">
        <f t="shared" si="79"/>
        <v/>
      </c>
      <c r="AZ250" s="6" t="str">
        <f t="shared" si="80"/>
        <v/>
      </c>
      <c r="BA250" s="6" t="str">
        <f>IFERROR(IF(AR250="--","",IF(HLOOKUP(SMALL($Q$4:$Y$4,6),$Q$4:$Y$501,ROW(AP250)-3,FALSE)=0,"",IF(HLOOKUP(SMALL($Q$4:$Y$4,6),$Q$4:$Y$501,ROW(AP250)-3,FALSE)="nee",VLOOKUP("De kwaliteitseis emissiearme grond (maximale concentratie) wordt overschreden.",H!$O$10:'H'!$P$59,2,FALSE),""))),"")</f>
        <v/>
      </c>
      <c r="BB250" s="6" t="str">
        <f t="shared" si="71"/>
        <v>--</v>
      </c>
      <c r="BC250" s="6" t="str">
        <f t="shared" si="72"/>
        <v/>
      </c>
      <c r="BD250" s="6" t="str">
        <f t="shared" si="73"/>
        <v>--</v>
      </c>
      <c r="BE250" s="6" t="str">
        <f t="shared" si="81"/>
        <v/>
      </c>
      <c r="BF250" s="6"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6" t="str">
        <f>IF(ISNUMBER(F!E251)=FALSE,"--",IF(F!E251=0,"--",F!E251))</f>
        <v>--</v>
      </c>
      <c r="C251" s="6" t="str">
        <f>IF(B251="--","",F!F251)</f>
        <v/>
      </c>
      <c r="D251" s="6" t="str">
        <f>IF(ISNUMBER(F!G251)=FALSE,"--",IF(F!G251=0,"--",F!G251))</f>
        <v>--</v>
      </c>
      <c r="E251" s="6" t="str">
        <f>IF(D251="--","",F!H251)</f>
        <v/>
      </c>
      <c r="F251" s="6" t="str">
        <f>IF(ISNUMBER(F!I251)=FALSE,"--",IF(F!I251=0,"--",F!I251))</f>
        <v>--</v>
      </c>
      <c r="G251" s="6" t="str">
        <f>IF(F251="--","",F!J251)</f>
        <v/>
      </c>
      <c r="H251" s="6"/>
      <c r="I251" s="6" t="str">
        <f>IF(F!Z251=-1,-1,F!AV251)</f>
        <v/>
      </c>
      <c r="J251" s="6"/>
      <c r="K251" s="6" t="str">
        <f>IF(F!AC251=-1,-1,F!AX251)</f>
        <v/>
      </c>
      <c r="L251" s="6"/>
      <c r="M251" s="6" t="str">
        <f>IF(F!AF251=-1,-1,F!AZ251)</f>
        <v/>
      </c>
      <c r="N251" s="6"/>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6" t="str">
        <f t="shared" si="88"/>
        <v/>
      </c>
      <c r="R251" s="5" t="str">
        <f>IF($B251="--","",IF($P251="toetsen",toetsen(F!$B251,Q251),IF($P251="toetsen alleen IW",toetsen_alleen_IW(F!$B251,Q251),IF($P251="toetsen alleen LN",toetsen_alleen_LN(F!$B251,Q251),IF($P251="toetsen geen MV en SV",toetsen_geen_MV_en_SV(F!$B251,Q251),IF($P251="toetsen alleen MV en SV",toetsen_alleen_MV_en_SV(F!$B251,Q251),""))))))</f>
        <v/>
      </c>
      <c r="S251" s="5" t="str">
        <f>IF($P251="toetsen",IF(OR(Q251="",VLOOKUP(F!$B251,E!$B$1:$AK$300,10,FALSE)=1000000000),"",IF(Q251&lt;=VLOOKUP(F!$B251,E!$B$1:$AK$300,10,FALSE),"ja","nee")),"")</f>
        <v/>
      </c>
      <c r="T251" s="87" t="str">
        <f t="shared" si="83"/>
        <v/>
      </c>
      <c r="U251" s="5" t="str">
        <f>IF($D251="--","",IF($P251="toetsen",toetsen(F!$B251,T251),IF($P251="toetsen alleen IW",toetsen_alleen_IW(F!$B251,T251),IF($P251="toetsen alleen LN",toetsen_alleen_LN(F!$B251,T251),IF($P251="toetsen geen MV en SV",toetsen_geen_MV_en_SV(F!$B251,T251),IF($P251="toetsen alleen MV en SV",toetsen_alleen_MV_en_SV(F!$B251,T251),""))))))</f>
        <v/>
      </c>
      <c r="V251" s="5" t="str">
        <f>IF($P251="toetsen",IF(OR(T251="",VLOOKUP(F!$B251,E!$B$1:$AK$300,10,FALSE)=1000000000),"",IF(T251&lt;=VLOOKUP(F!$B251,E!$B$1:$AK$300,10,FALSE),"ja","nee")),"")</f>
        <v/>
      </c>
      <c r="W251" s="6" t="str">
        <f t="shared" si="84"/>
        <v/>
      </c>
      <c r="X251" s="5" t="str">
        <f>IF($F251="--","",IF($P251="toetsen",toetsen(F!$B251,W251),IF($P251="toetsen alleen IW",toetsen_alleen_IW(F!$B251,W251),IF($P251="toetsen alleen LN",toetsen_alleen_LN(F!$B251,W251),IF($P251="toetsen geen MV en SV",toetsen_geen_MV_en_SV(F!$B251,W251),IF($P251="toetsen alleen MV en SV",toetsen_alleen_MV_en_SV(F!$B251,W251),""))))))</f>
        <v/>
      </c>
      <c r="Y251" s="5" t="str">
        <f>IF($P251="toetsen",IF(OR(W251="",VLOOKUP(F!$B251,E!$B$1:$AK$300,10,FALSE)=1000000000),"",IF(W251&lt;=VLOOKUP(F!$B251,E!$B$1:$AK$300,10,FALSE),"ja","nee")),"")</f>
        <v/>
      </c>
      <c r="AA251" s="4"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6" t="str">
        <f t="shared" si="85"/>
        <v>--</v>
      </c>
      <c r="AJ251" s="6"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6" t="str">
        <f t="shared" si="86"/>
        <v>--</v>
      </c>
      <c r="AL251" s="6"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6" t="str">
        <f t="shared" si="87"/>
        <v>--</v>
      </c>
      <c r="AN251" s="6"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6" t="str">
        <f t="shared" si="74"/>
        <v>--</v>
      </c>
      <c r="AQ251" s="6" t="str">
        <f t="shared" si="75"/>
        <v/>
      </c>
      <c r="AR251" s="6" t="str">
        <f t="shared" si="76"/>
        <v>--</v>
      </c>
      <c r="AS251" s="6" t="str">
        <f t="shared" si="77"/>
        <v/>
      </c>
      <c r="AT251" s="6" t="str">
        <f t="shared" si="78"/>
        <v/>
      </c>
      <c r="AU251" s="6" t="str">
        <f>IFERROR(IF(AR251="--","",IF(HLOOKUP(SMALL($Q$4:$Y$4,3),$Q$4:$Y$501,ROW(AP251)-3,FALSE)=0,"",IF(HLOOKUP(SMALL($Q$4:$Y$4,3),$Q$4:$Y$501,ROW(AP251)-3,FALSE)="nee",VLOOKUP("De kwaliteitseis emissiearme grond (maximale concentratie) wordt overschreden.",H!$O$10:'H'!$P$59,2,FALSE),""))),"")</f>
        <v/>
      </c>
      <c r="AV251" s="6" t="str">
        <f t="shared" si="68"/>
        <v>--</v>
      </c>
      <c r="AW251" s="6" t="str">
        <f t="shared" si="69"/>
        <v/>
      </c>
      <c r="AX251" s="6" t="str">
        <f t="shared" si="70"/>
        <v>--</v>
      </c>
      <c r="AY251" s="6" t="str">
        <f t="shared" si="79"/>
        <v/>
      </c>
      <c r="AZ251" s="6" t="str">
        <f t="shared" si="80"/>
        <v/>
      </c>
      <c r="BA251" s="6" t="str">
        <f>IFERROR(IF(AR251="--","",IF(HLOOKUP(SMALL($Q$4:$Y$4,6),$Q$4:$Y$501,ROW(AP251)-3,FALSE)=0,"",IF(HLOOKUP(SMALL($Q$4:$Y$4,6),$Q$4:$Y$501,ROW(AP251)-3,FALSE)="nee",VLOOKUP("De kwaliteitseis emissiearme grond (maximale concentratie) wordt overschreden.",H!$O$10:'H'!$P$59,2,FALSE),""))),"")</f>
        <v/>
      </c>
      <c r="BB251" s="6" t="str">
        <f t="shared" si="71"/>
        <v>--</v>
      </c>
      <c r="BC251" s="6" t="str">
        <f t="shared" si="72"/>
        <v/>
      </c>
      <c r="BD251" s="6" t="str">
        <f t="shared" si="73"/>
        <v>--</v>
      </c>
      <c r="BE251" s="6" t="str">
        <f t="shared" si="81"/>
        <v/>
      </c>
      <c r="BF251" s="6"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6" t="str">
        <f>IF(ISNUMBER(F!E252)=FALSE,"--",IF(F!E252=0,"--",F!E252))</f>
        <v>--</v>
      </c>
      <c r="C252" s="6" t="str">
        <f>IF(B252="--","",F!F252)</f>
        <v/>
      </c>
      <c r="D252" s="6" t="str">
        <f>IF(ISNUMBER(F!G252)=FALSE,"--",IF(F!G252=0,"--",F!G252))</f>
        <v>--</v>
      </c>
      <c r="E252" s="6" t="str">
        <f>IF(D252="--","",F!H252)</f>
        <v/>
      </c>
      <c r="F252" s="6" t="str">
        <f>IF(ISNUMBER(F!I252)=FALSE,"--",IF(F!I252=0,"--",F!I252))</f>
        <v>--</v>
      </c>
      <c r="G252" s="6" t="str">
        <f>IF(F252="--","",F!J252)</f>
        <v/>
      </c>
      <c r="H252" s="6"/>
      <c r="I252" s="6" t="str">
        <f>IF(F!Z252=-1,-1,F!AV252)</f>
        <v/>
      </c>
      <c r="J252" s="6"/>
      <c r="K252" s="6" t="str">
        <f>IF(F!AC252=-1,-1,F!AX252)</f>
        <v/>
      </c>
      <c r="L252" s="6"/>
      <c r="M252" s="6" t="str">
        <f>IF(F!AF252=-1,-1,F!AZ252)</f>
        <v/>
      </c>
      <c r="N252" s="6"/>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6" t="str">
        <f t="shared" si="88"/>
        <v/>
      </c>
      <c r="R252" s="5" t="str">
        <f>IF($B252="--","",IF($P252="toetsen",toetsen(F!$B252,Q252),IF($P252="toetsen alleen IW",toetsen_alleen_IW(F!$B252,Q252),IF($P252="toetsen alleen LN",toetsen_alleen_LN(F!$B252,Q252),IF($P252="toetsen geen MV en SV",toetsen_geen_MV_en_SV(F!$B252,Q252),IF($P252="toetsen alleen MV en SV",toetsen_alleen_MV_en_SV(F!$B252,Q252),""))))))</f>
        <v/>
      </c>
      <c r="S252" s="5" t="str">
        <f>IF($P252="toetsen",IF(OR(Q252="",VLOOKUP(F!$B252,E!$B$1:$AK$300,10,FALSE)=1000000000),"",IF(Q252&lt;=VLOOKUP(F!$B252,E!$B$1:$AK$300,10,FALSE),"ja","nee")),"")</f>
        <v/>
      </c>
      <c r="T252" s="87" t="str">
        <f t="shared" si="83"/>
        <v/>
      </c>
      <c r="U252" s="5" t="str">
        <f>IF($D252="--","",IF($P252="toetsen",toetsen(F!$B252,T252),IF($P252="toetsen alleen IW",toetsen_alleen_IW(F!$B252,T252),IF($P252="toetsen alleen LN",toetsen_alleen_LN(F!$B252,T252),IF($P252="toetsen geen MV en SV",toetsen_geen_MV_en_SV(F!$B252,T252),IF($P252="toetsen alleen MV en SV",toetsen_alleen_MV_en_SV(F!$B252,T252),""))))))</f>
        <v/>
      </c>
      <c r="V252" s="5" t="str">
        <f>IF($P252="toetsen",IF(OR(T252="",VLOOKUP(F!$B252,E!$B$1:$AK$300,10,FALSE)=1000000000),"",IF(T252&lt;=VLOOKUP(F!$B252,E!$B$1:$AK$300,10,FALSE),"ja","nee")),"")</f>
        <v/>
      </c>
      <c r="W252" s="6" t="str">
        <f t="shared" si="84"/>
        <v/>
      </c>
      <c r="X252" s="5" t="str">
        <f>IF($F252="--","",IF($P252="toetsen",toetsen(F!$B252,W252),IF($P252="toetsen alleen IW",toetsen_alleen_IW(F!$B252,W252),IF($P252="toetsen alleen LN",toetsen_alleen_LN(F!$B252,W252),IF($P252="toetsen geen MV en SV",toetsen_geen_MV_en_SV(F!$B252,W252),IF($P252="toetsen alleen MV en SV",toetsen_alleen_MV_en_SV(F!$B252,W252),""))))))</f>
        <v/>
      </c>
      <c r="Y252" s="5" t="str">
        <f>IF($P252="toetsen",IF(OR(W252="",VLOOKUP(F!$B252,E!$B$1:$AK$300,10,FALSE)=1000000000),"",IF(W252&lt;=VLOOKUP(F!$B252,E!$B$1:$AK$300,10,FALSE),"ja","nee")),"")</f>
        <v/>
      </c>
      <c r="AA252" s="4"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6" t="str">
        <f t="shared" si="85"/>
        <v>--</v>
      </c>
      <c r="AJ252" s="6"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6" t="str">
        <f t="shared" si="86"/>
        <v>--</v>
      </c>
      <c r="AL252" s="6"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6" t="str">
        <f t="shared" si="87"/>
        <v>--</v>
      </c>
      <c r="AN252" s="6"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6" t="str">
        <f t="shared" si="74"/>
        <v>--</v>
      </c>
      <c r="AQ252" s="6" t="str">
        <f t="shared" si="75"/>
        <v/>
      </c>
      <c r="AR252" s="6" t="str">
        <f t="shared" si="76"/>
        <v>--</v>
      </c>
      <c r="AS252" s="6" t="str">
        <f t="shared" si="77"/>
        <v/>
      </c>
      <c r="AT252" s="6" t="str">
        <f t="shared" si="78"/>
        <v/>
      </c>
      <c r="AU252" s="6" t="str">
        <f>IFERROR(IF(AR252="--","",IF(HLOOKUP(SMALL($Q$4:$Y$4,3),$Q$4:$Y$501,ROW(AP252)-3,FALSE)=0,"",IF(HLOOKUP(SMALL($Q$4:$Y$4,3),$Q$4:$Y$501,ROW(AP252)-3,FALSE)="nee",VLOOKUP("De kwaliteitseis emissiearme grond (maximale concentratie) wordt overschreden.",H!$O$10:'H'!$P$59,2,FALSE),""))),"")</f>
        <v/>
      </c>
      <c r="AV252" s="6" t="str">
        <f t="shared" si="68"/>
        <v>--</v>
      </c>
      <c r="AW252" s="6" t="str">
        <f t="shared" si="69"/>
        <v/>
      </c>
      <c r="AX252" s="6" t="str">
        <f t="shared" si="70"/>
        <v>--</v>
      </c>
      <c r="AY252" s="6" t="str">
        <f t="shared" si="79"/>
        <v/>
      </c>
      <c r="AZ252" s="6" t="str">
        <f t="shared" si="80"/>
        <v/>
      </c>
      <c r="BA252" s="6" t="str">
        <f>IFERROR(IF(AR252="--","",IF(HLOOKUP(SMALL($Q$4:$Y$4,6),$Q$4:$Y$501,ROW(AP252)-3,FALSE)=0,"",IF(HLOOKUP(SMALL($Q$4:$Y$4,6),$Q$4:$Y$501,ROW(AP252)-3,FALSE)="nee",VLOOKUP("De kwaliteitseis emissiearme grond (maximale concentratie) wordt overschreden.",H!$O$10:'H'!$P$59,2,FALSE),""))),"")</f>
        <v/>
      </c>
      <c r="BB252" s="6" t="str">
        <f t="shared" si="71"/>
        <v>--</v>
      </c>
      <c r="BC252" s="6" t="str">
        <f t="shared" si="72"/>
        <v/>
      </c>
      <c r="BD252" s="6" t="str">
        <f t="shared" si="73"/>
        <v>--</v>
      </c>
      <c r="BE252" s="6" t="str">
        <f t="shared" si="81"/>
        <v/>
      </c>
      <c r="BF252" s="6"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6" t="str">
        <f>IF(ISNUMBER(F!E253)=FALSE,"--",IF(F!E253=0,"--",F!E253))</f>
        <v>--</v>
      </c>
      <c r="C253" s="6" t="str">
        <f>IF(B253="--","",F!F253)</f>
        <v/>
      </c>
      <c r="D253" s="6" t="str">
        <f>IF(ISNUMBER(F!G253)=FALSE,"--",IF(F!G253=0,"--",F!G253))</f>
        <v>--</v>
      </c>
      <c r="E253" s="6" t="str">
        <f>IF(D253="--","",F!H253)</f>
        <v/>
      </c>
      <c r="F253" s="6" t="str">
        <f>IF(ISNUMBER(F!I253)=FALSE,"--",IF(F!I253=0,"--",F!I253))</f>
        <v>--</v>
      </c>
      <c r="G253" s="6" t="str">
        <f>IF(F253="--","",F!J253)</f>
        <v/>
      </c>
      <c r="H253" s="6"/>
      <c r="I253" s="6" t="str">
        <f>IF(F!Z253=-1,-1,F!AV253)</f>
        <v/>
      </c>
      <c r="J253" s="6"/>
      <c r="K253" s="6" t="str">
        <f>IF(F!AC253=-1,-1,F!AX253)</f>
        <v/>
      </c>
      <c r="L253" s="6"/>
      <c r="M253" s="6" t="str">
        <f>IF(F!AF253=-1,-1,F!AZ253)</f>
        <v/>
      </c>
      <c r="N253" s="6"/>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6" t="str">
        <f t="shared" si="88"/>
        <v/>
      </c>
      <c r="R253" s="5" t="str">
        <f>IF($B253="--","",IF($P253="toetsen",toetsen(F!$B253,Q253),IF($P253="toetsen alleen IW",toetsen_alleen_IW(F!$B253,Q253),IF($P253="toetsen alleen LN",toetsen_alleen_LN(F!$B253,Q253),IF($P253="toetsen geen MV en SV",toetsen_geen_MV_en_SV(F!$B253,Q253),IF($P253="toetsen alleen MV en SV",toetsen_alleen_MV_en_SV(F!$B253,Q253),""))))))</f>
        <v/>
      </c>
      <c r="S253" s="5" t="str">
        <f>IF($P253="toetsen",IF(OR(Q253="",VLOOKUP(F!$B253,E!$B$1:$AK$300,10,FALSE)=1000000000),"",IF(Q253&lt;=VLOOKUP(F!$B253,E!$B$1:$AK$300,10,FALSE),"ja","nee")),"")</f>
        <v/>
      </c>
      <c r="T253" s="87" t="str">
        <f t="shared" si="83"/>
        <v/>
      </c>
      <c r="U253" s="5" t="str">
        <f>IF($D253="--","",IF($P253="toetsen",toetsen(F!$B253,T253),IF($P253="toetsen alleen IW",toetsen_alleen_IW(F!$B253,T253),IF($P253="toetsen alleen LN",toetsen_alleen_LN(F!$B253,T253),IF($P253="toetsen geen MV en SV",toetsen_geen_MV_en_SV(F!$B253,T253),IF($P253="toetsen alleen MV en SV",toetsen_alleen_MV_en_SV(F!$B253,T253),""))))))</f>
        <v/>
      </c>
      <c r="V253" s="5" t="str">
        <f>IF($P253="toetsen",IF(OR(T253="",VLOOKUP(F!$B253,E!$B$1:$AK$300,10,FALSE)=1000000000),"",IF(T253&lt;=VLOOKUP(F!$B253,E!$B$1:$AK$300,10,FALSE),"ja","nee")),"")</f>
        <v/>
      </c>
      <c r="W253" s="6" t="str">
        <f t="shared" si="84"/>
        <v/>
      </c>
      <c r="X253" s="5" t="str">
        <f>IF($F253="--","",IF($P253="toetsen",toetsen(F!$B253,W253),IF($P253="toetsen alleen IW",toetsen_alleen_IW(F!$B253,W253),IF($P253="toetsen alleen LN",toetsen_alleen_LN(F!$B253,W253),IF($P253="toetsen geen MV en SV",toetsen_geen_MV_en_SV(F!$B253,W253),IF($P253="toetsen alleen MV en SV",toetsen_alleen_MV_en_SV(F!$B253,W253),""))))))</f>
        <v/>
      </c>
      <c r="Y253" s="5" t="str">
        <f>IF($P253="toetsen",IF(OR(W253="",VLOOKUP(F!$B253,E!$B$1:$AK$300,10,FALSE)=1000000000),"",IF(W253&lt;=VLOOKUP(F!$B253,E!$B$1:$AK$300,10,FALSE),"ja","nee")),"")</f>
        <v/>
      </c>
      <c r="AA253" s="4"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6" t="str">
        <f t="shared" si="85"/>
        <v>--</v>
      </c>
      <c r="AJ253" s="6"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6" t="str">
        <f t="shared" si="86"/>
        <v>--</v>
      </c>
      <c r="AL253" s="6"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6" t="str">
        <f t="shared" si="87"/>
        <v>--</v>
      </c>
      <c r="AN253" s="6"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6" t="str">
        <f t="shared" si="74"/>
        <v>--</v>
      </c>
      <c r="AQ253" s="6" t="str">
        <f t="shared" si="75"/>
        <v/>
      </c>
      <c r="AR253" s="6" t="str">
        <f t="shared" si="76"/>
        <v>--</v>
      </c>
      <c r="AS253" s="6" t="str">
        <f t="shared" si="77"/>
        <v/>
      </c>
      <c r="AT253" s="6" t="str">
        <f t="shared" si="78"/>
        <v/>
      </c>
      <c r="AU253" s="6" t="str">
        <f>IFERROR(IF(AR253="--","",IF(HLOOKUP(SMALL($Q$4:$Y$4,3),$Q$4:$Y$501,ROW(AP253)-3,FALSE)=0,"",IF(HLOOKUP(SMALL($Q$4:$Y$4,3),$Q$4:$Y$501,ROW(AP253)-3,FALSE)="nee",VLOOKUP("De kwaliteitseis emissiearme grond (maximale concentratie) wordt overschreden.",H!$O$10:'H'!$P$59,2,FALSE),""))),"")</f>
        <v/>
      </c>
      <c r="AV253" s="6" t="str">
        <f t="shared" si="68"/>
        <v>--</v>
      </c>
      <c r="AW253" s="6" t="str">
        <f t="shared" si="69"/>
        <v/>
      </c>
      <c r="AX253" s="6" t="str">
        <f t="shared" si="70"/>
        <v>--</v>
      </c>
      <c r="AY253" s="6" t="str">
        <f t="shared" si="79"/>
        <v/>
      </c>
      <c r="AZ253" s="6" t="str">
        <f t="shared" si="80"/>
        <v/>
      </c>
      <c r="BA253" s="6" t="str">
        <f>IFERROR(IF(AR253="--","",IF(HLOOKUP(SMALL($Q$4:$Y$4,6),$Q$4:$Y$501,ROW(AP253)-3,FALSE)=0,"",IF(HLOOKUP(SMALL($Q$4:$Y$4,6),$Q$4:$Y$501,ROW(AP253)-3,FALSE)="nee",VLOOKUP("De kwaliteitseis emissiearme grond (maximale concentratie) wordt overschreden.",H!$O$10:'H'!$P$59,2,FALSE),""))),"")</f>
        <v/>
      </c>
      <c r="BB253" s="6" t="str">
        <f t="shared" si="71"/>
        <v>--</v>
      </c>
      <c r="BC253" s="6" t="str">
        <f t="shared" si="72"/>
        <v/>
      </c>
      <c r="BD253" s="6" t="str">
        <f t="shared" si="73"/>
        <v>--</v>
      </c>
      <c r="BE253" s="6" t="str">
        <f t="shared" si="81"/>
        <v/>
      </c>
      <c r="BF253" s="6"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6" t="str">
        <f>IF(ISNUMBER(F!E254)=FALSE,"--",IF(F!E254=0,"--",F!E254))</f>
        <v>--</v>
      </c>
      <c r="C254" s="6" t="str">
        <f>IF(B254="--","",F!F254)</f>
        <v/>
      </c>
      <c r="D254" s="6" t="str">
        <f>IF(ISNUMBER(F!G254)=FALSE,"--",IF(F!G254=0,"--",F!G254))</f>
        <v>--</v>
      </c>
      <c r="E254" s="6" t="str">
        <f>IF(D254="--","",F!H254)</f>
        <v/>
      </c>
      <c r="F254" s="6" t="str">
        <f>IF(ISNUMBER(F!I254)=FALSE,"--",IF(F!I254=0,"--",F!I254))</f>
        <v>--</v>
      </c>
      <c r="G254" s="6" t="str">
        <f>IF(F254="--","",F!J254)</f>
        <v/>
      </c>
      <c r="H254" s="6"/>
      <c r="I254" s="6" t="str">
        <f>IF(F!Z254=-1,-1,F!AV254)</f>
        <v/>
      </c>
      <c r="J254" s="6"/>
      <c r="K254" s="6" t="str">
        <f>IF(F!AC254=-1,-1,F!AX254)</f>
        <v/>
      </c>
      <c r="L254" s="6"/>
      <c r="M254" s="6" t="str">
        <f>IF(F!AF254=-1,-1,F!AZ254)</f>
        <v/>
      </c>
      <c r="N254" s="6"/>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6" t="str">
        <f t="shared" si="88"/>
        <v/>
      </c>
      <c r="R254" s="5" t="str">
        <f>IF($B254="--","",IF($P254="toetsen",toetsen(F!$B254,Q254),IF($P254="toetsen alleen IW",toetsen_alleen_IW(F!$B254,Q254),IF($P254="toetsen alleen LN",toetsen_alleen_LN(F!$B254,Q254),IF($P254="toetsen geen MV en SV",toetsen_geen_MV_en_SV(F!$B254,Q254),IF($P254="toetsen alleen MV en SV",toetsen_alleen_MV_en_SV(F!$B254,Q254),""))))))</f>
        <v/>
      </c>
      <c r="S254" s="5" t="str">
        <f>IF($P254="toetsen",IF(OR(Q254="",VLOOKUP(F!$B254,E!$B$1:$AK$300,10,FALSE)=1000000000),"",IF(Q254&lt;=VLOOKUP(F!$B254,E!$B$1:$AK$300,10,FALSE),"ja","nee")),"")</f>
        <v/>
      </c>
      <c r="T254" s="87" t="str">
        <f t="shared" si="83"/>
        <v/>
      </c>
      <c r="U254" s="5" t="str">
        <f>IF($D254="--","",IF($P254="toetsen",toetsen(F!$B254,T254),IF($P254="toetsen alleen IW",toetsen_alleen_IW(F!$B254,T254),IF($P254="toetsen alleen LN",toetsen_alleen_LN(F!$B254,T254),IF($P254="toetsen geen MV en SV",toetsen_geen_MV_en_SV(F!$B254,T254),IF($P254="toetsen alleen MV en SV",toetsen_alleen_MV_en_SV(F!$B254,T254),""))))))</f>
        <v/>
      </c>
      <c r="V254" s="5" t="str">
        <f>IF($P254="toetsen",IF(OR(T254="",VLOOKUP(F!$B254,E!$B$1:$AK$300,10,FALSE)=1000000000),"",IF(T254&lt;=VLOOKUP(F!$B254,E!$B$1:$AK$300,10,FALSE),"ja","nee")),"")</f>
        <v/>
      </c>
      <c r="W254" s="6" t="str">
        <f t="shared" si="84"/>
        <v/>
      </c>
      <c r="X254" s="5" t="str">
        <f>IF($F254="--","",IF($P254="toetsen",toetsen(F!$B254,W254),IF($P254="toetsen alleen IW",toetsen_alleen_IW(F!$B254,W254),IF($P254="toetsen alleen LN",toetsen_alleen_LN(F!$B254,W254),IF($P254="toetsen geen MV en SV",toetsen_geen_MV_en_SV(F!$B254,W254),IF($P254="toetsen alleen MV en SV",toetsen_alleen_MV_en_SV(F!$B254,W254),""))))))</f>
        <v/>
      </c>
      <c r="Y254" s="5" t="str">
        <f>IF($P254="toetsen",IF(OR(W254="",VLOOKUP(F!$B254,E!$B$1:$AK$300,10,FALSE)=1000000000),"",IF(W254&lt;=VLOOKUP(F!$B254,E!$B$1:$AK$300,10,FALSE),"ja","nee")),"")</f>
        <v/>
      </c>
      <c r="AA254" s="4"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6" t="str">
        <f t="shared" si="85"/>
        <v>--</v>
      </c>
      <c r="AJ254" s="6"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6" t="str">
        <f t="shared" si="86"/>
        <v>--</v>
      </c>
      <c r="AL254" s="6"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6" t="str">
        <f t="shared" si="87"/>
        <v>--</v>
      </c>
      <c r="AN254" s="6"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6" t="str">
        <f t="shared" si="74"/>
        <v>--</v>
      </c>
      <c r="AQ254" s="6" t="str">
        <f t="shared" si="75"/>
        <v/>
      </c>
      <c r="AR254" s="6" t="str">
        <f t="shared" si="76"/>
        <v>--</v>
      </c>
      <c r="AS254" s="6" t="str">
        <f t="shared" si="77"/>
        <v/>
      </c>
      <c r="AT254" s="6" t="str">
        <f t="shared" si="78"/>
        <v/>
      </c>
      <c r="AU254" s="6" t="str">
        <f>IFERROR(IF(AR254="--","",IF(HLOOKUP(SMALL($Q$4:$Y$4,3),$Q$4:$Y$501,ROW(AP254)-3,FALSE)=0,"",IF(HLOOKUP(SMALL($Q$4:$Y$4,3),$Q$4:$Y$501,ROW(AP254)-3,FALSE)="nee",VLOOKUP("De kwaliteitseis emissiearme grond (maximale concentratie) wordt overschreden.",H!$O$10:'H'!$P$59,2,FALSE),""))),"")</f>
        <v/>
      </c>
      <c r="AV254" s="6" t="str">
        <f t="shared" si="68"/>
        <v>--</v>
      </c>
      <c r="AW254" s="6" t="str">
        <f t="shared" si="69"/>
        <v/>
      </c>
      <c r="AX254" s="6" t="str">
        <f t="shared" si="70"/>
        <v>--</v>
      </c>
      <c r="AY254" s="6" t="str">
        <f t="shared" si="79"/>
        <v/>
      </c>
      <c r="AZ254" s="6" t="str">
        <f t="shared" si="80"/>
        <v/>
      </c>
      <c r="BA254" s="6" t="str">
        <f>IFERROR(IF(AR254="--","",IF(HLOOKUP(SMALL($Q$4:$Y$4,6),$Q$4:$Y$501,ROW(AP254)-3,FALSE)=0,"",IF(HLOOKUP(SMALL($Q$4:$Y$4,6),$Q$4:$Y$501,ROW(AP254)-3,FALSE)="nee",VLOOKUP("De kwaliteitseis emissiearme grond (maximale concentratie) wordt overschreden.",H!$O$10:'H'!$P$59,2,FALSE),""))),"")</f>
        <v/>
      </c>
      <c r="BB254" s="6" t="str">
        <f t="shared" si="71"/>
        <v>--</v>
      </c>
      <c r="BC254" s="6" t="str">
        <f t="shared" si="72"/>
        <v/>
      </c>
      <c r="BD254" s="6" t="str">
        <f t="shared" si="73"/>
        <v>--</v>
      </c>
      <c r="BE254" s="6" t="str">
        <f t="shared" si="81"/>
        <v/>
      </c>
      <c r="BF254" s="6"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6" t="str">
        <f>IF(ISNUMBER(F!E255)=FALSE,"--",IF(F!E255=0,"--",F!E255))</f>
        <v>--</v>
      </c>
      <c r="C255" s="6" t="str">
        <f>IF(B255="--","",F!F255)</f>
        <v/>
      </c>
      <c r="D255" s="6" t="str">
        <f>IF(ISNUMBER(F!G255)=FALSE,"--",IF(F!G255=0,"--",F!G255))</f>
        <v>--</v>
      </c>
      <c r="E255" s="6" t="str">
        <f>IF(D255="--","",F!H255)</f>
        <v/>
      </c>
      <c r="F255" s="6" t="str">
        <f>IF(ISNUMBER(F!I255)=FALSE,"--",IF(F!I255=0,"--",F!I255))</f>
        <v>--</v>
      </c>
      <c r="G255" s="6" t="str">
        <f>IF(F255="--","",F!J255)</f>
        <v/>
      </c>
      <c r="H255" s="6"/>
      <c r="I255" s="6" t="str">
        <f>IF(F!Z255=-1,-1,F!AV255)</f>
        <v/>
      </c>
      <c r="J255" s="6"/>
      <c r="K255" s="6" t="str">
        <f>IF(F!AC255=-1,-1,F!AX255)</f>
        <v/>
      </c>
      <c r="L255" s="6"/>
      <c r="M255" s="6" t="str">
        <f>IF(F!AF255=-1,-1,F!AZ255)</f>
        <v/>
      </c>
      <c r="N255" s="6"/>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6" t="str">
        <f t="shared" si="88"/>
        <v/>
      </c>
      <c r="R255" s="5" t="str">
        <f>IF($B255="--","",IF($P255="toetsen",toetsen(F!$B255,Q255),IF($P255="toetsen alleen IW",toetsen_alleen_IW(F!$B255,Q255),IF($P255="toetsen alleen LN",toetsen_alleen_LN(F!$B255,Q255),IF($P255="toetsen geen MV en SV",toetsen_geen_MV_en_SV(F!$B255,Q255),IF($P255="toetsen alleen MV en SV",toetsen_alleen_MV_en_SV(F!$B255,Q255),""))))))</f>
        <v/>
      </c>
      <c r="S255" s="5" t="str">
        <f>IF($P255="toetsen",IF(OR(Q255="",VLOOKUP(F!$B255,E!$B$1:$AK$300,10,FALSE)=1000000000),"",IF(Q255&lt;=VLOOKUP(F!$B255,E!$B$1:$AK$300,10,FALSE),"ja","nee")),"")</f>
        <v/>
      </c>
      <c r="T255" s="87" t="str">
        <f t="shared" si="83"/>
        <v/>
      </c>
      <c r="U255" s="5" t="str">
        <f>IF($D255="--","",IF($P255="toetsen",toetsen(F!$B255,T255),IF($P255="toetsen alleen IW",toetsen_alleen_IW(F!$B255,T255),IF($P255="toetsen alleen LN",toetsen_alleen_LN(F!$B255,T255),IF($P255="toetsen geen MV en SV",toetsen_geen_MV_en_SV(F!$B255,T255),IF($P255="toetsen alleen MV en SV",toetsen_alleen_MV_en_SV(F!$B255,T255),""))))))</f>
        <v/>
      </c>
      <c r="V255" s="5" t="str">
        <f>IF($P255="toetsen",IF(OR(T255="",VLOOKUP(F!$B255,E!$B$1:$AK$300,10,FALSE)=1000000000),"",IF(T255&lt;=VLOOKUP(F!$B255,E!$B$1:$AK$300,10,FALSE),"ja","nee")),"")</f>
        <v/>
      </c>
      <c r="W255" s="6" t="str">
        <f t="shared" si="84"/>
        <v/>
      </c>
      <c r="X255" s="5" t="str">
        <f>IF($F255="--","",IF($P255="toetsen",toetsen(F!$B255,W255),IF($P255="toetsen alleen IW",toetsen_alleen_IW(F!$B255,W255),IF($P255="toetsen alleen LN",toetsen_alleen_LN(F!$B255,W255),IF($P255="toetsen geen MV en SV",toetsen_geen_MV_en_SV(F!$B255,W255),IF($P255="toetsen alleen MV en SV",toetsen_alleen_MV_en_SV(F!$B255,W255),""))))))</f>
        <v/>
      </c>
      <c r="Y255" s="5" t="str">
        <f>IF($P255="toetsen",IF(OR(W255="",VLOOKUP(F!$B255,E!$B$1:$AK$300,10,FALSE)=1000000000),"",IF(W255&lt;=VLOOKUP(F!$B255,E!$B$1:$AK$300,10,FALSE),"ja","nee")),"")</f>
        <v/>
      </c>
      <c r="AA255" s="4"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6" t="str">
        <f t="shared" si="85"/>
        <v>--</v>
      </c>
      <c r="AJ255" s="6"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6" t="str">
        <f t="shared" si="86"/>
        <v>--</v>
      </c>
      <c r="AL255" s="6"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6" t="str">
        <f t="shared" si="87"/>
        <v>--</v>
      </c>
      <c r="AN255" s="6"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6" t="str">
        <f t="shared" si="74"/>
        <v>--</v>
      </c>
      <c r="AQ255" s="6" t="str">
        <f t="shared" si="75"/>
        <v/>
      </c>
      <c r="AR255" s="6" t="str">
        <f t="shared" si="76"/>
        <v>--</v>
      </c>
      <c r="AS255" s="6" t="str">
        <f t="shared" si="77"/>
        <v/>
      </c>
      <c r="AT255" s="6" t="str">
        <f t="shared" si="78"/>
        <v/>
      </c>
      <c r="AU255" s="6" t="str">
        <f>IFERROR(IF(AR255="--","",IF(HLOOKUP(SMALL($Q$4:$Y$4,3),$Q$4:$Y$501,ROW(AP255)-3,FALSE)=0,"",IF(HLOOKUP(SMALL($Q$4:$Y$4,3),$Q$4:$Y$501,ROW(AP255)-3,FALSE)="nee",VLOOKUP("De kwaliteitseis emissiearme grond (maximale concentratie) wordt overschreden.",H!$O$10:'H'!$P$59,2,FALSE),""))),"")</f>
        <v/>
      </c>
      <c r="AV255" s="6" t="str">
        <f t="shared" si="68"/>
        <v>--</v>
      </c>
      <c r="AW255" s="6" t="str">
        <f t="shared" si="69"/>
        <v/>
      </c>
      <c r="AX255" s="6" t="str">
        <f t="shared" si="70"/>
        <v>--</v>
      </c>
      <c r="AY255" s="6" t="str">
        <f t="shared" si="79"/>
        <v/>
      </c>
      <c r="AZ255" s="6" t="str">
        <f t="shared" si="80"/>
        <v/>
      </c>
      <c r="BA255" s="6" t="str">
        <f>IFERROR(IF(AR255="--","",IF(HLOOKUP(SMALL($Q$4:$Y$4,6),$Q$4:$Y$501,ROW(AP255)-3,FALSE)=0,"",IF(HLOOKUP(SMALL($Q$4:$Y$4,6),$Q$4:$Y$501,ROW(AP255)-3,FALSE)="nee",VLOOKUP("De kwaliteitseis emissiearme grond (maximale concentratie) wordt overschreden.",H!$O$10:'H'!$P$59,2,FALSE),""))),"")</f>
        <v/>
      </c>
      <c r="BB255" s="6" t="str">
        <f t="shared" si="71"/>
        <v>--</v>
      </c>
      <c r="BC255" s="6" t="str">
        <f t="shared" si="72"/>
        <v/>
      </c>
      <c r="BD255" s="6" t="str">
        <f t="shared" si="73"/>
        <v>--</v>
      </c>
      <c r="BE255" s="6" t="str">
        <f t="shared" si="81"/>
        <v/>
      </c>
      <c r="BF255" s="6"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6" t="str">
        <f>IF(ISNUMBER(F!E256)=FALSE,"--",IF(F!E256=0,"--",F!E256))</f>
        <v>--</v>
      </c>
      <c r="C256" s="6" t="str">
        <f>IF(B256="--","",F!F256)</f>
        <v/>
      </c>
      <c r="D256" s="6" t="str">
        <f>IF(ISNUMBER(F!G256)=FALSE,"--",IF(F!G256=0,"--",F!G256))</f>
        <v>--</v>
      </c>
      <c r="E256" s="6" t="str">
        <f>IF(D256="--","",F!H256)</f>
        <v/>
      </c>
      <c r="F256" s="6" t="str">
        <f>IF(ISNUMBER(F!I256)=FALSE,"--",IF(F!I256=0,"--",F!I256))</f>
        <v>--</v>
      </c>
      <c r="G256" s="6" t="str">
        <f>IF(F256="--","",F!J256)</f>
        <v/>
      </c>
      <c r="H256" s="6"/>
      <c r="I256" s="6" t="str">
        <f>IF(F!Z256=-1,-1,F!AV256)</f>
        <v/>
      </c>
      <c r="J256" s="6"/>
      <c r="K256" s="6" t="str">
        <f>IF(F!AC256=-1,-1,F!AX256)</f>
        <v/>
      </c>
      <c r="L256" s="6"/>
      <c r="M256" s="6" t="str">
        <f>IF(F!AF256=-1,-1,F!AZ256)</f>
        <v/>
      </c>
      <c r="N256" s="6"/>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6" t="str">
        <f t="shared" si="88"/>
        <v/>
      </c>
      <c r="R256" s="5" t="str">
        <f>IF($B256="--","",IF($P256="toetsen",toetsen(F!$B256,Q256),IF($P256="toetsen alleen IW",toetsen_alleen_IW(F!$B256,Q256),IF($P256="toetsen alleen LN",toetsen_alleen_LN(F!$B256,Q256),IF($P256="toetsen geen MV en SV",toetsen_geen_MV_en_SV(F!$B256,Q256),IF($P256="toetsen alleen MV en SV",toetsen_alleen_MV_en_SV(F!$B256,Q256),""))))))</f>
        <v/>
      </c>
      <c r="S256" s="5" t="str">
        <f>IF($P256="toetsen",IF(OR(Q256="",VLOOKUP(F!$B256,E!$B$1:$AK$300,10,FALSE)=1000000000),"",IF(Q256&lt;=VLOOKUP(F!$B256,E!$B$1:$AK$300,10,FALSE),"ja","nee")),"")</f>
        <v/>
      </c>
      <c r="T256" s="87" t="str">
        <f t="shared" si="83"/>
        <v/>
      </c>
      <c r="U256" s="5" t="str">
        <f>IF($D256="--","",IF($P256="toetsen",toetsen(F!$B256,T256),IF($P256="toetsen alleen IW",toetsen_alleen_IW(F!$B256,T256),IF($P256="toetsen alleen LN",toetsen_alleen_LN(F!$B256,T256),IF($P256="toetsen geen MV en SV",toetsen_geen_MV_en_SV(F!$B256,T256),IF($P256="toetsen alleen MV en SV",toetsen_alleen_MV_en_SV(F!$B256,T256),""))))))</f>
        <v/>
      </c>
      <c r="V256" s="5" t="str">
        <f>IF($P256="toetsen",IF(OR(T256="",VLOOKUP(F!$B256,E!$B$1:$AK$300,10,FALSE)=1000000000),"",IF(T256&lt;=VLOOKUP(F!$B256,E!$B$1:$AK$300,10,FALSE),"ja","nee")),"")</f>
        <v/>
      </c>
      <c r="W256" s="6" t="str">
        <f t="shared" si="84"/>
        <v/>
      </c>
      <c r="X256" s="5" t="str">
        <f>IF($F256="--","",IF($P256="toetsen",toetsen(F!$B256,W256),IF($P256="toetsen alleen IW",toetsen_alleen_IW(F!$B256,W256),IF($P256="toetsen alleen LN",toetsen_alleen_LN(F!$B256,W256),IF($P256="toetsen geen MV en SV",toetsen_geen_MV_en_SV(F!$B256,W256),IF($P256="toetsen alleen MV en SV",toetsen_alleen_MV_en_SV(F!$B256,W256),""))))))</f>
        <v/>
      </c>
      <c r="Y256" s="5" t="str">
        <f>IF($P256="toetsen",IF(OR(W256="",VLOOKUP(F!$B256,E!$B$1:$AK$300,10,FALSE)=1000000000),"",IF(W256&lt;=VLOOKUP(F!$B256,E!$B$1:$AK$300,10,FALSE),"ja","nee")),"")</f>
        <v/>
      </c>
      <c r="AA256" s="4"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6" t="str">
        <f t="shared" si="85"/>
        <v>--</v>
      </c>
      <c r="AJ256" s="6"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6" t="str">
        <f t="shared" si="86"/>
        <v>--</v>
      </c>
      <c r="AL256" s="6"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6" t="str">
        <f t="shared" si="87"/>
        <v>--</v>
      </c>
      <c r="AN256" s="6"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6" t="str">
        <f t="shared" si="74"/>
        <v>--</v>
      </c>
      <c r="AQ256" s="6" t="str">
        <f t="shared" si="75"/>
        <v/>
      </c>
      <c r="AR256" s="6" t="str">
        <f t="shared" si="76"/>
        <v>--</v>
      </c>
      <c r="AS256" s="6" t="str">
        <f t="shared" si="77"/>
        <v/>
      </c>
      <c r="AT256" s="6" t="str">
        <f t="shared" si="78"/>
        <v/>
      </c>
      <c r="AU256" s="6" t="str">
        <f>IFERROR(IF(AR256="--","",IF(HLOOKUP(SMALL($Q$4:$Y$4,3),$Q$4:$Y$501,ROW(AP256)-3,FALSE)=0,"",IF(HLOOKUP(SMALL($Q$4:$Y$4,3),$Q$4:$Y$501,ROW(AP256)-3,FALSE)="nee",VLOOKUP("De kwaliteitseis emissiearme grond (maximale concentratie) wordt overschreden.",H!$O$10:'H'!$P$59,2,FALSE),""))),"")</f>
        <v/>
      </c>
      <c r="AV256" s="6" t="str">
        <f t="shared" si="68"/>
        <v>--</v>
      </c>
      <c r="AW256" s="6" t="str">
        <f t="shared" si="69"/>
        <v/>
      </c>
      <c r="AX256" s="6" t="str">
        <f t="shared" si="70"/>
        <v>--</v>
      </c>
      <c r="AY256" s="6" t="str">
        <f t="shared" si="79"/>
        <v/>
      </c>
      <c r="AZ256" s="6" t="str">
        <f t="shared" si="80"/>
        <v/>
      </c>
      <c r="BA256" s="6" t="str">
        <f>IFERROR(IF(AR256="--","",IF(HLOOKUP(SMALL($Q$4:$Y$4,6),$Q$4:$Y$501,ROW(AP256)-3,FALSE)=0,"",IF(HLOOKUP(SMALL($Q$4:$Y$4,6),$Q$4:$Y$501,ROW(AP256)-3,FALSE)="nee",VLOOKUP("De kwaliteitseis emissiearme grond (maximale concentratie) wordt overschreden.",H!$O$10:'H'!$P$59,2,FALSE),""))),"")</f>
        <v/>
      </c>
      <c r="BB256" s="6" t="str">
        <f t="shared" si="71"/>
        <v>--</v>
      </c>
      <c r="BC256" s="6" t="str">
        <f t="shared" si="72"/>
        <v/>
      </c>
      <c r="BD256" s="6" t="str">
        <f t="shared" si="73"/>
        <v>--</v>
      </c>
      <c r="BE256" s="6" t="str">
        <f t="shared" si="81"/>
        <v/>
      </c>
      <c r="BF256" s="6"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6" t="str">
        <f>IF(ISNUMBER(F!E257)=FALSE,"--",IF(F!E257=0,"--",F!E257))</f>
        <v>--</v>
      </c>
      <c r="C257" s="6" t="str">
        <f>IF(B257="--","",F!F257)</f>
        <v/>
      </c>
      <c r="D257" s="6" t="str">
        <f>IF(ISNUMBER(F!G257)=FALSE,"--",IF(F!G257=0,"--",F!G257))</f>
        <v>--</v>
      </c>
      <c r="E257" s="6" t="str">
        <f>IF(D257="--","",F!H257)</f>
        <v/>
      </c>
      <c r="F257" s="6" t="str">
        <f>IF(ISNUMBER(F!I257)=FALSE,"--",IF(F!I257=0,"--",F!I257))</f>
        <v>--</v>
      </c>
      <c r="G257" s="6" t="str">
        <f>IF(F257="--","",F!J257)</f>
        <v/>
      </c>
      <c r="H257" s="6"/>
      <c r="I257" s="6" t="str">
        <f>IF(F!Z257=-1,-1,F!AV257)</f>
        <v/>
      </c>
      <c r="J257" s="6"/>
      <c r="K257" s="6" t="str">
        <f>IF(F!AC257=-1,-1,F!AX257)</f>
        <v/>
      </c>
      <c r="L257" s="6"/>
      <c r="M257" s="6" t="str">
        <f>IF(F!AF257=-1,-1,F!AZ257)</f>
        <v/>
      </c>
      <c r="N257" s="6"/>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6" t="str">
        <f t="shared" si="88"/>
        <v/>
      </c>
      <c r="R257" s="5" t="str">
        <f>IF($B257="--","",IF($P257="toetsen",toetsen(F!$B257,Q257),IF($P257="toetsen alleen IW",toetsen_alleen_IW(F!$B257,Q257),IF($P257="toetsen alleen LN",toetsen_alleen_LN(F!$B257,Q257),IF($P257="toetsen geen MV en SV",toetsen_geen_MV_en_SV(F!$B257,Q257),IF($P257="toetsen alleen MV en SV",toetsen_alleen_MV_en_SV(F!$B257,Q257),""))))))</f>
        <v/>
      </c>
      <c r="S257" s="5" t="str">
        <f>IF($P257="toetsen",IF(OR(Q257="",VLOOKUP(F!$B257,E!$B$1:$AK$300,10,FALSE)=1000000000),"",IF(Q257&lt;=VLOOKUP(F!$B257,E!$B$1:$AK$300,10,FALSE),"ja","nee")),"")</f>
        <v/>
      </c>
      <c r="T257" s="87" t="str">
        <f t="shared" si="83"/>
        <v/>
      </c>
      <c r="U257" s="5" t="str">
        <f>IF($D257="--","",IF($P257="toetsen",toetsen(F!$B257,T257),IF($P257="toetsen alleen IW",toetsen_alleen_IW(F!$B257,T257),IF($P257="toetsen alleen LN",toetsen_alleen_LN(F!$B257,T257),IF($P257="toetsen geen MV en SV",toetsen_geen_MV_en_SV(F!$B257,T257),IF($P257="toetsen alleen MV en SV",toetsen_alleen_MV_en_SV(F!$B257,T257),""))))))</f>
        <v/>
      </c>
      <c r="V257" s="5" t="str">
        <f>IF($P257="toetsen",IF(OR(T257="",VLOOKUP(F!$B257,E!$B$1:$AK$300,10,FALSE)=1000000000),"",IF(T257&lt;=VLOOKUP(F!$B257,E!$B$1:$AK$300,10,FALSE),"ja","nee")),"")</f>
        <v/>
      </c>
      <c r="W257" s="6" t="str">
        <f t="shared" si="84"/>
        <v/>
      </c>
      <c r="X257" s="5" t="str">
        <f>IF($F257="--","",IF($P257="toetsen",toetsen(F!$B257,W257),IF($P257="toetsen alleen IW",toetsen_alleen_IW(F!$B257,W257),IF($P257="toetsen alleen LN",toetsen_alleen_LN(F!$B257,W257),IF($P257="toetsen geen MV en SV",toetsen_geen_MV_en_SV(F!$B257,W257),IF($P257="toetsen alleen MV en SV",toetsen_alleen_MV_en_SV(F!$B257,W257),""))))))</f>
        <v/>
      </c>
      <c r="Y257" s="5" t="str">
        <f>IF($P257="toetsen",IF(OR(W257="",VLOOKUP(F!$B257,E!$B$1:$AK$300,10,FALSE)=1000000000),"",IF(W257&lt;=VLOOKUP(F!$B257,E!$B$1:$AK$300,10,FALSE),"ja","nee")),"")</f>
        <v/>
      </c>
      <c r="AA257" s="4"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6" t="str">
        <f t="shared" si="85"/>
        <v>--</v>
      </c>
      <c r="AJ257" s="6"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6" t="str">
        <f t="shared" si="86"/>
        <v>--</v>
      </c>
      <c r="AL257" s="6"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6" t="str">
        <f t="shared" si="87"/>
        <v>--</v>
      </c>
      <c r="AN257" s="6"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6" t="str">
        <f t="shared" si="74"/>
        <v>--</v>
      </c>
      <c r="AQ257" s="6" t="str">
        <f t="shared" si="75"/>
        <v/>
      </c>
      <c r="AR257" s="6" t="str">
        <f t="shared" si="76"/>
        <v>--</v>
      </c>
      <c r="AS257" s="6" t="str">
        <f t="shared" si="77"/>
        <v/>
      </c>
      <c r="AT257" s="6" t="str">
        <f t="shared" si="78"/>
        <v/>
      </c>
      <c r="AU257" s="6" t="str">
        <f>IFERROR(IF(AR257="--","",IF(HLOOKUP(SMALL($Q$4:$Y$4,3),$Q$4:$Y$501,ROW(AP257)-3,FALSE)=0,"",IF(HLOOKUP(SMALL($Q$4:$Y$4,3),$Q$4:$Y$501,ROW(AP257)-3,FALSE)="nee",VLOOKUP("De kwaliteitseis emissiearme grond (maximale concentratie) wordt overschreden.",H!$O$10:'H'!$P$59,2,FALSE),""))),"")</f>
        <v/>
      </c>
      <c r="AV257" s="6" t="str">
        <f t="shared" si="68"/>
        <v>--</v>
      </c>
      <c r="AW257" s="6" t="str">
        <f t="shared" si="69"/>
        <v/>
      </c>
      <c r="AX257" s="6" t="str">
        <f t="shared" si="70"/>
        <v>--</v>
      </c>
      <c r="AY257" s="6" t="str">
        <f t="shared" si="79"/>
        <v/>
      </c>
      <c r="AZ257" s="6" t="str">
        <f t="shared" si="80"/>
        <v/>
      </c>
      <c r="BA257" s="6" t="str">
        <f>IFERROR(IF(AR257="--","",IF(HLOOKUP(SMALL($Q$4:$Y$4,6),$Q$4:$Y$501,ROW(AP257)-3,FALSE)=0,"",IF(HLOOKUP(SMALL($Q$4:$Y$4,6),$Q$4:$Y$501,ROW(AP257)-3,FALSE)="nee",VLOOKUP("De kwaliteitseis emissiearme grond (maximale concentratie) wordt overschreden.",H!$O$10:'H'!$P$59,2,FALSE),""))),"")</f>
        <v/>
      </c>
      <c r="BB257" s="6" t="str">
        <f t="shared" si="71"/>
        <v>--</v>
      </c>
      <c r="BC257" s="6" t="str">
        <f t="shared" si="72"/>
        <v/>
      </c>
      <c r="BD257" s="6" t="str">
        <f t="shared" si="73"/>
        <v>--</v>
      </c>
      <c r="BE257" s="6" t="str">
        <f t="shared" si="81"/>
        <v/>
      </c>
      <c r="BF257" s="6"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6" t="str">
        <f>IF(ISNUMBER(F!E258)=FALSE,"--",IF(F!E258=0,"--",F!E258))</f>
        <v>--</v>
      </c>
      <c r="C258" s="6" t="str">
        <f>IF(B258="--","",F!F258)</f>
        <v/>
      </c>
      <c r="D258" s="6" t="str">
        <f>IF(ISNUMBER(F!G258)=FALSE,"--",IF(F!G258=0,"--",F!G258))</f>
        <v>--</v>
      </c>
      <c r="E258" s="6" t="str">
        <f>IF(D258="--","",F!H258)</f>
        <v/>
      </c>
      <c r="F258" s="6" t="str">
        <f>IF(ISNUMBER(F!I258)=FALSE,"--",IF(F!I258=0,"--",F!I258))</f>
        <v>--</v>
      </c>
      <c r="G258" s="6" t="str">
        <f>IF(F258="--","",F!J258)</f>
        <v/>
      </c>
      <c r="H258" s="6"/>
      <c r="I258" s="6" t="str">
        <f>IF(F!Z258=-1,-1,F!AV258)</f>
        <v/>
      </c>
      <c r="J258" s="6"/>
      <c r="K258" s="6" t="str">
        <f>IF(F!AC258=-1,-1,F!AX258)</f>
        <v/>
      </c>
      <c r="L258" s="6"/>
      <c r="M258" s="6" t="str">
        <f>IF(F!AF258=-1,-1,F!AZ258)</f>
        <v/>
      </c>
      <c r="N258" s="6"/>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6" t="str">
        <f t="shared" si="88"/>
        <v/>
      </c>
      <c r="R258" s="5" t="str">
        <f>IF($B258="--","",IF($P258="toetsen",toetsen(F!$B258,Q258),IF($P258="toetsen alleen IW",toetsen_alleen_IW(F!$B258,Q258),IF($P258="toetsen alleen LN",toetsen_alleen_LN(F!$B258,Q258),IF($P258="toetsen geen MV en SV",toetsen_geen_MV_en_SV(F!$B258,Q258),IF($P258="toetsen alleen MV en SV",toetsen_alleen_MV_en_SV(F!$B258,Q258),""))))))</f>
        <v/>
      </c>
      <c r="S258" s="5" t="str">
        <f>IF($P258="toetsen",IF(OR(Q258="",VLOOKUP(F!$B258,E!$B$1:$AK$300,10,FALSE)=1000000000),"",IF(Q258&lt;=VLOOKUP(F!$B258,E!$B$1:$AK$300,10,FALSE),"ja","nee")),"")</f>
        <v/>
      </c>
      <c r="T258" s="87" t="str">
        <f t="shared" si="83"/>
        <v/>
      </c>
      <c r="U258" s="5" t="str">
        <f>IF($D258="--","",IF($P258="toetsen",toetsen(F!$B258,T258),IF($P258="toetsen alleen IW",toetsen_alleen_IW(F!$B258,T258),IF($P258="toetsen alleen LN",toetsen_alleen_LN(F!$B258,T258),IF($P258="toetsen geen MV en SV",toetsen_geen_MV_en_SV(F!$B258,T258),IF($P258="toetsen alleen MV en SV",toetsen_alleen_MV_en_SV(F!$B258,T258),""))))))</f>
        <v/>
      </c>
      <c r="V258" s="5" t="str">
        <f>IF($P258="toetsen",IF(OR(T258="",VLOOKUP(F!$B258,E!$B$1:$AK$300,10,FALSE)=1000000000),"",IF(T258&lt;=VLOOKUP(F!$B258,E!$B$1:$AK$300,10,FALSE),"ja","nee")),"")</f>
        <v/>
      </c>
      <c r="W258" s="6" t="str">
        <f t="shared" si="84"/>
        <v/>
      </c>
      <c r="X258" s="5" t="str">
        <f>IF($F258="--","",IF($P258="toetsen",toetsen(F!$B258,W258),IF($P258="toetsen alleen IW",toetsen_alleen_IW(F!$B258,W258),IF($P258="toetsen alleen LN",toetsen_alleen_LN(F!$B258,W258),IF($P258="toetsen geen MV en SV",toetsen_geen_MV_en_SV(F!$B258,W258),IF($P258="toetsen alleen MV en SV",toetsen_alleen_MV_en_SV(F!$B258,W258),""))))))</f>
        <v/>
      </c>
      <c r="Y258" s="5" t="str">
        <f>IF($P258="toetsen",IF(OR(W258="",VLOOKUP(F!$B258,E!$B$1:$AK$300,10,FALSE)=1000000000),"",IF(W258&lt;=VLOOKUP(F!$B258,E!$B$1:$AK$300,10,FALSE),"ja","nee")),"")</f>
        <v/>
      </c>
      <c r="AA258" s="4"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6" t="str">
        <f t="shared" si="85"/>
        <v>--</v>
      </c>
      <c r="AJ258" s="6"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6" t="str">
        <f t="shared" si="86"/>
        <v>--</v>
      </c>
      <c r="AL258" s="6"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6" t="str">
        <f t="shared" si="87"/>
        <v>--</v>
      </c>
      <c r="AN258" s="6"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6" t="str">
        <f t="shared" si="74"/>
        <v>--</v>
      </c>
      <c r="AQ258" s="6" t="str">
        <f t="shared" si="75"/>
        <v/>
      </c>
      <c r="AR258" s="6" t="str">
        <f t="shared" si="76"/>
        <v>--</v>
      </c>
      <c r="AS258" s="6" t="str">
        <f t="shared" si="77"/>
        <v/>
      </c>
      <c r="AT258" s="6" t="str">
        <f t="shared" si="78"/>
        <v/>
      </c>
      <c r="AU258" s="6" t="str">
        <f>IFERROR(IF(AR258="--","",IF(HLOOKUP(SMALL($Q$4:$Y$4,3),$Q$4:$Y$501,ROW(AP258)-3,FALSE)=0,"",IF(HLOOKUP(SMALL($Q$4:$Y$4,3),$Q$4:$Y$501,ROW(AP258)-3,FALSE)="nee",VLOOKUP("De kwaliteitseis emissiearme grond (maximale concentratie) wordt overschreden.",H!$O$10:'H'!$P$59,2,FALSE),""))),"")</f>
        <v/>
      </c>
      <c r="AV258" s="6" t="str">
        <f t="shared" si="68"/>
        <v>--</v>
      </c>
      <c r="AW258" s="6" t="str">
        <f t="shared" si="69"/>
        <v/>
      </c>
      <c r="AX258" s="6" t="str">
        <f t="shared" si="70"/>
        <v>--</v>
      </c>
      <c r="AY258" s="6" t="str">
        <f t="shared" si="79"/>
        <v/>
      </c>
      <c r="AZ258" s="6" t="str">
        <f t="shared" si="80"/>
        <v/>
      </c>
      <c r="BA258" s="6" t="str">
        <f>IFERROR(IF(AR258="--","",IF(HLOOKUP(SMALL($Q$4:$Y$4,6),$Q$4:$Y$501,ROW(AP258)-3,FALSE)=0,"",IF(HLOOKUP(SMALL($Q$4:$Y$4,6),$Q$4:$Y$501,ROW(AP258)-3,FALSE)="nee",VLOOKUP("De kwaliteitseis emissiearme grond (maximale concentratie) wordt overschreden.",H!$O$10:'H'!$P$59,2,FALSE),""))),"")</f>
        <v/>
      </c>
      <c r="BB258" s="6" t="str">
        <f t="shared" si="71"/>
        <v>--</v>
      </c>
      <c r="BC258" s="6" t="str">
        <f t="shared" si="72"/>
        <v/>
      </c>
      <c r="BD258" s="6" t="str">
        <f t="shared" si="73"/>
        <v>--</v>
      </c>
      <c r="BE258" s="6" t="str">
        <f t="shared" si="81"/>
        <v/>
      </c>
      <c r="BF258" s="6"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6" t="str">
        <f>IF(ISNUMBER(F!E259)=FALSE,"--",IF(F!E259=0,"--",F!E259))</f>
        <v>--</v>
      </c>
      <c r="C259" s="6" t="str">
        <f>IF(B259="--","",F!F259)</f>
        <v/>
      </c>
      <c r="D259" s="6" t="str">
        <f>IF(ISNUMBER(F!G259)=FALSE,"--",IF(F!G259=0,"--",F!G259))</f>
        <v>--</v>
      </c>
      <c r="E259" s="6" t="str">
        <f>IF(D259="--","",F!H259)</f>
        <v/>
      </c>
      <c r="F259" s="6" t="str">
        <f>IF(ISNUMBER(F!I259)=FALSE,"--",IF(F!I259=0,"--",F!I259))</f>
        <v>--</v>
      </c>
      <c r="G259" s="6" t="str">
        <f>IF(F259="--","",F!J259)</f>
        <v/>
      </c>
      <c r="H259" s="6"/>
      <c r="I259" s="6" t="str">
        <f>IF(F!Z259=-1,-1,F!AV259)</f>
        <v/>
      </c>
      <c r="J259" s="6"/>
      <c r="K259" s="6" t="str">
        <f>IF(F!AC259=-1,-1,F!AX259)</f>
        <v/>
      </c>
      <c r="L259" s="6"/>
      <c r="M259" s="6" t="str">
        <f>IF(F!AF259=-1,-1,F!AZ259)</f>
        <v/>
      </c>
      <c r="N259" s="6"/>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6" t="str">
        <f t="shared" si="88"/>
        <v/>
      </c>
      <c r="R259" s="5" t="str">
        <f>IF($B259="--","",IF($P259="toetsen",toetsen(F!$B259,Q259),IF($P259="toetsen alleen IW",toetsen_alleen_IW(F!$B259,Q259),IF($P259="toetsen alleen LN",toetsen_alleen_LN(F!$B259,Q259),IF($P259="toetsen geen MV en SV",toetsen_geen_MV_en_SV(F!$B259,Q259),IF($P259="toetsen alleen MV en SV",toetsen_alleen_MV_en_SV(F!$B259,Q259),""))))))</f>
        <v/>
      </c>
      <c r="S259" s="5" t="str">
        <f>IF($P259="toetsen",IF(OR(Q259="",VLOOKUP(F!$B259,E!$B$1:$AK$300,10,FALSE)=1000000000),"",IF(Q259&lt;=VLOOKUP(F!$B259,E!$B$1:$AK$300,10,FALSE),"ja","nee")),"")</f>
        <v/>
      </c>
      <c r="T259" s="87" t="str">
        <f t="shared" si="83"/>
        <v/>
      </c>
      <c r="U259" s="5" t="str">
        <f>IF($D259="--","",IF($P259="toetsen",toetsen(F!$B259,T259),IF($P259="toetsen alleen IW",toetsen_alleen_IW(F!$B259,T259),IF($P259="toetsen alleen LN",toetsen_alleen_LN(F!$B259,T259),IF($P259="toetsen geen MV en SV",toetsen_geen_MV_en_SV(F!$B259,T259),IF($P259="toetsen alleen MV en SV",toetsen_alleen_MV_en_SV(F!$B259,T259),""))))))</f>
        <v/>
      </c>
      <c r="V259" s="5" t="str">
        <f>IF($P259="toetsen",IF(OR(T259="",VLOOKUP(F!$B259,E!$B$1:$AK$300,10,FALSE)=1000000000),"",IF(T259&lt;=VLOOKUP(F!$B259,E!$B$1:$AK$300,10,FALSE),"ja","nee")),"")</f>
        <v/>
      </c>
      <c r="W259" s="6" t="str">
        <f t="shared" si="84"/>
        <v/>
      </c>
      <c r="X259" s="5" t="str">
        <f>IF($F259="--","",IF($P259="toetsen",toetsen(F!$B259,W259),IF($P259="toetsen alleen IW",toetsen_alleen_IW(F!$B259,W259),IF($P259="toetsen alleen LN",toetsen_alleen_LN(F!$B259,W259),IF($P259="toetsen geen MV en SV",toetsen_geen_MV_en_SV(F!$B259,W259),IF($P259="toetsen alleen MV en SV",toetsen_alleen_MV_en_SV(F!$B259,W259),""))))))</f>
        <v/>
      </c>
      <c r="Y259" s="5" t="str">
        <f>IF($P259="toetsen",IF(OR(W259="",VLOOKUP(F!$B259,E!$B$1:$AK$300,10,FALSE)=1000000000),"",IF(W259&lt;=VLOOKUP(F!$B259,E!$B$1:$AK$300,10,FALSE),"ja","nee")),"")</f>
        <v/>
      </c>
      <c r="AA259" s="4"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6" t="str">
        <f t="shared" si="85"/>
        <v>--</v>
      </c>
      <c r="AJ259" s="6"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6" t="str">
        <f t="shared" si="86"/>
        <v>--</v>
      </c>
      <c r="AL259" s="6"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6" t="str">
        <f t="shared" si="87"/>
        <v>--</v>
      </c>
      <c r="AN259" s="6"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6" t="str">
        <f t="shared" si="74"/>
        <v>--</v>
      </c>
      <c r="AQ259" s="6" t="str">
        <f t="shared" si="75"/>
        <v/>
      </c>
      <c r="AR259" s="6" t="str">
        <f t="shared" si="76"/>
        <v>--</v>
      </c>
      <c r="AS259" s="6" t="str">
        <f t="shared" si="77"/>
        <v/>
      </c>
      <c r="AT259" s="6" t="str">
        <f t="shared" si="78"/>
        <v/>
      </c>
      <c r="AU259" s="6" t="str">
        <f>IFERROR(IF(AR259="--","",IF(HLOOKUP(SMALL($Q$4:$Y$4,3),$Q$4:$Y$501,ROW(AP259)-3,FALSE)=0,"",IF(HLOOKUP(SMALL($Q$4:$Y$4,3),$Q$4:$Y$501,ROW(AP259)-3,FALSE)="nee",VLOOKUP("De kwaliteitseis emissiearme grond (maximale concentratie) wordt overschreden.",H!$O$10:'H'!$P$59,2,FALSE),""))),"")</f>
        <v/>
      </c>
      <c r="AV259" s="6" t="str">
        <f t="shared" si="68"/>
        <v>--</v>
      </c>
      <c r="AW259" s="6" t="str">
        <f t="shared" si="69"/>
        <v/>
      </c>
      <c r="AX259" s="6" t="str">
        <f t="shared" si="70"/>
        <v>--</v>
      </c>
      <c r="AY259" s="6" t="str">
        <f t="shared" si="79"/>
        <v/>
      </c>
      <c r="AZ259" s="6" t="str">
        <f t="shared" si="80"/>
        <v/>
      </c>
      <c r="BA259" s="6" t="str">
        <f>IFERROR(IF(AR259="--","",IF(HLOOKUP(SMALL($Q$4:$Y$4,6),$Q$4:$Y$501,ROW(AP259)-3,FALSE)=0,"",IF(HLOOKUP(SMALL($Q$4:$Y$4,6),$Q$4:$Y$501,ROW(AP259)-3,FALSE)="nee",VLOOKUP("De kwaliteitseis emissiearme grond (maximale concentratie) wordt overschreden.",H!$O$10:'H'!$P$59,2,FALSE),""))),"")</f>
        <v/>
      </c>
      <c r="BB259" s="6" t="str">
        <f t="shared" si="71"/>
        <v>--</v>
      </c>
      <c r="BC259" s="6" t="str">
        <f t="shared" si="72"/>
        <v/>
      </c>
      <c r="BD259" s="6" t="str">
        <f t="shared" si="73"/>
        <v>--</v>
      </c>
      <c r="BE259" s="6" t="str">
        <f t="shared" si="81"/>
        <v/>
      </c>
      <c r="BF259" s="6"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6" t="str">
        <f>IF(ISNUMBER(F!E260)=FALSE,"--",IF(F!E260=0,"--",F!E260))</f>
        <v>--</v>
      </c>
      <c r="C260" s="6" t="str">
        <f>IF(B260="--","",F!F260)</f>
        <v/>
      </c>
      <c r="D260" s="6" t="str">
        <f>IF(ISNUMBER(F!G260)=FALSE,"--",IF(F!G260=0,"--",F!G260))</f>
        <v>--</v>
      </c>
      <c r="E260" s="6" t="str">
        <f>IF(D260="--","",F!H260)</f>
        <v/>
      </c>
      <c r="F260" s="6" t="str">
        <f>IF(ISNUMBER(F!I260)=FALSE,"--",IF(F!I260=0,"--",F!I260))</f>
        <v>--</v>
      </c>
      <c r="G260" s="6" t="str">
        <f>IF(F260="--","",F!J260)</f>
        <v/>
      </c>
      <c r="H260" s="6"/>
      <c r="I260" s="6" t="str">
        <f>IF(F!Z260=-1,-1,F!AV260)</f>
        <v/>
      </c>
      <c r="J260" s="6"/>
      <c r="K260" s="6" t="str">
        <f>IF(F!AC260=-1,-1,F!AX260)</f>
        <v/>
      </c>
      <c r="L260" s="6"/>
      <c r="M260" s="6" t="str">
        <f>IF(F!AF260=-1,-1,F!AZ260)</f>
        <v/>
      </c>
      <c r="N260" s="6"/>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6" t="str">
        <f t="shared" si="88"/>
        <v/>
      </c>
      <c r="R260" s="5" t="str">
        <f>IF($B260="--","",IF($P260="toetsen",toetsen(F!$B260,Q260),IF($P260="toetsen alleen IW",toetsen_alleen_IW(F!$B260,Q260),IF($P260="toetsen alleen LN",toetsen_alleen_LN(F!$B260,Q260),IF($P260="toetsen geen MV en SV",toetsen_geen_MV_en_SV(F!$B260,Q260),IF($P260="toetsen alleen MV en SV",toetsen_alleen_MV_en_SV(F!$B260,Q260),""))))))</f>
        <v/>
      </c>
      <c r="S260" s="5" t="str">
        <f>IF($P260="toetsen",IF(OR(Q260="",VLOOKUP(F!$B260,E!$B$1:$AK$300,10,FALSE)=1000000000),"",IF(Q260&lt;=VLOOKUP(F!$B260,E!$B$1:$AK$300,10,FALSE),"ja","nee")),"")</f>
        <v/>
      </c>
      <c r="T260" s="87" t="str">
        <f t="shared" si="83"/>
        <v/>
      </c>
      <c r="U260" s="5" t="str">
        <f>IF($D260="--","",IF($P260="toetsen",toetsen(F!$B260,T260),IF($P260="toetsen alleen IW",toetsen_alleen_IW(F!$B260,T260),IF($P260="toetsen alleen LN",toetsen_alleen_LN(F!$B260,T260),IF($P260="toetsen geen MV en SV",toetsen_geen_MV_en_SV(F!$B260,T260),IF($P260="toetsen alleen MV en SV",toetsen_alleen_MV_en_SV(F!$B260,T260),""))))))</f>
        <v/>
      </c>
      <c r="V260" s="5" t="str">
        <f>IF($P260="toetsen",IF(OR(T260="",VLOOKUP(F!$B260,E!$B$1:$AK$300,10,FALSE)=1000000000),"",IF(T260&lt;=VLOOKUP(F!$B260,E!$B$1:$AK$300,10,FALSE),"ja","nee")),"")</f>
        <v/>
      </c>
      <c r="W260" s="6" t="str">
        <f t="shared" si="84"/>
        <v/>
      </c>
      <c r="X260" s="5" t="str">
        <f>IF($F260="--","",IF($P260="toetsen",toetsen(F!$B260,W260),IF($P260="toetsen alleen IW",toetsen_alleen_IW(F!$B260,W260),IF($P260="toetsen alleen LN",toetsen_alleen_LN(F!$B260,W260),IF($P260="toetsen geen MV en SV",toetsen_geen_MV_en_SV(F!$B260,W260),IF($P260="toetsen alleen MV en SV",toetsen_alleen_MV_en_SV(F!$B260,W260),""))))))</f>
        <v/>
      </c>
      <c r="Y260" s="5" t="str">
        <f>IF($P260="toetsen",IF(OR(W260="",VLOOKUP(F!$B260,E!$B$1:$AK$300,10,FALSE)=1000000000),"",IF(W260&lt;=VLOOKUP(F!$B260,E!$B$1:$AK$300,10,FALSE),"ja","nee")),"")</f>
        <v/>
      </c>
      <c r="AA260" s="4"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6" t="str">
        <f t="shared" si="85"/>
        <v>--</v>
      </c>
      <c r="AJ260" s="6"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6" t="str">
        <f t="shared" si="86"/>
        <v>--</v>
      </c>
      <c r="AL260" s="6"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6" t="str">
        <f t="shared" si="87"/>
        <v>--</v>
      </c>
      <c r="AN260" s="6"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6" t="str">
        <f t="shared" si="74"/>
        <v>--</v>
      </c>
      <c r="AQ260" s="6" t="str">
        <f t="shared" si="75"/>
        <v/>
      </c>
      <c r="AR260" s="6" t="str">
        <f t="shared" si="76"/>
        <v>--</v>
      </c>
      <c r="AS260" s="6" t="str">
        <f t="shared" si="77"/>
        <v/>
      </c>
      <c r="AT260" s="6" t="str">
        <f t="shared" si="78"/>
        <v/>
      </c>
      <c r="AU260" s="6" t="str">
        <f>IFERROR(IF(AR260="--","",IF(HLOOKUP(SMALL($Q$4:$Y$4,3),$Q$4:$Y$501,ROW(AP260)-3,FALSE)=0,"",IF(HLOOKUP(SMALL($Q$4:$Y$4,3),$Q$4:$Y$501,ROW(AP260)-3,FALSE)="nee",VLOOKUP("De kwaliteitseis emissiearme grond (maximale concentratie) wordt overschreden.",H!$O$10:'H'!$P$59,2,FALSE),""))),"")</f>
        <v/>
      </c>
      <c r="AV260" s="6" t="str">
        <f t="shared" si="68"/>
        <v>--</v>
      </c>
      <c r="AW260" s="6" t="str">
        <f t="shared" si="69"/>
        <v/>
      </c>
      <c r="AX260" s="6" t="str">
        <f t="shared" si="70"/>
        <v>--</v>
      </c>
      <c r="AY260" s="6" t="str">
        <f t="shared" si="79"/>
        <v/>
      </c>
      <c r="AZ260" s="6" t="str">
        <f t="shared" si="80"/>
        <v/>
      </c>
      <c r="BA260" s="6" t="str">
        <f>IFERROR(IF(AR260="--","",IF(HLOOKUP(SMALL($Q$4:$Y$4,6),$Q$4:$Y$501,ROW(AP260)-3,FALSE)=0,"",IF(HLOOKUP(SMALL($Q$4:$Y$4,6),$Q$4:$Y$501,ROW(AP260)-3,FALSE)="nee",VLOOKUP("De kwaliteitseis emissiearme grond (maximale concentratie) wordt overschreden.",H!$O$10:'H'!$P$59,2,FALSE),""))),"")</f>
        <v/>
      </c>
      <c r="BB260" s="6" t="str">
        <f t="shared" si="71"/>
        <v>--</v>
      </c>
      <c r="BC260" s="6" t="str">
        <f t="shared" si="72"/>
        <v/>
      </c>
      <c r="BD260" s="6" t="str">
        <f t="shared" si="73"/>
        <v>--</v>
      </c>
      <c r="BE260" s="6" t="str">
        <f t="shared" si="81"/>
        <v/>
      </c>
      <c r="BF260" s="6"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6" t="str">
        <f>IF(ISNUMBER(F!E261)=FALSE,"--",IF(F!E261=0,"--",F!E261))</f>
        <v>--</v>
      </c>
      <c r="C261" s="6" t="str">
        <f>IF(B261="--","",F!F261)</f>
        <v/>
      </c>
      <c r="D261" s="6" t="str">
        <f>IF(ISNUMBER(F!G261)=FALSE,"--",IF(F!G261=0,"--",F!G261))</f>
        <v>--</v>
      </c>
      <c r="E261" s="6" t="str">
        <f>IF(D261="--","",F!H261)</f>
        <v/>
      </c>
      <c r="F261" s="6" t="str">
        <f>IF(ISNUMBER(F!I261)=FALSE,"--",IF(F!I261=0,"--",F!I261))</f>
        <v>--</v>
      </c>
      <c r="G261" s="6" t="str">
        <f>IF(F261="--","",F!J261)</f>
        <v/>
      </c>
      <c r="H261" s="6"/>
      <c r="I261" s="6" t="str">
        <f>IF(F!Z261=-1,-1,F!AV261)</f>
        <v/>
      </c>
      <c r="J261" s="6"/>
      <c r="K261" s="6" t="str">
        <f>IF(F!AC261=-1,-1,F!AX261)</f>
        <v/>
      </c>
      <c r="L261" s="6"/>
      <c r="M261" s="6" t="str">
        <f>IF(F!AF261=-1,-1,F!AZ261)</f>
        <v/>
      </c>
      <c r="N261" s="6"/>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6" t="str">
        <f t="shared" si="88"/>
        <v/>
      </c>
      <c r="R261" s="5" t="str">
        <f>IF($B261="--","",IF($P261="toetsen",toetsen(F!$B261,Q261),IF($P261="toetsen alleen IW",toetsen_alleen_IW(F!$B261,Q261),IF($P261="toetsen alleen LN",toetsen_alleen_LN(F!$B261,Q261),IF($P261="toetsen geen MV en SV",toetsen_geen_MV_en_SV(F!$B261,Q261),IF($P261="toetsen alleen MV en SV",toetsen_alleen_MV_en_SV(F!$B261,Q261),""))))))</f>
        <v/>
      </c>
      <c r="S261" s="5" t="str">
        <f>IF($P261="toetsen",IF(OR(Q261="",VLOOKUP(F!$B261,E!$B$1:$AK$300,10,FALSE)=1000000000),"",IF(Q261&lt;=VLOOKUP(F!$B261,E!$B$1:$AK$300,10,FALSE),"ja","nee")),"")</f>
        <v/>
      </c>
      <c r="T261" s="87" t="str">
        <f t="shared" si="83"/>
        <v/>
      </c>
      <c r="U261" s="5" t="str">
        <f>IF($D261="--","",IF($P261="toetsen",toetsen(F!$B261,T261),IF($P261="toetsen alleen IW",toetsen_alleen_IW(F!$B261,T261),IF($P261="toetsen alleen LN",toetsen_alleen_LN(F!$B261,T261),IF($P261="toetsen geen MV en SV",toetsen_geen_MV_en_SV(F!$B261,T261),IF($P261="toetsen alleen MV en SV",toetsen_alleen_MV_en_SV(F!$B261,T261),""))))))</f>
        <v/>
      </c>
      <c r="V261" s="5" t="str">
        <f>IF($P261="toetsen",IF(OR(T261="",VLOOKUP(F!$B261,E!$B$1:$AK$300,10,FALSE)=1000000000),"",IF(T261&lt;=VLOOKUP(F!$B261,E!$B$1:$AK$300,10,FALSE),"ja","nee")),"")</f>
        <v/>
      </c>
      <c r="W261" s="6" t="str">
        <f t="shared" si="84"/>
        <v/>
      </c>
      <c r="X261" s="5" t="str">
        <f>IF($F261="--","",IF($P261="toetsen",toetsen(F!$B261,W261),IF($P261="toetsen alleen IW",toetsen_alleen_IW(F!$B261,W261),IF($P261="toetsen alleen LN",toetsen_alleen_LN(F!$B261,W261),IF($P261="toetsen geen MV en SV",toetsen_geen_MV_en_SV(F!$B261,W261),IF($P261="toetsen alleen MV en SV",toetsen_alleen_MV_en_SV(F!$B261,W261),""))))))</f>
        <v/>
      </c>
      <c r="Y261" s="5" t="str">
        <f>IF($P261="toetsen",IF(OR(W261="",VLOOKUP(F!$B261,E!$B$1:$AK$300,10,FALSE)=1000000000),"",IF(W261&lt;=VLOOKUP(F!$B261,E!$B$1:$AK$300,10,FALSE),"ja","nee")),"")</f>
        <v/>
      </c>
      <c r="AA261" s="4"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6" t="str">
        <f t="shared" si="85"/>
        <v>--</v>
      </c>
      <c r="AJ261" s="6"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6" t="str">
        <f t="shared" si="86"/>
        <v>--</v>
      </c>
      <c r="AL261" s="6"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6" t="str">
        <f t="shared" si="87"/>
        <v>--</v>
      </c>
      <c r="AN261" s="6"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6" t="str">
        <f t="shared" si="74"/>
        <v>--</v>
      </c>
      <c r="AQ261" s="6" t="str">
        <f t="shared" si="75"/>
        <v/>
      </c>
      <c r="AR261" s="6" t="str">
        <f t="shared" si="76"/>
        <v>--</v>
      </c>
      <c r="AS261" s="6" t="str">
        <f t="shared" si="77"/>
        <v/>
      </c>
      <c r="AT261" s="6" t="str">
        <f t="shared" si="78"/>
        <v/>
      </c>
      <c r="AU261" s="6" t="str">
        <f>IFERROR(IF(AR261="--","",IF(HLOOKUP(SMALL($Q$4:$Y$4,3),$Q$4:$Y$501,ROW(AP261)-3,FALSE)=0,"",IF(HLOOKUP(SMALL($Q$4:$Y$4,3),$Q$4:$Y$501,ROW(AP261)-3,FALSE)="nee",VLOOKUP("De kwaliteitseis emissiearme grond (maximale concentratie) wordt overschreden.",H!$O$10:'H'!$P$59,2,FALSE),""))),"")</f>
        <v/>
      </c>
      <c r="AV261" s="6" t="str">
        <f t="shared" si="68"/>
        <v>--</v>
      </c>
      <c r="AW261" s="6" t="str">
        <f t="shared" si="69"/>
        <v/>
      </c>
      <c r="AX261" s="6" t="str">
        <f t="shared" si="70"/>
        <v>--</v>
      </c>
      <c r="AY261" s="6" t="str">
        <f t="shared" si="79"/>
        <v/>
      </c>
      <c r="AZ261" s="6" t="str">
        <f t="shared" si="80"/>
        <v/>
      </c>
      <c r="BA261" s="6" t="str">
        <f>IFERROR(IF(AR261="--","",IF(HLOOKUP(SMALL($Q$4:$Y$4,6),$Q$4:$Y$501,ROW(AP261)-3,FALSE)=0,"",IF(HLOOKUP(SMALL($Q$4:$Y$4,6),$Q$4:$Y$501,ROW(AP261)-3,FALSE)="nee",VLOOKUP("De kwaliteitseis emissiearme grond (maximale concentratie) wordt overschreden.",H!$O$10:'H'!$P$59,2,FALSE),""))),"")</f>
        <v/>
      </c>
      <c r="BB261" s="6" t="str">
        <f t="shared" si="71"/>
        <v>--</v>
      </c>
      <c r="BC261" s="6" t="str">
        <f t="shared" si="72"/>
        <v/>
      </c>
      <c r="BD261" s="6" t="str">
        <f t="shared" si="73"/>
        <v>--</v>
      </c>
      <c r="BE261" s="6" t="str">
        <f t="shared" si="81"/>
        <v/>
      </c>
      <c r="BF261" s="6"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6" t="str">
        <f>IF(ISNUMBER(F!E262)=FALSE,"--",IF(F!E262=0,"--",F!E262))</f>
        <v>--</v>
      </c>
      <c r="C262" s="6" t="str">
        <f>IF(B262="--","",F!F262)</f>
        <v/>
      </c>
      <c r="D262" s="6" t="str">
        <f>IF(ISNUMBER(F!G262)=FALSE,"--",IF(F!G262=0,"--",F!G262))</f>
        <v>--</v>
      </c>
      <c r="E262" s="6" t="str">
        <f>IF(D262="--","",F!H262)</f>
        <v/>
      </c>
      <c r="F262" s="6" t="str">
        <f>IF(ISNUMBER(F!I262)=FALSE,"--",IF(F!I262=0,"--",F!I262))</f>
        <v>--</v>
      </c>
      <c r="G262" s="6" t="str">
        <f>IF(F262="--","",F!J262)</f>
        <v/>
      </c>
      <c r="H262" s="6"/>
      <c r="I262" s="6" t="str">
        <f>IF(F!Z262=-1,-1,F!AV262)</f>
        <v/>
      </c>
      <c r="J262" s="6"/>
      <c r="K262" s="6" t="str">
        <f>IF(F!AC262=-1,-1,F!AX262)</f>
        <v/>
      </c>
      <c r="L262" s="6"/>
      <c r="M262" s="6" t="str">
        <f>IF(F!AF262=-1,-1,F!AZ262)</f>
        <v/>
      </c>
      <c r="N262" s="6"/>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6" t="str">
        <f t="shared" si="88"/>
        <v/>
      </c>
      <c r="R262" s="5" t="str">
        <f>IF($B262="--","",IF($P262="toetsen",toetsen(F!$B262,Q262),IF($P262="toetsen alleen IW",toetsen_alleen_IW(F!$B262,Q262),IF($P262="toetsen alleen LN",toetsen_alleen_LN(F!$B262,Q262),IF($P262="toetsen geen MV en SV",toetsen_geen_MV_en_SV(F!$B262,Q262),IF($P262="toetsen alleen MV en SV",toetsen_alleen_MV_en_SV(F!$B262,Q262),""))))))</f>
        <v/>
      </c>
      <c r="S262" s="5" t="str">
        <f>IF($P262="toetsen",IF(OR(Q262="",VLOOKUP(F!$B262,E!$B$1:$AK$300,10,FALSE)=1000000000),"",IF(Q262&lt;=VLOOKUP(F!$B262,E!$B$1:$AK$300,10,FALSE),"ja","nee")),"")</f>
        <v/>
      </c>
      <c r="T262" s="87" t="str">
        <f t="shared" si="83"/>
        <v/>
      </c>
      <c r="U262" s="5" t="str">
        <f>IF($D262="--","",IF($P262="toetsen",toetsen(F!$B262,T262),IF($P262="toetsen alleen IW",toetsen_alleen_IW(F!$B262,T262),IF($P262="toetsen alleen LN",toetsen_alleen_LN(F!$B262,T262),IF($P262="toetsen geen MV en SV",toetsen_geen_MV_en_SV(F!$B262,T262),IF($P262="toetsen alleen MV en SV",toetsen_alleen_MV_en_SV(F!$B262,T262),""))))))</f>
        <v/>
      </c>
      <c r="V262" s="5" t="str">
        <f>IF($P262="toetsen",IF(OR(T262="",VLOOKUP(F!$B262,E!$B$1:$AK$300,10,FALSE)=1000000000),"",IF(T262&lt;=VLOOKUP(F!$B262,E!$B$1:$AK$300,10,FALSE),"ja","nee")),"")</f>
        <v/>
      </c>
      <c r="W262" s="6" t="str">
        <f t="shared" si="84"/>
        <v/>
      </c>
      <c r="X262" s="5" t="str">
        <f>IF($F262="--","",IF($P262="toetsen",toetsen(F!$B262,W262),IF($P262="toetsen alleen IW",toetsen_alleen_IW(F!$B262,W262),IF($P262="toetsen alleen LN",toetsen_alleen_LN(F!$B262,W262),IF($P262="toetsen geen MV en SV",toetsen_geen_MV_en_SV(F!$B262,W262),IF($P262="toetsen alleen MV en SV",toetsen_alleen_MV_en_SV(F!$B262,W262),""))))))</f>
        <v/>
      </c>
      <c r="Y262" s="5" t="str">
        <f>IF($P262="toetsen",IF(OR(W262="",VLOOKUP(F!$B262,E!$B$1:$AK$300,10,FALSE)=1000000000),"",IF(W262&lt;=VLOOKUP(F!$B262,E!$B$1:$AK$300,10,FALSE),"ja","nee")),"")</f>
        <v/>
      </c>
      <c r="AA262" s="4"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6" t="str">
        <f t="shared" si="85"/>
        <v>--</v>
      </c>
      <c r="AJ262" s="6"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6" t="str">
        <f t="shared" si="86"/>
        <v>--</v>
      </c>
      <c r="AL262" s="6"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6" t="str">
        <f t="shared" si="87"/>
        <v>--</v>
      </c>
      <c r="AN262" s="6"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6" t="str">
        <f t="shared" si="74"/>
        <v>--</v>
      </c>
      <c r="AQ262" s="6" t="str">
        <f t="shared" si="75"/>
        <v/>
      </c>
      <c r="AR262" s="6" t="str">
        <f t="shared" si="76"/>
        <v>--</v>
      </c>
      <c r="AS262" s="6" t="str">
        <f t="shared" si="77"/>
        <v/>
      </c>
      <c r="AT262" s="6" t="str">
        <f t="shared" si="78"/>
        <v/>
      </c>
      <c r="AU262" s="6" t="str">
        <f>IFERROR(IF(AR262="--","",IF(HLOOKUP(SMALL($Q$4:$Y$4,3),$Q$4:$Y$501,ROW(AP262)-3,FALSE)=0,"",IF(HLOOKUP(SMALL($Q$4:$Y$4,3),$Q$4:$Y$501,ROW(AP262)-3,FALSE)="nee",VLOOKUP("De kwaliteitseis emissiearme grond (maximale concentratie) wordt overschreden.",H!$O$10:'H'!$P$59,2,FALSE),""))),"")</f>
        <v/>
      </c>
      <c r="AV262" s="6" t="str">
        <f t="shared" si="68"/>
        <v>--</v>
      </c>
      <c r="AW262" s="6" t="str">
        <f t="shared" si="69"/>
        <v/>
      </c>
      <c r="AX262" s="6" t="str">
        <f t="shared" si="70"/>
        <v>--</v>
      </c>
      <c r="AY262" s="6" t="str">
        <f t="shared" si="79"/>
        <v/>
      </c>
      <c r="AZ262" s="6" t="str">
        <f t="shared" si="80"/>
        <v/>
      </c>
      <c r="BA262" s="6" t="str">
        <f>IFERROR(IF(AR262="--","",IF(HLOOKUP(SMALL($Q$4:$Y$4,6),$Q$4:$Y$501,ROW(AP262)-3,FALSE)=0,"",IF(HLOOKUP(SMALL($Q$4:$Y$4,6),$Q$4:$Y$501,ROW(AP262)-3,FALSE)="nee",VLOOKUP("De kwaliteitseis emissiearme grond (maximale concentratie) wordt overschreden.",H!$O$10:'H'!$P$59,2,FALSE),""))),"")</f>
        <v/>
      </c>
      <c r="BB262" s="6" t="str">
        <f t="shared" si="71"/>
        <v>--</v>
      </c>
      <c r="BC262" s="6" t="str">
        <f t="shared" si="72"/>
        <v/>
      </c>
      <c r="BD262" s="6" t="str">
        <f t="shared" si="73"/>
        <v>--</v>
      </c>
      <c r="BE262" s="6" t="str">
        <f t="shared" si="81"/>
        <v/>
      </c>
      <c r="BF262" s="6"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6" t="str">
        <f>IF(ISNUMBER(F!E263)=FALSE,"--",IF(F!E263=0,"--",F!E263))</f>
        <v>--</v>
      </c>
      <c r="C263" s="6" t="str">
        <f>IF(B263="--","",F!F263)</f>
        <v/>
      </c>
      <c r="D263" s="6" t="str">
        <f>IF(ISNUMBER(F!G263)=FALSE,"--",IF(F!G263=0,"--",F!G263))</f>
        <v>--</v>
      </c>
      <c r="E263" s="6" t="str">
        <f>IF(D263="--","",F!H263)</f>
        <v/>
      </c>
      <c r="F263" s="6" t="str">
        <f>IF(ISNUMBER(F!I263)=FALSE,"--",IF(F!I263=0,"--",F!I263))</f>
        <v>--</v>
      </c>
      <c r="G263" s="6" t="str">
        <f>IF(F263="--","",F!J263)</f>
        <v/>
      </c>
      <c r="H263" s="6"/>
      <c r="I263" s="6" t="str">
        <f>IF(F!Z263=-1,-1,F!AV263)</f>
        <v/>
      </c>
      <c r="J263" s="6"/>
      <c r="K263" s="6" t="str">
        <f>IF(F!AC263=-1,-1,F!AX263)</f>
        <v/>
      </c>
      <c r="L263" s="6"/>
      <c r="M263" s="6" t="str">
        <f>IF(F!AF263=-1,-1,F!AZ263)</f>
        <v/>
      </c>
      <c r="N263" s="6"/>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6" t="str">
        <f t="shared" si="88"/>
        <v/>
      </c>
      <c r="R263" s="5" t="str">
        <f>IF($B263="--","",IF($P263="toetsen",toetsen(F!$B263,Q263),IF($P263="toetsen alleen IW",toetsen_alleen_IW(F!$B263,Q263),IF($P263="toetsen alleen LN",toetsen_alleen_LN(F!$B263,Q263),IF($P263="toetsen geen MV en SV",toetsen_geen_MV_en_SV(F!$B263,Q263),IF($P263="toetsen alleen MV en SV",toetsen_alleen_MV_en_SV(F!$B263,Q263),""))))))</f>
        <v/>
      </c>
      <c r="S263" s="5" t="str">
        <f>IF($P263="toetsen",IF(OR(Q263="",VLOOKUP(F!$B263,E!$B$1:$AK$300,10,FALSE)=1000000000),"",IF(Q263&lt;=VLOOKUP(F!$B263,E!$B$1:$AK$300,10,FALSE),"ja","nee")),"")</f>
        <v/>
      </c>
      <c r="T263" s="87" t="str">
        <f t="shared" si="83"/>
        <v/>
      </c>
      <c r="U263" s="5" t="str">
        <f>IF($D263="--","",IF($P263="toetsen",toetsen(F!$B263,T263),IF($P263="toetsen alleen IW",toetsen_alleen_IW(F!$B263,T263),IF($P263="toetsen alleen LN",toetsen_alleen_LN(F!$B263,T263),IF($P263="toetsen geen MV en SV",toetsen_geen_MV_en_SV(F!$B263,T263),IF($P263="toetsen alleen MV en SV",toetsen_alleen_MV_en_SV(F!$B263,T263),""))))))</f>
        <v/>
      </c>
      <c r="V263" s="5" t="str">
        <f>IF($P263="toetsen",IF(OR(T263="",VLOOKUP(F!$B263,E!$B$1:$AK$300,10,FALSE)=1000000000),"",IF(T263&lt;=VLOOKUP(F!$B263,E!$B$1:$AK$300,10,FALSE),"ja","nee")),"")</f>
        <v/>
      </c>
      <c r="W263" s="6" t="str">
        <f t="shared" si="84"/>
        <v/>
      </c>
      <c r="X263" s="5" t="str">
        <f>IF($F263="--","",IF($P263="toetsen",toetsen(F!$B263,W263),IF($P263="toetsen alleen IW",toetsen_alleen_IW(F!$B263,W263),IF($P263="toetsen alleen LN",toetsen_alleen_LN(F!$B263,W263),IF($P263="toetsen geen MV en SV",toetsen_geen_MV_en_SV(F!$B263,W263),IF($P263="toetsen alleen MV en SV",toetsen_alleen_MV_en_SV(F!$B263,W263),""))))))</f>
        <v/>
      </c>
      <c r="Y263" s="5" t="str">
        <f>IF($P263="toetsen",IF(OR(W263="",VLOOKUP(F!$B263,E!$B$1:$AK$300,10,FALSE)=1000000000),"",IF(W263&lt;=VLOOKUP(F!$B263,E!$B$1:$AK$300,10,FALSE),"ja","nee")),"")</f>
        <v/>
      </c>
      <c r="AA263" s="4"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6" t="str">
        <f t="shared" si="85"/>
        <v>--</v>
      </c>
      <c r="AJ263" s="6"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6" t="str">
        <f t="shared" si="86"/>
        <v>--</v>
      </c>
      <c r="AL263" s="6"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6" t="str">
        <f t="shared" si="87"/>
        <v>--</v>
      </c>
      <c r="AN263" s="6"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6" t="str">
        <f t="shared" si="74"/>
        <v>--</v>
      </c>
      <c r="AQ263" s="6" t="str">
        <f t="shared" si="75"/>
        <v/>
      </c>
      <c r="AR263" s="6" t="str">
        <f t="shared" si="76"/>
        <v>--</v>
      </c>
      <c r="AS263" s="6" t="str">
        <f t="shared" si="77"/>
        <v/>
      </c>
      <c r="AT263" s="6" t="str">
        <f t="shared" si="78"/>
        <v/>
      </c>
      <c r="AU263" s="6" t="str">
        <f>IFERROR(IF(AR263="--","",IF(HLOOKUP(SMALL($Q$4:$Y$4,3),$Q$4:$Y$501,ROW(AP263)-3,FALSE)=0,"",IF(HLOOKUP(SMALL($Q$4:$Y$4,3),$Q$4:$Y$501,ROW(AP263)-3,FALSE)="nee",VLOOKUP("De kwaliteitseis emissiearme grond (maximale concentratie) wordt overschreden.",H!$O$10:'H'!$P$59,2,FALSE),""))),"")</f>
        <v/>
      </c>
      <c r="AV263" s="6" t="str">
        <f t="shared" ref="AV263:AV326" si="89">HLOOKUP(SMALL($AI$4:$AN$4,3),$AI$4:$AN$501,ROW(AP263)-3,FALSE)</f>
        <v>--</v>
      </c>
      <c r="AW263" s="6" t="str">
        <f t="shared" ref="AW263:AW326" si="90">IF(HLOOKUP(SMALL($C$4:$G$4,2),$C$4:$G$501,ROW(AP263)-3,FALSE)="&lt;","&lt;","")</f>
        <v/>
      </c>
      <c r="AX263" s="6" t="str">
        <f t="shared" ref="AX263:AX326" si="91">HLOOKUP(SMALL($AI$4:$AN$4,4),$AI$4:$AN$501,ROW(AP263)-3,FALSE)</f>
        <v>--</v>
      </c>
      <c r="AY263" s="6" t="str">
        <f t="shared" si="79"/>
        <v/>
      </c>
      <c r="AZ263" s="6" t="str">
        <f t="shared" si="80"/>
        <v/>
      </c>
      <c r="BA263" s="6" t="str">
        <f>IFERROR(IF(AR263="--","",IF(HLOOKUP(SMALL($Q$4:$Y$4,6),$Q$4:$Y$501,ROW(AP263)-3,FALSE)=0,"",IF(HLOOKUP(SMALL($Q$4:$Y$4,6),$Q$4:$Y$501,ROW(AP263)-3,FALSE)="nee",VLOOKUP("De kwaliteitseis emissiearme grond (maximale concentratie) wordt overschreden.",H!$O$10:'H'!$P$59,2,FALSE),""))),"")</f>
        <v/>
      </c>
      <c r="BB263" s="6" t="str">
        <f t="shared" ref="BB263:BB326" si="92">HLOOKUP(SMALL($AI$4:$AN$4,5),$AI$4:$AN$501,ROW(AP263)-3,FALSE)</f>
        <v>--</v>
      </c>
      <c r="BC263" s="6" t="str">
        <f t="shared" ref="BC263:BC326" si="93">IF(HLOOKUP(SMALL($C$4:$G$4,3),$C$4:$G$501,ROW(AP263)-3,FALSE)="&lt;","&lt;","")</f>
        <v/>
      </c>
      <c r="BD263" s="6" t="str">
        <f t="shared" ref="BD263:BD326" si="94">HLOOKUP(SMALL($AI$4:$AN$4,6),$AI$4:$AN$501,ROW(AP263)-3,FALSE)</f>
        <v>--</v>
      </c>
      <c r="BE263" s="6" t="str">
        <f t="shared" si="81"/>
        <v/>
      </c>
      <c r="BF263" s="6"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6" t="str">
        <f>IF(ISNUMBER(F!E264)=FALSE,"--",IF(F!E264=0,"--",F!E264))</f>
        <v>--</v>
      </c>
      <c r="C264" s="6" t="str">
        <f>IF(B264="--","",F!F264)</f>
        <v/>
      </c>
      <c r="D264" s="6" t="str">
        <f>IF(ISNUMBER(F!G264)=FALSE,"--",IF(F!G264=0,"--",F!G264))</f>
        <v>--</v>
      </c>
      <c r="E264" s="6" t="str">
        <f>IF(D264="--","",F!H264)</f>
        <v/>
      </c>
      <c r="F264" s="6" t="str">
        <f>IF(ISNUMBER(F!I264)=FALSE,"--",IF(F!I264=0,"--",F!I264))</f>
        <v>--</v>
      </c>
      <c r="G264" s="6" t="str">
        <f>IF(F264="--","",F!J264)</f>
        <v/>
      </c>
      <c r="H264" s="6"/>
      <c r="I264" s="6" t="str">
        <f>IF(F!Z264=-1,-1,F!AV264)</f>
        <v/>
      </c>
      <c r="J264" s="6"/>
      <c r="K264" s="6" t="str">
        <f>IF(F!AC264=-1,-1,F!AX264)</f>
        <v/>
      </c>
      <c r="L264" s="6"/>
      <c r="M264" s="6" t="str">
        <f>IF(F!AF264=-1,-1,F!AZ264)</f>
        <v/>
      </c>
      <c r="N264" s="6"/>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6" t="str">
        <f t="shared" si="88"/>
        <v/>
      </c>
      <c r="R264" s="5" t="str">
        <f>IF($B264="--","",IF($P264="toetsen",toetsen(F!$B264,Q264),IF($P264="toetsen alleen IW",toetsen_alleen_IW(F!$B264,Q264),IF($P264="toetsen alleen LN",toetsen_alleen_LN(F!$B264,Q264),IF($P264="toetsen geen MV en SV",toetsen_geen_MV_en_SV(F!$B264,Q264),IF($P264="toetsen alleen MV en SV",toetsen_alleen_MV_en_SV(F!$B264,Q264),""))))))</f>
        <v/>
      </c>
      <c r="S264" s="5" t="str">
        <f>IF($P264="toetsen",IF(OR(Q264="",VLOOKUP(F!$B264,E!$B$1:$AK$300,10,FALSE)=1000000000),"",IF(Q264&lt;=VLOOKUP(F!$B264,E!$B$1:$AK$300,10,FALSE),"ja","nee")),"")</f>
        <v/>
      </c>
      <c r="T264" s="87" t="str">
        <f t="shared" si="83"/>
        <v/>
      </c>
      <c r="U264" s="5" t="str">
        <f>IF($D264="--","",IF($P264="toetsen",toetsen(F!$B264,T264),IF($P264="toetsen alleen IW",toetsen_alleen_IW(F!$B264,T264),IF($P264="toetsen alleen LN",toetsen_alleen_LN(F!$B264,T264),IF($P264="toetsen geen MV en SV",toetsen_geen_MV_en_SV(F!$B264,T264),IF($P264="toetsen alleen MV en SV",toetsen_alleen_MV_en_SV(F!$B264,T264),""))))))</f>
        <v/>
      </c>
      <c r="V264" s="5" t="str">
        <f>IF($P264="toetsen",IF(OR(T264="",VLOOKUP(F!$B264,E!$B$1:$AK$300,10,FALSE)=1000000000),"",IF(T264&lt;=VLOOKUP(F!$B264,E!$B$1:$AK$300,10,FALSE),"ja","nee")),"")</f>
        <v/>
      </c>
      <c r="W264" s="6" t="str">
        <f t="shared" si="84"/>
        <v/>
      </c>
      <c r="X264" s="5" t="str">
        <f>IF($F264="--","",IF($P264="toetsen",toetsen(F!$B264,W264),IF($P264="toetsen alleen IW",toetsen_alleen_IW(F!$B264,W264),IF($P264="toetsen alleen LN",toetsen_alleen_LN(F!$B264,W264),IF($P264="toetsen geen MV en SV",toetsen_geen_MV_en_SV(F!$B264,W264),IF($P264="toetsen alleen MV en SV",toetsen_alleen_MV_en_SV(F!$B264,W264),""))))))</f>
        <v/>
      </c>
      <c r="Y264" s="5" t="str">
        <f>IF($P264="toetsen",IF(OR(W264="",VLOOKUP(F!$B264,E!$B$1:$AK$300,10,FALSE)=1000000000),"",IF(W264&lt;=VLOOKUP(F!$B264,E!$B$1:$AK$300,10,FALSE),"ja","nee")),"")</f>
        <v/>
      </c>
      <c r="AA264" s="4"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6" t="str">
        <f t="shared" si="85"/>
        <v>--</v>
      </c>
      <c r="AJ264" s="6"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6" t="str">
        <f t="shared" si="86"/>
        <v>--</v>
      </c>
      <c r="AL264" s="6"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6" t="str">
        <f t="shared" si="87"/>
        <v>--</v>
      </c>
      <c r="AN264" s="6"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6" t="str">
        <f t="shared" ref="AP264:AP327" si="95">HLOOKUP(SMALL($AI$4:$AN$4,1),$AI$4:$AN$501,ROW(AP264)-3,FALSE)</f>
        <v>--</v>
      </c>
      <c r="AQ264" s="6" t="str">
        <f t="shared" ref="AQ264:AQ327" si="96">IF(HLOOKUP(SMALL($C$4:$G$4,1),$C$4:$G$501,ROW(AP264)-3,FALSE)="&lt;","&lt;","")</f>
        <v/>
      </c>
      <c r="AR264" s="6" t="str">
        <f t="shared" ref="AR264:AR327" si="97">HLOOKUP(SMALL($AI$4:$AN$4,2),$AI$4:$AN$501,ROW(AP264)-3,FALSE)</f>
        <v>--</v>
      </c>
      <c r="AS264" s="6" t="str">
        <f t="shared" ref="AS264:AS327" si="98">IF(AR264="rg","&lt;","")</f>
        <v/>
      </c>
      <c r="AT264" s="6" t="str">
        <f t="shared" ref="AT264:AT327" si="99">IF(AR264="--","",IF(HLOOKUP(SMALL($Q$4:$Y$4,2),$Q$4:$Y$501,ROW(AP264)-3,FALSE)=0,"",HLOOKUP(SMALL($Q$4:$Y$4,2),$Q$4:$Y$501,ROW(AP264)-3,FALSE)))</f>
        <v/>
      </c>
      <c r="AU264" s="6" t="str">
        <f>IFERROR(IF(AR264="--","",IF(HLOOKUP(SMALL($Q$4:$Y$4,3),$Q$4:$Y$501,ROW(AP264)-3,FALSE)=0,"",IF(HLOOKUP(SMALL($Q$4:$Y$4,3),$Q$4:$Y$501,ROW(AP264)-3,FALSE)="nee",VLOOKUP("De kwaliteitseis emissiearme grond (maximale concentratie) wordt overschreden.",H!$O$10:'H'!$P$59,2,FALSE),""))),"")</f>
        <v/>
      </c>
      <c r="AV264" s="6" t="str">
        <f t="shared" si="89"/>
        <v>--</v>
      </c>
      <c r="AW264" s="6" t="str">
        <f t="shared" si="90"/>
        <v/>
      </c>
      <c r="AX264" s="6" t="str">
        <f t="shared" si="91"/>
        <v>--</v>
      </c>
      <c r="AY264" s="6" t="str">
        <f t="shared" ref="AY264:AY327" si="100">IF(AX264="rg","&lt;","")</f>
        <v/>
      </c>
      <c r="AZ264" s="6" t="str">
        <f t="shared" ref="AZ264:AZ327" si="101">IF(AX264="--","",IF(HLOOKUP(SMALL($Q$4:$Y$4,5),$Q$4:$Y$501,ROW(AP264)-3,FALSE)=0,"",HLOOKUP(SMALL($Q$4:$Y$4,5),$Q$4:$Y$501,ROW(AP264)-3,FALSE)))</f>
        <v/>
      </c>
      <c r="BA264" s="6" t="str">
        <f>IFERROR(IF(AR264="--","",IF(HLOOKUP(SMALL($Q$4:$Y$4,6),$Q$4:$Y$501,ROW(AP264)-3,FALSE)=0,"",IF(HLOOKUP(SMALL($Q$4:$Y$4,6),$Q$4:$Y$501,ROW(AP264)-3,FALSE)="nee",VLOOKUP("De kwaliteitseis emissiearme grond (maximale concentratie) wordt overschreden.",H!$O$10:'H'!$P$59,2,FALSE),""))),"")</f>
        <v/>
      </c>
      <c r="BB264" s="6" t="str">
        <f t="shared" si="92"/>
        <v>--</v>
      </c>
      <c r="BC264" s="6" t="str">
        <f t="shared" si="93"/>
        <v/>
      </c>
      <c r="BD264" s="6" t="str">
        <f t="shared" si="94"/>
        <v>--</v>
      </c>
      <c r="BE264" s="6" t="str">
        <f t="shared" ref="BE264:BE327" si="102">IF(BD264="rg","&lt;","")</f>
        <v/>
      </c>
      <c r="BF264" s="6"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6" t="str">
        <f>IF(ISNUMBER(F!E265)=FALSE,"--",IF(F!E265=0,"--",F!E265))</f>
        <v>--</v>
      </c>
      <c r="C265" s="6" t="str">
        <f>IF(B265="--","",F!F265)</f>
        <v/>
      </c>
      <c r="D265" s="6" t="str">
        <f>IF(ISNUMBER(F!G265)=FALSE,"--",IF(F!G265=0,"--",F!G265))</f>
        <v>--</v>
      </c>
      <c r="E265" s="6" t="str">
        <f>IF(D265="--","",F!H265)</f>
        <v/>
      </c>
      <c r="F265" s="6" t="str">
        <f>IF(ISNUMBER(F!I265)=FALSE,"--",IF(F!I265=0,"--",F!I265))</f>
        <v>--</v>
      </c>
      <c r="G265" s="6" t="str">
        <f>IF(F265="--","",F!J265)</f>
        <v/>
      </c>
      <c r="H265" s="6"/>
      <c r="I265" s="6" t="str">
        <f>IF(F!Z265=-1,-1,F!AV265)</f>
        <v/>
      </c>
      <c r="J265" s="6"/>
      <c r="K265" s="6" t="str">
        <f>IF(F!AC265=-1,-1,F!AX265)</f>
        <v/>
      </c>
      <c r="L265" s="6"/>
      <c r="M265" s="6" t="str">
        <f>IF(F!AF265=-1,-1,F!AZ265)</f>
        <v/>
      </c>
      <c r="N265" s="6"/>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6" t="str">
        <f t="shared" si="88"/>
        <v/>
      </c>
      <c r="R265" s="5" t="str">
        <f>IF($B265="--","",IF($P265="toetsen",toetsen(F!$B265,Q265),IF($P265="toetsen alleen IW",toetsen_alleen_IW(F!$B265,Q265),IF($P265="toetsen alleen LN",toetsen_alleen_LN(F!$B265,Q265),IF($P265="toetsen geen MV en SV",toetsen_geen_MV_en_SV(F!$B265,Q265),IF($P265="toetsen alleen MV en SV",toetsen_alleen_MV_en_SV(F!$B265,Q265),""))))))</f>
        <v/>
      </c>
      <c r="S265" s="5" t="str">
        <f>IF($P265="toetsen",IF(OR(Q265="",VLOOKUP(F!$B265,E!$B$1:$AK$300,10,FALSE)=1000000000),"",IF(Q265&lt;=VLOOKUP(F!$B265,E!$B$1:$AK$300,10,FALSE),"ja","nee")),"")</f>
        <v/>
      </c>
      <c r="T265" s="87" t="str">
        <f t="shared" si="83"/>
        <v/>
      </c>
      <c r="U265" s="5" t="str">
        <f>IF($D265="--","",IF($P265="toetsen",toetsen(F!$B265,T265),IF($P265="toetsen alleen IW",toetsen_alleen_IW(F!$B265,T265),IF($P265="toetsen alleen LN",toetsen_alleen_LN(F!$B265,T265),IF($P265="toetsen geen MV en SV",toetsen_geen_MV_en_SV(F!$B265,T265),IF($P265="toetsen alleen MV en SV",toetsen_alleen_MV_en_SV(F!$B265,T265),""))))))</f>
        <v/>
      </c>
      <c r="V265" s="5" t="str">
        <f>IF($P265="toetsen",IF(OR(T265="",VLOOKUP(F!$B265,E!$B$1:$AK$300,10,FALSE)=1000000000),"",IF(T265&lt;=VLOOKUP(F!$B265,E!$B$1:$AK$300,10,FALSE),"ja","nee")),"")</f>
        <v/>
      </c>
      <c r="W265" s="6" t="str">
        <f t="shared" si="84"/>
        <v/>
      </c>
      <c r="X265" s="5" t="str">
        <f>IF($F265="--","",IF($P265="toetsen",toetsen(F!$B265,W265),IF($P265="toetsen alleen IW",toetsen_alleen_IW(F!$B265,W265),IF($P265="toetsen alleen LN",toetsen_alleen_LN(F!$B265,W265),IF($P265="toetsen geen MV en SV",toetsen_geen_MV_en_SV(F!$B265,W265),IF($P265="toetsen alleen MV en SV",toetsen_alleen_MV_en_SV(F!$B265,W265),""))))))</f>
        <v/>
      </c>
      <c r="Y265" s="5" t="str">
        <f>IF($P265="toetsen",IF(OR(W265="",VLOOKUP(F!$B265,E!$B$1:$AK$300,10,FALSE)=1000000000),"",IF(W265&lt;=VLOOKUP(F!$B265,E!$B$1:$AK$300,10,FALSE),"ja","nee")),"")</f>
        <v/>
      </c>
      <c r="AA265" s="4"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6" t="str">
        <f t="shared" si="85"/>
        <v>--</v>
      </c>
      <c r="AJ265" s="6"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6" t="str">
        <f t="shared" si="86"/>
        <v>--</v>
      </c>
      <c r="AL265" s="6"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6" t="str">
        <f t="shared" si="87"/>
        <v>--</v>
      </c>
      <c r="AN265" s="6"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6" t="str">
        <f t="shared" si="95"/>
        <v>--</v>
      </c>
      <c r="AQ265" s="6" t="str">
        <f t="shared" si="96"/>
        <v/>
      </c>
      <c r="AR265" s="6" t="str">
        <f t="shared" si="97"/>
        <v>--</v>
      </c>
      <c r="AS265" s="6" t="str">
        <f t="shared" si="98"/>
        <v/>
      </c>
      <c r="AT265" s="6" t="str">
        <f t="shared" si="99"/>
        <v/>
      </c>
      <c r="AU265" s="6" t="str">
        <f>IFERROR(IF(AR265="--","",IF(HLOOKUP(SMALL($Q$4:$Y$4,3),$Q$4:$Y$501,ROW(AP265)-3,FALSE)=0,"",IF(HLOOKUP(SMALL($Q$4:$Y$4,3),$Q$4:$Y$501,ROW(AP265)-3,FALSE)="nee",VLOOKUP("De kwaliteitseis emissiearme grond (maximale concentratie) wordt overschreden.",H!$O$10:'H'!$P$59,2,FALSE),""))),"")</f>
        <v/>
      </c>
      <c r="AV265" s="6" t="str">
        <f t="shared" si="89"/>
        <v>--</v>
      </c>
      <c r="AW265" s="6" t="str">
        <f t="shared" si="90"/>
        <v/>
      </c>
      <c r="AX265" s="6" t="str">
        <f t="shared" si="91"/>
        <v>--</v>
      </c>
      <c r="AY265" s="6" t="str">
        <f t="shared" si="100"/>
        <v/>
      </c>
      <c r="AZ265" s="6" t="str">
        <f t="shared" si="101"/>
        <v/>
      </c>
      <c r="BA265" s="6" t="str">
        <f>IFERROR(IF(AR265="--","",IF(HLOOKUP(SMALL($Q$4:$Y$4,6),$Q$4:$Y$501,ROW(AP265)-3,FALSE)=0,"",IF(HLOOKUP(SMALL($Q$4:$Y$4,6),$Q$4:$Y$501,ROW(AP265)-3,FALSE)="nee",VLOOKUP("De kwaliteitseis emissiearme grond (maximale concentratie) wordt overschreden.",H!$O$10:'H'!$P$59,2,FALSE),""))),"")</f>
        <v/>
      </c>
      <c r="BB265" s="6" t="str">
        <f t="shared" si="92"/>
        <v>--</v>
      </c>
      <c r="BC265" s="6" t="str">
        <f t="shared" si="93"/>
        <v/>
      </c>
      <c r="BD265" s="6" t="str">
        <f t="shared" si="94"/>
        <v>--</v>
      </c>
      <c r="BE265" s="6" t="str">
        <f t="shared" si="102"/>
        <v/>
      </c>
      <c r="BF265" s="6"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6" t="str">
        <f>IF(ISNUMBER(F!E266)=FALSE,"--",IF(F!E266=0,"--",F!E266))</f>
        <v>--</v>
      </c>
      <c r="C266" s="6" t="str">
        <f>IF(B266="--","",F!F266)</f>
        <v/>
      </c>
      <c r="D266" s="6" t="str">
        <f>IF(ISNUMBER(F!G266)=FALSE,"--",IF(F!G266=0,"--",F!G266))</f>
        <v>--</v>
      </c>
      <c r="E266" s="6" t="str">
        <f>IF(D266="--","",F!H266)</f>
        <v/>
      </c>
      <c r="F266" s="6" t="str">
        <f>IF(ISNUMBER(F!I266)=FALSE,"--",IF(F!I266=0,"--",F!I266))</f>
        <v>--</v>
      </c>
      <c r="G266" s="6" t="str">
        <f>IF(F266="--","",F!J266)</f>
        <v/>
      </c>
      <c r="H266" s="6"/>
      <c r="I266" s="6" t="str">
        <f>IF(F!Z266=-1,-1,F!AV266)</f>
        <v/>
      </c>
      <c r="J266" s="6"/>
      <c r="K266" s="6" t="str">
        <f>IF(F!AC266=-1,-1,F!AX266)</f>
        <v/>
      </c>
      <c r="L266" s="6"/>
      <c r="M266" s="6" t="str">
        <f>IF(F!AF266=-1,-1,F!AZ266)</f>
        <v/>
      </c>
      <c r="N266" s="6"/>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6" t="str">
        <f t="shared" si="88"/>
        <v/>
      </c>
      <c r="R266" s="5" t="str">
        <f>IF($B266="--","",IF($P266="toetsen",toetsen(F!$B266,Q266),IF($P266="toetsen alleen IW",toetsen_alleen_IW(F!$B266,Q266),IF($P266="toetsen alleen LN",toetsen_alleen_LN(F!$B266,Q266),IF($P266="toetsen geen MV en SV",toetsen_geen_MV_en_SV(F!$B266,Q266),IF($P266="toetsen alleen MV en SV",toetsen_alleen_MV_en_SV(F!$B266,Q266),""))))))</f>
        <v/>
      </c>
      <c r="S266" s="5" t="str">
        <f>IF($P266="toetsen",IF(OR(Q266="",VLOOKUP(F!$B266,E!$B$1:$AK$300,10,FALSE)=1000000000),"",IF(Q266&lt;=VLOOKUP(F!$B266,E!$B$1:$AK$300,10,FALSE),"ja","nee")),"")</f>
        <v/>
      </c>
      <c r="T266" s="87" t="str">
        <f t="shared" si="83"/>
        <v/>
      </c>
      <c r="U266" s="5" t="str">
        <f>IF($D266="--","",IF($P266="toetsen",toetsen(F!$B266,T266),IF($P266="toetsen alleen IW",toetsen_alleen_IW(F!$B266,T266),IF($P266="toetsen alleen LN",toetsen_alleen_LN(F!$B266,T266),IF($P266="toetsen geen MV en SV",toetsen_geen_MV_en_SV(F!$B266,T266),IF($P266="toetsen alleen MV en SV",toetsen_alleen_MV_en_SV(F!$B266,T266),""))))))</f>
        <v/>
      </c>
      <c r="V266" s="5" t="str">
        <f>IF($P266="toetsen",IF(OR(T266="",VLOOKUP(F!$B266,E!$B$1:$AK$300,10,FALSE)=1000000000),"",IF(T266&lt;=VLOOKUP(F!$B266,E!$B$1:$AK$300,10,FALSE),"ja","nee")),"")</f>
        <v/>
      </c>
      <c r="W266" s="6" t="str">
        <f t="shared" si="84"/>
        <v/>
      </c>
      <c r="X266" s="5" t="str">
        <f>IF($F266="--","",IF($P266="toetsen",toetsen(F!$B266,W266),IF($P266="toetsen alleen IW",toetsen_alleen_IW(F!$B266,W266),IF($P266="toetsen alleen LN",toetsen_alleen_LN(F!$B266,W266),IF($P266="toetsen geen MV en SV",toetsen_geen_MV_en_SV(F!$B266,W266),IF($P266="toetsen alleen MV en SV",toetsen_alleen_MV_en_SV(F!$B266,W266),""))))))</f>
        <v/>
      </c>
      <c r="Y266" s="5" t="str">
        <f>IF($P266="toetsen",IF(OR(W266="",VLOOKUP(F!$B266,E!$B$1:$AK$300,10,FALSE)=1000000000),"",IF(W266&lt;=VLOOKUP(F!$B266,E!$B$1:$AK$300,10,FALSE),"ja","nee")),"")</f>
        <v/>
      </c>
      <c r="AA266" s="4"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6" t="str">
        <f t="shared" si="85"/>
        <v>--</v>
      </c>
      <c r="AJ266" s="6"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6" t="str">
        <f t="shared" si="86"/>
        <v>--</v>
      </c>
      <c r="AL266" s="6"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6" t="str">
        <f t="shared" si="87"/>
        <v>--</v>
      </c>
      <c r="AN266" s="6"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6" t="str">
        <f t="shared" si="95"/>
        <v>--</v>
      </c>
      <c r="AQ266" s="6" t="str">
        <f t="shared" si="96"/>
        <v/>
      </c>
      <c r="AR266" s="6" t="str">
        <f t="shared" si="97"/>
        <v>--</v>
      </c>
      <c r="AS266" s="6" t="str">
        <f t="shared" si="98"/>
        <v/>
      </c>
      <c r="AT266" s="6" t="str">
        <f t="shared" si="99"/>
        <v/>
      </c>
      <c r="AU266" s="6" t="str">
        <f>IFERROR(IF(AR266="--","",IF(HLOOKUP(SMALL($Q$4:$Y$4,3),$Q$4:$Y$501,ROW(AP266)-3,FALSE)=0,"",IF(HLOOKUP(SMALL($Q$4:$Y$4,3),$Q$4:$Y$501,ROW(AP266)-3,FALSE)="nee",VLOOKUP("De kwaliteitseis emissiearme grond (maximale concentratie) wordt overschreden.",H!$O$10:'H'!$P$59,2,FALSE),""))),"")</f>
        <v/>
      </c>
      <c r="AV266" s="6" t="str">
        <f t="shared" si="89"/>
        <v>--</v>
      </c>
      <c r="AW266" s="6" t="str">
        <f t="shared" si="90"/>
        <v/>
      </c>
      <c r="AX266" s="6" t="str">
        <f t="shared" si="91"/>
        <v>--</v>
      </c>
      <c r="AY266" s="6" t="str">
        <f t="shared" si="100"/>
        <v/>
      </c>
      <c r="AZ266" s="6" t="str">
        <f t="shared" si="101"/>
        <v/>
      </c>
      <c r="BA266" s="6" t="str">
        <f>IFERROR(IF(AR266="--","",IF(HLOOKUP(SMALL($Q$4:$Y$4,6),$Q$4:$Y$501,ROW(AP266)-3,FALSE)=0,"",IF(HLOOKUP(SMALL($Q$4:$Y$4,6),$Q$4:$Y$501,ROW(AP266)-3,FALSE)="nee",VLOOKUP("De kwaliteitseis emissiearme grond (maximale concentratie) wordt overschreden.",H!$O$10:'H'!$P$59,2,FALSE),""))),"")</f>
        <v/>
      </c>
      <c r="BB266" s="6" t="str">
        <f t="shared" si="92"/>
        <v>--</v>
      </c>
      <c r="BC266" s="6" t="str">
        <f t="shared" si="93"/>
        <v/>
      </c>
      <c r="BD266" s="6" t="str">
        <f t="shared" si="94"/>
        <v>--</v>
      </c>
      <c r="BE266" s="6" t="str">
        <f t="shared" si="102"/>
        <v/>
      </c>
      <c r="BF266" s="6"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6" t="str">
        <f>IF(ISNUMBER(F!E267)=FALSE,"--",IF(F!E267=0,"--",F!E267))</f>
        <v>--</v>
      </c>
      <c r="C267" s="6" t="str">
        <f>IF(B267="--","",F!F267)</f>
        <v/>
      </c>
      <c r="D267" s="6" t="str">
        <f>IF(ISNUMBER(F!G267)=FALSE,"--",IF(F!G267=0,"--",F!G267))</f>
        <v>--</v>
      </c>
      <c r="E267" s="6" t="str">
        <f>IF(D267="--","",F!H267)</f>
        <v/>
      </c>
      <c r="F267" s="6" t="str">
        <f>IF(ISNUMBER(F!I267)=FALSE,"--",IF(F!I267=0,"--",F!I267))</f>
        <v>--</v>
      </c>
      <c r="G267" s="6" t="str">
        <f>IF(F267="--","",F!J267)</f>
        <v/>
      </c>
      <c r="H267" s="6"/>
      <c r="I267" s="6" t="str">
        <f>IF(F!Z267=-1,-1,F!AV267)</f>
        <v/>
      </c>
      <c r="J267" s="6"/>
      <c r="K267" s="6" t="str">
        <f>IF(F!AC267=-1,-1,F!AX267)</f>
        <v/>
      </c>
      <c r="L267" s="6"/>
      <c r="M267" s="6" t="str">
        <f>IF(F!AF267=-1,-1,F!AZ267)</f>
        <v/>
      </c>
      <c r="N267" s="6"/>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6" t="str">
        <f t="shared" si="88"/>
        <v/>
      </c>
      <c r="R267" s="5" t="str">
        <f>IF($B267="--","",IF($P267="toetsen",toetsen(F!$B267,Q267),IF($P267="toetsen alleen IW",toetsen_alleen_IW(F!$B267,Q267),IF($P267="toetsen alleen LN",toetsen_alleen_LN(F!$B267,Q267),IF($P267="toetsen geen MV en SV",toetsen_geen_MV_en_SV(F!$B267,Q267),IF($P267="toetsen alleen MV en SV",toetsen_alleen_MV_en_SV(F!$B267,Q267),""))))))</f>
        <v/>
      </c>
      <c r="S267" s="5" t="str">
        <f>IF($P267="toetsen",IF(OR(Q267="",VLOOKUP(F!$B267,E!$B$1:$AK$300,10,FALSE)=1000000000),"",IF(Q267&lt;=VLOOKUP(F!$B267,E!$B$1:$AK$300,10,FALSE),"ja","nee")),"")</f>
        <v/>
      </c>
      <c r="T267" s="87" t="str">
        <f t="shared" si="83"/>
        <v/>
      </c>
      <c r="U267" s="5" t="str">
        <f>IF($D267="--","",IF($P267="toetsen",toetsen(F!$B267,T267),IF($P267="toetsen alleen IW",toetsen_alleen_IW(F!$B267,T267),IF($P267="toetsen alleen LN",toetsen_alleen_LN(F!$B267,T267),IF($P267="toetsen geen MV en SV",toetsen_geen_MV_en_SV(F!$B267,T267),IF($P267="toetsen alleen MV en SV",toetsen_alleen_MV_en_SV(F!$B267,T267),""))))))</f>
        <v/>
      </c>
      <c r="V267" s="5" t="str">
        <f>IF($P267="toetsen",IF(OR(T267="",VLOOKUP(F!$B267,E!$B$1:$AK$300,10,FALSE)=1000000000),"",IF(T267&lt;=VLOOKUP(F!$B267,E!$B$1:$AK$300,10,FALSE),"ja","nee")),"")</f>
        <v/>
      </c>
      <c r="W267" s="6" t="str">
        <f t="shared" si="84"/>
        <v/>
      </c>
      <c r="X267" s="5" t="str">
        <f>IF($F267="--","",IF($P267="toetsen",toetsen(F!$B267,W267),IF($P267="toetsen alleen IW",toetsen_alleen_IW(F!$B267,W267),IF($P267="toetsen alleen LN",toetsen_alleen_LN(F!$B267,W267),IF($P267="toetsen geen MV en SV",toetsen_geen_MV_en_SV(F!$B267,W267),IF($P267="toetsen alleen MV en SV",toetsen_alleen_MV_en_SV(F!$B267,W267),""))))))</f>
        <v/>
      </c>
      <c r="Y267" s="5" t="str">
        <f>IF($P267="toetsen",IF(OR(W267="",VLOOKUP(F!$B267,E!$B$1:$AK$300,10,FALSE)=1000000000),"",IF(W267&lt;=VLOOKUP(F!$B267,E!$B$1:$AK$300,10,FALSE),"ja","nee")),"")</f>
        <v/>
      </c>
      <c r="AA267" s="4"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6" t="str">
        <f t="shared" si="85"/>
        <v>--</v>
      </c>
      <c r="AJ267" s="6"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6" t="str">
        <f t="shared" si="86"/>
        <v>--</v>
      </c>
      <c r="AL267" s="6"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6" t="str">
        <f t="shared" si="87"/>
        <v>--</v>
      </c>
      <c r="AN267" s="6"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6" t="str">
        <f t="shared" si="95"/>
        <v>--</v>
      </c>
      <c r="AQ267" s="6" t="str">
        <f t="shared" si="96"/>
        <v/>
      </c>
      <c r="AR267" s="6" t="str">
        <f t="shared" si="97"/>
        <v>--</v>
      </c>
      <c r="AS267" s="6" t="str">
        <f t="shared" si="98"/>
        <v/>
      </c>
      <c r="AT267" s="6" t="str">
        <f t="shared" si="99"/>
        <v/>
      </c>
      <c r="AU267" s="6" t="str">
        <f>IFERROR(IF(AR267="--","",IF(HLOOKUP(SMALL($Q$4:$Y$4,3),$Q$4:$Y$501,ROW(AP267)-3,FALSE)=0,"",IF(HLOOKUP(SMALL($Q$4:$Y$4,3),$Q$4:$Y$501,ROW(AP267)-3,FALSE)="nee",VLOOKUP("De kwaliteitseis emissiearme grond (maximale concentratie) wordt overschreden.",H!$O$10:'H'!$P$59,2,FALSE),""))),"")</f>
        <v/>
      </c>
      <c r="AV267" s="6" t="str">
        <f t="shared" si="89"/>
        <v>--</v>
      </c>
      <c r="AW267" s="6" t="str">
        <f t="shared" si="90"/>
        <v/>
      </c>
      <c r="AX267" s="6" t="str">
        <f t="shared" si="91"/>
        <v>--</v>
      </c>
      <c r="AY267" s="6" t="str">
        <f t="shared" si="100"/>
        <v/>
      </c>
      <c r="AZ267" s="6" t="str">
        <f t="shared" si="101"/>
        <v/>
      </c>
      <c r="BA267" s="6" t="str">
        <f>IFERROR(IF(AR267="--","",IF(HLOOKUP(SMALL($Q$4:$Y$4,6),$Q$4:$Y$501,ROW(AP267)-3,FALSE)=0,"",IF(HLOOKUP(SMALL($Q$4:$Y$4,6),$Q$4:$Y$501,ROW(AP267)-3,FALSE)="nee",VLOOKUP("De kwaliteitseis emissiearme grond (maximale concentratie) wordt overschreden.",H!$O$10:'H'!$P$59,2,FALSE),""))),"")</f>
        <v/>
      </c>
      <c r="BB267" s="6" t="str">
        <f t="shared" si="92"/>
        <v>--</v>
      </c>
      <c r="BC267" s="6" t="str">
        <f t="shared" si="93"/>
        <v/>
      </c>
      <c r="BD267" s="6" t="str">
        <f t="shared" si="94"/>
        <v>--</v>
      </c>
      <c r="BE267" s="6" t="str">
        <f t="shared" si="102"/>
        <v/>
      </c>
      <c r="BF267" s="6"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6" t="str">
        <f>IF(ISNUMBER(F!E268)=FALSE,"--",IF(F!E268=0,"--",F!E268))</f>
        <v>--</v>
      </c>
      <c r="C268" s="6" t="str">
        <f>IF(B268="--","",F!F268)</f>
        <v/>
      </c>
      <c r="D268" s="6" t="str">
        <f>IF(ISNUMBER(F!G268)=FALSE,"--",IF(F!G268=0,"--",F!G268))</f>
        <v>--</v>
      </c>
      <c r="E268" s="6" t="str">
        <f>IF(D268="--","",F!H268)</f>
        <v/>
      </c>
      <c r="F268" s="6" t="str">
        <f>IF(ISNUMBER(F!I268)=FALSE,"--",IF(F!I268=0,"--",F!I268))</f>
        <v>--</v>
      </c>
      <c r="G268" s="6" t="str">
        <f>IF(F268="--","",F!J268)</f>
        <v/>
      </c>
      <c r="H268" s="6"/>
      <c r="I268" s="6" t="str">
        <f>IF(F!Z268=-1,-1,F!AV268)</f>
        <v/>
      </c>
      <c r="J268" s="6"/>
      <c r="K268" s="6" t="str">
        <f>IF(F!AC268=-1,-1,F!AX268)</f>
        <v/>
      </c>
      <c r="L268" s="6"/>
      <c r="M268" s="6" t="str">
        <f>IF(F!AF268=-1,-1,F!AZ268)</f>
        <v/>
      </c>
      <c r="N268" s="6"/>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6" t="str">
        <f t="shared" si="88"/>
        <v/>
      </c>
      <c r="R268" s="5" t="str">
        <f>IF($B268="--","",IF($P268="toetsen",toetsen(F!$B268,Q268),IF($P268="toetsen alleen IW",toetsen_alleen_IW(F!$B268,Q268),IF($P268="toetsen alleen LN",toetsen_alleen_LN(F!$B268,Q268),IF($P268="toetsen geen MV en SV",toetsen_geen_MV_en_SV(F!$B268,Q268),IF($P268="toetsen alleen MV en SV",toetsen_alleen_MV_en_SV(F!$B268,Q268),""))))))</f>
        <v/>
      </c>
      <c r="S268" s="5" t="str">
        <f>IF($P268="toetsen",IF(OR(Q268="",VLOOKUP(F!$B268,E!$B$1:$AK$300,10,FALSE)=1000000000),"",IF(Q268&lt;=VLOOKUP(F!$B268,E!$B$1:$AK$300,10,FALSE),"ja","nee")),"")</f>
        <v/>
      </c>
      <c r="T268" s="87" t="str">
        <f t="shared" ref="T268:T331" si="104">K268</f>
        <v/>
      </c>
      <c r="U268" s="5" t="str">
        <f>IF($D268="--","",IF($P268="toetsen",toetsen(F!$B268,T268),IF($P268="toetsen alleen IW",toetsen_alleen_IW(F!$B268,T268),IF($P268="toetsen alleen LN",toetsen_alleen_LN(F!$B268,T268),IF($P268="toetsen geen MV en SV",toetsen_geen_MV_en_SV(F!$B268,T268),IF($P268="toetsen alleen MV en SV",toetsen_alleen_MV_en_SV(F!$B268,T268),""))))))</f>
        <v/>
      </c>
      <c r="V268" s="5" t="str">
        <f>IF($P268="toetsen",IF(OR(T268="",VLOOKUP(F!$B268,E!$B$1:$AK$300,10,FALSE)=1000000000),"",IF(T268&lt;=VLOOKUP(F!$B268,E!$B$1:$AK$300,10,FALSE),"ja","nee")),"")</f>
        <v/>
      </c>
      <c r="W268" s="6" t="str">
        <f t="shared" ref="W268:W331" si="105">M268</f>
        <v/>
      </c>
      <c r="X268" s="5" t="str">
        <f>IF($F268="--","",IF($P268="toetsen",toetsen(F!$B268,W268),IF($P268="toetsen alleen IW",toetsen_alleen_IW(F!$B268,W268),IF($P268="toetsen alleen LN",toetsen_alleen_LN(F!$B268,W268),IF($P268="toetsen geen MV en SV",toetsen_geen_MV_en_SV(F!$B268,W268),IF($P268="toetsen alleen MV en SV",toetsen_alleen_MV_en_SV(F!$B268,W268),""))))))</f>
        <v/>
      </c>
      <c r="Y268" s="5" t="str">
        <f>IF($P268="toetsen",IF(OR(W268="",VLOOKUP(F!$B268,E!$B$1:$AK$300,10,FALSE)=1000000000),"",IF(W268&lt;=VLOOKUP(F!$B268,E!$B$1:$AK$300,10,FALSE),"ja","nee")),"")</f>
        <v/>
      </c>
      <c r="AA268" s="4"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6" t="str">
        <f t="shared" ref="AI268:AI331" si="106">IF(B268="--",B268,(IF(B268&lt;1,FIXED(B268,2),IF(B268&lt;10,FIXED(B268,1),IF(B268&lt;100,FIXED(B268,0),IF(B268&lt;1000,MROUND(B268,10),MROUND(B268,100)))))))</f>
        <v>--</v>
      </c>
      <c r="AJ268" s="6"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6" t="str">
        <f t="shared" ref="AK268:AK331" si="107">IF(D268="--",D268,(IF(D268&lt;1,FIXED(D268,2),IF(D268&lt;10,FIXED(D268,1),IF(D268&lt;100,FIXED(D268,0),IF(D268&lt;1000,MROUND(D268,10),MROUND(D268,100)))))))</f>
        <v>--</v>
      </c>
      <c r="AL268" s="6"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6" t="str">
        <f t="shared" ref="AM268:AM331" si="108">IF(F268="--",F268,(IF(F268&lt;1,FIXED(F268,2),IF(F268&lt;10,FIXED(F268,1),IF(F268&lt;100,FIXED(F268,0),IF(F268&lt;1000,MROUND(F268,10),MROUND(F268,100)))))))</f>
        <v>--</v>
      </c>
      <c r="AN268" s="6"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6" t="str">
        <f t="shared" si="95"/>
        <v>--</v>
      </c>
      <c r="AQ268" s="6" t="str">
        <f t="shared" si="96"/>
        <v/>
      </c>
      <c r="AR268" s="6" t="str">
        <f t="shared" si="97"/>
        <v>--</v>
      </c>
      <c r="AS268" s="6" t="str">
        <f t="shared" si="98"/>
        <v/>
      </c>
      <c r="AT268" s="6" t="str">
        <f t="shared" si="99"/>
        <v/>
      </c>
      <c r="AU268" s="6" t="str">
        <f>IFERROR(IF(AR268="--","",IF(HLOOKUP(SMALL($Q$4:$Y$4,3),$Q$4:$Y$501,ROW(AP268)-3,FALSE)=0,"",IF(HLOOKUP(SMALL($Q$4:$Y$4,3),$Q$4:$Y$501,ROW(AP268)-3,FALSE)="nee",VLOOKUP("De kwaliteitseis emissiearme grond (maximale concentratie) wordt overschreden.",H!$O$10:'H'!$P$59,2,FALSE),""))),"")</f>
        <v/>
      </c>
      <c r="AV268" s="6" t="str">
        <f t="shared" si="89"/>
        <v>--</v>
      </c>
      <c r="AW268" s="6" t="str">
        <f t="shared" si="90"/>
        <v/>
      </c>
      <c r="AX268" s="6" t="str">
        <f t="shared" si="91"/>
        <v>--</v>
      </c>
      <c r="AY268" s="6" t="str">
        <f t="shared" si="100"/>
        <v/>
      </c>
      <c r="AZ268" s="6" t="str">
        <f t="shared" si="101"/>
        <v/>
      </c>
      <c r="BA268" s="6" t="str">
        <f>IFERROR(IF(AR268="--","",IF(HLOOKUP(SMALL($Q$4:$Y$4,6),$Q$4:$Y$501,ROW(AP268)-3,FALSE)=0,"",IF(HLOOKUP(SMALL($Q$4:$Y$4,6),$Q$4:$Y$501,ROW(AP268)-3,FALSE)="nee",VLOOKUP("De kwaliteitseis emissiearme grond (maximale concentratie) wordt overschreden.",H!$O$10:'H'!$P$59,2,FALSE),""))),"")</f>
        <v/>
      </c>
      <c r="BB268" s="6" t="str">
        <f t="shared" si="92"/>
        <v>--</v>
      </c>
      <c r="BC268" s="6" t="str">
        <f t="shared" si="93"/>
        <v/>
      </c>
      <c r="BD268" s="6" t="str">
        <f t="shared" si="94"/>
        <v>--</v>
      </c>
      <c r="BE268" s="6" t="str">
        <f t="shared" si="102"/>
        <v/>
      </c>
      <c r="BF268" s="6"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6" t="str">
        <f>IF(ISNUMBER(F!E269)=FALSE,"--",IF(F!E269=0,"--",F!E269))</f>
        <v>--</v>
      </c>
      <c r="C269" s="6" t="str">
        <f>IF(B269="--","",F!F269)</f>
        <v/>
      </c>
      <c r="D269" s="6" t="str">
        <f>IF(ISNUMBER(F!G269)=FALSE,"--",IF(F!G269=0,"--",F!G269))</f>
        <v>--</v>
      </c>
      <c r="E269" s="6" t="str">
        <f>IF(D269="--","",F!H269)</f>
        <v/>
      </c>
      <c r="F269" s="6" t="str">
        <f>IF(ISNUMBER(F!I269)=FALSE,"--",IF(F!I269=0,"--",F!I269))</f>
        <v>--</v>
      </c>
      <c r="G269" s="6" t="str">
        <f>IF(F269="--","",F!J269)</f>
        <v/>
      </c>
      <c r="H269" s="6"/>
      <c r="I269" s="6" t="str">
        <f>IF(F!Z269=-1,-1,F!AV269)</f>
        <v/>
      </c>
      <c r="J269" s="6"/>
      <c r="K269" s="6" t="str">
        <f>IF(F!AC269=-1,-1,F!AX269)</f>
        <v/>
      </c>
      <c r="L269" s="6"/>
      <c r="M269" s="6" t="str">
        <f>IF(F!AF269=-1,-1,F!AZ269)</f>
        <v/>
      </c>
      <c r="N269" s="6"/>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6" t="str">
        <f t="shared" ref="Q269:Q332" si="109">I269</f>
        <v/>
      </c>
      <c r="R269" s="5" t="str">
        <f>IF($B269="--","",IF($P269="toetsen",toetsen(F!$B269,Q269),IF($P269="toetsen alleen IW",toetsen_alleen_IW(F!$B269,Q269),IF($P269="toetsen alleen LN",toetsen_alleen_LN(F!$B269,Q269),IF($P269="toetsen geen MV en SV",toetsen_geen_MV_en_SV(F!$B269,Q269),IF($P269="toetsen alleen MV en SV",toetsen_alleen_MV_en_SV(F!$B269,Q269),""))))))</f>
        <v/>
      </c>
      <c r="S269" s="5" t="str">
        <f>IF($P269="toetsen",IF(OR(Q269="",VLOOKUP(F!$B269,E!$B$1:$AK$300,10,FALSE)=1000000000),"",IF(Q269&lt;=VLOOKUP(F!$B269,E!$B$1:$AK$300,10,FALSE),"ja","nee")),"")</f>
        <v/>
      </c>
      <c r="T269" s="87" t="str">
        <f t="shared" si="104"/>
        <v/>
      </c>
      <c r="U269" s="5" t="str">
        <f>IF($D269="--","",IF($P269="toetsen",toetsen(F!$B269,T269),IF($P269="toetsen alleen IW",toetsen_alleen_IW(F!$B269,T269),IF($P269="toetsen alleen LN",toetsen_alleen_LN(F!$B269,T269),IF($P269="toetsen geen MV en SV",toetsen_geen_MV_en_SV(F!$B269,T269),IF($P269="toetsen alleen MV en SV",toetsen_alleen_MV_en_SV(F!$B269,T269),""))))))</f>
        <v/>
      </c>
      <c r="V269" s="5" t="str">
        <f>IF($P269="toetsen",IF(OR(T269="",VLOOKUP(F!$B269,E!$B$1:$AK$300,10,FALSE)=1000000000),"",IF(T269&lt;=VLOOKUP(F!$B269,E!$B$1:$AK$300,10,FALSE),"ja","nee")),"")</f>
        <v/>
      </c>
      <c r="W269" s="6" t="str">
        <f t="shared" si="105"/>
        <v/>
      </c>
      <c r="X269" s="5" t="str">
        <f>IF($F269="--","",IF($P269="toetsen",toetsen(F!$B269,W269),IF($P269="toetsen alleen IW",toetsen_alleen_IW(F!$B269,W269),IF($P269="toetsen alleen LN",toetsen_alleen_LN(F!$B269,W269),IF($P269="toetsen geen MV en SV",toetsen_geen_MV_en_SV(F!$B269,W269),IF($P269="toetsen alleen MV en SV",toetsen_alleen_MV_en_SV(F!$B269,W269),""))))))</f>
        <v/>
      </c>
      <c r="Y269" s="5" t="str">
        <f>IF($P269="toetsen",IF(OR(W269="",VLOOKUP(F!$B269,E!$B$1:$AK$300,10,FALSE)=1000000000),"",IF(W269&lt;=VLOOKUP(F!$B269,E!$B$1:$AK$300,10,FALSE),"ja","nee")),"")</f>
        <v/>
      </c>
      <c r="AA269" s="4"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6" t="str">
        <f t="shared" si="106"/>
        <v>--</v>
      </c>
      <c r="AJ269" s="6"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6" t="str">
        <f t="shared" si="107"/>
        <v>--</v>
      </c>
      <c r="AL269" s="6"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6" t="str">
        <f t="shared" si="108"/>
        <v>--</v>
      </c>
      <c r="AN269" s="6"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6" t="str">
        <f t="shared" si="95"/>
        <v>--</v>
      </c>
      <c r="AQ269" s="6" t="str">
        <f t="shared" si="96"/>
        <v/>
      </c>
      <c r="AR269" s="6" t="str">
        <f t="shared" si="97"/>
        <v>--</v>
      </c>
      <c r="AS269" s="6" t="str">
        <f t="shared" si="98"/>
        <v/>
      </c>
      <c r="AT269" s="6" t="str">
        <f t="shared" si="99"/>
        <v/>
      </c>
      <c r="AU269" s="6" t="str">
        <f>IFERROR(IF(AR269="--","",IF(HLOOKUP(SMALL($Q$4:$Y$4,3),$Q$4:$Y$501,ROW(AP269)-3,FALSE)=0,"",IF(HLOOKUP(SMALL($Q$4:$Y$4,3),$Q$4:$Y$501,ROW(AP269)-3,FALSE)="nee",VLOOKUP("De kwaliteitseis emissiearme grond (maximale concentratie) wordt overschreden.",H!$O$10:'H'!$P$59,2,FALSE),""))),"")</f>
        <v/>
      </c>
      <c r="AV269" s="6" t="str">
        <f t="shared" si="89"/>
        <v>--</v>
      </c>
      <c r="AW269" s="6" t="str">
        <f t="shared" si="90"/>
        <v/>
      </c>
      <c r="AX269" s="6" t="str">
        <f t="shared" si="91"/>
        <v>--</v>
      </c>
      <c r="AY269" s="6" t="str">
        <f t="shared" si="100"/>
        <v/>
      </c>
      <c r="AZ269" s="6" t="str">
        <f t="shared" si="101"/>
        <v/>
      </c>
      <c r="BA269" s="6" t="str">
        <f>IFERROR(IF(AR269="--","",IF(HLOOKUP(SMALL($Q$4:$Y$4,6),$Q$4:$Y$501,ROW(AP269)-3,FALSE)=0,"",IF(HLOOKUP(SMALL($Q$4:$Y$4,6),$Q$4:$Y$501,ROW(AP269)-3,FALSE)="nee",VLOOKUP("De kwaliteitseis emissiearme grond (maximale concentratie) wordt overschreden.",H!$O$10:'H'!$P$59,2,FALSE),""))),"")</f>
        <v/>
      </c>
      <c r="BB269" s="6" t="str">
        <f t="shared" si="92"/>
        <v>--</v>
      </c>
      <c r="BC269" s="6" t="str">
        <f t="shared" si="93"/>
        <v/>
      </c>
      <c r="BD269" s="6" t="str">
        <f t="shared" si="94"/>
        <v>--</v>
      </c>
      <c r="BE269" s="6" t="str">
        <f t="shared" si="102"/>
        <v/>
      </c>
      <c r="BF269" s="6"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6" t="str">
        <f>IF(ISNUMBER(F!E270)=FALSE,"--",IF(F!E270=0,"--",F!E270))</f>
        <v>--</v>
      </c>
      <c r="C270" s="6" t="str">
        <f>IF(B270="--","",F!F270)</f>
        <v/>
      </c>
      <c r="D270" s="6" t="str">
        <f>IF(ISNUMBER(F!G270)=FALSE,"--",IF(F!G270=0,"--",F!G270))</f>
        <v>--</v>
      </c>
      <c r="E270" s="6" t="str">
        <f>IF(D270="--","",F!H270)</f>
        <v/>
      </c>
      <c r="F270" s="6" t="str">
        <f>IF(ISNUMBER(F!I270)=FALSE,"--",IF(F!I270=0,"--",F!I270))</f>
        <v>--</v>
      </c>
      <c r="G270" s="6" t="str">
        <f>IF(F270="--","",F!J270)</f>
        <v/>
      </c>
      <c r="H270" s="6"/>
      <c r="I270" s="6">
        <f>IF(F!Z270=-1,-1,F!AV270)</f>
        <v>0</v>
      </c>
      <c r="J270" s="6"/>
      <c r="K270" s="6">
        <f>IF(F!AC270=-1,-1,F!AX270)</f>
        <v>0</v>
      </c>
      <c r="L270" s="6"/>
      <c r="M270" s="6">
        <f>IF(F!AF270=-1,-1,F!AZ270)</f>
        <v>0</v>
      </c>
      <c r="N270" s="6"/>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6">
        <f t="shared" si="109"/>
        <v>0</v>
      </c>
      <c r="R270" s="5" t="str">
        <f>IF($B270="--","",IF($P270="toetsen",toetsen(F!$B270,Q270),IF($P270="toetsen alleen IW",toetsen_alleen_IW(F!$B270,Q270),IF($P270="toetsen alleen LN",toetsen_alleen_LN(F!$B270,Q270),IF($P270="toetsen geen MV en SV",toetsen_geen_MV_en_SV(F!$B270,Q270),IF($P270="toetsen alleen MV en SV",toetsen_alleen_MV_en_SV(F!$B270,Q270),""))))))</f>
        <v/>
      </c>
      <c r="S270" s="5" t="str">
        <f>IF($P270="toetsen",IF(OR(Q270="",VLOOKUP(F!$B270,E!$B$1:$AK$300,10,FALSE)=1000000000),"",IF(Q270&lt;=VLOOKUP(F!$B270,E!$B$1:$AK$300,10,FALSE),"ja","nee")),"")</f>
        <v/>
      </c>
      <c r="T270" s="87">
        <f t="shared" si="104"/>
        <v>0</v>
      </c>
      <c r="U270" s="5" t="str">
        <f>IF($D270="--","",IF($P270="toetsen",toetsen(F!$B270,T270),IF($P270="toetsen alleen IW",toetsen_alleen_IW(F!$B270,T270),IF($P270="toetsen alleen LN",toetsen_alleen_LN(F!$B270,T270),IF($P270="toetsen geen MV en SV",toetsen_geen_MV_en_SV(F!$B270,T270),IF($P270="toetsen alleen MV en SV",toetsen_alleen_MV_en_SV(F!$B270,T270),""))))))</f>
        <v/>
      </c>
      <c r="V270" s="5" t="str">
        <f>IF($P270="toetsen",IF(OR(T270="",VLOOKUP(F!$B270,E!$B$1:$AK$300,10,FALSE)=1000000000),"",IF(T270&lt;=VLOOKUP(F!$B270,E!$B$1:$AK$300,10,FALSE),"ja","nee")),"")</f>
        <v/>
      </c>
      <c r="W270" s="6">
        <f t="shared" si="105"/>
        <v>0</v>
      </c>
      <c r="X270" s="5" t="str">
        <f>IF($F270="--","",IF($P270="toetsen",toetsen(F!$B270,W270),IF($P270="toetsen alleen IW",toetsen_alleen_IW(F!$B270,W270),IF($P270="toetsen alleen LN",toetsen_alleen_LN(F!$B270,W270),IF($P270="toetsen geen MV en SV",toetsen_geen_MV_en_SV(F!$B270,W270),IF($P270="toetsen alleen MV en SV",toetsen_alleen_MV_en_SV(F!$B270,W270),""))))))</f>
        <v/>
      </c>
      <c r="Y270" s="5" t="str">
        <f>IF($P270="toetsen",IF(OR(W270="",VLOOKUP(F!$B270,E!$B$1:$AK$300,10,FALSE)=1000000000),"",IF(W270&lt;=VLOOKUP(F!$B270,E!$B$1:$AK$300,10,FALSE),"ja","nee")),"")</f>
        <v/>
      </c>
      <c r="AA270" s="4"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6" t="str">
        <f t="shared" si="106"/>
        <v>--</v>
      </c>
      <c r="AJ270" s="6"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6" t="str">
        <f t="shared" si="107"/>
        <v>--</v>
      </c>
      <c r="AL270" s="6"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6" t="str">
        <f t="shared" si="108"/>
        <v>--</v>
      </c>
      <c r="AN270" s="6"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6" t="str">
        <f t="shared" si="95"/>
        <v>--</v>
      </c>
      <c r="AQ270" s="6" t="str">
        <f t="shared" si="96"/>
        <v/>
      </c>
      <c r="AR270" s="6" t="str">
        <f t="shared" si="97"/>
        <v>--</v>
      </c>
      <c r="AS270" s="6" t="str">
        <f t="shared" si="98"/>
        <v/>
      </c>
      <c r="AT270" s="6" t="str">
        <f t="shared" si="99"/>
        <v/>
      </c>
      <c r="AU270" s="6" t="str">
        <f>IFERROR(IF(AR270="--","",IF(HLOOKUP(SMALL($Q$4:$Y$4,3),$Q$4:$Y$501,ROW(AP270)-3,FALSE)=0,"",IF(HLOOKUP(SMALL($Q$4:$Y$4,3),$Q$4:$Y$501,ROW(AP270)-3,FALSE)="nee",VLOOKUP("De kwaliteitseis emissiearme grond (maximale concentratie) wordt overschreden.",H!$O$10:'H'!$P$59,2,FALSE),""))),"")</f>
        <v/>
      </c>
      <c r="AV270" s="6" t="str">
        <f t="shared" si="89"/>
        <v>--</v>
      </c>
      <c r="AW270" s="6" t="str">
        <f t="shared" si="90"/>
        <v/>
      </c>
      <c r="AX270" s="6" t="str">
        <f t="shared" si="91"/>
        <v>--</v>
      </c>
      <c r="AY270" s="6" t="str">
        <f t="shared" si="100"/>
        <v/>
      </c>
      <c r="AZ270" s="6" t="str">
        <f t="shared" si="101"/>
        <v/>
      </c>
      <c r="BA270" s="6" t="str">
        <f>IFERROR(IF(AR270="--","",IF(HLOOKUP(SMALL($Q$4:$Y$4,6),$Q$4:$Y$501,ROW(AP270)-3,FALSE)=0,"",IF(HLOOKUP(SMALL($Q$4:$Y$4,6),$Q$4:$Y$501,ROW(AP270)-3,FALSE)="nee",VLOOKUP("De kwaliteitseis emissiearme grond (maximale concentratie) wordt overschreden.",H!$O$10:'H'!$P$59,2,FALSE),""))),"")</f>
        <v/>
      </c>
      <c r="BB270" s="6" t="str">
        <f t="shared" si="92"/>
        <v>--</v>
      </c>
      <c r="BC270" s="6" t="str">
        <f t="shared" si="93"/>
        <v/>
      </c>
      <c r="BD270" s="6" t="str">
        <f t="shared" si="94"/>
        <v>--</v>
      </c>
      <c r="BE270" s="6" t="str">
        <f t="shared" si="102"/>
        <v/>
      </c>
      <c r="BF270" s="6"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6" t="str">
        <f>IF(ISNUMBER(F!E271)=FALSE,"--",IF(F!E271=0,"--",F!E271))</f>
        <v>--</v>
      </c>
      <c r="C271" s="6" t="str">
        <f>IF(B271="--","",F!F271)</f>
        <v/>
      </c>
      <c r="D271" s="6" t="str">
        <f>IF(ISNUMBER(F!G271)=FALSE,"--",IF(F!G271=0,"--",F!G271))</f>
        <v>--</v>
      </c>
      <c r="E271" s="6" t="str">
        <f>IF(D271="--","",F!H271)</f>
        <v/>
      </c>
      <c r="F271" s="6" t="str">
        <f>IF(ISNUMBER(F!I271)=FALSE,"--",IF(F!I271=0,"--",F!I271))</f>
        <v>--</v>
      </c>
      <c r="G271" s="6" t="str">
        <f>IF(F271="--","",F!J271)</f>
        <v/>
      </c>
      <c r="H271" s="6"/>
      <c r="I271" s="6" t="str">
        <f>IF(F!Z271=-1,-1,F!AV271)</f>
        <v/>
      </c>
      <c r="J271" s="6"/>
      <c r="K271" s="6" t="str">
        <f>IF(F!AC271=-1,-1,F!AX271)</f>
        <v/>
      </c>
      <c r="L271" s="6"/>
      <c r="M271" s="6" t="str">
        <f>IF(F!AF271=-1,-1,F!AZ271)</f>
        <v/>
      </c>
      <c r="N271" s="6"/>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6" t="str">
        <f t="shared" si="109"/>
        <v/>
      </c>
      <c r="R271" s="5" t="str">
        <f>IF($B271="--","",IF($P271="toetsen",toetsen(F!$B271,Q271),IF($P271="toetsen alleen IW",toetsen_alleen_IW(F!$B271,Q271),IF($P271="toetsen alleen LN",toetsen_alleen_LN(F!$B271,Q271),IF($P271="toetsen geen MV en SV",toetsen_geen_MV_en_SV(F!$B271,Q271),IF($P271="toetsen alleen MV en SV",toetsen_alleen_MV_en_SV(F!$B271,Q271),""))))))</f>
        <v/>
      </c>
      <c r="S271" s="5" t="str">
        <f>IF($P271="toetsen",IF(OR(Q271="",VLOOKUP(F!$B271,E!$B$1:$AK$300,10,FALSE)=1000000000),"",IF(Q271&lt;=VLOOKUP(F!$B271,E!$B$1:$AK$300,10,FALSE),"ja","nee")),"")</f>
        <v/>
      </c>
      <c r="T271" s="87" t="str">
        <f t="shared" si="104"/>
        <v/>
      </c>
      <c r="U271" s="5" t="str">
        <f>IF($D271="--","",IF($P271="toetsen",toetsen(F!$B271,T271),IF($P271="toetsen alleen IW",toetsen_alleen_IW(F!$B271,T271),IF($P271="toetsen alleen LN",toetsen_alleen_LN(F!$B271,T271),IF($P271="toetsen geen MV en SV",toetsen_geen_MV_en_SV(F!$B271,T271),IF($P271="toetsen alleen MV en SV",toetsen_alleen_MV_en_SV(F!$B271,T271),""))))))</f>
        <v/>
      </c>
      <c r="V271" s="5" t="str">
        <f>IF($P271="toetsen",IF(OR(T271="",VLOOKUP(F!$B271,E!$B$1:$AK$300,10,FALSE)=1000000000),"",IF(T271&lt;=VLOOKUP(F!$B271,E!$B$1:$AK$300,10,FALSE),"ja","nee")),"")</f>
        <v/>
      </c>
      <c r="W271" s="6" t="str">
        <f t="shared" si="105"/>
        <v/>
      </c>
      <c r="X271" s="5" t="str">
        <f>IF($F271="--","",IF($P271="toetsen",toetsen(F!$B271,W271),IF($P271="toetsen alleen IW",toetsen_alleen_IW(F!$B271,W271),IF($P271="toetsen alleen LN",toetsen_alleen_LN(F!$B271,W271),IF($P271="toetsen geen MV en SV",toetsen_geen_MV_en_SV(F!$B271,W271),IF($P271="toetsen alleen MV en SV",toetsen_alleen_MV_en_SV(F!$B271,W271),""))))))</f>
        <v/>
      </c>
      <c r="Y271" s="5" t="str">
        <f>IF($P271="toetsen",IF(OR(W271="",VLOOKUP(F!$B271,E!$B$1:$AK$300,10,FALSE)=1000000000),"",IF(W271&lt;=VLOOKUP(F!$B271,E!$B$1:$AK$300,10,FALSE),"ja","nee")),"")</f>
        <v/>
      </c>
      <c r="AA271" s="4"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6" t="str">
        <f t="shared" si="106"/>
        <v>--</v>
      </c>
      <c r="AJ271" s="6"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6" t="str">
        <f t="shared" si="107"/>
        <v>--</v>
      </c>
      <c r="AL271" s="6"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6" t="str">
        <f t="shared" si="108"/>
        <v>--</v>
      </c>
      <c r="AN271" s="6"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6" t="str">
        <f t="shared" si="95"/>
        <v>--</v>
      </c>
      <c r="AQ271" s="6" t="str">
        <f t="shared" si="96"/>
        <v/>
      </c>
      <c r="AR271" s="6" t="str">
        <f t="shared" si="97"/>
        <v>--</v>
      </c>
      <c r="AS271" s="6" t="str">
        <f t="shared" si="98"/>
        <v/>
      </c>
      <c r="AT271" s="6" t="str">
        <f t="shared" si="99"/>
        <v/>
      </c>
      <c r="AU271" s="6" t="str">
        <f>IFERROR(IF(AR271="--","",IF(HLOOKUP(SMALL($Q$4:$Y$4,3),$Q$4:$Y$501,ROW(AP271)-3,FALSE)=0,"",IF(HLOOKUP(SMALL($Q$4:$Y$4,3),$Q$4:$Y$501,ROW(AP271)-3,FALSE)="nee",VLOOKUP("De kwaliteitseis emissiearme grond (maximale concentratie) wordt overschreden.",H!$O$10:'H'!$P$59,2,FALSE),""))),"")</f>
        <v/>
      </c>
      <c r="AV271" s="6" t="str">
        <f t="shared" si="89"/>
        <v>--</v>
      </c>
      <c r="AW271" s="6" t="str">
        <f t="shared" si="90"/>
        <v/>
      </c>
      <c r="AX271" s="6" t="str">
        <f t="shared" si="91"/>
        <v>--</v>
      </c>
      <c r="AY271" s="6" t="str">
        <f t="shared" si="100"/>
        <v/>
      </c>
      <c r="AZ271" s="6" t="str">
        <f t="shared" si="101"/>
        <v/>
      </c>
      <c r="BA271" s="6" t="str">
        <f>IFERROR(IF(AR271="--","",IF(HLOOKUP(SMALL($Q$4:$Y$4,6),$Q$4:$Y$501,ROW(AP271)-3,FALSE)=0,"",IF(HLOOKUP(SMALL($Q$4:$Y$4,6),$Q$4:$Y$501,ROW(AP271)-3,FALSE)="nee",VLOOKUP("De kwaliteitseis emissiearme grond (maximale concentratie) wordt overschreden.",H!$O$10:'H'!$P$59,2,FALSE),""))),"")</f>
        <v/>
      </c>
      <c r="BB271" s="6" t="str">
        <f t="shared" si="92"/>
        <v>--</v>
      </c>
      <c r="BC271" s="6" t="str">
        <f t="shared" si="93"/>
        <v/>
      </c>
      <c r="BD271" s="6" t="str">
        <f t="shared" si="94"/>
        <v>--</v>
      </c>
      <c r="BE271" s="6" t="str">
        <f t="shared" si="102"/>
        <v/>
      </c>
      <c r="BF271" s="6"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6" t="str">
        <f>IF(ISNUMBER(F!E272)=FALSE,"--",IF(F!E272=0,"--",F!E272))</f>
        <v>--</v>
      </c>
      <c r="C272" s="6" t="str">
        <f>IF(B272="--","",F!F272)</f>
        <v/>
      </c>
      <c r="D272" s="6" t="str">
        <f>IF(ISNUMBER(F!G272)=FALSE,"--",IF(F!G272=0,"--",F!G272))</f>
        <v>--</v>
      </c>
      <c r="E272" s="6" t="str">
        <f>IF(D272="--","",F!H272)</f>
        <v/>
      </c>
      <c r="F272" s="6" t="str">
        <f>IF(ISNUMBER(F!I272)=FALSE,"--",IF(F!I272=0,"--",F!I272))</f>
        <v>--</v>
      </c>
      <c r="G272" s="6" t="str">
        <f>IF(F272="--","",F!J272)</f>
        <v/>
      </c>
      <c r="H272" s="6"/>
      <c r="I272" s="6">
        <f>IF(F!Z272=-1,-1,F!AV272)</f>
        <v>0</v>
      </c>
      <c r="J272" s="6"/>
      <c r="K272" s="6">
        <f>IF(F!AC272=-1,-1,F!AX272)</f>
        <v>0</v>
      </c>
      <c r="L272" s="6"/>
      <c r="M272" s="6">
        <f>IF(F!AF272=-1,-1,F!AZ272)</f>
        <v>0</v>
      </c>
      <c r="N272" s="6"/>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6">
        <f t="shared" si="109"/>
        <v>0</v>
      </c>
      <c r="R272" s="5" t="str">
        <f>IF($B272="--","",IF($P272="toetsen",toetsen(F!$B272,Q272),IF($P272="toetsen alleen IW",toetsen_alleen_IW(F!$B272,Q272),IF($P272="toetsen alleen LN",toetsen_alleen_LN(F!$B272,Q272),IF($P272="toetsen geen MV en SV",toetsen_geen_MV_en_SV(F!$B272,Q272),IF($P272="toetsen alleen MV en SV",toetsen_alleen_MV_en_SV(F!$B272,Q272),""))))))</f>
        <v/>
      </c>
      <c r="S272" s="5" t="str">
        <f>IF($P272="toetsen",IF(OR(Q272="",VLOOKUP(F!$B272,E!$B$1:$AK$300,10,FALSE)=1000000000),"",IF(Q272&lt;=VLOOKUP(F!$B272,E!$B$1:$AK$300,10,FALSE),"ja","nee")),"")</f>
        <v/>
      </c>
      <c r="T272" s="87">
        <f t="shared" si="104"/>
        <v>0</v>
      </c>
      <c r="U272" s="5" t="str">
        <f>IF($D272="--","",IF($P272="toetsen",toetsen(F!$B272,T272),IF($P272="toetsen alleen IW",toetsen_alleen_IW(F!$B272,T272),IF($P272="toetsen alleen LN",toetsen_alleen_LN(F!$B272,T272),IF($P272="toetsen geen MV en SV",toetsen_geen_MV_en_SV(F!$B272,T272),IF($P272="toetsen alleen MV en SV",toetsen_alleen_MV_en_SV(F!$B272,T272),""))))))</f>
        <v/>
      </c>
      <c r="V272" s="5" t="str">
        <f>IF($P272="toetsen",IF(OR(T272="",VLOOKUP(F!$B272,E!$B$1:$AK$300,10,FALSE)=1000000000),"",IF(T272&lt;=VLOOKUP(F!$B272,E!$B$1:$AK$300,10,FALSE),"ja","nee")),"")</f>
        <v/>
      </c>
      <c r="W272" s="6">
        <f t="shared" si="105"/>
        <v>0</v>
      </c>
      <c r="X272" s="5" t="str">
        <f>IF($F272="--","",IF($P272="toetsen",toetsen(F!$B272,W272),IF($P272="toetsen alleen IW",toetsen_alleen_IW(F!$B272,W272),IF($P272="toetsen alleen LN",toetsen_alleen_LN(F!$B272,W272),IF($P272="toetsen geen MV en SV",toetsen_geen_MV_en_SV(F!$B272,W272),IF($P272="toetsen alleen MV en SV",toetsen_alleen_MV_en_SV(F!$B272,W272),""))))))</f>
        <v/>
      </c>
      <c r="Y272" s="5" t="str">
        <f>IF($P272="toetsen",IF(OR(W272="",VLOOKUP(F!$B272,E!$B$1:$AK$300,10,FALSE)=1000000000),"",IF(W272&lt;=VLOOKUP(F!$B272,E!$B$1:$AK$300,10,FALSE),"ja","nee")),"")</f>
        <v/>
      </c>
      <c r="AA272" s="4"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6" t="str">
        <f t="shared" si="106"/>
        <v>--</v>
      </c>
      <c r="AJ272" s="6"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6" t="str">
        <f t="shared" si="107"/>
        <v>--</v>
      </c>
      <c r="AL272" s="6"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6" t="str">
        <f t="shared" si="108"/>
        <v>--</v>
      </c>
      <c r="AN272" s="6"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6" t="str">
        <f t="shared" si="95"/>
        <v>--</v>
      </c>
      <c r="AQ272" s="6" t="str">
        <f t="shared" si="96"/>
        <v/>
      </c>
      <c r="AR272" s="6" t="str">
        <f t="shared" si="97"/>
        <v>--</v>
      </c>
      <c r="AS272" s="6" t="str">
        <f t="shared" si="98"/>
        <v/>
      </c>
      <c r="AT272" s="6" t="str">
        <f t="shared" si="99"/>
        <v/>
      </c>
      <c r="AU272" s="6" t="str">
        <f>IFERROR(IF(AR272="--","",IF(HLOOKUP(SMALL($Q$4:$Y$4,3),$Q$4:$Y$501,ROW(AP272)-3,FALSE)=0,"",IF(HLOOKUP(SMALL($Q$4:$Y$4,3),$Q$4:$Y$501,ROW(AP272)-3,FALSE)="nee",VLOOKUP("De kwaliteitseis emissiearme grond (maximale concentratie) wordt overschreden.",H!$O$10:'H'!$P$59,2,FALSE),""))),"")</f>
        <v/>
      </c>
      <c r="AV272" s="6" t="str">
        <f t="shared" si="89"/>
        <v>--</v>
      </c>
      <c r="AW272" s="6" t="str">
        <f t="shared" si="90"/>
        <v/>
      </c>
      <c r="AX272" s="6" t="str">
        <f t="shared" si="91"/>
        <v>--</v>
      </c>
      <c r="AY272" s="6" t="str">
        <f t="shared" si="100"/>
        <v/>
      </c>
      <c r="AZ272" s="6" t="str">
        <f t="shared" si="101"/>
        <v/>
      </c>
      <c r="BA272" s="6" t="str">
        <f>IFERROR(IF(AR272="--","",IF(HLOOKUP(SMALL($Q$4:$Y$4,6),$Q$4:$Y$501,ROW(AP272)-3,FALSE)=0,"",IF(HLOOKUP(SMALL($Q$4:$Y$4,6),$Q$4:$Y$501,ROW(AP272)-3,FALSE)="nee",VLOOKUP("De kwaliteitseis emissiearme grond (maximale concentratie) wordt overschreden.",H!$O$10:'H'!$P$59,2,FALSE),""))),"")</f>
        <v/>
      </c>
      <c r="BB272" s="6" t="str">
        <f t="shared" si="92"/>
        <v>--</v>
      </c>
      <c r="BC272" s="6" t="str">
        <f t="shared" si="93"/>
        <v/>
      </c>
      <c r="BD272" s="6" t="str">
        <f t="shared" si="94"/>
        <v>--</v>
      </c>
      <c r="BE272" s="6" t="str">
        <f t="shared" si="102"/>
        <v/>
      </c>
      <c r="BF272" s="6"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6" t="str">
        <f>IF(ISNUMBER(F!E273)=FALSE,"--",IF(F!E273=0,"--",F!E273))</f>
        <v>--</v>
      </c>
      <c r="C273" s="6" t="str">
        <f>IF(B273="--","",F!F273)</f>
        <v/>
      </c>
      <c r="D273" s="6" t="str">
        <f>IF(ISNUMBER(F!G273)=FALSE,"--",IF(F!G273=0,"--",F!G273))</f>
        <v>--</v>
      </c>
      <c r="E273" s="6" t="str">
        <f>IF(D273="--","",F!H273)</f>
        <v/>
      </c>
      <c r="F273" s="6" t="str">
        <f>IF(ISNUMBER(F!I273)=FALSE,"--",IF(F!I273=0,"--",F!I273))</f>
        <v>--</v>
      </c>
      <c r="G273" s="6" t="str">
        <f>IF(F273="--","",F!J273)</f>
        <v/>
      </c>
      <c r="H273" s="6"/>
      <c r="I273" s="6">
        <f>IF(F!Z273=-1,-1,F!AV273)</f>
        <v>0</v>
      </c>
      <c r="J273" s="6"/>
      <c r="K273" s="6">
        <f>IF(F!AC273=-1,-1,F!AX273)</f>
        <v>0</v>
      </c>
      <c r="L273" s="6"/>
      <c r="M273" s="6">
        <f>IF(F!AF273=-1,-1,F!AZ273)</f>
        <v>0</v>
      </c>
      <c r="N273" s="6"/>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6">
        <f t="shared" si="109"/>
        <v>0</v>
      </c>
      <c r="R273" s="5" t="str">
        <f>IF($B273="--","",IF($P273="toetsen",toetsen(F!$B273,Q273),IF($P273="toetsen alleen IW",toetsen_alleen_IW(F!$B273,Q273),IF($P273="toetsen alleen LN",toetsen_alleen_LN(F!$B273,Q273),IF($P273="toetsen geen MV en SV",toetsen_geen_MV_en_SV(F!$B273,Q273),IF($P273="toetsen alleen MV en SV",toetsen_alleen_MV_en_SV(F!$B273,Q273),""))))))</f>
        <v/>
      </c>
      <c r="S273" s="5" t="str">
        <f>IF($P273="toetsen",IF(OR(Q273="",VLOOKUP(F!$B273,E!$B$1:$AK$300,10,FALSE)=1000000000),"",IF(Q273&lt;=VLOOKUP(F!$B273,E!$B$1:$AK$300,10,FALSE),"ja","nee")),"")</f>
        <v/>
      </c>
      <c r="T273" s="87">
        <f t="shared" si="104"/>
        <v>0</v>
      </c>
      <c r="U273" s="5" t="str">
        <f>IF($D273="--","",IF($P273="toetsen",toetsen(F!$B273,T273),IF($P273="toetsen alleen IW",toetsen_alleen_IW(F!$B273,T273),IF($P273="toetsen alleen LN",toetsen_alleen_LN(F!$B273,T273),IF($P273="toetsen geen MV en SV",toetsen_geen_MV_en_SV(F!$B273,T273),IF($P273="toetsen alleen MV en SV",toetsen_alleen_MV_en_SV(F!$B273,T273),""))))))</f>
        <v/>
      </c>
      <c r="V273" s="5" t="str">
        <f>IF($P273="toetsen",IF(OR(T273="",VLOOKUP(F!$B273,E!$B$1:$AK$300,10,FALSE)=1000000000),"",IF(T273&lt;=VLOOKUP(F!$B273,E!$B$1:$AK$300,10,FALSE),"ja","nee")),"")</f>
        <v/>
      </c>
      <c r="W273" s="6">
        <f t="shared" si="105"/>
        <v>0</v>
      </c>
      <c r="X273" s="5" t="str">
        <f>IF($F273="--","",IF($P273="toetsen",toetsen(F!$B273,W273),IF($P273="toetsen alleen IW",toetsen_alleen_IW(F!$B273,W273),IF($P273="toetsen alleen LN",toetsen_alleen_LN(F!$B273,W273),IF($P273="toetsen geen MV en SV",toetsen_geen_MV_en_SV(F!$B273,W273),IF($P273="toetsen alleen MV en SV",toetsen_alleen_MV_en_SV(F!$B273,W273),""))))))</f>
        <v/>
      </c>
      <c r="Y273" s="5" t="str">
        <f>IF($P273="toetsen",IF(OR(W273="",VLOOKUP(F!$B273,E!$B$1:$AK$300,10,FALSE)=1000000000),"",IF(W273&lt;=VLOOKUP(F!$B273,E!$B$1:$AK$300,10,FALSE),"ja","nee")),"")</f>
        <v/>
      </c>
      <c r="AA273" s="4"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6" t="str">
        <f t="shared" si="106"/>
        <v>--</v>
      </c>
      <c r="AJ273" s="6"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6" t="str">
        <f t="shared" si="107"/>
        <v>--</v>
      </c>
      <c r="AL273" s="6"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6" t="str">
        <f t="shared" si="108"/>
        <v>--</v>
      </c>
      <c r="AN273" s="6"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6" t="str">
        <f t="shared" si="95"/>
        <v>--</v>
      </c>
      <c r="AQ273" s="6" t="str">
        <f t="shared" si="96"/>
        <v/>
      </c>
      <c r="AR273" s="6" t="str">
        <f t="shared" si="97"/>
        <v>--</v>
      </c>
      <c r="AS273" s="6" t="str">
        <f t="shared" si="98"/>
        <v/>
      </c>
      <c r="AT273" s="6" t="str">
        <f t="shared" si="99"/>
        <v/>
      </c>
      <c r="AU273" s="6" t="str">
        <f>IFERROR(IF(AR273="--","",IF(HLOOKUP(SMALL($Q$4:$Y$4,3),$Q$4:$Y$501,ROW(AP273)-3,FALSE)=0,"",IF(HLOOKUP(SMALL($Q$4:$Y$4,3),$Q$4:$Y$501,ROW(AP273)-3,FALSE)="nee",VLOOKUP("De kwaliteitseis emissiearme grond (maximale concentratie) wordt overschreden.",H!$O$10:'H'!$P$59,2,FALSE),""))),"")</f>
        <v/>
      </c>
      <c r="AV273" s="6" t="str">
        <f t="shared" si="89"/>
        <v>--</v>
      </c>
      <c r="AW273" s="6" t="str">
        <f t="shared" si="90"/>
        <v/>
      </c>
      <c r="AX273" s="6" t="str">
        <f t="shared" si="91"/>
        <v>--</v>
      </c>
      <c r="AY273" s="6" t="str">
        <f t="shared" si="100"/>
        <v/>
      </c>
      <c r="AZ273" s="6" t="str">
        <f t="shared" si="101"/>
        <v/>
      </c>
      <c r="BA273" s="6" t="str">
        <f>IFERROR(IF(AR273="--","",IF(HLOOKUP(SMALL($Q$4:$Y$4,6),$Q$4:$Y$501,ROW(AP273)-3,FALSE)=0,"",IF(HLOOKUP(SMALL($Q$4:$Y$4,6),$Q$4:$Y$501,ROW(AP273)-3,FALSE)="nee",VLOOKUP("De kwaliteitseis emissiearme grond (maximale concentratie) wordt overschreden.",H!$O$10:'H'!$P$59,2,FALSE),""))),"")</f>
        <v/>
      </c>
      <c r="BB273" s="6" t="str">
        <f t="shared" si="92"/>
        <v>--</v>
      </c>
      <c r="BC273" s="6" t="str">
        <f t="shared" si="93"/>
        <v/>
      </c>
      <c r="BD273" s="6" t="str">
        <f t="shared" si="94"/>
        <v>--</v>
      </c>
      <c r="BE273" s="6" t="str">
        <f t="shared" si="102"/>
        <v/>
      </c>
      <c r="BF273" s="6"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6" t="str">
        <f>IF(ISNUMBER(F!E274)=FALSE,"--",IF(F!E274=0,"--",F!E274))</f>
        <v>--</v>
      </c>
      <c r="C274" s="6" t="str">
        <f>IF(B274="--","",F!F274)</f>
        <v/>
      </c>
      <c r="D274" s="6" t="str">
        <f>IF(ISNUMBER(F!G274)=FALSE,"--",IF(F!G274=0,"--",F!G274))</f>
        <v>--</v>
      </c>
      <c r="E274" s="6" t="str">
        <f>IF(D274="--","",F!H274)</f>
        <v/>
      </c>
      <c r="F274" s="6" t="str">
        <f>IF(ISNUMBER(F!I274)=FALSE,"--",IF(F!I274=0,"--",F!I274))</f>
        <v>--</v>
      </c>
      <c r="G274" s="6" t="str">
        <f>IF(F274="--","",F!J274)</f>
        <v/>
      </c>
      <c r="H274" s="6"/>
      <c r="I274" s="6" t="str">
        <f>IF(F!Z274=-1,-1,F!AV274)</f>
        <v/>
      </c>
      <c r="J274" s="6"/>
      <c r="K274" s="6" t="str">
        <f>IF(F!AC274=-1,-1,F!AX274)</f>
        <v/>
      </c>
      <c r="L274" s="6"/>
      <c r="M274" s="6" t="str">
        <f>IF(F!AF274=-1,-1,F!AZ274)</f>
        <v/>
      </c>
      <c r="N274" s="6"/>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6" t="str">
        <f t="shared" si="109"/>
        <v/>
      </c>
      <c r="R274" s="5" t="str">
        <f>IF($B274="--","",IF($P274="toetsen",toetsen(F!$B274,Q274),IF($P274="toetsen alleen IW",toetsen_alleen_IW(F!$B274,Q274),IF($P274="toetsen alleen LN",toetsen_alleen_LN(F!$B274,Q274),IF($P274="toetsen geen MV en SV",toetsen_geen_MV_en_SV(F!$B274,Q274),IF($P274="toetsen alleen MV en SV",toetsen_alleen_MV_en_SV(F!$B274,Q274),""))))))</f>
        <v/>
      </c>
      <c r="S274" s="5" t="str">
        <f>IF($P274="toetsen",IF(OR(Q274="",VLOOKUP(F!$B274,E!$B$1:$AK$300,10,FALSE)=1000000000),"",IF(Q274&lt;=VLOOKUP(F!$B274,E!$B$1:$AK$300,10,FALSE),"ja","nee")),"")</f>
        <v/>
      </c>
      <c r="T274" s="87" t="str">
        <f t="shared" si="104"/>
        <v/>
      </c>
      <c r="U274" s="5" t="str">
        <f>IF($D274="--","",IF($P274="toetsen",toetsen(F!$B274,T274),IF($P274="toetsen alleen IW",toetsen_alleen_IW(F!$B274,T274),IF($P274="toetsen alleen LN",toetsen_alleen_LN(F!$B274,T274),IF($P274="toetsen geen MV en SV",toetsen_geen_MV_en_SV(F!$B274,T274),IF($P274="toetsen alleen MV en SV",toetsen_alleen_MV_en_SV(F!$B274,T274),""))))))</f>
        <v/>
      </c>
      <c r="V274" s="5" t="str">
        <f>IF($P274="toetsen",IF(OR(T274="",VLOOKUP(F!$B274,E!$B$1:$AK$300,10,FALSE)=1000000000),"",IF(T274&lt;=VLOOKUP(F!$B274,E!$B$1:$AK$300,10,FALSE),"ja","nee")),"")</f>
        <v/>
      </c>
      <c r="W274" s="6" t="str">
        <f t="shared" si="105"/>
        <v/>
      </c>
      <c r="X274" s="5" t="str">
        <f>IF($F274="--","",IF($P274="toetsen",toetsen(F!$B274,W274),IF($P274="toetsen alleen IW",toetsen_alleen_IW(F!$B274,W274),IF($P274="toetsen alleen LN",toetsen_alleen_LN(F!$B274,W274),IF($P274="toetsen geen MV en SV",toetsen_geen_MV_en_SV(F!$B274,W274),IF($P274="toetsen alleen MV en SV",toetsen_alleen_MV_en_SV(F!$B274,W274),""))))))</f>
        <v/>
      </c>
      <c r="Y274" s="5" t="str">
        <f>IF($P274="toetsen",IF(OR(W274="",VLOOKUP(F!$B274,E!$B$1:$AK$300,10,FALSE)=1000000000),"",IF(W274&lt;=VLOOKUP(F!$B274,E!$B$1:$AK$300,10,FALSE),"ja","nee")),"")</f>
        <v/>
      </c>
      <c r="AA274" s="4"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6" t="str">
        <f t="shared" si="106"/>
        <v>--</v>
      </c>
      <c r="AJ274" s="6"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6" t="str">
        <f t="shared" si="107"/>
        <v>--</v>
      </c>
      <c r="AL274" s="6"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6" t="str">
        <f t="shared" si="108"/>
        <v>--</v>
      </c>
      <c r="AN274" s="6"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6" t="str">
        <f t="shared" si="95"/>
        <v>--</v>
      </c>
      <c r="AQ274" s="6" t="str">
        <f t="shared" si="96"/>
        <v/>
      </c>
      <c r="AR274" s="6" t="str">
        <f t="shared" si="97"/>
        <v>--</v>
      </c>
      <c r="AS274" s="6" t="str">
        <f t="shared" si="98"/>
        <v/>
      </c>
      <c r="AT274" s="6" t="str">
        <f t="shared" si="99"/>
        <v/>
      </c>
      <c r="AU274" s="6" t="str">
        <f>IFERROR(IF(AR274="--","",IF(HLOOKUP(SMALL($Q$4:$Y$4,3),$Q$4:$Y$501,ROW(AP274)-3,FALSE)=0,"",IF(HLOOKUP(SMALL($Q$4:$Y$4,3),$Q$4:$Y$501,ROW(AP274)-3,FALSE)="nee",VLOOKUP("De kwaliteitseis emissiearme grond (maximale concentratie) wordt overschreden.",H!$O$10:'H'!$P$59,2,FALSE),""))),"")</f>
        <v/>
      </c>
      <c r="AV274" s="6" t="str">
        <f t="shared" si="89"/>
        <v>--</v>
      </c>
      <c r="AW274" s="6" t="str">
        <f t="shared" si="90"/>
        <v/>
      </c>
      <c r="AX274" s="6" t="str">
        <f t="shared" si="91"/>
        <v>--</v>
      </c>
      <c r="AY274" s="6" t="str">
        <f t="shared" si="100"/>
        <v/>
      </c>
      <c r="AZ274" s="6" t="str">
        <f t="shared" si="101"/>
        <v/>
      </c>
      <c r="BA274" s="6" t="str">
        <f>IFERROR(IF(AR274="--","",IF(HLOOKUP(SMALL($Q$4:$Y$4,6),$Q$4:$Y$501,ROW(AP274)-3,FALSE)=0,"",IF(HLOOKUP(SMALL($Q$4:$Y$4,6),$Q$4:$Y$501,ROW(AP274)-3,FALSE)="nee",VLOOKUP("De kwaliteitseis emissiearme grond (maximale concentratie) wordt overschreden.",H!$O$10:'H'!$P$59,2,FALSE),""))),"")</f>
        <v/>
      </c>
      <c r="BB274" s="6" t="str">
        <f t="shared" si="92"/>
        <v>--</v>
      </c>
      <c r="BC274" s="6" t="str">
        <f t="shared" si="93"/>
        <v/>
      </c>
      <c r="BD274" s="6" t="str">
        <f t="shared" si="94"/>
        <v>--</v>
      </c>
      <c r="BE274" s="6" t="str">
        <f t="shared" si="102"/>
        <v/>
      </c>
      <c r="BF274" s="6"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6" t="str">
        <f>IF(ISNUMBER(F!E275)=FALSE,"--",IF(F!E275=0,"--",F!E275))</f>
        <v>--</v>
      </c>
      <c r="C275" s="6" t="str">
        <f>IF(B275="--","",F!F275)</f>
        <v/>
      </c>
      <c r="D275" s="6" t="str">
        <f>IF(ISNUMBER(F!G275)=FALSE,"--",IF(F!G275=0,"--",F!G275))</f>
        <v>--</v>
      </c>
      <c r="E275" s="6" t="str">
        <f>IF(D275="--","",F!H275)</f>
        <v/>
      </c>
      <c r="F275" s="6" t="str">
        <f>IF(ISNUMBER(F!I275)=FALSE,"--",IF(F!I275=0,"--",F!I275))</f>
        <v>--</v>
      </c>
      <c r="G275" s="6" t="str">
        <f>IF(F275="--","",F!J275)</f>
        <v/>
      </c>
      <c r="H275" s="6"/>
      <c r="I275" s="6" t="str">
        <f>IF(F!Z275=-1,-1,F!AV275)</f>
        <v/>
      </c>
      <c r="J275" s="6"/>
      <c r="K275" s="6" t="str">
        <f>IF(F!AC275=-1,-1,F!AX275)</f>
        <v/>
      </c>
      <c r="L275" s="6"/>
      <c r="M275" s="6" t="str">
        <f>IF(F!AF275=-1,-1,F!AZ275)</f>
        <v/>
      </c>
      <c r="N275" s="6"/>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6" t="str">
        <f t="shared" si="109"/>
        <v/>
      </c>
      <c r="R275" s="5" t="str">
        <f>IF($B275="--","",IF($P275="toetsen",toetsen(F!$B275,Q275),IF($P275="toetsen alleen IW",toetsen_alleen_IW(F!$B275,Q275),IF($P275="toetsen alleen LN",toetsen_alleen_LN(F!$B275,Q275),IF($P275="toetsen geen MV en SV",toetsen_geen_MV_en_SV(F!$B275,Q275),IF($P275="toetsen alleen MV en SV",toetsen_alleen_MV_en_SV(F!$B275,Q275),""))))))</f>
        <v/>
      </c>
      <c r="S275" s="5" t="str">
        <f>IF($P275="toetsen",IF(OR(Q275="",VLOOKUP(F!$B275,E!$B$1:$AK$300,10,FALSE)=1000000000),"",IF(Q275&lt;=VLOOKUP(F!$B275,E!$B$1:$AK$300,10,FALSE),"ja","nee")),"")</f>
        <v/>
      </c>
      <c r="T275" s="87" t="str">
        <f t="shared" si="104"/>
        <v/>
      </c>
      <c r="U275" s="5" t="str">
        <f>IF($D275="--","",IF($P275="toetsen",toetsen(F!$B275,T275),IF($P275="toetsen alleen IW",toetsen_alleen_IW(F!$B275,T275),IF($P275="toetsen alleen LN",toetsen_alleen_LN(F!$B275,T275),IF($P275="toetsen geen MV en SV",toetsen_geen_MV_en_SV(F!$B275,T275),IF($P275="toetsen alleen MV en SV",toetsen_alleen_MV_en_SV(F!$B275,T275),""))))))</f>
        <v/>
      </c>
      <c r="V275" s="5" t="str">
        <f>IF($P275="toetsen",IF(OR(T275="",VLOOKUP(F!$B275,E!$B$1:$AK$300,10,FALSE)=1000000000),"",IF(T275&lt;=VLOOKUP(F!$B275,E!$B$1:$AK$300,10,FALSE),"ja","nee")),"")</f>
        <v/>
      </c>
      <c r="W275" s="6" t="str">
        <f t="shared" si="105"/>
        <v/>
      </c>
      <c r="X275" s="5" t="str">
        <f>IF($F275="--","",IF($P275="toetsen",toetsen(F!$B275,W275),IF($P275="toetsen alleen IW",toetsen_alleen_IW(F!$B275,W275),IF($P275="toetsen alleen LN",toetsen_alleen_LN(F!$B275,W275),IF($P275="toetsen geen MV en SV",toetsen_geen_MV_en_SV(F!$B275,W275),IF($P275="toetsen alleen MV en SV",toetsen_alleen_MV_en_SV(F!$B275,W275),""))))))</f>
        <v/>
      </c>
      <c r="Y275" s="5" t="str">
        <f>IF($P275="toetsen",IF(OR(W275="",VLOOKUP(F!$B275,E!$B$1:$AK$300,10,FALSE)=1000000000),"",IF(W275&lt;=VLOOKUP(F!$B275,E!$B$1:$AK$300,10,FALSE),"ja","nee")),"")</f>
        <v/>
      </c>
      <c r="AA275" s="4"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6" t="str">
        <f t="shared" si="106"/>
        <v>--</v>
      </c>
      <c r="AJ275" s="6"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6" t="str">
        <f t="shared" si="107"/>
        <v>--</v>
      </c>
      <c r="AL275" s="6"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6" t="str">
        <f t="shared" si="108"/>
        <v>--</v>
      </c>
      <c r="AN275" s="6"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6" t="str">
        <f t="shared" si="95"/>
        <v>--</v>
      </c>
      <c r="AQ275" s="6" t="str">
        <f t="shared" si="96"/>
        <v/>
      </c>
      <c r="AR275" s="6" t="str">
        <f t="shared" si="97"/>
        <v>--</v>
      </c>
      <c r="AS275" s="6" t="str">
        <f t="shared" si="98"/>
        <v/>
      </c>
      <c r="AT275" s="6" t="str">
        <f t="shared" si="99"/>
        <v/>
      </c>
      <c r="AU275" s="6" t="str">
        <f>IFERROR(IF(AR275="--","",IF(HLOOKUP(SMALL($Q$4:$Y$4,3),$Q$4:$Y$501,ROW(AP275)-3,FALSE)=0,"",IF(HLOOKUP(SMALL($Q$4:$Y$4,3),$Q$4:$Y$501,ROW(AP275)-3,FALSE)="nee",VLOOKUP("De kwaliteitseis emissiearme grond (maximale concentratie) wordt overschreden.",H!$O$10:'H'!$P$59,2,FALSE),""))),"")</f>
        <v/>
      </c>
      <c r="AV275" s="6" t="str">
        <f t="shared" si="89"/>
        <v>--</v>
      </c>
      <c r="AW275" s="6" t="str">
        <f t="shared" si="90"/>
        <v/>
      </c>
      <c r="AX275" s="6" t="str">
        <f t="shared" si="91"/>
        <v>--</v>
      </c>
      <c r="AY275" s="6" t="str">
        <f t="shared" si="100"/>
        <v/>
      </c>
      <c r="AZ275" s="6" t="str">
        <f t="shared" si="101"/>
        <v/>
      </c>
      <c r="BA275" s="6" t="str">
        <f>IFERROR(IF(AR275="--","",IF(HLOOKUP(SMALL($Q$4:$Y$4,6),$Q$4:$Y$501,ROW(AP275)-3,FALSE)=0,"",IF(HLOOKUP(SMALL($Q$4:$Y$4,6),$Q$4:$Y$501,ROW(AP275)-3,FALSE)="nee",VLOOKUP("De kwaliteitseis emissiearme grond (maximale concentratie) wordt overschreden.",H!$O$10:'H'!$P$59,2,FALSE),""))),"")</f>
        <v/>
      </c>
      <c r="BB275" s="6" t="str">
        <f t="shared" si="92"/>
        <v>--</v>
      </c>
      <c r="BC275" s="6" t="str">
        <f t="shared" si="93"/>
        <v/>
      </c>
      <c r="BD275" s="6" t="str">
        <f t="shared" si="94"/>
        <v>--</v>
      </c>
      <c r="BE275" s="6" t="str">
        <f t="shared" si="102"/>
        <v/>
      </c>
      <c r="BF275" s="6"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6" t="str">
        <f>IF(ISNUMBER(F!E276)=FALSE,"--",IF(F!E276=0,"--",F!E276))</f>
        <v>--</v>
      </c>
      <c r="C276" s="6" t="str">
        <f>IF(B276="--","",F!F276)</f>
        <v/>
      </c>
      <c r="D276" s="6" t="str">
        <f>IF(ISNUMBER(F!G276)=FALSE,"--",IF(F!G276=0,"--",F!G276))</f>
        <v>--</v>
      </c>
      <c r="E276" s="6" t="str">
        <f>IF(D276="--","",F!H276)</f>
        <v/>
      </c>
      <c r="F276" s="6" t="str">
        <f>IF(ISNUMBER(F!I276)=FALSE,"--",IF(F!I276=0,"--",F!I276))</f>
        <v>--</v>
      </c>
      <c r="G276" s="6" t="str">
        <f>IF(F276="--","",F!J276)</f>
        <v/>
      </c>
      <c r="H276" s="6"/>
      <c r="I276" s="6" t="str">
        <f>IF(F!Z276=-1,-1,F!AV276)</f>
        <v/>
      </c>
      <c r="J276" s="6"/>
      <c r="K276" s="6" t="str">
        <f>IF(F!AC276=-1,-1,F!AX276)</f>
        <v/>
      </c>
      <c r="L276" s="6"/>
      <c r="M276" s="6" t="str">
        <f>IF(F!AF276=-1,-1,F!AZ276)</f>
        <v/>
      </c>
      <c r="N276" s="6"/>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6" t="str">
        <f t="shared" si="109"/>
        <v/>
      </c>
      <c r="R276" s="5" t="str">
        <f>IF($B276="--","",IF($P276="toetsen",toetsen(F!$B276,Q276),IF($P276="toetsen alleen IW",toetsen_alleen_IW(F!$B276,Q276),IF($P276="toetsen alleen LN",toetsen_alleen_LN(F!$B276,Q276),IF($P276="toetsen geen MV en SV",toetsen_geen_MV_en_SV(F!$B276,Q276),IF($P276="toetsen alleen MV en SV",toetsen_alleen_MV_en_SV(F!$B276,Q276),""))))))</f>
        <v/>
      </c>
      <c r="S276" s="5" t="str">
        <f>IF($P276="toetsen",IF(OR(Q276="",VLOOKUP(F!$B276,E!$B$1:$AK$300,10,FALSE)=1000000000),"",IF(Q276&lt;=VLOOKUP(F!$B276,E!$B$1:$AK$300,10,FALSE),"ja","nee")),"")</f>
        <v/>
      </c>
      <c r="T276" s="87" t="str">
        <f t="shared" si="104"/>
        <v/>
      </c>
      <c r="U276" s="5" t="str">
        <f>IF($D276="--","",IF($P276="toetsen",toetsen(F!$B276,T276),IF($P276="toetsen alleen IW",toetsen_alleen_IW(F!$B276,T276),IF($P276="toetsen alleen LN",toetsen_alleen_LN(F!$B276,T276),IF($P276="toetsen geen MV en SV",toetsen_geen_MV_en_SV(F!$B276,T276),IF($P276="toetsen alleen MV en SV",toetsen_alleen_MV_en_SV(F!$B276,T276),""))))))</f>
        <v/>
      </c>
      <c r="V276" s="5" t="str">
        <f>IF($P276="toetsen",IF(OR(T276="",VLOOKUP(F!$B276,E!$B$1:$AK$300,10,FALSE)=1000000000),"",IF(T276&lt;=VLOOKUP(F!$B276,E!$B$1:$AK$300,10,FALSE),"ja","nee")),"")</f>
        <v/>
      </c>
      <c r="W276" s="6" t="str">
        <f t="shared" si="105"/>
        <v/>
      </c>
      <c r="X276" s="5" t="str">
        <f>IF($F276="--","",IF($P276="toetsen",toetsen(F!$B276,W276),IF($P276="toetsen alleen IW",toetsen_alleen_IW(F!$B276,W276),IF($P276="toetsen alleen LN",toetsen_alleen_LN(F!$B276,W276),IF($P276="toetsen geen MV en SV",toetsen_geen_MV_en_SV(F!$B276,W276),IF($P276="toetsen alleen MV en SV",toetsen_alleen_MV_en_SV(F!$B276,W276),""))))))</f>
        <v/>
      </c>
      <c r="Y276" s="5" t="str">
        <f>IF($P276="toetsen",IF(OR(W276="",VLOOKUP(F!$B276,E!$B$1:$AK$300,10,FALSE)=1000000000),"",IF(W276&lt;=VLOOKUP(F!$B276,E!$B$1:$AK$300,10,FALSE),"ja","nee")),"")</f>
        <v/>
      </c>
      <c r="AA276" s="4"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6" t="str">
        <f t="shared" si="106"/>
        <v>--</v>
      </c>
      <c r="AJ276" s="6"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6" t="str">
        <f t="shared" si="107"/>
        <v>--</v>
      </c>
      <c r="AL276" s="6"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6" t="str">
        <f t="shared" si="108"/>
        <v>--</v>
      </c>
      <c r="AN276" s="6"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6" t="str">
        <f t="shared" si="95"/>
        <v>--</v>
      </c>
      <c r="AQ276" s="6" t="str">
        <f t="shared" si="96"/>
        <v/>
      </c>
      <c r="AR276" s="6" t="str">
        <f t="shared" si="97"/>
        <v>--</v>
      </c>
      <c r="AS276" s="6" t="str">
        <f t="shared" si="98"/>
        <v/>
      </c>
      <c r="AT276" s="6" t="str">
        <f t="shared" si="99"/>
        <v/>
      </c>
      <c r="AU276" s="6" t="str">
        <f>IFERROR(IF(AR276="--","",IF(HLOOKUP(SMALL($Q$4:$Y$4,3),$Q$4:$Y$501,ROW(AP276)-3,FALSE)=0,"",IF(HLOOKUP(SMALL($Q$4:$Y$4,3),$Q$4:$Y$501,ROW(AP276)-3,FALSE)="nee",VLOOKUP("De kwaliteitseis emissiearme grond (maximale concentratie) wordt overschreden.",H!$O$10:'H'!$P$59,2,FALSE),""))),"")</f>
        <v/>
      </c>
      <c r="AV276" s="6" t="str">
        <f t="shared" si="89"/>
        <v>--</v>
      </c>
      <c r="AW276" s="6" t="str">
        <f t="shared" si="90"/>
        <v/>
      </c>
      <c r="AX276" s="6" t="str">
        <f t="shared" si="91"/>
        <v>--</v>
      </c>
      <c r="AY276" s="6" t="str">
        <f t="shared" si="100"/>
        <v/>
      </c>
      <c r="AZ276" s="6" t="str">
        <f t="shared" si="101"/>
        <v/>
      </c>
      <c r="BA276" s="6" t="str">
        <f>IFERROR(IF(AR276="--","",IF(HLOOKUP(SMALL($Q$4:$Y$4,6),$Q$4:$Y$501,ROW(AP276)-3,FALSE)=0,"",IF(HLOOKUP(SMALL($Q$4:$Y$4,6),$Q$4:$Y$501,ROW(AP276)-3,FALSE)="nee",VLOOKUP("De kwaliteitseis emissiearme grond (maximale concentratie) wordt overschreden.",H!$O$10:'H'!$P$59,2,FALSE),""))),"")</f>
        <v/>
      </c>
      <c r="BB276" s="6" t="str">
        <f t="shared" si="92"/>
        <v>--</v>
      </c>
      <c r="BC276" s="6" t="str">
        <f t="shared" si="93"/>
        <v/>
      </c>
      <c r="BD276" s="6" t="str">
        <f t="shared" si="94"/>
        <v>--</v>
      </c>
      <c r="BE276" s="6" t="str">
        <f t="shared" si="102"/>
        <v/>
      </c>
      <c r="BF276" s="6"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6" t="str">
        <f>IF(ISNUMBER(F!E277)=FALSE,"--",IF(F!E277=0,"--",F!E277))</f>
        <v>--</v>
      </c>
      <c r="C277" s="6" t="str">
        <f>IF(B277="--","",F!F277)</f>
        <v/>
      </c>
      <c r="D277" s="6" t="str">
        <f>IF(ISNUMBER(F!G277)=FALSE,"--",IF(F!G277=0,"--",F!G277))</f>
        <v>--</v>
      </c>
      <c r="E277" s="6" t="str">
        <f>IF(D277="--","",F!H277)</f>
        <v/>
      </c>
      <c r="F277" s="6" t="str">
        <f>IF(ISNUMBER(F!I277)=FALSE,"--",IF(F!I277=0,"--",F!I277))</f>
        <v>--</v>
      </c>
      <c r="G277" s="6" t="str">
        <f>IF(F277="--","",F!J277)</f>
        <v/>
      </c>
      <c r="H277" s="6"/>
      <c r="I277" s="6" t="str">
        <f>IF(F!Z277=-1,-1,F!AV277)</f>
        <v/>
      </c>
      <c r="J277" s="6"/>
      <c r="K277" s="6" t="str">
        <f>IF(F!AC277=-1,-1,F!AX277)</f>
        <v/>
      </c>
      <c r="L277" s="6"/>
      <c r="M277" s="6" t="str">
        <f>IF(F!AF277=-1,-1,F!AZ277)</f>
        <v/>
      </c>
      <c r="N277" s="6"/>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6" t="str">
        <f t="shared" si="109"/>
        <v/>
      </c>
      <c r="R277" s="5" t="str">
        <f>IF($B277="--","",IF($P277="toetsen",toetsen(F!$B277,Q277),IF($P277="toetsen alleen IW",toetsen_alleen_IW(F!$B277,Q277),IF($P277="toetsen alleen LN",toetsen_alleen_LN(F!$B277,Q277),IF($P277="toetsen geen MV en SV",toetsen_geen_MV_en_SV(F!$B277,Q277),IF($P277="toetsen alleen MV en SV",toetsen_alleen_MV_en_SV(F!$B277,Q277),""))))))</f>
        <v/>
      </c>
      <c r="S277" s="5" t="str">
        <f>IF($P277="toetsen",IF(OR(Q277="",VLOOKUP(F!$B277,E!$B$1:$AK$300,10,FALSE)=1000000000),"",IF(Q277&lt;=VLOOKUP(F!$B277,E!$B$1:$AK$300,10,FALSE),"ja","nee")),"")</f>
        <v/>
      </c>
      <c r="T277" s="87" t="str">
        <f t="shared" si="104"/>
        <v/>
      </c>
      <c r="U277" s="5" t="str">
        <f>IF($D277="--","",IF($P277="toetsen",toetsen(F!$B277,T277),IF($P277="toetsen alleen IW",toetsen_alleen_IW(F!$B277,T277),IF($P277="toetsen alleen LN",toetsen_alleen_LN(F!$B277,T277),IF($P277="toetsen geen MV en SV",toetsen_geen_MV_en_SV(F!$B277,T277),IF($P277="toetsen alleen MV en SV",toetsen_alleen_MV_en_SV(F!$B277,T277),""))))))</f>
        <v/>
      </c>
      <c r="V277" s="5" t="str">
        <f>IF($P277="toetsen",IF(OR(T277="",VLOOKUP(F!$B277,E!$B$1:$AK$300,10,FALSE)=1000000000),"",IF(T277&lt;=VLOOKUP(F!$B277,E!$B$1:$AK$300,10,FALSE),"ja","nee")),"")</f>
        <v/>
      </c>
      <c r="W277" s="6" t="str">
        <f t="shared" si="105"/>
        <v/>
      </c>
      <c r="X277" s="5" t="str">
        <f>IF($F277="--","",IF($P277="toetsen",toetsen(F!$B277,W277),IF($P277="toetsen alleen IW",toetsen_alleen_IW(F!$B277,W277),IF($P277="toetsen alleen LN",toetsen_alleen_LN(F!$B277,W277),IF($P277="toetsen geen MV en SV",toetsen_geen_MV_en_SV(F!$B277,W277),IF($P277="toetsen alleen MV en SV",toetsen_alleen_MV_en_SV(F!$B277,W277),""))))))</f>
        <v/>
      </c>
      <c r="Y277" s="5" t="str">
        <f>IF($P277="toetsen",IF(OR(W277="",VLOOKUP(F!$B277,E!$B$1:$AK$300,10,FALSE)=1000000000),"",IF(W277&lt;=VLOOKUP(F!$B277,E!$B$1:$AK$300,10,FALSE),"ja","nee")),"")</f>
        <v/>
      </c>
      <c r="AA277" s="4"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6" t="str">
        <f t="shared" si="106"/>
        <v>--</v>
      </c>
      <c r="AJ277" s="6"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6" t="str">
        <f t="shared" si="107"/>
        <v>--</v>
      </c>
      <c r="AL277" s="6"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6" t="str">
        <f t="shared" si="108"/>
        <v>--</v>
      </c>
      <c r="AN277" s="6"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6" t="str">
        <f t="shared" si="95"/>
        <v>--</v>
      </c>
      <c r="AQ277" s="6" t="str">
        <f t="shared" si="96"/>
        <v/>
      </c>
      <c r="AR277" s="6" t="str">
        <f t="shared" si="97"/>
        <v>--</v>
      </c>
      <c r="AS277" s="6" t="str">
        <f t="shared" si="98"/>
        <v/>
      </c>
      <c r="AT277" s="6" t="str">
        <f t="shared" si="99"/>
        <v/>
      </c>
      <c r="AU277" s="6" t="str">
        <f>IFERROR(IF(AR277="--","",IF(HLOOKUP(SMALL($Q$4:$Y$4,3),$Q$4:$Y$501,ROW(AP277)-3,FALSE)=0,"",IF(HLOOKUP(SMALL($Q$4:$Y$4,3),$Q$4:$Y$501,ROW(AP277)-3,FALSE)="nee",VLOOKUP("De kwaliteitseis emissiearme grond (maximale concentratie) wordt overschreden.",H!$O$10:'H'!$P$59,2,FALSE),""))),"")</f>
        <v/>
      </c>
      <c r="AV277" s="6" t="str">
        <f t="shared" si="89"/>
        <v>--</v>
      </c>
      <c r="AW277" s="6" t="str">
        <f t="shared" si="90"/>
        <v/>
      </c>
      <c r="AX277" s="6" t="str">
        <f t="shared" si="91"/>
        <v>--</v>
      </c>
      <c r="AY277" s="6" t="str">
        <f t="shared" si="100"/>
        <v/>
      </c>
      <c r="AZ277" s="6" t="str">
        <f t="shared" si="101"/>
        <v/>
      </c>
      <c r="BA277" s="6" t="str">
        <f>IFERROR(IF(AR277="--","",IF(HLOOKUP(SMALL($Q$4:$Y$4,6),$Q$4:$Y$501,ROW(AP277)-3,FALSE)=0,"",IF(HLOOKUP(SMALL($Q$4:$Y$4,6),$Q$4:$Y$501,ROW(AP277)-3,FALSE)="nee",VLOOKUP("De kwaliteitseis emissiearme grond (maximale concentratie) wordt overschreden.",H!$O$10:'H'!$P$59,2,FALSE),""))),"")</f>
        <v/>
      </c>
      <c r="BB277" s="6" t="str">
        <f t="shared" si="92"/>
        <v>--</v>
      </c>
      <c r="BC277" s="6" t="str">
        <f t="shared" si="93"/>
        <v/>
      </c>
      <c r="BD277" s="6" t="str">
        <f t="shared" si="94"/>
        <v>--</v>
      </c>
      <c r="BE277" s="6" t="str">
        <f t="shared" si="102"/>
        <v/>
      </c>
      <c r="BF277" s="6"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6" t="str">
        <f>IF(ISNUMBER(F!E278)=FALSE,"--",IF(F!E278=0,"--",F!E278))</f>
        <v>--</v>
      </c>
      <c r="C278" s="6" t="str">
        <f>IF(B278="--","",F!F278)</f>
        <v/>
      </c>
      <c r="D278" s="6" t="str">
        <f>IF(ISNUMBER(F!G278)=FALSE,"--",IF(F!G278=0,"--",F!G278))</f>
        <v>--</v>
      </c>
      <c r="E278" s="6" t="str">
        <f>IF(D278="--","",F!H278)</f>
        <v/>
      </c>
      <c r="F278" s="6" t="str">
        <f>IF(ISNUMBER(F!I278)=FALSE,"--",IF(F!I278=0,"--",F!I278))</f>
        <v>--</v>
      </c>
      <c r="G278" s="6" t="str">
        <f>IF(F278="--","",F!J278)</f>
        <v/>
      </c>
      <c r="H278" s="6"/>
      <c r="I278" s="6" t="str">
        <f>IF(F!Z278=-1,-1,F!AV278)</f>
        <v/>
      </c>
      <c r="J278" s="6"/>
      <c r="K278" s="6" t="str">
        <f>IF(F!AC278=-1,-1,F!AX278)</f>
        <v/>
      </c>
      <c r="L278" s="6"/>
      <c r="M278" s="6" t="str">
        <f>IF(F!AF278=-1,-1,F!AZ278)</f>
        <v/>
      </c>
      <c r="N278" s="6"/>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6" t="str">
        <f t="shared" si="109"/>
        <v/>
      </c>
      <c r="R278" s="5" t="str">
        <f>IF($B278="--","",IF($P278="toetsen",toetsen(F!$B278,Q278),IF($P278="toetsen alleen IW",toetsen_alleen_IW(F!$B278,Q278),IF($P278="toetsen alleen LN",toetsen_alleen_LN(F!$B278,Q278),IF($P278="toetsen geen MV en SV",toetsen_geen_MV_en_SV(F!$B278,Q278),IF($P278="toetsen alleen MV en SV",toetsen_alleen_MV_en_SV(F!$B278,Q278),""))))))</f>
        <v/>
      </c>
      <c r="S278" s="5" t="str">
        <f>IF($P278="toetsen",IF(OR(Q278="",VLOOKUP(F!$B278,E!$B$1:$AK$300,10,FALSE)=1000000000),"",IF(Q278&lt;=VLOOKUP(F!$B278,E!$B$1:$AK$300,10,FALSE),"ja","nee")),"")</f>
        <v/>
      </c>
      <c r="T278" s="87" t="str">
        <f t="shared" si="104"/>
        <v/>
      </c>
      <c r="U278" s="5" t="str">
        <f>IF($D278="--","",IF($P278="toetsen",toetsen(F!$B278,T278),IF($P278="toetsen alleen IW",toetsen_alleen_IW(F!$B278,T278),IF($P278="toetsen alleen LN",toetsen_alleen_LN(F!$B278,T278),IF($P278="toetsen geen MV en SV",toetsen_geen_MV_en_SV(F!$B278,T278),IF($P278="toetsen alleen MV en SV",toetsen_alleen_MV_en_SV(F!$B278,T278),""))))))</f>
        <v/>
      </c>
      <c r="V278" s="5" t="str">
        <f>IF($P278="toetsen",IF(OR(T278="",VLOOKUP(F!$B278,E!$B$1:$AK$300,10,FALSE)=1000000000),"",IF(T278&lt;=VLOOKUP(F!$B278,E!$B$1:$AK$300,10,FALSE),"ja","nee")),"")</f>
        <v/>
      </c>
      <c r="W278" s="6" t="str">
        <f t="shared" si="105"/>
        <v/>
      </c>
      <c r="X278" s="5" t="str">
        <f>IF($F278="--","",IF($P278="toetsen",toetsen(F!$B278,W278),IF($P278="toetsen alleen IW",toetsen_alleen_IW(F!$B278,W278),IF($P278="toetsen alleen LN",toetsen_alleen_LN(F!$B278,W278),IF($P278="toetsen geen MV en SV",toetsen_geen_MV_en_SV(F!$B278,W278),IF($P278="toetsen alleen MV en SV",toetsen_alleen_MV_en_SV(F!$B278,W278),""))))))</f>
        <v/>
      </c>
      <c r="Y278" s="5" t="str">
        <f>IF($P278="toetsen",IF(OR(W278="",VLOOKUP(F!$B278,E!$B$1:$AK$300,10,FALSE)=1000000000),"",IF(W278&lt;=VLOOKUP(F!$B278,E!$B$1:$AK$300,10,FALSE),"ja","nee")),"")</f>
        <v/>
      </c>
      <c r="AA278" s="4"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6" t="str">
        <f t="shared" si="106"/>
        <v>--</v>
      </c>
      <c r="AJ278" s="6"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6" t="str">
        <f t="shared" si="107"/>
        <v>--</v>
      </c>
      <c r="AL278" s="6"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6" t="str">
        <f t="shared" si="108"/>
        <v>--</v>
      </c>
      <c r="AN278" s="6"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6" t="str">
        <f t="shared" si="95"/>
        <v>--</v>
      </c>
      <c r="AQ278" s="6" t="str">
        <f t="shared" si="96"/>
        <v/>
      </c>
      <c r="AR278" s="6" t="str">
        <f t="shared" si="97"/>
        <v>--</v>
      </c>
      <c r="AS278" s="6" t="str">
        <f t="shared" si="98"/>
        <v/>
      </c>
      <c r="AT278" s="6" t="str">
        <f t="shared" si="99"/>
        <v/>
      </c>
      <c r="AU278" s="6" t="str">
        <f>IFERROR(IF(AR278="--","",IF(HLOOKUP(SMALL($Q$4:$Y$4,3),$Q$4:$Y$501,ROW(AP278)-3,FALSE)=0,"",IF(HLOOKUP(SMALL($Q$4:$Y$4,3),$Q$4:$Y$501,ROW(AP278)-3,FALSE)="nee",VLOOKUP("De kwaliteitseis emissiearme grond (maximale concentratie) wordt overschreden.",H!$O$10:'H'!$P$59,2,FALSE),""))),"")</f>
        <v/>
      </c>
      <c r="AV278" s="6" t="str">
        <f t="shared" si="89"/>
        <v>--</v>
      </c>
      <c r="AW278" s="6" t="str">
        <f t="shared" si="90"/>
        <v/>
      </c>
      <c r="AX278" s="6" t="str">
        <f t="shared" si="91"/>
        <v>--</v>
      </c>
      <c r="AY278" s="6" t="str">
        <f t="shared" si="100"/>
        <v/>
      </c>
      <c r="AZ278" s="6" t="str">
        <f t="shared" si="101"/>
        <v/>
      </c>
      <c r="BA278" s="6" t="str">
        <f>IFERROR(IF(AR278="--","",IF(HLOOKUP(SMALL($Q$4:$Y$4,6),$Q$4:$Y$501,ROW(AP278)-3,FALSE)=0,"",IF(HLOOKUP(SMALL($Q$4:$Y$4,6),$Q$4:$Y$501,ROW(AP278)-3,FALSE)="nee",VLOOKUP("De kwaliteitseis emissiearme grond (maximale concentratie) wordt overschreden.",H!$O$10:'H'!$P$59,2,FALSE),""))),"")</f>
        <v/>
      </c>
      <c r="BB278" s="6" t="str">
        <f t="shared" si="92"/>
        <v>--</v>
      </c>
      <c r="BC278" s="6" t="str">
        <f t="shared" si="93"/>
        <v/>
      </c>
      <c r="BD278" s="6" t="str">
        <f t="shared" si="94"/>
        <v>--</v>
      </c>
      <c r="BE278" s="6" t="str">
        <f t="shared" si="102"/>
        <v/>
      </c>
      <c r="BF278" s="6"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6" t="str">
        <f>IF(ISNUMBER(F!E279)=FALSE,"--",IF(F!E279=0,"--",F!E279))</f>
        <v>--</v>
      </c>
      <c r="C279" s="6" t="str">
        <f>IF(B279="--","",F!F279)</f>
        <v/>
      </c>
      <c r="D279" s="6" t="str">
        <f>IF(ISNUMBER(F!G279)=FALSE,"--",IF(F!G279=0,"--",F!G279))</f>
        <v>--</v>
      </c>
      <c r="E279" s="6" t="str">
        <f>IF(D279="--","",F!H279)</f>
        <v/>
      </c>
      <c r="F279" s="6" t="str">
        <f>IF(ISNUMBER(F!I279)=FALSE,"--",IF(F!I279=0,"--",F!I279))</f>
        <v>--</v>
      </c>
      <c r="G279" s="6" t="str">
        <f>IF(F279="--","",F!J279)</f>
        <v/>
      </c>
      <c r="H279" s="6"/>
      <c r="I279" s="6" t="str">
        <f>IF(F!Z279=-1,-1,F!AV279)</f>
        <v/>
      </c>
      <c r="J279" s="6"/>
      <c r="K279" s="6" t="str">
        <f>IF(F!AC279=-1,-1,F!AX279)</f>
        <v/>
      </c>
      <c r="L279" s="6"/>
      <c r="M279" s="6" t="str">
        <f>IF(F!AF279=-1,-1,F!AZ279)</f>
        <v/>
      </c>
      <c r="N279" s="6"/>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6" t="str">
        <f t="shared" si="109"/>
        <v/>
      </c>
      <c r="R279" s="5" t="str">
        <f>IF($B279="--","",IF($P279="toetsen",toetsen(F!$B279,Q279),IF($P279="toetsen alleen IW",toetsen_alleen_IW(F!$B279,Q279),IF($P279="toetsen alleen LN",toetsen_alleen_LN(F!$B279,Q279),IF($P279="toetsen geen MV en SV",toetsen_geen_MV_en_SV(F!$B279,Q279),IF($P279="toetsen alleen MV en SV",toetsen_alleen_MV_en_SV(F!$B279,Q279),""))))))</f>
        <v/>
      </c>
      <c r="S279" s="5" t="str">
        <f>IF($P279="toetsen",IF(OR(Q279="",VLOOKUP(F!$B279,E!$B$1:$AK$300,10,FALSE)=1000000000),"",IF(Q279&lt;=VLOOKUP(F!$B279,E!$B$1:$AK$300,10,FALSE),"ja","nee")),"")</f>
        <v/>
      </c>
      <c r="T279" s="87" t="str">
        <f t="shared" si="104"/>
        <v/>
      </c>
      <c r="U279" s="5" t="str">
        <f>IF($D279="--","",IF($P279="toetsen",toetsen(F!$B279,T279),IF($P279="toetsen alleen IW",toetsen_alleen_IW(F!$B279,T279),IF($P279="toetsen alleen LN",toetsen_alleen_LN(F!$B279,T279),IF($P279="toetsen geen MV en SV",toetsen_geen_MV_en_SV(F!$B279,T279),IF($P279="toetsen alleen MV en SV",toetsen_alleen_MV_en_SV(F!$B279,T279),""))))))</f>
        <v/>
      </c>
      <c r="V279" s="5" t="str">
        <f>IF($P279="toetsen",IF(OR(T279="",VLOOKUP(F!$B279,E!$B$1:$AK$300,10,FALSE)=1000000000),"",IF(T279&lt;=VLOOKUP(F!$B279,E!$B$1:$AK$300,10,FALSE),"ja","nee")),"")</f>
        <v/>
      </c>
      <c r="W279" s="6" t="str">
        <f t="shared" si="105"/>
        <v/>
      </c>
      <c r="X279" s="5" t="str">
        <f>IF($F279="--","",IF($P279="toetsen",toetsen(F!$B279,W279),IF($P279="toetsen alleen IW",toetsen_alleen_IW(F!$B279,W279),IF($P279="toetsen alleen LN",toetsen_alleen_LN(F!$B279,W279),IF($P279="toetsen geen MV en SV",toetsen_geen_MV_en_SV(F!$B279,W279),IF($P279="toetsen alleen MV en SV",toetsen_alleen_MV_en_SV(F!$B279,W279),""))))))</f>
        <v/>
      </c>
      <c r="Y279" s="5" t="str">
        <f>IF($P279="toetsen",IF(OR(W279="",VLOOKUP(F!$B279,E!$B$1:$AK$300,10,FALSE)=1000000000),"",IF(W279&lt;=VLOOKUP(F!$B279,E!$B$1:$AK$300,10,FALSE),"ja","nee")),"")</f>
        <v/>
      </c>
      <c r="AA279" s="4"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6" t="str">
        <f t="shared" si="106"/>
        <v>--</v>
      </c>
      <c r="AJ279" s="6"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6" t="str">
        <f t="shared" si="107"/>
        <v>--</v>
      </c>
      <c r="AL279" s="6"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6" t="str">
        <f t="shared" si="108"/>
        <v>--</v>
      </c>
      <c r="AN279" s="6"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6" t="str">
        <f t="shared" si="95"/>
        <v>--</v>
      </c>
      <c r="AQ279" s="6" t="str">
        <f t="shared" si="96"/>
        <v/>
      </c>
      <c r="AR279" s="6" t="str">
        <f t="shared" si="97"/>
        <v>--</v>
      </c>
      <c r="AS279" s="6" t="str">
        <f t="shared" si="98"/>
        <v/>
      </c>
      <c r="AT279" s="6" t="str">
        <f t="shared" si="99"/>
        <v/>
      </c>
      <c r="AU279" s="6" t="str">
        <f>IFERROR(IF(AR279="--","",IF(HLOOKUP(SMALL($Q$4:$Y$4,3),$Q$4:$Y$501,ROW(AP279)-3,FALSE)=0,"",IF(HLOOKUP(SMALL($Q$4:$Y$4,3),$Q$4:$Y$501,ROW(AP279)-3,FALSE)="nee",VLOOKUP("De kwaliteitseis emissiearme grond (maximale concentratie) wordt overschreden.",H!$O$10:'H'!$P$59,2,FALSE),""))),"")</f>
        <v/>
      </c>
      <c r="AV279" s="6" t="str">
        <f t="shared" si="89"/>
        <v>--</v>
      </c>
      <c r="AW279" s="6" t="str">
        <f t="shared" si="90"/>
        <v/>
      </c>
      <c r="AX279" s="6" t="str">
        <f t="shared" si="91"/>
        <v>--</v>
      </c>
      <c r="AY279" s="6" t="str">
        <f t="shared" si="100"/>
        <v/>
      </c>
      <c r="AZ279" s="6" t="str">
        <f t="shared" si="101"/>
        <v/>
      </c>
      <c r="BA279" s="6" t="str">
        <f>IFERROR(IF(AR279="--","",IF(HLOOKUP(SMALL($Q$4:$Y$4,6),$Q$4:$Y$501,ROW(AP279)-3,FALSE)=0,"",IF(HLOOKUP(SMALL($Q$4:$Y$4,6),$Q$4:$Y$501,ROW(AP279)-3,FALSE)="nee",VLOOKUP("De kwaliteitseis emissiearme grond (maximale concentratie) wordt overschreden.",H!$O$10:'H'!$P$59,2,FALSE),""))),"")</f>
        <v/>
      </c>
      <c r="BB279" s="6" t="str">
        <f t="shared" si="92"/>
        <v>--</v>
      </c>
      <c r="BC279" s="6" t="str">
        <f t="shared" si="93"/>
        <v/>
      </c>
      <c r="BD279" s="6" t="str">
        <f t="shared" si="94"/>
        <v>--</v>
      </c>
      <c r="BE279" s="6" t="str">
        <f t="shared" si="102"/>
        <v/>
      </c>
      <c r="BF279" s="6"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6" t="str">
        <f>IF(ISNUMBER(F!E280)=FALSE,"--",IF(F!E280=0,"--",F!E280))</f>
        <v>--</v>
      </c>
      <c r="C280" s="6" t="str">
        <f>IF(B280="--","",F!F280)</f>
        <v/>
      </c>
      <c r="D280" s="6" t="str">
        <f>IF(ISNUMBER(F!G280)=FALSE,"--",IF(F!G280=0,"--",F!G280))</f>
        <v>--</v>
      </c>
      <c r="E280" s="6" t="str">
        <f>IF(D280="--","",F!H280)</f>
        <v/>
      </c>
      <c r="F280" s="6" t="str">
        <f>IF(ISNUMBER(F!I280)=FALSE,"--",IF(F!I280=0,"--",F!I280))</f>
        <v>--</v>
      </c>
      <c r="G280" s="6" t="str">
        <f>IF(F280="--","",F!J280)</f>
        <v/>
      </c>
      <c r="H280" s="6"/>
      <c r="I280" s="6" t="str">
        <f>IF(F!Z280=-1,-1,F!AV280)</f>
        <v/>
      </c>
      <c r="J280" s="6"/>
      <c r="K280" s="6" t="str">
        <f>IF(F!AC280=-1,-1,F!AX280)</f>
        <v/>
      </c>
      <c r="L280" s="6"/>
      <c r="M280" s="6" t="str">
        <f>IF(F!AF280=-1,-1,F!AZ280)</f>
        <v/>
      </c>
      <c r="N280" s="6"/>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6" t="str">
        <f t="shared" si="109"/>
        <v/>
      </c>
      <c r="R280" s="5" t="str">
        <f>IF($B280="--","",IF($P280="toetsen",toetsen(F!$B280,Q280),IF($P280="toetsen alleen IW",toetsen_alleen_IW(F!$B280,Q280),IF($P280="toetsen alleen LN",toetsen_alleen_LN(F!$B280,Q280),IF($P280="toetsen geen MV en SV",toetsen_geen_MV_en_SV(F!$B280,Q280),IF($P280="toetsen alleen MV en SV",toetsen_alleen_MV_en_SV(F!$B280,Q280),""))))))</f>
        <v/>
      </c>
      <c r="S280" s="5" t="str">
        <f>IF($P280="toetsen",IF(OR(Q280="",VLOOKUP(F!$B280,E!$B$1:$AK$300,10,FALSE)=1000000000),"",IF(Q280&lt;=VLOOKUP(F!$B280,E!$B$1:$AK$300,10,FALSE),"ja","nee")),"")</f>
        <v/>
      </c>
      <c r="T280" s="87" t="str">
        <f t="shared" si="104"/>
        <v/>
      </c>
      <c r="U280" s="5" t="str">
        <f>IF($D280="--","",IF($P280="toetsen",toetsen(F!$B280,T280),IF($P280="toetsen alleen IW",toetsen_alleen_IW(F!$B280,T280),IF($P280="toetsen alleen LN",toetsen_alleen_LN(F!$B280,T280),IF($P280="toetsen geen MV en SV",toetsen_geen_MV_en_SV(F!$B280,T280),IF($P280="toetsen alleen MV en SV",toetsen_alleen_MV_en_SV(F!$B280,T280),""))))))</f>
        <v/>
      </c>
      <c r="V280" s="5" t="str">
        <f>IF($P280="toetsen",IF(OR(T280="",VLOOKUP(F!$B280,E!$B$1:$AK$300,10,FALSE)=1000000000),"",IF(T280&lt;=VLOOKUP(F!$B280,E!$B$1:$AK$300,10,FALSE),"ja","nee")),"")</f>
        <v/>
      </c>
      <c r="W280" s="6" t="str">
        <f t="shared" si="105"/>
        <v/>
      </c>
      <c r="X280" s="5" t="str">
        <f>IF($F280="--","",IF($P280="toetsen",toetsen(F!$B280,W280),IF($P280="toetsen alleen IW",toetsen_alleen_IW(F!$B280,W280),IF($P280="toetsen alleen LN",toetsen_alleen_LN(F!$B280,W280),IF($P280="toetsen geen MV en SV",toetsen_geen_MV_en_SV(F!$B280,W280),IF($P280="toetsen alleen MV en SV",toetsen_alleen_MV_en_SV(F!$B280,W280),""))))))</f>
        <v/>
      </c>
      <c r="Y280" s="5" t="str">
        <f>IF($P280="toetsen",IF(OR(W280="",VLOOKUP(F!$B280,E!$B$1:$AK$300,10,FALSE)=1000000000),"",IF(W280&lt;=VLOOKUP(F!$B280,E!$B$1:$AK$300,10,FALSE),"ja","nee")),"")</f>
        <v/>
      </c>
      <c r="AA280" s="4"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6" t="str">
        <f t="shared" si="106"/>
        <v>--</v>
      </c>
      <c r="AJ280" s="6"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6" t="str">
        <f t="shared" si="107"/>
        <v>--</v>
      </c>
      <c r="AL280" s="6"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6" t="str">
        <f t="shared" si="108"/>
        <v>--</v>
      </c>
      <c r="AN280" s="6"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6" t="str">
        <f t="shared" si="95"/>
        <v>--</v>
      </c>
      <c r="AQ280" s="6" t="str">
        <f t="shared" si="96"/>
        <v/>
      </c>
      <c r="AR280" s="6" t="str">
        <f t="shared" si="97"/>
        <v>--</v>
      </c>
      <c r="AS280" s="6" t="str">
        <f t="shared" si="98"/>
        <v/>
      </c>
      <c r="AT280" s="6" t="str">
        <f t="shared" si="99"/>
        <v/>
      </c>
      <c r="AU280" s="6" t="str">
        <f>IFERROR(IF(AR280="--","",IF(HLOOKUP(SMALL($Q$4:$Y$4,3),$Q$4:$Y$501,ROW(AP280)-3,FALSE)=0,"",IF(HLOOKUP(SMALL($Q$4:$Y$4,3),$Q$4:$Y$501,ROW(AP280)-3,FALSE)="nee",VLOOKUP("De kwaliteitseis emissiearme grond (maximale concentratie) wordt overschreden.",H!$O$10:'H'!$P$59,2,FALSE),""))),"")</f>
        <v/>
      </c>
      <c r="AV280" s="6" t="str">
        <f t="shared" si="89"/>
        <v>--</v>
      </c>
      <c r="AW280" s="6" t="str">
        <f t="shared" si="90"/>
        <v/>
      </c>
      <c r="AX280" s="6" t="str">
        <f t="shared" si="91"/>
        <v>--</v>
      </c>
      <c r="AY280" s="6" t="str">
        <f t="shared" si="100"/>
        <v/>
      </c>
      <c r="AZ280" s="6" t="str">
        <f t="shared" si="101"/>
        <v/>
      </c>
      <c r="BA280" s="6" t="str">
        <f>IFERROR(IF(AR280="--","",IF(HLOOKUP(SMALL($Q$4:$Y$4,6),$Q$4:$Y$501,ROW(AP280)-3,FALSE)=0,"",IF(HLOOKUP(SMALL($Q$4:$Y$4,6),$Q$4:$Y$501,ROW(AP280)-3,FALSE)="nee",VLOOKUP("De kwaliteitseis emissiearme grond (maximale concentratie) wordt overschreden.",H!$O$10:'H'!$P$59,2,FALSE),""))),"")</f>
        <v/>
      </c>
      <c r="BB280" s="6" t="str">
        <f t="shared" si="92"/>
        <v>--</v>
      </c>
      <c r="BC280" s="6" t="str">
        <f t="shared" si="93"/>
        <v/>
      </c>
      <c r="BD280" s="6" t="str">
        <f t="shared" si="94"/>
        <v>--</v>
      </c>
      <c r="BE280" s="6" t="str">
        <f t="shared" si="102"/>
        <v/>
      </c>
      <c r="BF280" s="6"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6" t="str">
        <f>IF(ISNUMBER(F!E281)=FALSE,"--",IF(F!E281=0,"--",F!E281))</f>
        <v>--</v>
      </c>
      <c r="C281" s="6" t="str">
        <f>IF(B281="--","",F!F281)</f>
        <v/>
      </c>
      <c r="D281" s="6" t="str">
        <f>IF(ISNUMBER(F!G281)=FALSE,"--",IF(F!G281=0,"--",F!G281))</f>
        <v>--</v>
      </c>
      <c r="E281" s="6" t="str">
        <f>IF(D281="--","",F!H281)</f>
        <v/>
      </c>
      <c r="F281" s="6" t="str">
        <f>IF(ISNUMBER(F!I281)=FALSE,"--",IF(F!I281=0,"--",F!I281))</f>
        <v>--</v>
      </c>
      <c r="G281" s="6" t="str">
        <f>IF(F281="--","",F!J281)</f>
        <v/>
      </c>
      <c r="H281" s="6"/>
      <c r="I281" s="6" t="str">
        <f>IF(F!Z281=-1,-1,F!AV281)</f>
        <v/>
      </c>
      <c r="J281" s="6"/>
      <c r="K281" s="6" t="str">
        <f>IF(F!AC281=-1,-1,F!AX281)</f>
        <v/>
      </c>
      <c r="L281" s="6"/>
      <c r="M281" s="6" t="str">
        <f>IF(F!AF281=-1,-1,F!AZ281)</f>
        <v/>
      </c>
      <c r="N281" s="6"/>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6" t="str">
        <f t="shared" si="109"/>
        <v/>
      </c>
      <c r="R281" s="5" t="str">
        <f>IF($B281="--","",IF($P281="toetsen",toetsen(F!$B281,Q281),IF($P281="toetsen alleen IW",toetsen_alleen_IW(F!$B281,Q281),IF($P281="toetsen alleen LN",toetsen_alleen_LN(F!$B281,Q281),IF($P281="toetsen geen MV en SV",toetsen_geen_MV_en_SV(F!$B281,Q281),IF($P281="toetsen alleen MV en SV",toetsen_alleen_MV_en_SV(F!$B281,Q281),""))))))</f>
        <v/>
      </c>
      <c r="S281" s="5" t="str">
        <f>IF($P281="toetsen",IF(OR(Q281="",VLOOKUP(F!$B281,E!$B$1:$AK$300,10,FALSE)=1000000000),"",IF(Q281&lt;=VLOOKUP(F!$B281,E!$B$1:$AK$300,10,FALSE),"ja","nee")),"")</f>
        <v/>
      </c>
      <c r="T281" s="87" t="str">
        <f t="shared" si="104"/>
        <v/>
      </c>
      <c r="U281" s="5" t="str">
        <f>IF($D281="--","",IF($P281="toetsen",toetsen(F!$B281,T281),IF($P281="toetsen alleen IW",toetsen_alleen_IW(F!$B281,T281),IF($P281="toetsen alleen LN",toetsen_alleen_LN(F!$B281,T281),IF($P281="toetsen geen MV en SV",toetsen_geen_MV_en_SV(F!$B281,T281),IF($P281="toetsen alleen MV en SV",toetsen_alleen_MV_en_SV(F!$B281,T281),""))))))</f>
        <v/>
      </c>
      <c r="V281" s="5" t="str">
        <f>IF($P281="toetsen",IF(OR(T281="",VLOOKUP(F!$B281,E!$B$1:$AK$300,10,FALSE)=1000000000),"",IF(T281&lt;=VLOOKUP(F!$B281,E!$B$1:$AK$300,10,FALSE),"ja","nee")),"")</f>
        <v/>
      </c>
      <c r="W281" s="6" t="str">
        <f t="shared" si="105"/>
        <v/>
      </c>
      <c r="X281" s="5" t="str">
        <f>IF($F281="--","",IF($P281="toetsen",toetsen(F!$B281,W281),IF($P281="toetsen alleen IW",toetsen_alleen_IW(F!$B281,W281),IF($P281="toetsen alleen LN",toetsen_alleen_LN(F!$B281,W281),IF($P281="toetsen geen MV en SV",toetsen_geen_MV_en_SV(F!$B281,W281),IF($P281="toetsen alleen MV en SV",toetsen_alleen_MV_en_SV(F!$B281,W281),""))))))</f>
        <v/>
      </c>
      <c r="Y281" s="5" t="str">
        <f>IF($P281="toetsen",IF(OR(W281="",VLOOKUP(F!$B281,E!$B$1:$AK$300,10,FALSE)=1000000000),"",IF(W281&lt;=VLOOKUP(F!$B281,E!$B$1:$AK$300,10,FALSE),"ja","nee")),"")</f>
        <v/>
      </c>
      <c r="AA281" s="4"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6" t="str">
        <f t="shared" si="106"/>
        <v>--</v>
      </c>
      <c r="AJ281" s="6"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6" t="str">
        <f t="shared" si="107"/>
        <v>--</v>
      </c>
      <c r="AL281" s="6"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6" t="str">
        <f t="shared" si="108"/>
        <v>--</v>
      </c>
      <c r="AN281" s="6"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6" t="str">
        <f t="shared" si="95"/>
        <v>--</v>
      </c>
      <c r="AQ281" s="6" t="str">
        <f t="shared" si="96"/>
        <v/>
      </c>
      <c r="AR281" s="6" t="str">
        <f t="shared" si="97"/>
        <v>--</v>
      </c>
      <c r="AS281" s="6" t="str">
        <f t="shared" si="98"/>
        <v/>
      </c>
      <c r="AT281" s="6" t="str">
        <f t="shared" si="99"/>
        <v/>
      </c>
      <c r="AU281" s="6" t="str">
        <f>IFERROR(IF(AR281="--","",IF(HLOOKUP(SMALL($Q$4:$Y$4,3),$Q$4:$Y$501,ROW(AP281)-3,FALSE)=0,"",IF(HLOOKUP(SMALL($Q$4:$Y$4,3),$Q$4:$Y$501,ROW(AP281)-3,FALSE)="nee",VLOOKUP("De kwaliteitseis emissiearme grond (maximale concentratie) wordt overschreden.",H!$O$10:'H'!$P$59,2,FALSE),""))),"")</f>
        <v/>
      </c>
      <c r="AV281" s="6" t="str">
        <f t="shared" si="89"/>
        <v>--</v>
      </c>
      <c r="AW281" s="6" t="str">
        <f t="shared" si="90"/>
        <v/>
      </c>
      <c r="AX281" s="6" t="str">
        <f t="shared" si="91"/>
        <v>--</v>
      </c>
      <c r="AY281" s="6" t="str">
        <f t="shared" si="100"/>
        <v/>
      </c>
      <c r="AZ281" s="6" t="str">
        <f t="shared" si="101"/>
        <v/>
      </c>
      <c r="BA281" s="6" t="str">
        <f>IFERROR(IF(AR281="--","",IF(HLOOKUP(SMALL($Q$4:$Y$4,6),$Q$4:$Y$501,ROW(AP281)-3,FALSE)=0,"",IF(HLOOKUP(SMALL($Q$4:$Y$4,6),$Q$4:$Y$501,ROW(AP281)-3,FALSE)="nee",VLOOKUP("De kwaliteitseis emissiearme grond (maximale concentratie) wordt overschreden.",H!$O$10:'H'!$P$59,2,FALSE),""))),"")</f>
        <v/>
      </c>
      <c r="BB281" s="6" t="str">
        <f t="shared" si="92"/>
        <v>--</v>
      </c>
      <c r="BC281" s="6" t="str">
        <f t="shared" si="93"/>
        <v/>
      </c>
      <c r="BD281" s="6" t="str">
        <f t="shared" si="94"/>
        <v>--</v>
      </c>
      <c r="BE281" s="6" t="str">
        <f t="shared" si="102"/>
        <v/>
      </c>
      <c r="BF281" s="6"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6" t="str">
        <f>IF(ISNUMBER(F!E282)=FALSE,"--",IF(F!E282=0,"--",F!E282))</f>
        <v>--</v>
      </c>
      <c r="C282" s="6" t="str">
        <f>IF(B282="--","",F!F282)</f>
        <v/>
      </c>
      <c r="D282" s="6" t="str">
        <f>IF(ISNUMBER(F!G282)=FALSE,"--",IF(F!G282=0,"--",F!G282))</f>
        <v>--</v>
      </c>
      <c r="E282" s="6" t="str">
        <f>IF(D282="--","",F!H282)</f>
        <v/>
      </c>
      <c r="F282" s="6" t="str">
        <f>IF(ISNUMBER(F!I282)=FALSE,"--",IF(F!I282=0,"--",F!I282))</f>
        <v>--</v>
      </c>
      <c r="G282" s="6" t="str">
        <f>IF(F282="--","",F!J282)</f>
        <v/>
      </c>
      <c r="H282" s="6"/>
      <c r="I282" s="6" t="str">
        <f>IF(F!Z282=-1,-1,F!AV282)</f>
        <v/>
      </c>
      <c r="J282" s="6"/>
      <c r="K282" s="6" t="str">
        <f>IF(F!AC282=-1,-1,F!AX282)</f>
        <v/>
      </c>
      <c r="L282" s="6"/>
      <c r="M282" s="6" t="str">
        <f>IF(F!AF282=-1,-1,F!AZ282)</f>
        <v/>
      </c>
      <c r="N282" s="6"/>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6" t="str">
        <f t="shared" si="109"/>
        <v/>
      </c>
      <c r="R282" s="5" t="str">
        <f>IF($B282="--","",IF($P282="toetsen",toetsen(F!$B282,Q282),IF($P282="toetsen alleen IW",toetsen_alleen_IW(F!$B282,Q282),IF($P282="toetsen alleen LN",toetsen_alleen_LN(F!$B282,Q282),IF($P282="toetsen geen MV en SV",toetsen_geen_MV_en_SV(F!$B282,Q282),IF($P282="toetsen alleen MV en SV",toetsen_alleen_MV_en_SV(F!$B282,Q282),""))))))</f>
        <v/>
      </c>
      <c r="S282" s="5" t="str">
        <f>IF($P282="toetsen",IF(OR(Q282="",VLOOKUP(F!$B282,E!$B$1:$AK$300,10,FALSE)=1000000000),"",IF(Q282&lt;=VLOOKUP(F!$B282,E!$B$1:$AK$300,10,FALSE),"ja","nee")),"")</f>
        <v/>
      </c>
      <c r="T282" s="87" t="str">
        <f t="shared" si="104"/>
        <v/>
      </c>
      <c r="U282" s="5" t="str">
        <f>IF($D282="--","",IF($P282="toetsen",toetsen(F!$B282,T282),IF($P282="toetsen alleen IW",toetsen_alleen_IW(F!$B282,T282),IF($P282="toetsen alleen LN",toetsen_alleen_LN(F!$B282,T282),IF($P282="toetsen geen MV en SV",toetsen_geen_MV_en_SV(F!$B282,T282),IF($P282="toetsen alleen MV en SV",toetsen_alleen_MV_en_SV(F!$B282,T282),""))))))</f>
        <v/>
      </c>
      <c r="V282" s="5" t="str">
        <f>IF($P282="toetsen",IF(OR(T282="",VLOOKUP(F!$B282,E!$B$1:$AK$300,10,FALSE)=1000000000),"",IF(T282&lt;=VLOOKUP(F!$B282,E!$B$1:$AK$300,10,FALSE),"ja","nee")),"")</f>
        <v/>
      </c>
      <c r="W282" s="6" t="str">
        <f t="shared" si="105"/>
        <v/>
      </c>
      <c r="X282" s="5" t="str">
        <f>IF($F282="--","",IF($P282="toetsen",toetsen(F!$B282,W282),IF($P282="toetsen alleen IW",toetsen_alleen_IW(F!$B282,W282),IF($P282="toetsen alleen LN",toetsen_alleen_LN(F!$B282,W282),IF($P282="toetsen geen MV en SV",toetsen_geen_MV_en_SV(F!$B282,W282),IF($P282="toetsen alleen MV en SV",toetsen_alleen_MV_en_SV(F!$B282,W282),""))))))</f>
        <v/>
      </c>
      <c r="Y282" s="5" t="str">
        <f>IF($P282="toetsen",IF(OR(W282="",VLOOKUP(F!$B282,E!$B$1:$AK$300,10,FALSE)=1000000000),"",IF(W282&lt;=VLOOKUP(F!$B282,E!$B$1:$AK$300,10,FALSE),"ja","nee")),"")</f>
        <v/>
      </c>
      <c r="AA282" s="4"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6" t="str">
        <f t="shared" si="106"/>
        <v>--</v>
      </c>
      <c r="AJ282" s="6"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6" t="str">
        <f t="shared" si="107"/>
        <v>--</v>
      </c>
      <c r="AL282" s="6"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6" t="str">
        <f t="shared" si="108"/>
        <v>--</v>
      </c>
      <c r="AN282" s="6"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6" t="str">
        <f t="shared" si="95"/>
        <v>--</v>
      </c>
      <c r="AQ282" s="6" t="str">
        <f t="shared" si="96"/>
        <v/>
      </c>
      <c r="AR282" s="6" t="str">
        <f t="shared" si="97"/>
        <v>--</v>
      </c>
      <c r="AS282" s="6" t="str">
        <f t="shared" si="98"/>
        <v/>
      </c>
      <c r="AT282" s="6" t="str">
        <f t="shared" si="99"/>
        <v/>
      </c>
      <c r="AU282" s="6" t="str">
        <f>IFERROR(IF(AR282="--","",IF(HLOOKUP(SMALL($Q$4:$Y$4,3),$Q$4:$Y$501,ROW(AP282)-3,FALSE)=0,"",IF(HLOOKUP(SMALL($Q$4:$Y$4,3),$Q$4:$Y$501,ROW(AP282)-3,FALSE)="nee",VLOOKUP("De kwaliteitseis emissiearme grond (maximale concentratie) wordt overschreden.",H!$O$10:'H'!$P$59,2,FALSE),""))),"")</f>
        <v/>
      </c>
      <c r="AV282" s="6" t="str">
        <f t="shared" si="89"/>
        <v>--</v>
      </c>
      <c r="AW282" s="6" t="str">
        <f t="shared" si="90"/>
        <v/>
      </c>
      <c r="AX282" s="6" t="str">
        <f t="shared" si="91"/>
        <v>--</v>
      </c>
      <c r="AY282" s="6" t="str">
        <f t="shared" si="100"/>
        <v/>
      </c>
      <c r="AZ282" s="6" t="str">
        <f t="shared" si="101"/>
        <v/>
      </c>
      <c r="BA282" s="6" t="str">
        <f>IFERROR(IF(AR282="--","",IF(HLOOKUP(SMALL($Q$4:$Y$4,6),$Q$4:$Y$501,ROW(AP282)-3,FALSE)=0,"",IF(HLOOKUP(SMALL($Q$4:$Y$4,6),$Q$4:$Y$501,ROW(AP282)-3,FALSE)="nee",VLOOKUP("De kwaliteitseis emissiearme grond (maximale concentratie) wordt overschreden.",H!$O$10:'H'!$P$59,2,FALSE),""))),"")</f>
        <v/>
      </c>
      <c r="BB282" s="6" t="str">
        <f t="shared" si="92"/>
        <v>--</v>
      </c>
      <c r="BC282" s="6" t="str">
        <f t="shared" si="93"/>
        <v/>
      </c>
      <c r="BD282" s="6" t="str">
        <f t="shared" si="94"/>
        <v>--</v>
      </c>
      <c r="BE282" s="6" t="str">
        <f t="shared" si="102"/>
        <v/>
      </c>
      <c r="BF282" s="6"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6" t="str">
        <f>IF(ISNUMBER(F!E283)=FALSE,"--",IF(F!E283=0,"--",F!E283))</f>
        <v>--</v>
      </c>
      <c r="C283" s="6" t="str">
        <f>IF(B283="--","",F!F283)</f>
        <v/>
      </c>
      <c r="D283" s="6" t="str">
        <f>IF(ISNUMBER(F!G283)=FALSE,"--",IF(F!G283=0,"--",F!G283))</f>
        <v>--</v>
      </c>
      <c r="E283" s="6" t="str">
        <f>IF(D283="--","",F!H283)</f>
        <v/>
      </c>
      <c r="F283" s="6" t="str">
        <f>IF(ISNUMBER(F!I283)=FALSE,"--",IF(F!I283=0,"--",F!I283))</f>
        <v>--</v>
      </c>
      <c r="G283" s="6" t="str">
        <f>IF(F283="--","",F!J283)</f>
        <v/>
      </c>
      <c r="H283" s="6"/>
      <c r="I283" s="6">
        <f>IF(F!Z283=-1,-1,F!AV283)</f>
        <v>0</v>
      </c>
      <c r="J283" s="6"/>
      <c r="K283" s="6">
        <f>IF(F!AC283=-1,-1,F!AX283)</f>
        <v>0</v>
      </c>
      <c r="L283" s="6"/>
      <c r="M283" s="6">
        <f>IF(F!AF283=-1,-1,F!AZ283)</f>
        <v>0</v>
      </c>
      <c r="N283" s="6"/>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6">
        <f t="shared" si="109"/>
        <v>0</v>
      </c>
      <c r="R283" s="5" t="str">
        <f>IF($B283="--","",IF($P283="toetsen",toetsen(F!$B283,Q283),IF($P283="toetsen alleen IW",toetsen_alleen_IW(F!$B283,Q283),IF($P283="toetsen alleen LN",toetsen_alleen_LN(F!$B283,Q283),IF($P283="toetsen geen MV en SV",toetsen_geen_MV_en_SV(F!$B283,Q283),IF($P283="toetsen alleen MV en SV",toetsen_alleen_MV_en_SV(F!$B283,Q283),""))))))</f>
        <v/>
      </c>
      <c r="S283" s="5" t="str">
        <f>IF($P283="toetsen",IF(OR(Q283="",VLOOKUP(F!$B283,E!$B$1:$AK$300,10,FALSE)=1000000000),"",IF(Q283&lt;=VLOOKUP(F!$B283,E!$B$1:$AK$300,10,FALSE),"ja","nee")),"")</f>
        <v/>
      </c>
      <c r="T283" s="87">
        <f t="shared" si="104"/>
        <v>0</v>
      </c>
      <c r="U283" s="5" t="str">
        <f>IF($D283="--","",IF($P283="toetsen",toetsen(F!$B283,T283),IF($P283="toetsen alleen IW",toetsen_alleen_IW(F!$B283,T283),IF($P283="toetsen alleen LN",toetsen_alleen_LN(F!$B283,T283),IF($P283="toetsen geen MV en SV",toetsen_geen_MV_en_SV(F!$B283,T283),IF($P283="toetsen alleen MV en SV",toetsen_alleen_MV_en_SV(F!$B283,T283),""))))))</f>
        <v/>
      </c>
      <c r="V283" s="5" t="str">
        <f>IF($P283="toetsen",IF(OR(T283="",VLOOKUP(F!$B283,E!$B$1:$AK$300,10,FALSE)=1000000000),"",IF(T283&lt;=VLOOKUP(F!$B283,E!$B$1:$AK$300,10,FALSE),"ja","nee")),"")</f>
        <v/>
      </c>
      <c r="W283" s="6">
        <f t="shared" si="105"/>
        <v>0</v>
      </c>
      <c r="X283" s="5" t="str">
        <f>IF($F283="--","",IF($P283="toetsen",toetsen(F!$B283,W283),IF($P283="toetsen alleen IW",toetsen_alleen_IW(F!$B283,W283),IF($P283="toetsen alleen LN",toetsen_alleen_LN(F!$B283,W283),IF($P283="toetsen geen MV en SV",toetsen_geen_MV_en_SV(F!$B283,W283),IF($P283="toetsen alleen MV en SV",toetsen_alleen_MV_en_SV(F!$B283,W283),""))))))</f>
        <v/>
      </c>
      <c r="Y283" s="5" t="str">
        <f>IF($P283="toetsen",IF(OR(W283="",VLOOKUP(F!$B283,E!$B$1:$AK$300,10,FALSE)=1000000000),"",IF(W283&lt;=VLOOKUP(F!$B283,E!$B$1:$AK$300,10,FALSE),"ja","nee")),"")</f>
        <v/>
      </c>
      <c r="AA283" s="4"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6" t="str">
        <f t="shared" si="106"/>
        <v>--</v>
      </c>
      <c r="AJ283" s="6"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6" t="str">
        <f t="shared" si="107"/>
        <v>--</v>
      </c>
      <c r="AL283" s="6"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6" t="str">
        <f t="shared" si="108"/>
        <v>--</v>
      </c>
      <c r="AN283" s="6"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6" t="str">
        <f t="shared" si="95"/>
        <v>--</v>
      </c>
      <c r="AQ283" s="6" t="str">
        <f t="shared" si="96"/>
        <v/>
      </c>
      <c r="AR283" s="6" t="str">
        <f t="shared" si="97"/>
        <v>--</v>
      </c>
      <c r="AS283" s="6" t="str">
        <f t="shared" si="98"/>
        <v/>
      </c>
      <c r="AT283" s="6" t="str">
        <f t="shared" si="99"/>
        <v/>
      </c>
      <c r="AU283" s="6" t="str">
        <f>IFERROR(IF(AR283="--","",IF(HLOOKUP(SMALL($Q$4:$Y$4,3),$Q$4:$Y$501,ROW(AP283)-3,FALSE)=0,"",IF(HLOOKUP(SMALL($Q$4:$Y$4,3),$Q$4:$Y$501,ROW(AP283)-3,FALSE)="nee",VLOOKUP("De kwaliteitseis emissiearme grond (maximale concentratie) wordt overschreden.",H!$O$10:'H'!$P$59,2,FALSE),""))),"")</f>
        <v/>
      </c>
      <c r="AV283" s="6" t="str">
        <f t="shared" si="89"/>
        <v>--</v>
      </c>
      <c r="AW283" s="6" t="str">
        <f t="shared" si="90"/>
        <v/>
      </c>
      <c r="AX283" s="6" t="str">
        <f t="shared" si="91"/>
        <v>--</v>
      </c>
      <c r="AY283" s="6" t="str">
        <f t="shared" si="100"/>
        <v/>
      </c>
      <c r="AZ283" s="6" t="str">
        <f t="shared" si="101"/>
        <v/>
      </c>
      <c r="BA283" s="6" t="str">
        <f>IFERROR(IF(AR283="--","",IF(HLOOKUP(SMALL($Q$4:$Y$4,6),$Q$4:$Y$501,ROW(AP283)-3,FALSE)=0,"",IF(HLOOKUP(SMALL($Q$4:$Y$4,6),$Q$4:$Y$501,ROW(AP283)-3,FALSE)="nee",VLOOKUP("De kwaliteitseis emissiearme grond (maximale concentratie) wordt overschreden.",H!$O$10:'H'!$P$59,2,FALSE),""))),"")</f>
        <v/>
      </c>
      <c r="BB283" s="6" t="str">
        <f t="shared" si="92"/>
        <v>--</v>
      </c>
      <c r="BC283" s="6" t="str">
        <f t="shared" si="93"/>
        <v/>
      </c>
      <c r="BD283" s="6" t="str">
        <f t="shared" si="94"/>
        <v>--</v>
      </c>
      <c r="BE283" s="6" t="str">
        <f t="shared" si="102"/>
        <v/>
      </c>
      <c r="BF283" s="6"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6" t="str">
        <f>IF(ISNUMBER(F!E284)=FALSE,"--",IF(F!E284=0,"--",F!E284))</f>
        <v>--</v>
      </c>
      <c r="C284" s="6" t="str">
        <f>IF(B284="--","",F!F284)</f>
        <v/>
      </c>
      <c r="D284" s="6" t="str">
        <f>IF(ISNUMBER(F!G284)=FALSE,"--",IF(F!G284=0,"--",F!G284))</f>
        <v>--</v>
      </c>
      <c r="E284" s="6" t="str">
        <f>IF(D284="--","",F!H284)</f>
        <v/>
      </c>
      <c r="F284" s="6" t="str">
        <f>IF(ISNUMBER(F!I284)=FALSE,"--",IF(F!I284=0,"--",F!I284))</f>
        <v>--</v>
      </c>
      <c r="G284" s="6" t="str">
        <f>IF(F284="--","",F!J284)</f>
        <v/>
      </c>
      <c r="H284" s="6"/>
      <c r="I284" s="6">
        <f>IF(F!Z284=-1,-1,F!AV284)</f>
        <v>0</v>
      </c>
      <c r="J284" s="6"/>
      <c r="K284" s="6">
        <f>IF(F!AC284=-1,-1,F!AX284)</f>
        <v>0</v>
      </c>
      <c r="L284" s="6"/>
      <c r="M284" s="6">
        <f>IF(F!AF284=-1,-1,F!AZ284)</f>
        <v>0</v>
      </c>
      <c r="N284" s="6"/>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6">
        <f t="shared" si="109"/>
        <v>0</v>
      </c>
      <c r="R284" s="5" t="str">
        <f>IF($B284="--","",IF($P284="toetsen",toetsen(F!$B284,Q284),IF($P284="toetsen alleen IW",toetsen_alleen_IW(F!$B284,Q284),IF($P284="toetsen alleen LN",toetsen_alleen_LN(F!$B284,Q284),IF($P284="toetsen geen MV en SV",toetsen_geen_MV_en_SV(F!$B284,Q284),IF($P284="toetsen alleen MV en SV",toetsen_alleen_MV_en_SV(F!$B284,Q284),""))))))</f>
        <v/>
      </c>
      <c r="S284" s="5" t="str">
        <f>IF($P284="toetsen",IF(OR(Q284="",VLOOKUP(F!$B284,E!$B$1:$AK$300,10,FALSE)=1000000000),"",IF(Q284&lt;=VLOOKUP(F!$B284,E!$B$1:$AK$300,10,FALSE),"ja","nee")),"")</f>
        <v/>
      </c>
      <c r="T284" s="87">
        <f t="shared" si="104"/>
        <v>0</v>
      </c>
      <c r="U284" s="5" t="str">
        <f>IF($D284="--","",IF($P284="toetsen",toetsen(F!$B284,T284),IF($P284="toetsen alleen IW",toetsen_alleen_IW(F!$B284,T284),IF($P284="toetsen alleen LN",toetsen_alleen_LN(F!$B284,T284),IF($P284="toetsen geen MV en SV",toetsen_geen_MV_en_SV(F!$B284,T284),IF($P284="toetsen alleen MV en SV",toetsen_alleen_MV_en_SV(F!$B284,T284),""))))))</f>
        <v/>
      </c>
      <c r="V284" s="5" t="str">
        <f>IF($P284="toetsen",IF(OR(T284="",VLOOKUP(F!$B284,E!$B$1:$AK$300,10,FALSE)=1000000000),"",IF(T284&lt;=VLOOKUP(F!$B284,E!$B$1:$AK$300,10,FALSE),"ja","nee")),"")</f>
        <v/>
      </c>
      <c r="W284" s="6">
        <f t="shared" si="105"/>
        <v>0</v>
      </c>
      <c r="X284" s="5" t="str">
        <f>IF($F284="--","",IF($P284="toetsen",toetsen(F!$B284,W284),IF($P284="toetsen alleen IW",toetsen_alleen_IW(F!$B284,W284),IF($P284="toetsen alleen LN",toetsen_alleen_LN(F!$B284,W284),IF($P284="toetsen geen MV en SV",toetsen_geen_MV_en_SV(F!$B284,W284),IF($P284="toetsen alleen MV en SV",toetsen_alleen_MV_en_SV(F!$B284,W284),""))))))</f>
        <v/>
      </c>
      <c r="Y284" s="5" t="str">
        <f>IF($P284="toetsen",IF(OR(W284="",VLOOKUP(F!$B284,E!$B$1:$AK$300,10,FALSE)=1000000000),"",IF(W284&lt;=VLOOKUP(F!$B284,E!$B$1:$AK$300,10,FALSE),"ja","nee")),"")</f>
        <v/>
      </c>
      <c r="AA284" s="4"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6" t="str">
        <f t="shared" si="106"/>
        <v>--</v>
      </c>
      <c r="AJ284" s="6"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6" t="str">
        <f t="shared" si="107"/>
        <v>--</v>
      </c>
      <c r="AL284" s="6"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6" t="str">
        <f t="shared" si="108"/>
        <v>--</v>
      </c>
      <c r="AN284" s="6"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6" t="str">
        <f t="shared" si="95"/>
        <v>--</v>
      </c>
      <c r="AQ284" s="6" t="str">
        <f t="shared" si="96"/>
        <v/>
      </c>
      <c r="AR284" s="6" t="str">
        <f t="shared" si="97"/>
        <v>--</v>
      </c>
      <c r="AS284" s="6" t="str">
        <f t="shared" si="98"/>
        <v/>
      </c>
      <c r="AT284" s="6" t="str">
        <f t="shared" si="99"/>
        <v/>
      </c>
      <c r="AU284" s="6" t="str">
        <f>IFERROR(IF(AR284="--","",IF(HLOOKUP(SMALL($Q$4:$Y$4,3),$Q$4:$Y$501,ROW(AP284)-3,FALSE)=0,"",IF(HLOOKUP(SMALL($Q$4:$Y$4,3),$Q$4:$Y$501,ROW(AP284)-3,FALSE)="nee",VLOOKUP("De kwaliteitseis emissiearme grond (maximale concentratie) wordt overschreden.",H!$O$10:'H'!$P$59,2,FALSE),""))),"")</f>
        <v/>
      </c>
      <c r="AV284" s="6" t="str">
        <f t="shared" si="89"/>
        <v>--</v>
      </c>
      <c r="AW284" s="6" t="str">
        <f t="shared" si="90"/>
        <v/>
      </c>
      <c r="AX284" s="6" t="str">
        <f t="shared" si="91"/>
        <v>--</v>
      </c>
      <c r="AY284" s="6" t="str">
        <f t="shared" si="100"/>
        <v/>
      </c>
      <c r="AZ284" s="6" t="str">
        <f t="shared" si="101"/>
        <v/>
      </c>
      <c r="BA284" s="6" t="str">
        <f>IFERROR(IF(AR284="--","",IF(HLOOKUP(SMALL($Q$4:$Y$4,6),$Q$4:$Y$501,ROW(AP284)-3,FALSE)=0,"",IF(HLOOKUP(SMALL($Q$4:$Y$4,6),$Q$4:$Y$501,ROW(AP284)-3,FALSE)="nee",VLOOKUP("De kwaliteitseis emissiearme grond (maximale concentratie) wordt overschreden.",H!$O$10:'H'!$P$59,2,FALSE),""))),"")</f>
        <v/>
      </c>
      <c r="BB284" s="6" t="str">
        <f t="shared" si="92"/>
        <v>--</v>
      </c>
      <c r="BC284" s="6" t="str">
        <f t="shared" si="93"/>
        <v/>
      </c>
      <c r="BD284" s="6" t="str">
        <f t="shared" si="94"/>
        <v>--</v>
      </c>
      <c r="BE284" s="6" t="str">
        <f t="shared" si="102"/>
        <v/>
      </c>
      <c r="BF284" s="6"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6" t="str">
        <f>IF(ISNUMBER(F!E285)=FALSE,"--",IF(F!E285=0,"--",F!E285))</f>
        <v>--</v>
      </c>
      <c r="C285" s="6" t="str">
        <f>IF(B285="--","",F!F285)</f>
        <v/>
      </c>
      <c r="D285" s="6" t="str">
        <f>IF(ISNUMBER(F!G285)=FALSE,"--",IF(F!G285=0,"--",F!G285))</f>
        <v>--</v>
      </c>
      <c r="E285" s="6" t="str">
        <f>IF(D285="--","",F!H285)</f>
        <v/>
      </c>
      <c r="F285" s="6" t="str">
        <f>IF(ISNUMBER(F!I285)=FALSE,"--",IF(F!I285=0,"--",F!I285))</f>
        <v>--</v>
      </c>
      <c r="G285" s="6" t="str">
        <f>IF(F285="--","",F!J285)</f>
        <v/>
      </c>
      <c r="H285" s="6"/>
      <c r="I285" s="6" t="str">
        <f>IF(F!Z285=-1,-1,F!AV285)</f>
        <v/>
      </c>
      <c r="J285" s="6"/>
      <c r="K285" s="6" t="str">
        <f>IF(F!AC285=-1,-1,F!AX285)</f>
        <v/>
      </c>
      <c r="L285" s="6"/>
      <c r="M285" s="6" t="str">
        <f>IF(F!AF285=-1,-1,F!AZ285)</f>
        <v/>
      </c>
      <c r="N285" s="6"/>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6" t="str">
        <f t="shared" si="109"/>
        <v/>
      </c>
      <c r="R285" s="5" t="str">
        <f>IF($B285="--","",IF($P285="toetsen",toetsen(F!$B285,Q285),IF($P285="toetsen alleen IW",toetsen_alleen_IW(F!$B285,Q285),IF($P285="toetsen alleen LN",toetsen_alleen_LN(F!$B285,Q285),IF($P285="toetsen geen MV en SV",toetsen_geen_MV_en_SV(F!$B285,Q285),IF($P285="toetsen alleen MV en SV",toetsen_alleen_MV_en_SV(F!$B285,Q285),""))))))</f>
        <v/>
      </c>
      <c r="S285" s="5" t="str">
        <f>IF($P285="toetsen",IF(OR(Q285="",VLOOKUP(F!$B285,E!$B$1:$AK$300,10,FALSE)=1000000000),"",IF(Q285&lt;=VLOOKUP(F!$B285,E!$B$1:$AK$300,10,FALSE),"ja","nee")),"")</f>
        <v/>
      </c>
      <c r="T285" s="87" t="str">
        <f t="shared" si="104"/>
        <v/>
      </c>
      <c r="U285" s="5" t="str">
        <f>IF($D285="--","",IF($P285="toetsen",toetsen(F!$B285,T285),IF($P285="toetsen alleen IW",toetsen_alleen_IW(F!$B285,T285),IF($P285="toetsen alleen LN",toetsen_alleen_LN(F!$B285,T285),IF($P285="toetsen geen MV en SV",toetsen_geen_MV_en_SV(F!$B285,T285),IF($P285="toetsen alleen MV en SV",toetsen_alleen_MV_en_SV(F!$B285,T285),""))))))</f>
        <v/>
      </c>
      <c r="V285" s="5" t="str">
        <f>IF($P285="toetsen",IF(OR(T285="",VLOOKUP(F!$B285,E!$B$1:$AK$300,10,FALSE)=1000000000),"",IF(T285&lt;=VLOOKUP(F!$B285,E!$B$1:$AK$300,10,FALSE),"ja","nee")),"")</f>
        <v/>
      </c>
      <c r="W285" s="6" t="str">
        <f t="shared" si="105"/>
        <v/>
      </c>
      <c r="X285" s="5" t="str">
        <f>IF($F285="--","",IF($P285="toetsen",toetsen(F!$B285,W285),IF($P285="toetsen alleen IW",toetsen_alleen_IW(F!$B285,W285),IF($P285="toetsen alleen LN",toetsen_alleen_LN(F!$B285,W285),IF($P285="toetsen geen MV en SV",toetsen_geen_MV_en_SV(F!$B285,W285),IF($P285="toetsen alleen MV en SV",toetsen_alleen_MV_en_SV(F!$B285,W285),""))))))</f>
        <v/>
      </c>
      <c r="Y285" s="5" t="str">
        <f>IF($P285="toetsen",IF(OR(W285="",VLOOKUP(F!$B285,E!$B$1:$AK$300,10,FALSE)=1000000000),"",IF(W285&lt;=VLOOKUP(F!$B285,E!$B$1:$AK$300,10,FALSE),"ja","nee")),"")</f>
        <v/>
      </c>
      <c r="AA285" s="4"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6" t="str">
        <f t="shared" si="106"/>
        <v>--</v>
      </c>
      <c r="AJ285" s="6"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6" t="str">
        <f t="shared" si="107"/>
        <v>--</v>
      </c>
      <c r="AL285" s="6"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6" t="str">
        <f t="shared" si="108"/>
        <v>--</v>
      </c>
      <c r="AN285" s="6"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6" t="str">
        <f t="shared" si="95"/>
        <v>--</v>
      </c>
      <c r="AQ285" s="6" t="str">
        <f t="shared" si="96"/>
        <v/>
      </c>
      <c r="AR285" s="6" t="str">
        <f t="shared" si="97"/>
        <v>--</v>
      </c>
      <c r="AS285" s="6" t="str">
        <f t="shared" si="98"/>
        <v/>
      </c>
      <c r="AT285" s="6" t="str">
        <f t="shared" si="99"/>
        <v/>
      </c>
      <c r="AU285" s="6" t="str">
        <f>IFERROR(IF(AR285="--","",IF(HLOOKUP(SMALL($Q$4:$Y$4,3),$Q$4:$Y$501,ROW(AP285)-3,FALSE)=0,"",IF(HLOOKUP(SMALL($Q$4:$Y$4,3),$Q$4:$Y$501,ROW(AP285)-3,FALSE)="nee",VLOOKUP("De kwaliteitseis emissiearme grond (maximale concentratie) wordt overschreden.",H!$O$10:'H'!$P$59,2,FALSE),""))),"")</f>
        <v/>
      </c>
      <c r="AV285" s="6" t="str">
        <f t="shared" si="89"/>
        <v>--</v>
      </c>
      <c r="AW285" s="6" t="str">
        <f t="shared" si="90"/>
        <v/>
      </c>
      <c r="AX285" s="6" t="str">
        <f t="shared" si="91"/>
        <v>--</v>
      </c>
      <c r="AY285" s="6" t="str">
        <f t="shared" si="100"/>
        <v/>
      </c>
      <c r="AZ285" s="6" t="str">
        <f t="shared" si="101"/>
        <v/>
      </c>
      <c r="BA285" s="6" t="str">
        <f>IFERROR(IF(AR285="--","",IF(HLOOKUP(SMALL($Q$4:$Y$4,6),$Q$4:$Y$501,ROW(AP285)-3,FALSE)=0,"",IF(HLOOKUP(SMALL($Q$4:$Y$4,6),$Q$4:$Y$501,ROW(AP285)-3,FALSE)="nee",VLOOKUP("De kwaliteitseis emissiearme grond (maximale concentratie) wordt overschreden.",H!$O$10:'H'!$P$59,2,FALSE),""))),"")</f>
        <v/>
      </c>
      <c r="BB285" s="6" t="str">
        <f t="shared" si="92"/>
        <v>--</v>
      </c>
      <c r="BC285" s="6" t="str">
        <f t="shared" si="93"/>
        <v/>
      </c>
      <c r="BD285" s="6" t="str">
        <f t="shared" si="94"/>
        <v>--</v>
      </c>
      <c r="BE285" s="6" t="str">
        <f t="shared" si="102"/>
        <v/>
      </c>
      <c r="BF285" s="6"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6" t="str">
        <f>IF(ISNUMBER(F!E286)=FALSE,"--",IF(F!E286=0,"--",F!E286))</f>
        <v>--</v>
      </c>
      <c r="C286" s="6" t="str">
        <f>IF(B286="--","",F!F286)</f>
        <v/>
      </c>
      <c r="D286" s="6" t="str">
        <f>IF(ISNUMBER(F!G286)=FALSE,"--",IF(F!G286=0,"--",F!G286))</f>
        <v>--</v>
      </c>
      <c r="E286" s="6" t="str">
        <f>IF(D286="--","",F!H286)</f>
        <v/>
      </c>
      <c r="F286" s="6" t="str">
        <f>IF(ISNUMBER(F!I286)=FALSE,"--",IF(F!I286=0,"--",F!I286))</f>
        <v>--</v>
      </c>
      <c r="G286" s="6" t="str">
        <f>IF(F286="--","",F!J286)</f>
        <v/>
      </c>
      <c r="H286" s="6"/>
      <c r="I286" s="6" t="str">
        <f>IF(F!Z286=-1,-1,F!AV286)</f>
        <v/>
      </c>
      <c r="J286" s="6"/>
      <c r="K286" s="6" t="str">
        <f>IF(F!AC286=-1,-1,F!AX286)</f>
        <v/>
      </c>
      <c r="L286" s="6"/>
      <c r="M286" s="6" t="str">
        <f>IF(F!AF286=-1,-1,F!AZ286)</f>
        <v/>
      </c>
      <c r="N286" s="6"/>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6" t="str">
        <f t="shared" si="109"/>
        <v/>
      </c>
      <c r="R286" s="5" t="str">
        <f>IF($B286="--","",IF($P286="toetsen",toetsen(F!$B286,Q286),IF($P286="toetsen alleen IW",toetsen_alleen_IW(F!$B286,Q286),IF($P286="toetsen alleen LN",toetsen_alleen_LN(F!$B286,Q286),IF($P286="toetsen geen MV en SV",toetsen_geen_MV_en_SV(F!$B286,Q286),IF($P286="toetsen alleen MV en SV",toetsen_alleen_MV_en_SV(F!$B286,Q286),""))))))</f>
        <v/>
      </c>
      <c r="S286" s="5" t="str">
        <f>IF($P286="toetsen",IF(OR(Q286="",VLOOKUP(F!$B286,E!$B$1:$AK$300,10,FALSE)=1000000000),"",IF(Q286&lt;=VLOOKUP(F!$B286,E!$B$1:$AK$300,10,FALSE),"ja","nee")),"")</f>
        <v/>
      </c>
      <c r="T286" s="87" t="str">
        <f t="shared" si="104"/>
        <v/>
      </c>
      <c r="U286" s="5" t="str">
        <f>IF($D286="--","",IF($P286="toetsen",toetsen(F!$B286,T286),IF($P286="toetsen alleen IW",toetsen_alleen_IW(F!$B286,T286),IF($P286="toetsen alleen LN",toetsen_alleen_LN(F!$B286,T286),IF($P286="toetsen geen MV en SV",toetsen_geen_MV_en_SV(F!$B286,T286),IF($P286="toetsen alleen MV en SV",toetsen_alleen_MV_en_SV(F!$B286,T286),""))))))</f>
        <v/>
      </c>
      <c r="V286" s="5" t="str">
        <f>IF($P286="toetsen",IF(OR(T286="",VLOOKUP(F!$B286,E!$B$1:$AK$300,10,FALSE)=1000000000),"",IF(T286&lt;=VLOOKUP(F!$B286,E!$B$1:$AK$300,10,FALSE),"ja","nee")),"")</f>
        <v/>
      </c>
      <c r="W286" s="6" t="str">
        <f t="shared" si="105"/>
        <v/>
      </c>
      <c r="X286" s="5" t="str">
        <f>IF($F286="--","",IF($P286="toetsen",toetsen(F!$B286,W286),IF($P286="toetsen alleen IW",toetsen_alleen_IW(F!$B286,W286),IF($P286="toetsen alleen LN",toetsen_alleen_LN(F!$B286,W286),IF($P286="toetsen geen MV en SV",toetsen_geen_MV_en_SV(F!$B286,W286),IF($P286="toetsen alleen MV en SV",toetsen_alleen_MV_en_SV(F!$B286,W286),""))))))</f>
        <v/>
      </c>
      <c r="Y286" s="5" t="str">
        <f>IF($P286="toetsen",IF(OR(W286="",VLOOKUP(F!$B286,E!$B$1:$AK$300,10,FALSE)=1000000000),"",IF(W286&lt;=VLOOKUP(F!$B286,E!$B$1:$AK$300,10,FALSE),"ja","nee")),"")</f>
        <v/>
      </c>
      <c r="AA286" s="4"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6" t="str">
        <f t="shared" si="106"/>
        <v>--</v>
      </c>
      <c r="AJ286" s="6"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6" t="str">
        <f t="shared" si="107"/>
        <v>--</v>
      </c>
      <c r="AL286" s="6"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6" t="str">
        <f t="shared" si="108"/>
        <v>--</v>
      </c>
      <c r="AN286" s="6"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6" t="str">
        <f t="shared" si="95"/>
        <v>--</v>
      </c>
      <c r="AQ286" s="6" t="str">
        <f t="shared" si="96"/>
        <v/>
      </c>
      <c r="AR286" s="6" t="str">
        <f t="shared" si="97"/>
        <v>--</v>
      </c>
      <c r="AS286" s="6" t="str">
        <f t="shared" si="98"/>
        <v/>
      </c>
      <c r="AT286" s="6" t="str">
        <f t="shared" si="99"/>
        <v/>
      </c>
      <c r="AU286" s="6" t="str">
        <f>IFERROR(IF(AR286="--","",IF(HLOOKUP(SMALL($Q$4:$Y$4,3),$Q$4:$Y$501,ROW(AP286)-3,FALSE)=0,"",IF(HLOOKUP(SMALL($Q$4:$Y$4,3),$Q$4:$Y$501,ROW(AP286)-3,FALSE)="nee",VLOOKUP("De kwaliteitseis emissiearme grond (maximale concentratie) wordt overschreden.",H!$O$10:'H'!$P$59,2,FALSE),""))),"")</f>
        <v/>
      </c>
      <c r="AV286" s="6" t="str">
        <f t="shared" si="89"/>
        <v>--</v>
      </c>
      <c r="AW286" s="6" t="str">
        <f t="shared" si="90"/>
        <v/>
      </c>
      <c r="AX286" s="6" t="str">
        <f t="shared" si="91"/>
        <v>--</v>
      </c>
      <c r="AY286" s="6" t="str">
        <f t="shared" si="100"/>
        <v/>
      </c>
      <c r="AZ286" s="6" t="str">
        <f t="shared" si="101"/>
        <v/>
      </c>
      <c r="BA286" s="6" t="str">
        <f>IFERROR(IF(AR286="--","",IF(HLOOKUP(SMALL($Q$4:$Y$4,6),$Q$4:$Y$501,ROW(AP286)-3,FALSE)=0,"",IF(HLOOKUP(SMALL($Q$4:$Y$4,6),$Q$4:$Y$501,ROW(AP286)-3,FALSE)="nee",VLOOKUP("De kwaliteitseis emissiearme grond (maximale concentratie) wordt overschreden.",H!$O$10:'H'!$P$59,2,FALSE),""))),"")</f>
        <v/>
      </c>
      <c r="BB286" s="6" t="str">
        <f t="shared" si="92"/>
        <v>--</v>
      </c>
      <c r="BC286" s="6" t="str">
        <f t="shared" si="93"/>
        <v/>
      </c>
      <c r="BD286" s="6" t="str">
        <f t="shared" si="94"/>
        <v>--</v>
      </c>
      <c r="BE286" s="6" t="str">
        <f t="shared" si="102"/>
        <v/>
      </c>
      <c r="BF286" s="6" t="str">
        <f t="shared" si="103"/>
        <v/>
      </c>
      <c r="BG286" s="4" t="str">
        <f>IFERROR(IF(AR286="--","",IF(HLOOKUP(SMALL($Q$4:$Y$4,9),$Q$4:$Y$501,ROW(AP286)-3,FALSE)=0,"",IF(HLOOKUP(SMALL($Q$4:$Y$4,9),$Q$4:$Y$501,ROW(AP286)-3,FALSE)="nee",VLOOKUP("De kwaliteitseis emissiearme grond (maximale concentratie) wordt overschreden.",H!$O$10:'H'!$P$59,2,FALSE),""))),"")</f>
        <v/>
      </c>
    </row>
    <row r="287" spans="1:59" x14ac:dyDescent="0.2">
      <c r="A287" s="4" t="str">
        <f>F!A287</f>
        <v>bis(2-Chloorethyl)ether</v>
      </c>
      <c r="B287" s="6" t="str">
        <f>IF(ISNUMBER(F!E287)=FALSE,"--",IF(F!E287=0,"--",F!E287))</f>
        <v>--</v>
      </c>
      <c r="C287" s="6" t="str">
        <f>IF(B287="--","",F!F287)</f>
        <v/>
      </c>
      <c r="D287" s="6" t="str">
        <f>IF(ISNUMBER(F!G287)=FALSE,"--",IF(F!G287=0,"--",F!G287))</f>
        <v>--</v>
      </c>
      <c r="E287" s="6" t="str">
        <f>IF(D287="--","",F!H287)</f>
        <v/>
      </c>
      <c r="F287" s="6" t="str">
        <f>IF(ISNUMBER(F!I287)=FALSE,"--",IF(F!I287=0,"--",F!I287))</f>
        <v>--</v>
      </c>
      <c r="G287" s="6" t="str">
        <f>IF(F287="--","",F!J287)</f>
        <v/>
      </c>
      <c r="H287" s="6"/>
      <c r="I287" s="6" t="str">
        <f>IF(F!Z287=-1,-1,F!AV287)</f>
        <v/>
      </c>
      <c r="J287" s="6"/>
      <c r="K287" s="6" t="str">
        <f>IF(F!AC287=-1,-1,F!AX287)</f>
        <v/>
      </c>
      <c r="L287" s="6"/>
      <c r="M287" s="6" t="str">
        <f>IF(F!AF287=-1,-1,F!AZ287)</f>
        <v/>
      </c>
      <c r="N287" s="6"/>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6" t="str">
        <f t="shared" si="109"/>
        <v/>
      </c>
      <c r="R287" s="5" t="str">
        <f>IF($B287="--","",IF($P287="toetsen",toetsen(F!$B287,Q287),IF($P287="toetsen alleen IW",toetsen_alleen_IW(F!$B287,Q287),IF($P287="toetsen alleen LN",toetsen_alleen_LN(F!$B287,Q287),IF($P287="toetsen geen MV en SV",toetsen_geen_MV_en_SV(F!$B287,Q287),IF($P287="toetsen alleen MV en SV",toetsen_alleen_MV_en_SV(F!$B287,Q287),""))))))</f>
        <v/>
      </c>
      <c r="S287" s="5" t="str">
        <f>IF($P287="toetsen",IF(OR(Q287="",VLOOKUP(F!$B287,E!$B$1:$AK$300,10,FALSE)=1000000000),"",IF(Q287&lt;=VLOOKUP(F!$B287,E!$B$1:$AK$300,10,FALSE),"ja","nee")),"")</f>
        <v/>
      </c>
      <c r="T287" s="87" t="str">
        <f t="shared" si="104"/>
        <v/>
      </c>
      <c r="U287" s="5" t="str">
        <f>IF($D287="--","",IF($P287="toetsen",toetsen(F!$B287,T287),IF($P287="toetsen alleen IW",toetsen_alleen_IW(F!$B287,T287),IF($P287="toetsen alleen LN",toetsen_alleen_LN(F!$B287,T287),IF($P287="toetsen geen MV en SV",toetsen_geen_MV_en_SV(F!$B287,T287),IF($P287="toetsen alleen MV en SV",toetsen_alleen_MV_en_SV(F!$B287,T287),""))))))</f>
        <v/>
      </c>
      <c r="V287" s="5" t="str">
        <f>IF($P287="toetsen",IF(OR(T287="",VLOOKUP(F!$B287,E!$B$1:$AK$300,10,FALSE)=1000000000),"",IF(T287&lt;=VLOOKUP(F!$B287,E!$B$1:$AK$300,10,FALSE),"ja","nee")),"")</f>
        <v/>
      </c>
      <c r="W287" s="6" t="str">
        <f t="shared" si="105"/>
        <v/>
      </c>
      <c r="X287" s="5" t="str">
        <f>IF($F287="--","",IF($P287="toetsen",toetsen(F!$B287,W287),IF($P287="toetsen alleen IW",toetsen_alleen_IW(F!$B287,W287),IF($P287="toetsen alleen LN",toetsen_alleen_LN(F!$B287,W287),IF($P287="toetsen geen MV en SV",toetsen_geen_MV_en_SV(F!$B287,W287),IF($P287="toetsen alleen MV en SV",toetsen_alleen_MV_en_SV(F!$B287,W287),""))))))</f>
        <v/>
      </c>
      <c r="Y287" s="5" t="str">
        <f>IF($P287="toetsen",IF(OR(W287="",VLOOKUP(F!$B287,E!$B$1:$AK$300,10,FALSE)=1000000000),"",IF(W287&lt;=VLOOKUP(F!$B287,E!$B$1:$AK$300,10,FALSE),"ja","nee")),"")</f>
        <v/>
      </c>
      <c r="AA287" s="4" t="str">
        <f>IFERROR(IF(Q287="","",(IF(Q287&gt;2*VLOOKUP(F!$B287,E!$B$1:$AK$300,5,FALSE),1,0))),"")</f>
        <v/>
      </c>
      <c r="AB287" s="4" t="str">
        <f>IFERROR(IF(T287="","",(IF(T287&gt;2*VLOOKUP(F!$B287,E!$B$1:$AK$300,5,FALSE),1,0))),"")</f>
        <v/>
      </c>
      <c r="AC287" s="4" t="str">
        <f>IFERROR(IF(W287="","",(IF(W287&gt;2*VLOOKUP(F!$B287,E!$B$1:$AK$300,5,FALSE),1,0))),"")</f>
        <v/>
      </c>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6" t="str">
        <f t="shared" si="106"/>
        <v>--</v>
      </c>
      <c r="AJ287" s="6"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6" t="str">
        <f t="shared" si="107"/>
        <v>--</v>
      </c>
      <c r="AL287" s="6"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6" t="str">
        <f t="shared" si="108"/>
        <v>--</v>
      </c>
      <c r="AN287" s="6"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6" t="str">
        <f t="shared" si="95"/>
        <v>--</v>
      </c>
      <c r="AQ287" s="6" t="str">
        <f t="shared" si="96"/>
        <v/>
      </c>
      <c r="AR287" s="6" t="str">
        <f t="shared" si="97"/>
        <v>--</v>
      </c>
      <c r="AS287" s="6" t="str">
        <f t="shared" si="98"/>
        <v/>
      </c>
      <c r="AT287" s="6" t="str">
        <f t="shared" si="99"/>
        <v/>
      </c>
      <c r="AU287" s="6" t="str">
        <f>IFERROR(IF(AR287="--","",IF(HLOOKUP(SMALL($Q$4:$Y$4,3),$Q$4:$Y$501,ROW(AP287)-3,FALSE)=0,"",IF(HLOOKUP(SMALL($Q$4:$Y$4,3),$Q$4:$Y$501,ROW(AP287)-3,FALSE)="nee",VLOOKUP("De kwaliteitseis emissiearme grond (maximale concentratie) wordt overschreden.",H!$O$10:'H'!$P$59,2,FALSE),""))),"")</f>
        <v/>
      </c>
      <c r="AV287" s="6" t="str">
        <f t="shared" si="89"/>
        <v>--</v>
      </c>
      <c r="AW287" s="6" t="str">
        <f t="shared" si="90"/>
        <v/>
      </c>
      <c r="AX287" s="6" t="str">
        <f t="shared" si="91"/>
        <v>--</v>
      </c>
      <c r="AY287" s="6" t="str">
        <f t="shared" si="100"/>
        <v/>
      </c>
      <c r="AZ287" s="6" t="str">
        <f t="shared" si="101"/>
        <v/>
      </c>
      <c r="BA287" s="6" t="str">
        <f>IFERROR(IF(AR287="--","",IF(HLOOKUP(SMALL($Q$4:$Y$4,6),$Q$4:$Y$501,ROW(AP287)-3,FALSE)=0,"",IF(HLOOKUP(SMALL($Q$4:$Y$4,6),$Q$4:$Y$501,ROW(AP287)-3,FALSE)="nee",VLOOKUP("De kwaliteitseis emissiearme grond (maximale concentratie) wordt overschreden.",H!$O$10:'H'!$P$59,2,FALSE),""))),"")</f>
        <v/>
      </c>
      <c r="BB287" s="6" t="str">
        <f t="shared" si="92"/>
        <v>--</v>
      </c>
      <c r="BC287" s="6" t="str">
        <f t="shared" si="93"/>
        <v/>
      </c>
      <c r="BD287" s="6" t="str">
        <f t="shared" si="94"/>
        <v>--</v>
      </c>
      <c r="BE287" s="6" t="str">
        <f t="shared" si="102"/>
        <v/>
      </c>
      <c r="BF287" s="6" t="str">
        <f t="shared" si="103"/>
        <v/>
      </c>
      <c r="BG287" s="4" t="str">
        <f>IFERROR(IF(AR287="--","",IF(HLOOKUP(SMALL($Q$4:$Y$4,9),$Q$4:$Y$501,ROW(AP287)-3,FALSE)=0,"",IF(HLOOKUP(SMALL($Q$4:$Y$4,9),$Q$4:$Y$501,ROW(AP287)-3,FALSE)="nee",VLOOKUP("De kwaliteitseis emissiearme grond (maximale concentratie) wordt overschreden.",H!$O$10:'H'!$P$59,2,FALSE),""))),"")</f>
        <v/>
      </c>
    </row>
    <row r="288" spans="1:59" x14ac:dyDescent="0.2">
      <c r="A288" s="4" t="str">
        <f>F!A288</f>
        <v>Carbazole</v>
      </c>
      <c r="B288" s="6" t="str">
        <f>IF(ISNUMBER(F!E288)=FALSE,"--",IF(F!E288=0,"--",F!E288))</f>
        <v>--</v>
      </c>
      <c r="C288" s="6" t="str">
        <f>IF(B288="--","",F!F288)</f>
        <v/>
      </c>
      <c r="D288" s="6" t="str">
        <f>IF(ISNUMBER(F!G288)=FALSE,"--",IF(F!G288=0,"--",F!G288))</f>
        <v>--</v>
      </c>
      <c r="E288" s="6" t="str">
        <f>IF(D288="--","",F!H288)</f>
        <v/>
      </c>
      <c r="F288" s="6" t="str">
        <f>IF(ISNUMBER(F!I288)=FALSE,"--",IF(F!I288=0,"--",F!I288))</f>
        <v>--</v>
      </c>
      <c r="G288" s="6" t="str">
        <f>IF(F288="--","",F!J288)</f>
        <v/>
      </c>
      <c r="H288" s="6"/>
      <c r="I288" s="6" t="str">
        <f>IF(F!Z288=-1,-1,F!AV288)</f>
        <v/>
      </c>
      <c r="J288" s="6"/>
      <c r="K288" s="6" t="str">
        <f>IF(F!AC288=-1,-1,F!AX288)</f>
        <v/>
      </c>
      <c r="L288" s="6"/>
      <c r="M288" s="6" t="str">
        <f>IF(F!AF288=-1,-1,F!AZ288)</f>
        <v/>
      </c>
      <c r="N288" s="6"/>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6" t="str">
        <f t="shared" si="109"/>
        <v/>
      </c>
      <c r="R288" s="5" t="str">
        <f>IF($B288="--","",IF($P288="toetsen",toetsen(F!$B288,Q288),IF($P288="toetsen alleen IW",toetsen_alleen_IW(F!$B288,Q288),IF($P288="toetsen alleen LN",toetsen_alleen_LN(F!$B288,Q288),IF($P288="toetsen geen MV en SV",toetsen_geen_MV_en_SV(F!$B288,Q288),IF($P288="toetsen alleen MV en SV",toetsen_alleen_MV_en_SV(F!$B288,Q288),""))))))</f>
        <v/>
      </c>
      <c r="S288" s="5" t="str">
        <f>IF($P288="toetsen",IF(OR(Q288="",VLOOKUP(F!$B288,E!$B$1:$AK$300,10,FALSE)=1000000000),"",IF(Q288&lt;=VLOOKUP(F!$B288,E!$B$1:$AK$300,10,FALSE),"ja","nee")),"")</f>
        <v/>
      </c>
      <c r="T288" s="87" t="str">
        <f t="shared" si="104"/>
        <v/>
      </c>
      <c r="U288" s="5" t="str">
        <f>IF($D288="--","",IF($P288="toetsen",toetsen(F!$B288,T288),IF($P288="toetsen alleen IW",toetsen_alleen_IW(F!$B288,T288),IF($P288="toetsen alleen LN",toetsen_alleen_LN(F!$B288,T288),IF($P288="toetsen geen MV en SV",toetsen_geen_MV_en_SV(F!$B288,T288),IF($P288="toetsen alleen MV en SV",toetsen_alleen_MV_en_SV(F!$B288,T288),""))))))</f>
        <v/>
      </c>
      <c r="V288" s="5" t="str">
        <f>IF($P288="toetsen",IF(OR(T288="",VLOOKUP(F!$B288,E!$B$1:$AK$300,10,FALSE)=1000000000),"",IF(T288&lt;=VLOOKUP(F!$B288,E!$B$1:$AK$300,10,FALSE),"ja","nee")),"")</f>
        <v/>
      </c>
      <c r="W288" s="6" t="str">
        <f t="shared" si="105"/>
        <v/>
      </c>
      <c r="X288" s="5" t="str">
        <f>IF($F288="--","",IF($P288="toetsen",toetsen(F!$B288,W288),IF($P288="toetsen alleen IW",toetsen_alleen_IW(F!$B288,W288),IF($P288="toetsen alleen LN",toetsen_alleen_LN(F!$B288,W288),IF($P288="toetsen geen MV en SV",toetsen_geen_MV_en_SV(F!$B288,W288),IF($P288="toetsen alleen MV en SV",toetsen_alleen_MV_en_SV(F!$B288,W288),""))))))</f>
        <v/>
      </c>
      <c r="Y288" s="5" t="str">
        <f>IF($P288="toetsen",IF(OR(W288="",VLOOKUP(F!$B288,E!$B$1:$AK$300,10,FALSE)=1000000000),"",IF(W288&lt;=VLOOKUP(F!$B288,E!$B$1:$AK$300,10,FALSE),"ja","nee")),"")</f>
        <v/>
      </c>
      <c r="AA288" s="4" t="str">
        <f>IFERROR(IF(Q288="","",(IF(Q288&gt;2*VLOOKUP(F!$B288,E!$B$1:$AK$300,5,FALSE),1,0))),"")</f>
        <v/>
      </c>
      <c r="AB288" s="4" t="str">
        <f>IFERROR(IF(T288="","",(IF(T288&gt;2*VLOOKUP(F!$B288,E!$B$1:$AK$300,5,FALSE),1,0))),"")</f>
        <v/>
      </c>
      <c r="AC288" s="4" t="str">
        <f>IFERROR(IF(W288="","",(IF(W288&gt;2*VLOOKUP(F!$B288,E!$B$1:$AK$300,5,FALSE),1,0))),"")</f>
        <v/>
      </c>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6" t="str">
        <f t="shared" si="106"/>
        <v>--</v>
      </c>
      <c r="AJ288" s="6"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6" t="str">
        <f t="shared" si="107"/>
        <v>--</v>
      </c>
      <c r="AL288" s="6"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6" t="str">
        <f t="shared" si="108"/>
        <v>--</v>
      </c>
      <c r="AN288" s="6"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6" t="str">
        <f t="shared" si="95"/>
        <v>--</v>
      </c>
      <c r="AQ288" s="6" t="str">
        <f t="shared" si="96"/>
        <v/>
      </c>
      <c r="AR288" s="6" t="str">
        <f t="shared" si="97"/>
        <v>--</v>
      </c>
      <c r="AS288" s="6" t="str">
        <f t="shared" si="98"/>
        <v/>
      </c>
      <c r="AT288" s="6" t="str">
        <f t="shared" si="99"/>
        <v/>
      </c>
      <c r="AU288" s="6" t="str">
        <f>IFERROR(IF(AR288="--","",IF(HLOOKUP(SMALL($Q$4:$Y$4,3),$Q$4:$Y$501,ROW(AP288)-3,FALSE)=0,"",IF(HLOOKUP(SMALL($Q$4:$Y$4,3),$Q$4:$Y$501,ROW(AP288)-3,FALSE)="nee",VLOOKUP("De kwaliteitseis emissiearme grond (maximale concentratie) wordt overschreden.",H!$O$10:'H'!$P$59,2,FALSE),""))),"")</f>
        <v/>
      </c>
      <c r="AV288" s="6" t="str">
        <f t="shared" si="89"/>
        <v>--</v>
      </c>
      <c r="AW288" s="6" t="str">
        <f t="shared" si="90"/>
        <v/>
      </c>
      <c r="AX288" s="6" t="str">
        <f t="shared" si="91"/>
        <v>--</v>
      </c>
      <c r="AY288" s="6" t="str">
        <f t="shared" si="100"/>
        <v/>
      </c>
      <c r="AZ288" s="6" t="str">
        <f t="shared" si="101"/>
        <v/>
      </c>
      <c r="BA288" s="6" t="str">
        <f>IFERROR(IF(AR288="--","",IF(HLOOKUP(SMALL($Q$4:$Y$4,6),$Q$4:$Y$501,ROW(AP288)-3,FALSE)=0,"",IF(HLOOKUP(SMALL($Q$4:$Y$4,6),$Q$4:$Y$501,ROW(AP288)-3,FALSE)="nee",VLOOKUP("De kwaliteitseis emissiearme grond (maximale concentratie) wordt overschreden.",H!$O$10:'H'!$P$59,2,FALSE),""))),"")</f>
        <v/>
      </c>
      <c r="BB288" s="6" t="str">
        <f t="shared" si="92"/>
        <v>--</v>
      </c>
      <c r="BC288" s="6" t="str">
        <f t="shared" si="93"/>
        <v/>
      </c>
      <c r="BD288" s="6" t="str">
        <f t="shared" si="94"/>
        <v>--</v>
      </c>
      <c r="BE288" s="6" t="str">
        <f t="shared" si="102"/>
        <v/>
      </c>
      <c r="BF288" s="6" t="str">
        <f t="shared" si="103"/>
        <v/>
      </c>
      <c r="BG288" s="4" t="str">
        <f>IFERROR(IF(AR288="--","",IF(HLOOKUP(SMALL($Q$4:$Y$4,9),$Q$4:$Y$501,ROW(AP288)-3,FALSE)=0,"",IF(HLOOKUP(SMALL($Q$4:$Y$4,9),$Q$4:$Y$501,ROW(AP288)-3,FALSE)="nee",VLOOKUP("De kwaliteitseis emissiearme grond (maximale concentratie) wordt overschreden.",H!$O$10:'H'!$P$59,2,FALSE),""))),"")</f>
        <v/>
      </c>
    </row>
    <row r="289" spans="1:59" x14ac:dyDescent="0.2">
      <c r="A289" s="4" t="str">
        <f>F!A289</f>
        <v>Dibenzofuraan</v>
      </c>
      <c r="B289" s="6" t="str">
        <f>IF(ISNUMBER(F!E289)=FALSE,"--",IF(F!E289=0,"--",F!E289))</f>
        <v>--</v>
      </c>
      <c r="C289" s="6" t="str">
        <f>IF(B289="--","",F!F289)</f>
        <v/>
      </c>
      <c r="D289" s="6" t="str">
        <f>IF(ISNUMBER(F!G289)=FALSE,"--",IF(F!G289=0,"--",F!G289))</f>
        <v>--</v>
      </c>
      <c r="E289" s="6" t="str">
        <f>IF(D289="--","",F!H289)</f>
        <v/>
      </c>
      <c r="F289" s="6" t="str">
        <f>IF(ISNUMBER(F!I289)=FALSE,"--",IF(F!I289=0,"--",F!I289))</f>
        <v>--</v>
      </c>
      <c r="G289" s="6" t="str">
        <f>IF(F289="--","",F!J289)</f>
        <v/>
      </c>
      <c r="H289" s="6"/>
      <c r="I289" s="6" t="str">
        <f>IF(F!Z289=-1,-1,F!AV289)</f>
        <v/>
      </c>
      <c r="J289" s="6"/>
      <c r="K289" s="6" t="str">
        <f>IF(F!AC289=-1,-1,F!AX289)</f>
        <v/>
      </c>
      <c r="L289" s="6"/>
      <c r="M289" s="6" t="str">
        <f>IF(F!AF289=-1,-1,F!AZ289)</f>
        <v/>
      </c>
      <c r="N289" s="6"/>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6" t="str">
        <f t="shared" si="109"/>
        <v/>
      </c>
      <c r="R289" s="5" t="str">
        <f>IF($B289="--","",IF($P289="toetsen",toetsen(F!$B289,Q289),IF($P289="toetsen alleen IW",toetsen_alleen_IW(F!$B289,Q289),IF($P289="toetsen alleen LN",toetsen_alleen_LN(F!$B289,Q289),IF($P289="toetsen geen MV en SV",toetsen_geen_MV_en_SV(F!$B289,Q289),IF($P289="toetsen alleen MV en SV",toetsen_alleen_MV_en_SV(F!$B289,Q289),""))))))</f>
        <v/>
      </c>
      <c r="S289" s="5" t="str">
        <f>IF($P289="toetsen",IF(OR(Q289="",VLOOKUP(F!$B289,E!$B$1:$AK$300,10,FALSE)=1000000000),"",IF(Q289&lt;=VLOOKUP(F!$B289,E!$B$1:$AK$300,10,FALSE),"ja","nee")),"")</f>
        <v/>
      </c>
      <c r="T289" s="87" t="str">
        <f t="shared" si="104"/>
        <v/>
      </c>
      <c r="U289" s="5" t="str">
        <f>IF($D289="--","",IF($P289="toetsen",toetsen(F!$B289,T289),IF($P289="toetsen alleen IW",toetsen_alleen_IW(F!$B289,T289),IF($P289="toetsen alleen LN",toetsen_alleen_LN(F!$B289,T289),IF($P289="toetsen geen MV en SV",toetsen_geen_MV_en_SV(F!$B289,T289),IF($P289="toetsen alleen MV en SV",toetsen_alleen_MV_en_SV(F!$B289,T289),""))))))</f>
        <v/>
      </c>
      <c r="V289" s="5" t="str">
        <f>IF($P289="toetsen",IF(OR(T289="",VLOOKUP(F!$B289,E!$B$1:$AK$300,10,FALSE)=1000000000),"",IF(T289&lt;=VLOOKUP(F!$B289,E!$B$1:$AK$300,10,FALSE),"ja","nee")),"")</f>
        <v/>
      </c>
      <c r="W289" s="6" t="str">
        <f t="shared" si="105"/>
        <v/>
      </c>
      <c r="X289" s="5" t="str">
        <f>IF($F289="--","",IF($P289="toetsen",toetsen(F!$B289,W289),IF($P289="toetsen alleen IW",toetsen_alleen_IW(F!$B289,W289),IF($P289="toetsen alleen LN",toetsen_alleen_LN(F!$B289,W289),IF($P289="toetsen geen MV en SV",toetsen_geen_MV_en_SV(F!$B289,W289),IF($P289="toetsen alleen MV en SV",toetsen_alleen_MV_en_SV(F!$B289,W289),""))))))</f>
        <v/>
      </c>
      <c r="Y289" s="5" t="str">
        <f>IF($P289="toetsen",IF(OR(W289="",VLOOKUP(F!$B289,E!$B$1:$AK$300,10,FALSE)=1000000000),"",IF(W289&lt;=VLOOKUP(F!$B289,E!$B$1:$AK$300,10,FALSE),"ja","nee")),"")</f>
        <v/>
      </c>
      <c r="AA289" s="4" t="str">
        <f>IFERROR(IF(Q289="","",(IF(Q289&gt;2*VLOOKUP(F!$B289,E!$B$1:$AK$300,5,FALSE),1,0))),"")</f>
        <v/>
      </c>
      <c r="AB289" s="4" t="str">
        <f>IFERROR(IF(T289="","",(IF(T289&gt;2*VLOOKUP(F!$B289,E!$B$1:$AK$300,5,FALSE),1,0))),"")</f>
        <v/>
      </c>
      <c r="AC289" s="4" t="str">
        <f>IFERROR(IF(W289="","",(IF(W289&gt;2*VLOOKUP(F!$B289,E!$B$1:$AK$300,5,FALSE),1,0))),"")</f>
        <v/>
      </c>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6" t="str">
        <f t="shared" si="106"/>
        <v>--</v>
      </c>
      <c r="AJ289" s="6"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6" t="str">
        <f t="shared" si="107"/>
        <v>--</v>
      </c>
      <c r="AL289" s="6"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6" t="str">
        <f t="shared" si="108"/>
        <v>--</v>
      </c>
      <c r="AN289" s="6"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6" t="str">
        <f t="shared" si="95"/>
        <v>--</v>
      </c>
      <c r="AQ289" s="6" t="str">
        <f t="shared" si="96"/>
        <v/>
      </c>
      <c r="AR289" s="6" t="str">
        <f t="shared" si="97"/>
        <v>--</v>
      </c>
      <c r="AS289" s="6" t="str">
        <f t="shared" si="98"/>
        <v/>
      </c>
      <c r="AT289" s="6" t="str">
        <f t="shared" si="99"/>
        <v/>
      </c>
      <c r="AU289" s="6" t="str">
        <f>IFERROR(IF(AR289="--","",IF(HLOOKUP(SMALL($Q$4:$Y$4,3),$Q$4:$Y$501,ROW(AP289)-3,FALSE)=0,"",IF(HLOOKUP(SMALL($Q$4:$Y$4,3),$Q$4:$Y$501,ROW(AP289)-3,FALSE)="nee",VLOOKUP("De kwaliteitseis emissiearme grond (maximale concentratie) wordt overschreden.",H!$O$10:'H'!$P$59,2,FALSE),""))),"")</f>
        <v/>
      </c>
      <c r="AV289" s="6" t="str">
        <f t="shared" si="89"/>
        <v>--</v>
      </c>
      <c r="AW289" s="6" t="str">
        <f t="shared" si="90"/>
        <v/>
      </c>
      <c r="AX289" s="6" t="str">
        <f t="shared" si="91"/>
        <v>--</v>
      </c>
      <c r="AY289" s="6" t="str">
        <f t="shared" si="100"/>
        <v/>
      </c>
      <c r="AZ289" s="6" t="str">
        <f t="shared" si="101"/>
        <v/>
      </c>
      <c r="BA289" s="6" t="str">
        <f>IFERROR(IF(AR289="--","",IF(HLOOKUP(SMALL($Q$4:$Y$4,6),$Q$4:$Y$501,ROW(AP289)-3,FALSE)=0,"",IF(HLOOKUP(SMALL($Q$4:$Y$4,6),$Q$4:$Y$501,ROW(AP289)-3,FALSE)="nee",VLOOKUP("De kwaliteitseis emissiearme grond (maximale concentratie) wordt overschreden.",H!$O$10:'H'!$P$59,2,FALSE),""))),"")</f>
        <v/>
      </c>
      <c r="BB289" s="6" t="str">
        <f t="shared" si="92"/>
        <v>--</v>
      </c>
      <c r="BC289" s="6" t="str">
        <f t="shared" si="93"/>
        <v/>
      </c>
      <c r="BD289" s="6" t="str">
        <f t="shared" si="94"/>
        <v>--</v>
      </c>
      <c r="BE289" s="6" t="str">
        <f t="shared" si="102"/>
        <v/>
      </c>
      <c r="BF289" s="6" t="str">
        <f t="shared" si="103"/>
        <v/>
      </c>
      <c r="BG289" s="4" t="str">
        <f>IFERROR(IF(AR289="--","",IF(HLOOKUP(SMALL($Q$4:$Y$4,9),$Q$4:$Y$501,ROW(AP289)-3,FALSE)=0,"",IF(HLOOKUP(SMALL($Q$4:$Y$4,9),$Q$4:$Y$501,ROW(AP289)-3,FALSE)="nee",VLOOKUP("De kwaliteitseis emissiearme grond (maximale concentratie) wordt overschreden.",H!$O$10:'H'!$P$59,2,FALSE),""))),"")</f>
        <v/>
      </c>
    </row>
    <row r="290" spans="1:59" x14ac:dyDescent="0.2">
      <c r="A290" s="4" t="str">
        <f>F!A290</f>
        <v>Hexachloorcylcopentadieen</v>
      </c>
      <c r="B290" s="6" t="str">
        <f>IF(ISNUMBER(F!E290)=FALSE,"--",IF(F!E290=0,"--",F!E290))</f>
        <v>--</v>
      </c>
      <c r="C290" s="6" t="str">
        <f>IF(B290="--","",F!F290)</f>
        <v/>
      </c>
      <c r="D290" s="6" t="str">
        <f>IF(ISNUMBER(F!G290)=FALSE,"--",IF(F!G290=0,"--",F!G290))</f>
        <v>--</v>
      </c>
      <c r="E290" s="6" t="str">
        <f>IF(D290="--","",F!H290)</f>
        <v/>
      </c>
      <c r="F290" s="6" t="str">
        <f>IF(ISNUMBER(F!I290)=FALSE,"--",IF(F!I290=0,"--",F!I290))</f>
        <v>--</v>
      </c>
      <c r="G290" s="6" t="str">
        <f>IF(F290="--","",F!J290)</f>
        <v/>
      </c>
      <c r="H290" s="6"/>
      <c r="I290" s="6" t="str">
        <f>IF(F!Z290=-1,-1,F!AV290)</f>
        <v/>
      </c>
      <c r="J290" s="6"/>
      <c r="K290" s="6" t="str">
        <f>IF(F!AC290=-1,-1,F!AX290)</f>
        <v/>
      </c>
      <c r="L290" s="6"/>
      <c r="M290" s="6" t="str">
        <f>IF(F!AF290=-1,-1,F!AZ290)</f>
        <v/>
      </c>
      <c r="N290" s="6"/>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6" t="str">
        <f t="shared" si="109"/>
        <v/>
      </c>
      <c r="R290" s="5" t="str">
        <f>IF($B290="--","",IF($P290="toetsen",toetsen(F!$B290,Q290),IF($P290="toetsen alleen IW",toetsen_alleen_IW(F!$B290,Q290),IF($P290="toetsen alleen LN",toetsen_alleen_LN(F!$B290,Q290),IF($P290="toetsen geen MV en SV",toetsen_geen_MV_en_SV(F!$B290,Q290),IF($P290="toetsen alleen MV en SV",toetsen_alleen_MV_en_SV(F!$B290,Q290),""))))))</f>
        <v/>
      </c>
      <c r="S290" s="5" t="str">
        <f>IF($P290="toetsen",IF(OR(Q290="",VLOOKUP(F!$B290,E!$B$1:$AK$300,10,FALSE)=1000000000),"",IF(Q290&lt;=VLOOKUP(F!$B290,E!$B$1:$AK$300,10,FALSE),"ja","nee")),"")</f>
        <v/>
      </c>
      <c r="T290" s="87" t="str">
        <f t="shared" si="104"/>
        <v/>
      </c>
      <c r="U290" s="5" t="str">
        <f>IF($D290="--","",IF($P290="toetsen",toetsen(F!$B290,T290),IF($P290="toetsen alleen IW",toetsen_alleen_IW(F!$B290,T290),IF($P290="toetsen alleen LN",toetsen_alleen_LN(F!$B290,T290),IF($P290="toetsen geen MV en SV",toetsen_geen_MV_en_SV(F!$B290,T290),IF($P290="toetsen alleen MV en SV",toetsen_alleen_MV_en_SV(F!$B290,T290),""))))))</f>
        <v/>
      </c>
      <c r="V290" s="5" t="str">
        <f>IF($P290="toetsen",IF(OR(T290="",VLOOKUP(F!$B290,E!$B$1:$AK$300,10,FALSE)=1000000000),"",IF(T290&lt;=VLOOKUP(F!$B290,E!$B$1:$AK$300,10,FALSE),"ja","nee")),"")</f>
        <v/>
      </c>
      <c r="W290" s="6" t="str">
        <f t="shared" si="105"/>
        <v/>
      </c>
      <c r="X290" s="5" t="str">
        <f>IF($F290="--","",IF($P290="toetsen",toetsen(F!$B290,W290),IF($P290="toetsen alleen IW",toetsen_alleen_IW(F!$B290,W290),IF($P290="toetsen alleen LN",toetsen_alleen_LN(F!$B290,W290),IF($P290="toetsen geen MV en SV",toetsen_geen_MV_en_SV(F!$B290,W290),IF($P290="toetsen alleen MV en SV",toetsen_alleen_MV_en_SV(F!$B290,W290),""))))))</f>
        <v/>
      </c>
      <c r="Y290" s="5" t="str">
        <f>IF($P290="toetsen",IF(OR(W290="",VLOOKUP(F!$B290,E!$B$1:$AK$300,10,FALSE)=1000000000),"",IF(W290&lt;=VLOOKUP(F!$B290,E!$B$1:$AK$300,10,FALSE),"ja","nee")),"")</f>
        <v/>
      </c>
      <c r="AA290" s="4" t="str">
        <f>IFERROR(IF(Q290="","",(IF(Q290&gt;2*VLOOKUP(F!$B290,E!$B$1:$AK$300,5,FALSE),1,0))),"")</f>
        <v/>
      </c>
      <c r="AB290" s="4" t="str">
        <f>IFERROR(IF(T290="","",(IF(T290&gt;2*VLOOKUP(F!$B290,E!$B$1:$AK$300,5,FALSE),1,0))),"")</f>
        <v/>
      </c>
      <c r="AC290" s="4" t="str">
        <f>IFERROR(IF(W290="","",(IF(W290&gt;2*VLOOKUP(F!$B290,E!$B$1:$AK$300,5,FALSE),1,0))),"")</f>
        <v/>
      </c>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6" t="str">
        <f t="shared" si="106"/>
        <v>--</v>
      </c>
      <c r="AJ290" s="6"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6" t="str">
        <f t="shared" si="107"/>
        <v>--</v>
      </c>
      <c r="AL290" s="6"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6" t="str">
        <f t="shared" si="108"/>
        <v>--</v>
      </c>
      <c r="AN290" s="6"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6" t="str">
        <f t="shared" si="95"/>
        <v>--</v>
      </c>
      <c r="AQ290" s="6" t="str">
        <f t="shared" si="96"/>
        <v/>
      </c>
      <c r="AR290" s="6" t="str">
        <f t="shared" si="97"/>
        <v>--</v>
      </c>
      <c r="AS290" s="6" t="str">
        <f t="shared" si="98"/>
        <v/>
      </c>
      <c r="AT290" s="6" t="str">
        <f t="shared" si="99"/>
        <v/>
      </c>
      <c r="AU290" s="6" t="str">
        <f>IFERROR(IF(AR290="--","",IF(HLOOKUP(SMALL($Q$4:$Y$4,3),$Q$4:$Y$501,ROW(AP290)-3,FALSE)=0,"",IF(HLOOKUP(SMALL($Q$4:$Y$4,3),$Q$4:$Y$501,ROW(AP290)-3,FALSE)="nee",VLOOKUP("De kwaliteitseis emissiearme grond (maximale concentratie) wordt overschreden.",H!$O$10:'H'!$P$59,2,FALSE),""))),"")</f>
        <v/>
      </c>
      <c r="AV290" s="6" t="str">
        <f t="shared" si="89"/>
        <v>--</v>
      </c>
      <c r="AW290" s="6" t="str">
        <f t="shared" si="90"/>
        <v/>
      </c>
      <c r="AX290" s="6" t="str">
        <f t="shared" si="91"/>
        <v>--</v>
      </c>
      <c r="AY290" s="6" t="str">
        <f t="shared" si="100"/>
        <v/>
      </c>
      <c r="AZ290" s="6" t="str">
        <f t="shared" si="101"/>
        <v/>
      </c>
      <c r="BA290" s="6" t="str">
        <f>IFERROR(IF(AR290="--","",IF(HLOOKUP(SMALL($Q$4:$Y$4,6),$Q$4:$Y$501,ROW(AP290)-3,FALSE)=0,"",IF(HLOOKUP(SMALL($Q$4:$Y$4,6),$Q$4:$Y$501,ROW(AP290)-3,FALSE)="nee",VLOOKUP("De kwaliteitseis emissiearme grond (maximale concentratie) wordt overschreden.",H!$O$10:'H'!$P$59,2,FALSE),""))),"")</f>
        <v/>
      </c>
      <c r="BB290" s="6" t="str">
        <f t="shared" si="92"/>
        <v>--</v>
      </c>
      <c r="BC290" s="6" t="str">
        <f t="shared" si="93"/>
        <v/>
      </c>
      <c r="BD290" s="6" t="str">
        <f t="shared" si="94"/>
        <v>--</v>
      </c>
      <c r="BE290" s="6" t="str">
        <f t="shared" si="102"/>
        <v/>
      </c>
      <c r="BF290" s="6" t="str">
        <f t="shared" si="103"/>
        <v/>
      </c>
      <c r="BG290" s="4" t="str">
        <f>IFERROR(IF(AR290="--","",IF(HLOOKUP(SMALL($Q$4:$Y$4,9),$Q$4:$Y$501,ROW(AP290)-3,FALSE)=0,"",IF(HLOOKUP(SMALL($Q$4:$Y$4,9),$Q$4:$Y$501,ROW(AP290)-3,FALSE)="nee",VLOOKUP("De kwaliteitseis emissiearme grond (maximale concentratie) wordt overschreden.",H!$O$10:'H'!$P$59,2,FALSE),""))),"")</f>
        <v/>
      </c>
    </row>
    <row r="291" spans="1:59" x14ac:dyDescent="0.2">
      <c r="A291" s="4" t="str">
        <f>F!A291</f>
        <v>Isoforon</v>
      </c>
      <c r="B291" s="6" t="str">
        <f>IF(ISNUMBER(F!E291)=FALSE,"--",IF(F!E291=0,"--",F!E291))</f>
        <v>--</v>
      </c>
      <c r="C291" s="6" t="str">
        <f>IF(B291="--","",F!F291)</f>
        <v/>
      </c>
      <c r="D291" s="6" t="str">
        <f>IF(ISNUMBER(F!G291)=FALSE,"--",IF(F!G291=0,"--",F!G291))</f>
        <v>--</v>
      </c>
      <c r="E291" s="6" t="str">
        <f>IF(D291="--","",F!H291)</f>
        <v/>
      </c>
      <c r="F291" s="6" t="str">
        <f>IF(ISNUMBER(F!I291)=FALSE,"--",IF(F!I291=0,"--",F!I291))</f>
        <v>--</v>
      </c>
      <c r="G291" s="6" t="str">
        <f>IF(F291="--","",F!J291)</f>
        <v/>
      </c>
      <c r="H291" s="6"/>
      <c r="I291" s="6" t="str">
        <f>IF(F!Z291=-1,-1,F!AV291)</f>
        <v/>
      </c>
      <c r="J291" s="6"/>
      <c r="K291" s="6" t="str">
        <f>IF(F!AC291=-1,-1,F!AX291)</f>
        <v/>
      </c>
      <c r="L291" s="6"/>
      <c r="M291" s="6" t="str">
        <f>IF(F!AF291=-1,-1,F!AZ291)</f>
        <v/>
      </c>
      <c r="N291" s="6"/>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6" t="str">
        <f t="shared" si="109"/>
        <v/>
      </c>
      <c r="R291" s="5" t="str">
        <f>IF($B291="--","",IF($P291="toetsen",toetsen(F!$B291,Q291),IF($P291="toetsen alleen IW",toetsen_alleen_IW(F!$B291,Q291),IF($P291="toetsen alleen LN",toetsen_alleen_LN(F!$B291,Q291),IF($P291="toetsen geen MV en SV",toetsen_geen_MV_en_SV(F!$B291,Q291),IF($P291="toetsen alleen MV en SV",toetsen_alleen_MV_en_SV(F!$B291,Q291),""))))))</f>
        <v/>
      </c>
      <c r="S291" s="5" t="str">
        <f>IF($P291="toetsen",IF(OR(Q291="",VLOOKUP(F!$B291,E!$B$1:$AK$300,10,FALSE)=1000000000),"",IF(Q291&lt;=VLOOKUP(F!$B291,E!$B$1:$AK$300,10,FALSE),"ja","nee")),"")</f>
        <v/>
      </c>
      <c r="T291" s="87" t="str">
        <f t="shared" si="104"/>
        <v/>
      </c>
      <c r="U291" s="5" t="str">
        <f>IF($D291="--","",IF($P291="toetsen",toetsen(F!$B291,T291),IF($P291="toetsen alleen IW",toetsen_alleen_IW(F!$B291,T291),IF($P291="toetsen alleen LN",toetsen_alleen_LN(F!$B291,T291),IF($P291="toetsen geen MV en SV",toetsen_geen_MV_en_SV(F!$B291,T291),IF($P291="toetsen alleen MV en SV",toetsen_alleen_MV_en_SV(F!$B291,T291),""))))))</f>
        <v/>
      </c>
      <c r="V291" s="5" t="str">
        <f>IF($P291="toetsen",IF(OR(T291="",VLOOKUP(F!$B291,E!$B$1:$AK$300,10,FALSE)=1000000000),"",IF(T291&lt;=VLOOKUP(F!$B291,E!$B$1:$AK$300,10,FALSE),"ja","nee")),"")</f>
        <v/>
      </c>
      <c r="W291" s="6" t="str">
        <f t="shared" si="105"/>
        <v/>
      </c>
      <c r="X291" s="5" t="str">
        <f>IF($F291="--","",IF($P291="toetsen",toetsen(F!$B291,W291),IF($P291="toetsen alleen IW",toetsen_alleen_IW(F!$B291,W291),IF($P291="toetsen alleen LN",toetsen_alleen_LN(F!$B291,W291),IF($P291="toetsen geen MV en SV",toetsen_geen_MV_en_SV(F!$B291,W291),IF($P291="toetsen alleen MV en SV",toetsen_alleen_MV_en_SV(F!$B291,W291),""))))))</f>
        <v/>
      </c>
      <c r="Y291" s="5" t="str">
        <f>IF($P291="toetsen",IF(OR(W291="",VLOOKUP(F!$B291,E!$B$1:$AK$300,10,FALSE)=1000000000),"",IF(W291&lt;=VLOOKUP(F!$B291,E!$B$1:$AK$300,10,FALSE),"ja","nee")),"")</f>
        <v/>
      </c>
      <c r="AA291" s="4" t="str">
        <f>IFERROR(IF(Q291="","",(IF(Q291&gt;2*VLOOKUP(F!$B291,E!$B$1:$AK$300,5,FALSE),1,0))),"")</f>
        <v/>
      </c>
      <c r="AB291" s="4" t="str">
        <f>IFERROR(IF(T291="","",(IF(T291&gt;2*VLOOKUP(F!$B291,E!$B$1:$AK$300,5,FALSE),1,0))),"")</f>
        <v/>
      </c>
      <c r="AC291" s="4" t="str">
        <f>IFERROR(IF(W291="","",(IF(W291&gt;2*VLOOKUP(F!$B291,E!$B$1:$AK$300,5,FALSE),1,0))),"")</f>
        <v/>
      </c>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6" t="str">
        <f t="shared" si="106"/>
        <v>--</v>
      </c>
      <c r="AJ291" s="6"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6" t="str">
        <f t="shared" si="107"/>
        <v>--</v>
      </c>
      <c r="AL291" s="6"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6" t="str">
        <f t="shared" si="108"/>
        <v>--</v>
      </c>
      <c r="AN291" s="6"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6" t="str">
        <f t="shared" si="95"/>
        <v>--</v>
      </c>
      <c r="AQ291" s="6" t="str">
        <f t="shared" si="96"/>
        <v/>
      </c>
      <c r="AR291" s="6" t="str">
        <f t="shared" si="97"/>
        <v>--</v>
      </c>
      <c r="AS291" s="6" t="str">
        <f t="shared" si="98"/>
        <v/>
      </c>
      <c r="AT291" s="6" t="str">
        <f t="shared" si="99"/>
        <v/>
      </c>
      <c r="AU291" s="6" t="str">
        <f>IFERROR(IF(AR291="--","",IF(HLOOKUP(SMALL($Q$4:$Y$4,3),$Q$4:$Y$501,ROW(AP291)-3,FALSE)=0,"",IF(HLOOKUP(SMALL($Q$4:$Y$4,3),$Q$4:$Y$501,ROW(AP291)-3,FALSE)="nee",VLOOKUP("De kwaliteitseis emissiearme grond (maximale concentratie) wordt overschreden.",H!$O$10:'H'!$P$59,2,FALSE),""))),"")</f>
        <v/>
      </c>
      <c r="AV291" s="6" t="str">
        <f t="shared" si="89"/>
        <v>--</v>
      </c>
      <c r="AW291" s="6" t="str">
        <f t="shared" si="90"/>
        <v/>
      </c>
      <c r="AX291" s="6" t="str">
        <f t="shared" si="91"/>
        <v>--</v>
      </c>
      <c r="AY291" s="6" t="str">
        <f t="shared" si="100"/>
        <v/>
      </c>
      <c r="AZ291" s="6" t="str">
        <f t="shared" si="101"/>
        <v/>
      </c>
      <c r="BA291" s="6" t="str">
        <f>IFERROR(IF(AR291="--","",IF(HLOOKUP(SMALL($Q$4:$Y$4,6),$Q$4:$Y$501,ROW(AP291)-3,FALSE)=0,"",IF(HLOOKUP(SMALL($Q$4:$Y$4,6),$Q$4:$Y$501,ROW(AP291)-3,FALSE)="nee",VLOOKUP("De kwaliteitseis emissiearme grond (maximale concentratie) wordt overschreden.",H!$O$10:'H'!$P$59,2,FALSE),""))),"")</f>
        <v/>
      </c>
      <c r="BB291" s="6" t="str">
        <f t="shared" si="92"/>
        <v>--</v>
      </c>
      <c r="BC291" s="6" t="str">
        <f t="shared" si="93"/>
        <v/>
      </c>
      <c r="BD291" s="6" t="str">
        <f t="shared" si="94"/>
        <v>--</v>
      </c>
      <c r="BE291" s="6" t="str">
        <f t="shared" si="102"/>
        <v/>
      </c>
      <c r="BF291" s="6" t="str">
        <f t="shared" si="103"/>
        <v/>
      </c>
      <c r="BG291" s="4" t="str">
        <f>IFERROR(IF(AR291="--","",IF(HLOOKUP(SMALL($Q$4:$Y$4,9),$Q$4:$Y$501,ROW(AP291)-3,FALSE)=0,"",IF(HLOOKUP(SMALL($Q$4:$Y$4,9),$Q$4:$Y$501,ROW(AP291)-3,FALSE)="nee",VLOOKUP("De kwaliteitseis emissiearme grond (maximale concentratie) wordt overschreden.",H!$O$10:'H'!$P$59,2,FALSE),""))),"")</f>
        <v/>
      </c>
    </row>
    <row r="292" spans="1:59" x14ac:dyDescent="0.2">
      <c r="A292" s="4" t="str">
        <f>F!A292</f>
        <v>Nitrobenzeen</v>
      </c>
      <c r="B292" s="6" t="str">
        <f>IF(ISNUMBER(F!E292)=FALSE,"--",IF(F!E292=0,"--",F!E292))</f>
        <v>--</v>
      </c>
      <c r="C292" s="6" t="str">
        <f>IF(B292="--","",F!F292)</f>
        <v/>
      </c>
      <c r="D292" s="6" t="str">
        <f>IF(ISNUMBER(F!G292)=FALSE,"--",IF(F!G292=0,"--",F!G292))</f>
        <v>--</v>
      </c>
      <c r="E292" s="6" t="str">
        <f>IF(D292="--","",F!H292)</f>
        <v/>
      </c>
      <c r="F292" s="6" t="str">
        <f>IF(ISNUMBER(F!I292)=FALSE,"--",IF(F!I292=0,"--",F!I292))</f>
        <v>--</v>
      </c>
      <c r="G292" s="6" t="str">
        <f>IF(F292="--","",F!J292)</f>
        <v/>
      </c>
      <c r="H292" s="6"/>
      <c r="I292" s="6" t="str">
        <f>IF(F!Z292=-1,-1,F!AV292)</f>
        <v/>
      </c>
      <c r="J292" s="6"/>
      <c r="K292" s="6" t="str">
        <f>IF(F!AC292=-1,-1,F!AX292)</f>
        <v/>
      </c>
      <c r="L292" s="6"/>
      <c r="M292" s="6" t="str">
        <f>IF(F!AF292=-1,-1,F!AZ292)</f>
        <v/>
      </c>
      <c r="N292" s="6"/>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6" t="str">
        <f t="shared" si="109"/>
        <v/>
      </c>
      <c r="R292" s="5" t="str">
        <f>IF($B292="--","",IF($P292="toetsen",toetsen(F!$B292,Q292),IF($P292="toetsen alleen IW",toetsen_alleen_IW(F!$B292,Q292),IF($P292="toetsen alleen LN",toetsen_alleen_LN(F!$B292,Q292),IF($P292="toetsen geen MV en SV",toetsen_geen_MV_en_SV(F!$B292,Q292),IF($P292="toetsen alleen MV en SV",toetsen_alleen_MV_en_SV(F!$B292,Q292),""))))))</f>
        <v/>
      </c>
      <c r="S292" s="5" t="str">
        <f>IF($P292="toetsen",IF(OR(Q292="",VLOOKUP(F!$B292,E!$B$1:$AK$300,10,FALSE)=1000000000),"",IF(Q292&lt;=VLOOKUP(F!$B292,E!$B$1:$AK$300,10,FALSE),"ja","nee")),"")</f>
        <v/>
      </c>
      <c r="T292" s="87" t="str">
        <f t="shared" si="104"/>
        <v/>
      </c>
      <c r="U292" s="5" t="str">
        <f>IF($D292="--","",IF($P292="toetsen",toetsen(F!$B292,T292),IF($P292="toetsen alleen IW",toetsen_alleen_IW(F!$B292,T292),IF($P292="toetsen alleen LN",toetsen_alleen_LN(F!$B292,T292),IF($P292="toetsen geen MV en SV",toetsen_geen_MV_en_SV(F!$B292,T292),IF($P292="toetsen alleen MV en SV",toetsen_alleen_MV_en_SV(F!$B292,T292),""))))))</f>
        <v/>
      </c>
      <c r="V292" s="5" t="str">
        <f>IF($P292="toetsen",IF(OR(T292="",VLOOKUP(F!$B292,E!$B$1:$AK$300,10,FALSE)=1000000000),"",IF(T292&lt;=VLOOKUP(F!$B292,E!$B$1:$AK$300,10,FALSE),"ja","nee")),"")</f>
        <v/>
      </c>
      <c r="W292" s="6" t="str">
        <f t="shared" si="105"/>
        <v/>
      </c>
      <c r="X292" s="5" t="str">
        <f>IF($F292="--","",IF($P292="toetsen",toetsen(F!$B292,W292),IF($P292="toetsen alleen IW",toetsen_alleen_IW(F!$B292,W292),IF($P292="toetsen alleen LN",toetsen_alleen_LN(F!$B292,W292),IF($P292="toetsen geen MV en SV",toetsen_geen_MV_en_SV(F!$B292,W292),IF($P292="toetsen alleen MV en SV",toetsen_alleen_MV_en_SV(F!$B292,W292),""))))))</f>
        <v/>
      </c>
      <c r="Y292" s="5" t="str">
        <f>IF($P292="toetsen",IF(OR(W292="",VLOOKUP(F!$B292,E!$B$1:$AK$300,10,FALSE)=1000000000),"",IF(W292&lt;=VLOOKUP(F!$B292,E!$B$1:$AK$300,10,FALSE),"ja","nee")),"")</f>
        <v/>
      </c>
      <c r="AA292" s="4" t="str">
        <f>IFERROR(IF(Q292="","",(IF(Q292&gt;2*VLOOKUP(F!$B292,E!$B$1:$AK$300,5,FALSE),1,0))),"")</f>
        <v/>
      </c>
      <c r="AB292" s="4" t="str">
        <f>IFERROR(IF(T292="","",(IF(T292&gt;2*VLOOKUP(F!$B292,E!$B$1:$AK$300,5,FALSE),1,0))),"")</f>
        <v/>
      </c>
      <c r="AC292" s="4" t="str">
        <f>IFERROR(IF(W292="","",(IF(W292&gt;2*VLOOKUP(F!$B292,E!$B$1:$AK$300,5,FALSE),1,0))),"")</f>
        <v/>
      </c>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6" t="str">
        <f t="shared" si="106"/>
        <v>--</v>
      </c>
      <c r="AJ292" s="6"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6" t="str">
        <f t="shared" si="107"/>
        <v>--</v>
      </c>
      <c r="AL292" s="6"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6" t="str">
        <f t="shared" si="108"/>
        <v>--</v>
      </c>
      <c r="AN292" s="6"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6" t="str">
        <f t="shared" si="95"/>
        <v>--</v>
      </c>
      <c r="AQ292" s="6" t="str">
        <f t="shared" si="96"/>
        <v/>
      </c>
      <c r="AR292" s="6" t="str">
        <f t="shared" si="97"/>
        <v>--</v>
      </c>
      <c r="AS292" s="6" t="str">
        <f t="shared" si="98"/>
        <v/>
      </c>
      <c r="AT292" s="6" t="str">
        <f t="shared" si="99"/>
        <v/>
      </c>
      <c r="AU292" s="6" t="str">
        <f>IFERROR(IF(AR292="--","",IF(HLOOKUP(SMALL($Q$4:$Y$4,3),$Q$4:$Y$501,ROW(AP292)-3,FALSE)=0,"",IF(HLOOKUP(SMALL($Q$4:$Y$4,3),$Q$4:$Y$501,ROW(AP292)-3,FALSE)="nee",VLOOKUP("De kwaliteitseis emissiearme grond (maximale concentratie) wordt overschreden.",H!$O$10:'H'!$P$59,2,FALSE),""))),"")</f>
        <v/>
      </c>
      <c r="AV292" s="6" t="str">
        <f t="shared" si="89"/>
        <v>--</v>
      </c>
      <c r="AW292" s="6" t="str">
        <f t="shared" si="90"/>
        <v/>
      </c>
      <c r="AX292" s="6" t="str">
        <f t="shared" si="91"/>
        <v>--</v>
      </c>
      <c r="AY292" s="6" t="str">
        <f t="shared" si="100"/>
        <v/>
      </c>
      <c r="AZ292" s="6" t="str">
        <f t="shared" si="101"/>
        <v/>
      </c>
      <c r="BA292" s="6" t="str">
        <f>IFERROR(IF(AR292="--","",IF(HLOOKUP(SMALL($Q$4:$Y$4,6),$Q$4:$Y$501,ROW(AP292)-3,FALSE)=0,"",IF(HLOOKUP(SMALL($Q$4:$Y$4,6),$Q$4:$Y$501,ROW(AP292)-3,FALSE)="nee",VLOOKUP("De kwaliteitseis emissiearme grond (maximale concentratie) wordt overschreden.",H!$O$10:'H'!$P$59,2,FALSE),""))),"")</f>
        <v/>
      </c>
      <c r="BB292" s="6" t="str">
        <f t="shared" si="92"/>
        <v>--</v>
      </c>
      <c r="BC292" s="6" t="str">
        <f t="shared" si="93"/>
        <v/>
      </c>
      <c r="BD292" s="6" t="str">
        <f t="shared" si="94"/>
        <v>--</v>
      </c>
      <c r="BE292" s="6" t="str">
        <f t="shared" si="102"/>
        <v/>
      </c>
      <c r="BF292" s="6" t="str">
        <f t="shared" si="103"/>
        <v/>
      </c>
      <c r="BG292" s="4" t="str">
        <f>IFERROR(IF(AR292="--","",IF(HLOOKUP(SMALL($Q$4:$Y$4,9),$Q$4:$Y$501,ROW(AP292)-3,FALSE)=0,"",IF(HLOOKUP(SMALL($Q$4:$Y$4,9),$Q$4:$Y$501,ROW(AP292)-3,FALSE)="nee",VLOOKUP("De kwaliteitseis emissiearme grond (maximale concentratie) wordt overschreden.",H!$O$10:'H'!$P$59,2,FALSE),""))),"")</f>
        <v/>
      </c>
    </row>
    <row r="293" spans="1:59" x14ac:dyDescent="0.2">
      <c r="A293" s="4" t="str">
        <f>F!A293</f>
        <v>Dedecylbenzeen</v>
      </c>
      <c r="B293" s="6" t="str">
        <f>IF(ISNUMBER(F!E293)=FALSE,"--",IF(F!E293=0,"--",F!E293))</f>
        <v>--</v>
      </c>
      <c r="C293" s="6" t="str">
        <f>IF(B293="--","",F!F293)</f>
        <v/>
      </c>
      <c r="D293" s="6" t="str">
        <f>IF(ISNUMBER(F!G293)=FALSE,"--",IF(F!G293=0,"--",F!G293))</f>
        <v>--</v>
      </c>
      <c r="E293" s="6" t="str">
        <f>IF(D293="--","",F!H293)</f>
        <v/>
      </c>
      <c r="F293" s="6" t="str">
        <f>IF(ISNUMBER(F!I293)=FALSE,"--",IF(F!I293=0,"--",F!I293))</f>
        <v>--</v>
      </c>
      <c r="G293" s="6" t="str">
        <f>IF(F293="--","",F!J293)</f>
        <v/>
      </c>
      <c r="H293" s="6"/>
      <c r="I293" s="6" t="str">
        <f>IF(F!Z293=-1,-1,F!AV293)</f>
        <v/>
      </c>
      <c r="J293" s="6"/>
      <c r="K293" s="6" t="str">
        <f>IF(F!AC293=-1,-1,F!AX293)</f>
        <v/>
      </c>
      <c r="L293" s="6"/>
      <c r="M293" s="6" t="str">
        <f>IF(F!AF293=-1,-1,F!AZ293)</f>
        <v/>
      </c>
      <c r="N293" s="6"/>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6" t="str">
        <f t="shared" si="109"/>
        <v/>
      </c>
      <c r="R293" s="5" t="str">
        <f>IF($B293="--","",IF($P293="toetsen",toetsen(F!$B293,Q293),IF($P293="toetsen alleen IW",toetsen_alleen_IW(F!$B293,Q293),IF($P293="toetsen alleen LN",toetsen_alleen_LN(F!$B293,Q293),IF($P293="toetsen geen MV en SV",toetsen_geen_MV_en_SV(F!$B293,Q293),IF($P293="toetsen alleen MV en SV",toetsen_alleen_MV_en_SV(F!$B293,Q293),""))))))</f>
        <v/>
      </c>
      <c r="S293" s="5" t="str">
        <f>IF($P293="toetsen",IF(OR(Q293="",VLOOKUP(F!$B293,E!$B$1:$AK$300,10,FALSE)=1000000000),"",IF(Q293&lt;=VLOOKUP(F!$B293,E!$B$1:$AK$300,10,FALSE),"ja","nee")),"")</f>
        <v/>
      </c>
      <c r="T293" s="87" t="str">
        <f t="shared" si="104"/>
        <v/>
      </c>
      <c r="U293" s="5" t="str">
        <f>IF($D293="--","",IF($P293="toetsen",toetsen(F!$B293,T293),IF($P293="toetsen alleen IW",toetsen_alleen_IW(F!$B293,T293),IF($P293="toetsen alleen LN",toetsen_alleen_LN(F!$B293,T293),IF($P293="toetsen geen MV en SV",toetsen_geen_MV_en_SV(F!$B293,T293),IF($P293="toetsen alleen MV en SV",toetsen_alleen_MV_en_SV(F!$B293,T293),""))))))</f>
        <v/>
      </c>
      <c r="V293" s="5" t="str">
        <f>IF($P293="toetsen",IF(OR(T293="",VLOOKUP(F!$B293,E!$B$1:$AK$300,10,FALSE)=1000000000),"",IF(T293&lt;=VLOOKUP(F!$B293,E!$B$1:$AK$300,10,FALSE),"ja","nee")),"")</f>
        <v/>
      </c>
      <c r="W293" s="6" t="str">
        <f t="shared" si="105"/>
        <v/>
      </c>
      <c r="X293" s="5" t="str">
        <f>IF($F293="--","",IF($P293="toetsen",toetsen(F!$B293,W293),IF($P293="toetsen alleen IW",toetsen_alleen_IW(F!$B293,W293),IF($P293="toetsen alleen LN",toetsen_alleen_LN(F!$B293,W293),IF($P293="toetsen geen MV en SV",toetsen_geen_MV_en_SV(F!$B293,W293),IF($P293="toetsen alleen MV en SV",toetsen_alleen_MV_en_SV(F!$B293,W293),""))))))</f>
        <v/>
      </c>
      <c r="Y293" s="5" t="str">
        <f>IF($P293="toetsen",IF(OR(W293="",VLOOKUP(F!$B293,E!$B$1:$AK$300,10,FALSE)=1000000000),"",IF(W293&lt;=VLOOKUP(F!$B293,E!$B$1:$AK$300,10,FALSE),"ja","nee")),"")</f>
        <v/>
      </c>
      <c r="AA293" s="4" t="str">
        <f>IFERROR(IF(Q293="","",(IF(Q293&gt;2*VLOOKUP(F!$B293,E!$B$1:$AK$300,5,FALSE),1,0))),"")</f>
        <v/>
      </c>
      <c r="AB293" s="4" t="str">
        <f>IFERROR(IF(T293="","",(IF(T293&gt;2*VLOOKUP(F!$B293,E!$B$1:$AK$300,5,FALSE),1,0))),"")</f>
        <v/>
      </c>
      <c r="AC293" s="4" t="str">
        <f>IFERROR(IF(W293="","",(IF(W293&gt;2*VLOOKUP(F!$B293,E!$B$1:$AK$300,5,FALSE),1,0))),"")</f>
        <v/>
      </c>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6" t="str">
        <f t="shared" si="106"/>
        <v>--</v>
      </c>
      <c r="AJ293" s="6"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6" t="str">
        <f t="shared" si="107"/>
        <v>--</v>
      </c>
      <c r="AL293" s="6"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6" t="str">
        <f t="shared" si="108"/>
        <v>--</v>
      </c>
      <c r="AN293" s="6"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6" t="str">
        <f t="shared" si="95"/>
        <v>--</v>
      </c>
      <c r="AQ293" s="6" t="str">
        <f t="shared" si="96"/>
        <v/>
      </c>
      <c r="AR293" s="6" t="str">
        <f t="shared" si="97"/>
        <v>--</v>
      </c>
      <c r="AS293" s="6" t="str">
        <f t="shared" si="98"/>
        <v/>
      </c>
      <c r="AT293" s="6" t="str">
        <f t="shared" si="99"/>
        <v/>
      </c>
      <c r="AU293" s="6" t="str">
        <f>IFERROR(IF(AR293="--","",IF(HLOOKUP(SMALL($Q$4:$Y$4,3),$Q$4:$Y$501,ROW(AP293)-3,FALSE)=0,"",IF(HLOOKUP(SMALL($Q$4:$Y$4,3),$Q$4:$Y$501,ROW(AP293)-3,FALSE)="nee",VLOOKUP("De kwaliteitseis emissiearme grond (maximale concentratie) wordt overschreden.",H!$O$10:'H'!$P$59,2,FALSE),""))),"")</f>
        <v/>
      </c>
      <c r="AV293" s="6" t="str">
        <f t="shared" si="89"/>
        <v>--</v>
      </c>
      <c r="AW293" s="6" t="str">
        <f t="shared" si="90"/>
        <v/>
      </c>
      <c r="AX293" s="6" t="str">
        <f t="shared" si="91"/>
        <v>--</v>
      </c>
      <c r="AY293" s="6" t="str">
        <f t="shared" si="100"/>
        <v/>
      </c>
      <c r="AZ293" s="6" t="str">
        <f t="shared" si="101"/>
        <v/>
      </c>
      <c r="BA293" s="6" t="str">
        <f>IFERROR(IF(AR293="--","",IF(HLOOKUP(SMALL($Q$4:$Y$4,6),$Q$4:$Y$501,ROW(AP293)-3,FALSE)=0,"",IF(HLOOKUP(SMALL($Q$4:$Y$4,6),$Q$4:$Y$501,ROW(AP293)-3,FALSE)="nee",VLOOKUP("De kwaliteitseis emissiearme grond (maximale concentratie) wordt overschreden.",H!$O$10:'H'!$P$59,2,FALSE),""))),"")</f>
        <v/>
      </c>
      <c r="BB293" s="6" t="str">
        <f t="shared" si="92"/>
        <v>--</v>
      </c>
      <c r="BC293" s="6" t="str">
        <f t="shared" si="93"/>
        <v/>
      </c>
      <c r="BD293" s="6" t="str">
        <f t="shared" si="94"/>
        <v>--</v>
      </c>
      <c r="BE293" s="6" t="str">
        <f t="shared" si="102"/>
        <v/>
      </c>
      <c r="BF293" s="6" t="str">
        <f t="shared" si="103"/>
        <v/>
      </c>
      <c r="BG293" s="4" t="str">
        <f>IFERROR(IF(AR293="--","",IF(HLOOKUP(SMALL($Q$4:$Y$4,9),$Q$4:$Y$501,ROW(AP293)-3,FALSE)=0,"",IF(HLOOKUP(SMALL($Q$4:$Y$4,9),$Q$4:$Y$501,ROW(AP293)-3,FALSE)="nee",VLOOKUP("De kwaliteitseis emissiearme grond (maximale concentratie) wordt overschreden.",H!$O$10:'H'!$P$59,2,FALSE),""))),"")</f>
        <v/>
      </c>
    </row>
    <row r="294" spans="1:59" x14ac:dyDescent="0.2">
      <c r="A294" s="4" t="str">
        <f>F!A294</f>
        <v>Aromatische oplosmiddelen</v>
      </c>
      <c r="B294" s="6" t="str">
        <f>IF(ISNUMBER(F!E294)=FALSE,"--",IF(F!E294=0,"--",F!E294))</f>
        <v>--</v>
      </c>
      <c r="C294" s="6" t="str">
        <f>IF(B294="--","",F!F294)</f>
        <v/>
      </c>
      <c r="D294" s="6" t="str">
        <f>IF(ISNUMBER(F!G294)=FALSE,"--",IF(F!G294=0,"--",F!G294))</f>
        <v>--</v>
      </c>
      <c r="E294" s="6" t="str">
        <f>IF(D294="--","",F!H294)</f>
        <v/>
      </c>
      <c r="F294" s="6" t="str">
        <f>IF(ISNUMBER(F!I294)=FALSE,"--",IF(F!I294=0,"--",F!I294))</f>
        <v>--</v>
      </c>
      <c r="G294" s="6" t="str">
        <f>IF(F294="--","",F!J294)</f>
        <v/>
      </c>
      <c r="H294" s="6"/>
      <c r="I294" s="6" t="str">
        <f>IF(F!Z294=-1,-1,F!AV294)</f>
        <v/>
      </c>
      <c r="J294" s="6"/>
      <c r="K294" s="6" t="str">
        <f>IF(F!AC294=-1,-1,F!AX294)</f>
        <v/>
      </c>
      <c r="L294" s="6"/>
      <c r="M294" s="6" t="str">
        <f>IF(F!AF294=-1,-1,F!AZ294)</f>
        <v/>
      </c>
      <c r="N294" s="6"/>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6" t="str">
        <f t="shared" si="109"/>
        <v/>
      </c>
      <c r="R294" s="5" t="str">
        <f>IF($B294="--","",IF($P294="toetsen",toetsen(F!$B294,Q294),IF($P294="toetsen alleen IW",toetsen_alleen_IW(F!$B294,Q294),IF($P294="toetsen alleen LN",toetsen_alleen_LN(F!$B294,Q294),IF($P294="toetsen geen MV en SV",toetsen_geen_MV_en_SV(F!$B294,Q294),IF($P294="toetsen alleen MV en SV",toetsen_alleen_MV_en_SV(F!$B294,Q294),""))))))</f>
        <v/>
      </c>
      <c r="S294" s="5" t="str">
        <f>IF($P294="toetsen",IF(OR(Q294="",VLOOKUP(F!$B294,E!$B$1:$AK$300,10,FALSE)=1000000000),"",IF(Q294&lt;=VLOOKUP(F!$B294,E!$B$1:$AK$300,10,FALSE),"ja","nee")),"")</f>
        <v/>
      </c>
      <c r="T294" s="87" t="str">
        <f t="shared" si="104"/>
        <v/>
      </c>
      <c r="U294" s="5" t="str">
        <f>IF($D294="--","",IF($P294="toetsen",toetsen(F!$B294,T294),IF($P294="toetsen alleen IW",toetsen_alleen_IW(F!$B294,T294),IF($P294="toetsen alleen LN",toetsen_alleen_LN(F!$B294,T294),IF($P294="toetsen geen MV en SV",toetsen_geen_MV_en_SV(F!$B294,T294),IF($P294="toetsen alleen MV en SV",toetsen_alleen_MV_en_SV(F!$B294,T294),""))))))</f>
        <v/>
      </c>
      <c r="V294" s="5" t="str">
        <f>IF($P294="toetsen",IF(OR(T294="",VLOOKUP(F!$B294,E!$B$1:$AK$300,10,FALSE)=1000000000),"",IF(T294&lt;=VLOOKUP(F!$B294,E!$B$1:$AK$300,10,FALSE),"ja","nee")),"")</f>
        <v/>
      </c>
      <c r="W294" s="6" t="str">
        <f t="shared" si="105"/>
        <v/>
      </c>
      <c r="X294" s="5" t="str">
        <f>IF($F294="--","",IF($P294="toetsen",toetsen(F!$B294,W294),IF($P294="toetsen alleen IW",toetsen_alleen_IW(F!$B294,W294),IF($P294="toetsen alleen LN",toetsen_alleen_LN(F!$B294,W294),IF($P294="toetsen geen MV en SV",toetsen_geen_MV_en_SV(F!$B294,W294),IF($P294="toetsen alleen MV en SV",toetsen_alleen_MV_en_SV(F!$B294,W294),""))))))</f>
        <v/>
      </c>
      <c r="Y294" s="5" t="str">
        <f>IF($P294="toetsen",IF(OR(W294="",VLOOKUP(F!$B294,E!$B$1:$AK$300,10,FALSE)=1000000000),"",IF(W294&lt;=VLOOKUP(F!$B294,E!$B$1:$AK$300,10,FALSE),"ja","nee")),"")</f>
        <v/>
      </c>
      <c r="AA294" s="4" t="str">
        <f>IFERROR(IF(Q294="","",(IF(Q294&gt;2*VLOOKUP(F!$B294,E!$B$1:$AK$300,5,FALSE),1,0))),"")</f>
        <v/>
      </c>
      <c r="AB294" s="4" t="str">
        <f>IFERROR(IF(T294="","",(IF(T294&gt;2*VLOOKUP(F!$B294,E!$B$1:$AK$300,5,FALSE),1,0))),"")</f>
        <v/>
      </c>
      <c r="AC294" s="4" t="str">
        <f>IFERROR(IF(W294="","",(IF(W294&gt;2*VLOOKUP(F!$B294,E!$B$1:$AK$300,5,FALSE),1,0))),"")</f>
        <v/>
      </c>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6" t="str">
        <f t="shared" si="106"/>
        <v>--</v>
      </c>
      <c r="AJ294" s="6"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6" t="str">
        <f t="shared" si="107"/>
        <v>--</v>
      </c>
      <c r="AL294" s="6"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6" t="str">
        <f t="shared" si="108"/>
        <v>--</v>
      </c>
      <c r="AN294" s="6"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6" t="str">
        <f t="shared" si="95"/>
        <v>--</v>
      </c>
      <c r="AQ294" s="6" t="str">
        <f t="shared" si="96"/>
        <v/>
      </c>
      <c r="AR294" s="6" t="str">
        <f t="shared" si="97"/>
        <v>--</v>
      </c>
      <c r="AS294" s="6" t="str">
        <f t="shared" si="98"/>
        <v/>
      </c>
      <c r="AT294" s="6" t="str">
        <f t="shared" si="99"/>
        <v/>
      </c>
      <c r="AU294" s="6" t="str">
        <f>IFERROR(IF(AR294="--","",IF(HLOOKUP(SMALL($Q$4:$Y$4,3),$Q$4:$Y$501,ROW(AP294)-3,FALSE)=0,"",IF(HLOOKUP(SMALL($Q$4:$Y$4,3),$Q$4:$Y$501,ROW(AP294)-3,FALSE)="nee",VLOOKUP("De kwaliteitseis emissiearme grond (maximale concentratie) wordt overschreden.",H!$O$10:'H'!$P$59,2,FALSE),""))),"")</f>
        <v/>
      </c>
      <c r="AV294" s="6" t="str">
        <f t="shared" si="89"/>
        <v>--</v>
      </c>
      <c r="AW294" s="6" t="str">
        <f t="shared" si="90"/>
        <v/>
      </c>
      <c r="AX294" s="6" t="str">
        <f t="shared" si="91"/>
        <v>--</v>
      </c>
      <c r="AY294" s="6" t="str">
        <f t="shared" si="100"/>
        <v/>
      </c>
      <c r="AZ294" s="6" t="str">
        <f t="shared" si="101"/>
        <v/>
      </c>
      <c r="BA294" s="6" t="str">
        <f>IFERROR(IF(AR294="--","",IF(HLOOKUP(SMALL($Q$4:$Y$4,6),$Q$4:$Y$501,ROW(AP294)-3,FALSE)=0,"",IF(HLOOKUP(SMALL($Q$4:$Y$4,6),$Q$4:$Y$501,ROW(AP294)-3,FALSE)="nee",VLOOKUP("De kwaliteitseis emissiearme grond (maximale concentratie) wordt overschreden.",H!$O$10:'H'!$P$59,2,FALSE),""))),"")</f>
        <v/>
      </c>
      <c r="BB294" s="6" t="str">
        <f t="shared" si="92"/>
        <v>--</v>
      </c>
      <c r="BC294" s="6" t="str">
        <f t="shared" si="93"/>
        <v/>
      </c>
      <c r="BD294" s="6" t="str">
        <f t="shared" si="94"/>
        <v>--</v>
      </c>
      <c r="BE294" s="6" t="str">
        <f t="shared" si="102"/>
        <v/>
      </c>
      <c r="BF294" s="6" t="str">
        <f t="shared" si="103"/>
        <v/>
      </c>
      <c r="BG294" s="4" t="str">
        <f>IFERROR(IF(AR294="--","",IF(HLOOKUP(SMALL($Q$4:$Y$4,9),$Q$4:$Y$501,ROW(AP294)-3,FALSE)=0,"",IF(HLOOKUP(SMALL($Q$4:$Y$4,9),$Q$4:$Y$501,ROW(AP294)-3,FALSE)="nee",VLOOKUP("De kwaliteitseis emissiearme grond (maximale concentratie) wordt overschreden.",H!$O$10:'H'!$P$59,2,FALSE),""))),"")</f>
        <v/>
      </c>
    </row>
    <row r="295" spans="1:59" x14ac:dyDescent="0.2">
      <c r="A295" s="4" t="str">
        <f>F!A295</f>
        <v>Chloornaftaleen (som)</v>
      </c>
      <c r="B295" s="6" t="str">
        <f>IF(ISNUMBER(F!E295)=FALSE,"--",IF(F!E295=0,"--",F!E295))</f>
        <v>--</v>
      </c>
      <c r="C295" s="6" t="str">
        <f>IF(B295="--","",F!F295)</f>
        <v/>
      </c>
      <c r="D295" s="6" t="str">
        <f>IF(ISNUMBER(F!G295)=FALSE,"--",IF(F!G295=0,"--",F!G295))</f>
        <v>--</v>
      </c>
      <c r="E295" s="6" t="str">
        <f>IF(D295="--","",F!H295)</f>
        <v/>
      </c>
      <c r="F295" s="6" t="str">
        <f>IF(ISNUMBER(F!I295)=FALSE,"--",IF(F!I295=0,"--",F!I295))</f>
        <v>--</v>
      </c>
      <c r="G295" s="6" t="str">
        <f>IF(F295="--","",F!J295)</f>
        <v/>
      </c>
      <c r="H295" s="6"/>
      <c r="I295" s="6" t="str">
        <f>IF(F!Z295=-1,-1,F!AV295)</f>
        <v/>
      </c>
      <c r="J295" s="6"/>
      <c r="K295" s="6" t="str">
        <f>IF(F!AC295=-1,-1,F!AX295)</f>
        <v/>
      </c>
      <c r="L295" s="6"/>
      <c r="M295" s="6" t="str">
        <f>IF(F!AF295=-1,-1,F!AZ295)</f>
        <v/>
      </c>
      <c r="N295" s="6"/>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6" t="str">
        <f t="shared" si="109"/>
        <v/>
      </c>
      <c r="R295" s="5" t="str">
        <f>IF($B295="--","",IF($P295="toetsen",toetsen(F!$B295,Q295),IF($P295="toetsen alleen IW",toetsen_alleen_IW(F!$B295,Q295),IF($P295="toetsen alleen LN",toetsen_alleen_LN(F!$B295,Q295),IF($P295="toetsen geen MV en SV",toetsen_geen_MV_en_SV(F!$B295,Q295),IF($P295="toetsen alleen MV en SV",toetsen_alleen_MV_en_SV(F!$B295,Q295),""))))))</f>
        <v/>
      </c>
      <c r="S295" s="5" t="str">
        <f>IF($P295="toetsen",IF(OR(Q295="",VLOOKUP(F!$B295,E!$B$1:$AK$300,10,FALSE)=1000000000),"",IF(Q295&lt;=VLOOKUP(F!$B295,E!$B$1:$AK$300,10,FALSE),"ja","nee")),"")</f>
        <v/>
      </c>
      <c r="T295" s="87" t="str">
        <f t="shared" si="104"/>
        <v/>
      </c>
      <c r="U295" s="5" t="str">
        <f>IF($D295="--","",IF($P295="toetsen",toetsen(F!$B295,T295),IF($P295="toetsen alleen IW",toetsen_alleen_IW(F!$B295,T295),IF($P295="toetsen alleen LN",toetsen_alleen_LN(F!$B295,T295),IF($P295="toetsen geen MV en SV",toetsen_geen_MV_en_SV(F!$B295,T295),IF($P295="toetsen alleen MV en SV",toetsen_alleen_MV_en_SV(F!$B295,T295),""))))))</f>
        <v/>
      </c>
      <c r="V295" s="5" t="str">
        <f>IF($P295="toetsen",IF(OR(T295="",VLOOKUP(F!$B295,E!$B$1:$AK$300,10,FALSE)=1000000000),"",IF(T295&lt;=VLOOKUP(F!$B295,E!$B$1:$AK$300,10,FALSE),"ja","nee")),"")</f>
        <v/>
      </c>
      <c r="W295" s="6" t="str">
        <f t="shared" si="105"/>
        <v/>
      </c>
      <c r="X295" s="5" t="str">
        <f>IF($F295="--","",IF($P295="toetsen",toetsen(F!$B295,W295),IF($P295="toetsen alleen IW",toetsen_alleen_IW(F!$B295,W295),IF($P295="toetsen alleen LN",toetsen_alleen_LN(F!$B295,W295),IF($P295="toetsen geen MV en SV",toetsen_geen_MV_en_SV(F!$B295,W295),IF($P295="toetsen alleen MV en SV",toetsen_alleen_MV_en_SV(F!$B295,W295),""))))))</f>
        <v/>
      </c>
      <c r="Y295" s="5" t="str">
        <f>IF($P295="toetsen",IF(OR(W295="",VLOOKUP(F!$B295,E!$B$1:$AK$300,10,FALSE)=1000000000),"",IF(W295&lt;=VLOOKUP(F!$B295,E!$B$1:$AK$300,10,FALSE),"ja","nee")),"")</f>
        <v/>
      </c>
      <c r="AA295" s="4" t="str">
        <f>IFERROR(IF(Q295="","",(IF(Q295&gt;2*VLOOKUP(F!$B295,E!$B$1:$AK$300,5,FALSE),1,0))),"")</f>
        <v/>
      </c>
      <c r="AB295" s="4" t="str">
        <f>IFERROR(IF(T295="","",(IF(T295&gt;2*VLOOKUP(F!$B295,E!$B$1:$AK$300,5,FALSE),1,0))),"")</f>
        <v/>
      </c>
      <c r="AC295" s="4" t="str">
        <f>IFERROR(IF(W295="","",(IF(W295&gt;2*VLOOKUP(F!$B295,E!$B$1:$AK$300,5,FALSE),1,0))),"")</f>
        <v/>
      </c>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6" t="str">
        <f t="shared" si="106"/>
        <v>--</v>
      </c>
      <c r="AJ295" s="6"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6" t="str">
        <f t="shared" si="107"/>
        <v>--</v>
      </c>
      <c r="AL295" s="6"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6" t="str">
        <f t="shared" si="108"/>
        <v>--</v>
      </c>
      <c r="AN295" s="6"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6" t="str">
        <f t="shared" si="95"/>
        <v>--</v>
      </c>
      <c r="AQ295" s="6" t="str">
        <f t="shared" si="96"/>
        <v/>
      </c>
      <c r="AR295" s="6" t="str">
        <f t="shared" si="97"/>
        <v>--</v>
      </c>
      <c r="AS295" s="6" t="str">
        <f t="shared" si="98"/>
        <v/>
      </c>
      <c r="AT295" s="6" t="str">
        <f t="shared" si="99"/>
        <v/>
      </c>
      <c r="AU295" s="6" t="str">
        <f>IFERROR(IF(AR295="--","",IF(HLOOKUP(SMALL($Q$4:$Y$4,3),$Q$4:$Y$501,ROW(AP295)-3,FALSE)=0,"",IF(HLOOKUP(SMALL($Q$4:$Y$4,3),$Q$4:$Y$501,ROW(AP295)-3,FALSE)="nee",VLOOKUP("De kwaliteitseis emissiearme grond (maximale concentratie) wordt overschreden.",H!$O$10:'H'!$P$59,2,FALSE),""))),"")</f>
        <v/>
      </c>
      <c r="AV295" s="6" t="str">
        <f t="shared" si="89"/>
        <v>--</v>
      </c>
      <c r="AW295" s="6" t="str">
        <f t="shared" si="90"/>
        <v/>
      </c>
      <c r="AX295" s="6" t="str">
        <f t="shared" si="91"/>
        <v>--</v>
      </c>
      <c r="AY295" s="6" t="str">
        <f t="shared" si="100"/>
        <v/>
      </c>
      <c r="AZ295" s="6" t="str">
        <f t="shared" si="101"/>
        <v/>
      </c>
      <c r="BA295" s="6" t="str">
        <f>IFERROR(IF(AR295="--","",IF(HLOOKUP(SMALL($Q$4:$Y$4,6),$Q$4:$Y$501,ROW(AP295)-3,FALSE)=0,"",IF(HLOOKUP(SMALL($Q$4:$Y$4,6),$Q$4:$Y$501,ROW(AP295)-3,FALSE)="nee",VLOOKUP("De kwaliteitseis emissiearme grond (maximale concentratie) wordt overschreden.",H!$O$10:'H'!$P$59,2,FALSE),""))),"")</f>
        <v/>
      </c>
      <c r="BB295" s="6" t="str">
        <f t="shared" si="92"/>
        <v>--</v>
      </c>
      <c r="BC295" s="6" t="str">
        <f t="shared" si="93"/>
        <v/>
      </c>
      <c r="BD295" s="6" t="str">
        <f t="shared" si="94"/>
        <v>--</v>
      </c>
      <c r="BE295" s="6" t="str">
        <f t="shared" si="102"/>
        <v/>
      </c>
      <c r="BF295" s="6" t="str">
        <f t="shared" si="103"/>
        <v/>
      </c>
      <c r="BG295" s="4" t="str">
        <f>IFERROR(IF(AR295="--","",IF(HLOOKUP(SMALL($Q$4:$Y$4,9),$Q$4:$Y$501,ROW(AP295)-3,FALSE)=0,"",IF(HLOOKUP(SMALL($Q$4:$Y$4,9),$Q$4:$Y$501,ROW(AP295)-3,FALSE)="nee",VLOOKUP("De kwaliteitseis emissiearme grond (maximale concentratie) wordt overschreden.",H!$O$10:'H'!$P$59,2,FALSE),""))),"")</f>
        <v/>
      </c>
    </row>
    <row r="296" spans="1:59" x14ac:dyDescent="0.2">
      <c r="A296" s="4" t="str">
        <f>F!A296</f>
        <v>Ethyl(tert)butylether (ETBE)</v>
      </c>
      <c r="B296" s="6" t="str">
        <f>IF(ISNUMBER(F!E296)=FALSE,"--",IF(F!E296=0,"--",F!E296))</f>
        <v>--</v>
      </c>
      <c r="C296" s="6" t="str">
        <f>IF(B296="--","",F!F296)</f>
        <v/>
      </c>
      <c r="D296" s="6" t="str">
        <f>IF(ISNUMBER(F!G296)=FALSE,"--",IF(F!G296=0,"--",F!G296))</f>
        <v>--</v>
      </c>
      <c r="E296" s="6" t="str">
        <f>IF(D296="--","",F!H296)</f>
        <v/>
      </c>
      <c r="F296" s="6" t="str">
        <f>IF(ISNUMBER(F!I296)=FALSE,"--",IF(F!I296=0,"--",F!I296))</f>
        <v>--</v>
      </c>
      <c r="G296" s="6" t="str">
        <f>IF(F296="--","",F!J296)</f>
        <v/>
      </c>
      <c r="H296" s="6"/>
      <c r="I296" s="6" t="str">
        <f>IF(F!Z296=-1,-1,F!AV296)</f>
        <v/>
      </c>
      <c r="J296" s="6"/>
      <c r="K296" s="6" t="str">
        <f>IF(F!AC296=-1,-1,F!AX296)</f>
        <v/>
      </c>
      <c r="L296" s="6"/>
      <c r="M296" s="6" t="str">
        <f>IF(F!AF296=-1,-1,F!AZ296)</f>
        <v/>
      </c>
      <c r="N296" s="6"/>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6" t="str">
        <f t="shared" si="109"/>
        <v/>
      </c>
      <c r="R296" s="5" t="str">
        <f>IF($B296="--","",IF($P296="toetsen",toetsen(F!$B296,Q296),IF($P296="toetsen alleen IW",toetsen_alleen_IW(F!$B296,Q296),IF($P296="toetsen alleen LN",toetsen_alleen_LN(F!$B296,Q296),IF($P296="toetsen geen MV en SV",toetsen_geen_MV_en_SV(F!$B296,Q296),IF($P296="toetsen alleen MV en SV",toetsen_alleen_MV_en_SV(F!$B296,Q296),""))))))</f>
        <v/>
      </c>
      <c r="S296" s="5" t="str">
        <f>IF($P296="toetsen",IF(OR(Q296="",VLOOKUP(F!$B296,E!$B$1:$AK$300,10,FALSE)=1000000000),"",IF(Q296&lt;=VLOOKUP(F!$B296,E!$B$1:$AK$300,10,FALSE),"ja","nee")),"")</f>
        <v/>
      </c>
      <c r="T296" s="87" t="str">
        <f t="shared" si="104"/>
        <v/>
      </c>
      <c r="U296" s="5" t="str">
        <f>IF($D296="--","",IF($P296="toetsen",toetsen(F!$B296,T296),IF($P296="toetsen alleen IW",toetsen_alleen_IW(F!$B296,T296),IF($P296="toetsen alleen LN",toetsen_alleen_LN(F!$B296,T296),IF($P296="toetsen geen MV en SV",toetsen_geen_MV_en_SV(F!$B296,T296),IF($P296="toetsen alleen MV en SV",toetsen_alleen_MV_en_SV(F!$B296,T296),""))))))</f>
        <v/>
      </c>
      <c r="V296" s="5" t="str">
        <f>IF($P296="toetsen",IF(OR(T296="",VLOOKUP(F!$B296,E!$B$1:$AK$300,10,FALSE)=1000000000),"",IF(T296&lt;=VLOOKUP(F!$B296,E!$B$1:$AK$300,10,FALSE),"ja","nee")),"")</f>
        <v/>
      </c>
      <c r="W296" s="6" t="str">
        <f t="shared" si="105"/>
        <v/>
      </c>
      <c r="X296" s="5" t="str">
        <f>IF($F296="--","",IF($P296="toetsen",toetsen(F!$B296,W296),IF($P296="toetsen alleen IW",toetsen_alleen_IW(F!$B296,W296),IF($P296="toetsen alleen LN",toetsen_alleen_LN(F!$B296,W296),IF($P296="toetsen geen MV en SV",toetsen_geen_MV_en_SV(F!$B296,W296),IF($P296="toetsen alleen MV en SV",toetsen_alleen_MV_en_SV(F!$B296,W296),""))))))</f>
        <v/>
      </c>
      <c r="Y296" s="5" t="str">
        <f>IF($P296="toetsen",IF(OR(W296="",VLOOKUP(F!$B296,E!$B$1:$AK$300,10,FALSE)=1000000000),"",IF(W296&lt;=VLOOKUP(F!$B296,E!$B$1:$AK$300,10,FALSE),"ja","nee")),"")</f>
        <v/>
      </c>
      <c r="AA296" s="4" t="str">
        <f>IFERROR(IF(Q296="","",(IF(Q296&gt;2*VLOOKUP(F!$B296,E!$B$1:$AK$300,5,FALSE),1,0))),"")</f>
        <v/>
      </c>
      <c r="AB296" s="4" t="str">
        <f>IFERROR(IF(T296="","",(IF(T296&gt;2*VLOOKUP(F!$B296,E!$B$1:$AK$300,5,FALSE),1,0))),"")</f>
        <v/>
      </c>
      <c r="AC296" s="4" t="str">
        <f>IFERROR(IF(W296="","",(IF(W296&gt;2*VLOOKUP(F!$B296,E!$B$1:$AK$300,5,FALSE),1,0))),"")</f>
        <v/>
      </c>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6" t="str">
        <f t="shared" si="106"/>
        <v>--</v>
      </c>
      <c r="AJ296" s="6"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6" t="str">
        <f t="shared" si="107"/>
        <v>--</v>
      </c>
      <c r="AL296" s="6"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6" t="str">
        <f t="shared" si="108"/>
        <v>--</v>
      </c>
      <c r="AN296" s="6"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6" t="str">
        <f t="shared" si="95"/>
        <v>--</v>
      </c>
      <c r="AQ296" s="6" t="str">
        <f t="shared" si="96"/>
        <v/>
      </c>
      <c r="AR296" s="6" t="str">
        <f t="shared" si="97"/>
        <v>--</v>
      </c>
      <c r="AS296" s="6" t="str">
        <f t="shared" si="98"/>
        <v/>
      </c>
      <c r="AT296" s="6" t="str">
        <f t="shared" si="99"/>
        <v/>
      </c>
      <c r="AU296" s="6" t="str">
        <f>IFERROR(IF(AR296="--","",IF(HLOOKUP(SMALL($Q$4:$Y$4,3),$Q$4:$Y$501,ROW(AP296)-3,FALSE)=0,"",IF(HLOOKUP(SMALL($Q$4:$Y$4,3),$Q$4:$Y$501,ROW(AP296)-3,FALSE)="nee",VLOOKUP("De kwaliteitseis emissiearme grond (maximale concentratie) wordt overschreden.",H!$O$10:'H'!$P$59,2,FALSE),""))),"")</f>
        <v/>
      </c>
      <c r="AV296" s="6" t="str">
        <f t="shared" si="89"/>
        <v>--</v>
      </c>
      <c r="AW296" s="6" t="str">
        <f t="shared" si="90"/>
        <v/>
      </c>
      <c r="AX296" s="6" t="str">
        <f t="shared" si="91"/>
        <v>--</v>
      </c>
      <c r="AY296" s="6" t="str">
        <f t="shared" si="100"/>
        <v/>
      </c>
      <c r="AZ296" s="6" t="str">
        <f t="shared" si="101"/>
        <v/>
      </c>
      <c r="BA296" s="6" t="str">
        <f>IFERROR(IF(AR296="--","",IF(HLOOKUP(SMALL($Q$4:$Y$4,6),$Q$4:$Y$501,ROW(AP296)-3,FALSE)=0,"",IF(HLOOKUP(SMALL($Q$4:$Y$4,6),$Q$4:$Y$501,ROW(AP296)-3,FALSE)="nee",VLOOKUP("De kwaliteitseis emissiearme grond (maximale concentratie) wordt overschreden.",H!$O$10:'H'!$P$59,2,FALSE),""))),"")</f>
        <v/>
      </c>
      <c r="BB296" s="6" t="str">
        <f t="shared" si="92"/>
        <v>--</v>
      </c>
      <c r="BC296" s="6" t="str">
        <f t="shared" si="93"/>
        <v/>
      </c>
      <c r="BD296" s="6" t="str">
        <f t="shared" si="94"/>
        <v>--</v>
      </c>
      <c r="BE296" s="6" t="str">
        <f t="shared" si="102"/>
        <v/>
      </c>
      <c r="BF296" s="6" t="str">
        <f t="shared" si="103"/>
        <v/>
      </c>
      <c r="BG296" s="4" t="str">
        <f>IFERROR(IF(AR296="--","",IF(HLOOKUP(SMALL($Q$4:$Y$4,9),$Q$4:$Y$501,ROW(AP296)-3,FALSE)=0,"",IF(HLOOKUP(SMALL($Q$4:$Y$4,9),$Q$4:$Y$501,ROW(AP296)-3,FALSE)="nee",VLOOKUP("De kwaliteitseis emissiearme grond (maximale concentratie) wordt overschreden.",H!$O$10:'H'!$P$59,2,FALSE),""))),"")</f>
        <v/>
      </c>
    </row>
    <row r="297" spans="1:59" x14ac:dyDescent="0.2">
      <c r="A297" s="4" t="str">
        <f>F!A297</f>
        <v>Methyl(tert)butylether (MTBE)</v>
      </c>
      <c r="B297" s="6" t="str">
        <f>IF(ISNUMBER(F!E297)=FALSE,"--",IF(F!E297=0,"--",F!E297))</f>
        <v>--</v>
      </c>
      <c r="C297" s="6" t="str">
        <f>IF(B297="--","",F!F297)</f>
        <v/>
      </c>
      <c r="D297" s="6" t="str">
        <f>IF(ISNUMBER(F!G297)=FALSE,"--",IF(F!G297=0,"--",F!G297))</f>
        <v>--</v>
      </c>
      <c r="E297" s="6" t="str">
        <f>IF(D297="--","",F!H297)</f>
        <v/>
      </c>
      <c r="F297" s="6" t="str">
        <f>IF(ISNUMBER(F!I297)=FALSE,"--",IF(F!I297=0,"--",F!I297))</f>
        <v>--</v>
      </c>
      <c r="G297" s="6" t="str">
        <f>IF(F297="--","",F!J297)</f>
        <v/>
      </c>
      <c r="H297" s="6"/>
      <c r="I297" s="6" t="str">
        <f>IF(F!Z297=-1,-1,F!AV297)</f>
        <v/>
      </c>
      <c r="J297" s="6"/>
      <c r="K297" s="6" t="str">
        <f>IF(F!AC297=-1,-1,F!AX297)</f>
        <v/>
      </c>
      <c r="L297" s="6"/>
      <c r="M297" s="6" t="str">
        <f>IF(F!AF297=-1,-1,F!AZ297)</f>
        <v/>
      </c>
      <c r="N297" s="6"/>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6" t="str">
        <f t="shared" si="109"/>
        <v/>
      </c>
      <c r="R297" s="5" t="str">
        <f>IF($B297="--","",IF($P297="toetsen",toetsen(F!$B297,Q297),IF($P297="toetsen alleen IW",toetsen_alleen_IW(F!$B297,Q297),IF($P297="toetsen alleen LN",toetsen_alleen_LN(F!$B297,Q297),IF($P297="toetsen geen MV en SV",toetsen_geen_MV_en_SV(F!$B297,Q297),IF($P297="toetsen alleen MV en SV",toetsen_alleen_MV_en_SV(F!$B297,Q297),""))))))</f>
        <v/>
      </c>
      <c r="S297" s="5" t="str">
        <f>IF($P297="toetsen",IF(OR(Q297="",VLOOKUP(F!$B297,E!$B$1:$AK$300,10,FALSE)=1000000000),"",IF(Q297&lt;=VLOOKUP(F!$B297,E!$B$1:$AK$300,10,FALSE),"ja","nee")),"")</f>
        <v/>
      </c>
      <c r="T297" s="87" t="str">
        <f t="shared" si="104"/>
        <v/>
      </c>
      <c r="U297" s="5" t="str">
        <f>IF($D297="--","",IF($P297="toetsen",toetsen(F!$B297,T297),IF($P297="toetsen alleen IW",toetsen_alleen_IW(F!$B297,T297),IF($P297="toetsen alleen LN",toetsen_alleen_LN(F!$B297,T297),IF($P297="toetsen geen MV en SV",toetsen_geen_MV_en_SV(F!$B297,T297),IF($P297="toetsen alleen MV en SV",toetsen_alleen_MV_en_SV(F!$B297,T297),""))))))</f>
        <v/>
      </c>
      <c r="V297" s="5" t="str">
        <f>IF($P297="toetsen",IF(OR(T297="",VLOOKUP(F!$B297,E!$B$1:$AK$300,10,FALSE)=1000000000),"",IF(T297&lt;=VLOOKUP(F!$B297,E!$B$1:$AK$300,10,FALSE),"ja","nee")),"")</f>
        <v/>
      </c>
      <c r="W297" s="6" t="str">
        <f t="shared" si="105"/>
        <v/>
      </c>
      <c r="X297" s="5" t="str">
        <f>IF($F297="--","",IF($P297="toetsen",toetsen(F!$B297,W297),IF($P297="toetsen alleen IW",toetsen_alleen_IW(F!$B297,W297),IF($P297="toetsen alleen LN",toetsen_alleen_LN(F!$B297,W297),IF($P297="toetsen geen MV en SV",toetsen_geen_MV_en_SV(F!$B297,W297),IF($P297="toetsen alleen MV en SV",toetsen_alleen_MV_en_SV(F!$B297,W297),""))))))</f>
        <v/>
      </c>
      <c r="Y297" s="5" t="str">
        <f>IF($P297="toetsen",IF(OR(W297="",VLOOKUP(F!$B297,E!$B$1:$AK$300,10,FALSE)=1000000000),"",IF(W297&lt;=VLOOKUP(F!$B297,E!$B$1:$AK$300,10,FALSE),"ja","nee")),"")</f>
        <v/>
      </c>
      <c r="AA297" s="4" t="str">
        <f>IFERROR(IF(Q297="","",(IF(Q297&gt;2*VLOOKUP(F!$B297,E!$B$1:$AK$300,5,FALSE),1,0))),"")</f>
        <v/>
      </c>
      <c r="AB297" s="4" t="str">
        <f>IFERROR(IF(T297="","",(IF(T297&gt;2*VLOOKUP(F!$B297,E!$B$1:$AK$300,5,FALSE),1,0))),"")</f>
        <v/>
      </c>
      <c r="AC297" s="4" t="str">
        <f>IFERROR(IF(W297="","",(IF(W297&gt;2*VLOOKUP(F!$B297,E!$B$1:$AK$300,5,FALSE),1,0))),"")</f>
        <v/>
      </c>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6" t="str">
        <f t="shared" si="106"/>
        <v>--</v>
      </c>
      <c r="AJ297" s="6"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6" t="str">
        <f t="shared" si="107"/>
        <v>--</v>
      </c>
      <c r="AL297" s="6"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6" t="str">
        <f t="shared" si="108"/>
        <v>--</v>
      </c>
      <c r="AN297" s="6"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6" t="str">
        <f t="shared" si="95"/>
        <v>--</v>
      </c>
      <c r="AQ297" s="6" t="str">
        <f t="shared" si="96"/>
        <v/>
      </c>
      <c r="AR297" s="6" t="str">
        <f t="shared" si="97"/>
        <v>--</v>
      </c>
      <c r="AS297" s="6" t="str">
        <f t="shared" si="98"/>
        <v/>
      </c>
      <c r="AT297" s="6" t="str">
        <f t="shared" si="99"/>
        <v/>
      </c>
      <c r="AU297" s="6" t="str">
        <f>IFERROR(IF(AR297="--","",IF(HLOOKUP(SMALL($Q$4:$Y$4,3),$Q$4:$Y$501,ROW(AP297)-3,FALSE)=0,"",IF(HLOOKUP(SMALL($Q$4:$Y$4,3),$Q$4:$Y$501,ROW(AP297)-3,FALSE)="nee",VLOOKUP("De kwaliteitseis emissiearme grond (maximale concentratie) wordt overschreden.",H!$O$10:'H'!$P$59,2,FALSE),""))),"")</f>
        <v/>
      </c>
      <c r="AV297" s="6" t="str">
        <f t="shared" si="89"/>
        <v>--</v>
      </c>
      <c r="AW297" s="6" t="str">
        <f t="shared" si="90"/>
        <v/>
      </c>
      <c r="AX297" s="6" t="str">
        <f t="shared" si="91"/>
        <v>--</v>
      </c>
      <c r="AY297" s="6" t="str">
        <f t="shared" si="100"/>
        <v/>
      </c>
      <c r="AZ297" s="6" t="str">
        <f t="shared" si="101"/>
        <v/>
      </c>
      <c r="BA297" s="6" t="str">
        <f>IFERROR(IF(AR297="--","",IF(HLOOKUP(SMALL($Q$4:$Y$4,6),$Q$4:$Y$501,ROW(AP297)-3,FALSE)=0,"",IF(HLOOKUP(SMALL($Q$4:$Y$4,6),$Q$4:$Y$501,ROW(AP297)-3,FALSE)="nee",VLOOKUP("De kwaliteitseis emissiearme grond (maximale concentratie) wordt overschreden.",H!$O$10:'H'!$P$59,2,FALSE),""))),"")</f>
        <v/>
      </c>
      <c r="BB297" s="6" t="str">
        <f t="shared" si="92"/>
        <v>--</v>
      </c>
      <c r="BC297" s="6" t="str">
        <f t="shared" si="93"/>
        <v/>
      </c>
      <c r="BD297" s="6" t="str">
        <f t="shared" si="94"/>
        <v>--</v>
      </c>
      <c r="BE297" s="6" t="str">
        <f t="shared" si="102"/>
        <v/>
      </c>
      <c r="BF297" s="6" t="str">
        <f t="shared" si="103"/>
        <v/>
      </c>
      <c r="BG297" s="4" t="str">
        <f>IFERROR(IF(AR297="--","",IF(HLOOKUP(SMALL($Q$4:$Y$4,9),$Q$4:$Y$501,ROW(AP297)-3,FALSE)=0,"",IF(HLOOKUP(SMALL($Q$4:$Y$4,9),$Q$4:$Y$501,ROW(AP297)-3,FALSE)="nee",VLOOKUP("De kwaliteitseis emissiearme grond (maximale concentratie) wordt overschreden.",H!$O$10:'H'!$P$59,2,FALSE),""))),"")</f>
        <v/>
      </c>
    </row>
    <row r="298" spans="1:59" x14ac:dyDescent="0.2">
      <c r="A298" s="4" t="str">
        <f>F!A298</f>
        <v>Monochlooranilinen (som)</v>
      </c>
      <c r="B298" s="6" t="str">
        <f>IF(ISNUMBER(F!E298)=FALSE,"--",IF(F!E298=0,"--",F!E298))</f>
        <v>--</v>
      </c>
      <c r="C298" s="6" t="str">
        <f>IF(B298="--","",F!F298)</f>
        <v/>
      </c>
      <c r="D298" s="6" t="str">
        <f>IF(ISNUMBER(F!G298)=FALSE,"--",IF(F!G298=0,"--",F!G298))</f>
        <v>--</v>
      </c>
      <c r="E298" s="6" t="str">
        <f>IF(D298="--","",F!H298)</f>
        <v/>
      </c>
      <c r="F298" s="6" t="str">
        <f>IF(ISNUMBER(F!I298)=FALSE,"--",IF(F!I298=0,"--",F!I298))</f>
        <v>--</v>
      </c>
      <c r="G298" s="6" t="str">
        <f>IF(F298="--","",F!J298)</f>
        <v/>
      </c>
      <c r="H298" s="6"/>
      <c r="I298" s="6" t="str">
        <f>IF(F!Z298=-1,-1,F!AV298)</f>
        <v/>
      </c>
      <c r="J298" s="6"/>
      <c r="K298" s="6" t="str">
        <f>IF(F!AC298=-1,-1,F!AX298)</f>
        <v/>
      </c>
      <c r="L298" s="6"/>
      <c r="M298" s="6" t="str">
        <f>IF(F!AF298=-1,-1,F!AZ298)</f>
        <v/>
      </c>
      <c r="N298" s="6"/>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6" t="str">
        <f t="shared" si="109"/>
        <v/>
      </c>
      <c r="R298" s="5" t="str">
        <f>IF($B298="--","",IF($P298="toetsen",toetsen(F!$B298,Q298),IF($P298="toetsen alleen IW",toetsen_alleen_IW(F!$B298,Q298),IF($P298="toetsen alleen LN",toetsen_alleen_LN(F!$B298,Q298),IF($P298="toetsen geen MV en SV",toetsen_geen_MV_en_SV(F!$B298,Q298),IF($P298="toetsen alleen MV en SV",toetsen_alleen_MV_en_SV(F!$B298,Q298),""))))))</f>
        <v/>
      </c>
      <c r="S298" s="5" t="str">
        <f>IF($P298="toetsen",IF(OR(Q298="",VLOOKUP(F!$B298,E!$B$1:$AK$300,10,FALSE)=1000000000),"",IF(Q298&lt;=VLOOKUP(F!$B298,E!$B$1:$AK$300,10,FALSE),"ja","nee")),"")</f>
        <v/>
      </c>
      <c r="T298" s="87" t="str">
        <f t="shared" si="104"/>
        <v/>
      </c>
      <c r="U298" s="5" t="str">
        <f>IF($D298="--","",IF($P298="toetsen",toetsen(F!$B298,T298),IF($P298="toetsen alleen IW",toetsen_alleen_IW(F!$B298,T298),IF($P298="toetsen alleen LN",toetsen_alleen_LN(F!$B298,T298),IF($P298="toetsen geen MV en SV",toetsen_geen_MV_en_SV(F!$B298,T298),IF($P298="toetsen alleen MV en SV",toetsen_alleen_MV_en_SV(F!$B298,T298),""))))))</f>
        <v/>
      </c>
      <c r="V298" s="5" t="str">
        <f>IF($P298="toetsen",IF(OR(T298="",VLOOKUP(F!$B298,E!$B$1:$AK$300,10,FALSE)=1000000000),"",IF(T298&lt;=VLOOKUP(F!$B298,E!$B$1:$AK$300,10,FALSE),"ja","nee")),"")</f>
        <v/>
      </c>
      <c r="W298" s="6" t="str">
        <f t="shared" si="105"/>
        <v/>
      </c>
      <c r="X298" s="5" t="str">
        <f>IF($F298="--","",IF($P298="toetsen",toetsen(F!$B298,W298),IF($P298="toetsen alleen IW",toetsen_alleen_IW(F!$B298,W298),IF($P298="toetsen alleen LN",toetsen_alleen_LN(F!$B298,W298),IF($P298="toetsen geen MV en SV",toetsen_geen_MV_en_SV(F!$B298,W298),IF($P298="toetsen alleen MV en SV",toetsen_alleen_MV_en_SV(F!$B298,W298),""))))))</f>
        <v/>
      </c>
      <c r="Y298" s="5" t="str">
        <f>IF($P298="toetsen",IF(OR(W298="",VLOOKUP(F!$B298,E!$B$1:$AK$300,10,FALSE)=1000000000),"",IF(W298&lt;=VLOOKUP(F!$B298,E!$B$1:$AK$300,10,FALSE),"ja","nee")),"")</f>
        <v/>
      </c>
      <c r="AA298" s="4" t="str">
        <f>IFERROR(IF(Q298="","",(IF(Q298&gt;2*VLOOKUP(F!$B298,E!$B$1:$AK$300,5,FALSE),1,0))),"")</f>
        <v/>
      </c>
      <c r="AB298" s="4" t="str">
        <f>IFERROR(IF(T298="","",(IF(T298&gt;2*VLOOKUP(F!$B298,E!$B$1:$AK$300,5,FALSE),1,0))),"")</f>
        <v/>
      </c>
      <c r="AC298" s="4" t="str">
        <f>IFERROR(IF(W298="","",(IF(W298&gt;2*VLOOKUP(F!$B298,E!$B$1:$AK$300,5,FALSE),1,0))),"")</f>
        <v/>
      </c>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6" t="str">
        <f t="shared" si="106"/>
        <v>--</v>
      </c>
      <c r="AJ298" s="6"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6" t="str">
        <f t="shared" si="107"/>
        <v>--</v>
      </c>
      <c r="AL298" s="6"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6" t="str">
        <f t="shared" si="108"/>
        <v>--</v>
      </c>
      <c r="AN298" s="6"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6" t="str">
        <f t="shared" si="95"/>
        <v>--</v>
      </c>
      <c r="AQ298" s="6" t="str">
        <f t="shared" si="96"/>
        <v/>
      </c>
      <c r="AR298" s="6" t="str">
        <f t="shared" si="97"/>
        <v>--</v>
      </c>
      <c r="AS298" s="6" t="str">
        <f t="shared" si="98"/>
        <v/>
      </c>
      <c r="AT298" s="6" t="str">
        <f t="shared" si="99"/>
        <v/>
      </c>
      <c r="AU298" s="6" t="str">
        <f>IFERROR(IF(AR298="--","",IF(HLOOKUP(SMALL($Q$4:$Y$4,3),$Q$4:$Y$501,ROW(AP298)-3,FALSE)=0,"",IF(HLOOKUP(SMALL($Q$4:$Y$4,3),$Q$4:$Y$501,ROW(AP298)-3,FALSE)="nee",VLOOKUP("De kwaliteitseis emissiearme grond (maximale concentratie) wordt overschreden.",H!$O$10:'H'!$P$59,2,FALSE),""))),"")</f>
        <v/>
      </c>
      <c r="AV298" s="6" t="str">
        <f t="shared" si="89"/>
        <v>--</v>
      </c>
      <c r="AW298" s="6" t="str">
        <f t="shared" si="90"/>
        <v/>
      </c>
      <c r="AX298" s="6" t="str">
        <f t="shared" si="91"/>
        <v>--</v>
      </c>
      <c r="AY298" s="6" t="str">
        <f t="shared" si="100"/>
        <v/>
      </c>
      <c r="AZ298" s="6" t="str">
        <f t="shared" si="101"/>
        <v/>
      </c>
      <c r="BA298" s="6" t="str">
        <f>IFERROR(IF(AR298="--","",IF(HLOOKUP(SMALL($Q$4:$Y$4,6),$Q$4:$Y$501,ROW(AP298)-3,FALSE)=0,"",IF(HLOOKUP(SMALL($Q$4:$Y$4,6),$Q$4:$Y$501,ROW(AP298)-3,FALSE)="nee",VLOOKUP("De kwaliteitseis emissiearme grond (maximale concentratie) wordt overschreden.",H!$O$10:'H'!$P$59,2,FALSE),""))),"")</f>
        <v/>
      </c>
      <c r="BB298" s="6" t="str">
        <f t="shared" si="92"/>
        <v>--</v>
      </c>
      <c r="BC298" s="6" t="str">
        <f t="shared" si="93"/>
        <v/>
      </c>
      <c r="BD298" s="6" t="str">
        <f t="shared" si="94"/>
        <v>--</v>
      </c>
      <c r="BE298" s="6" t="str">
        <f t="shared" si="102"/>
        <v/>
      </c>
      <c r="BF298" s="6" t="str">
        <f t="shared" si="103"/>
        <v/>
      </c>
      <c r="BG298" s="4" t="str">
        <f>IFERROR(IF(AR298="--","",IF(HLOOKUP(SMALL($Q$4:$Y$4,9),$Q$4:$Y$501,ROW(AP298)-3,FALSE)=0,"",IF(HLOOKUP(SMALL($Q$4:$Y$4,9),$Q$4:$Y$501,ROW(AP298)-3,FALSE)="nee",VLOOKUP("De kwaliteitseis emissiearme grond (maximale concentratie) wordt overschreden.",H!$O$10:'H'!$P$59,2,FALSE),""))),"")</f>
        <v/>
      </c>
    </row>
    <row r="299" spans="1:59" x14ac:dyDescent="0.2">
      <c r="A299" s="4" t="str">
        <f>F!A299</f>
        <v>Pentachlooranlinine (som)</v>
      </c>
      <c r="B299" s="6" t="str">
        <f>IF(ISNUMBER(F!E299)=FALSE,"--",IF(F!E299=0,"--",F!E299))</f>
        <v>--</v>
      </c>
      <c r="C299" s="6" t="str">
        <f>IF(B299="--","",F!F299)</f>
        <v/>
      </c>
      <c r="D299" s="6" t="str">
        <f>IF(ISNUMBER(F!G299)=FALSE,"--",IF(F!G299=0,"--",F!G299))</f>
        <v>--</v>
      </c>
      <c r="E299" s="6" t="str">
        <f>IF(D299="--","",F!H299)</f>
        <v/>
      </c>
      <c r="F299" s="6" t="str">
        <f>IF(ISNUMBER(F!I299)=FALSE,"--",IF(F!I299=0,"--",F!I299))</f>
        <v>--</v>
      </c>
      <c r="G299" s="6" t="str">
        <f>IF(F299="--","",F!J299)</f>
        <v/>
      </c>
      <c r="H299" s="6"/>
      <c r="I299" s="6" t="str">
        <f>IF(F!Z299=-1,-1,F!AV299)</f>
        <v/>
      </c>
      <c r="J299" s="6"/>
      <c r="K299" s="6" t="str">
        <f>IF(F!AC299=-1,-1,F!AX299)</f>
        <v/>
      </c>
      <c r="L299" s="6"/>
      <c r="M299" s="6" t="str">
        <f>IF(F!AF299=-1,-1,F!AZ299)</f>
        <v/>
      </c>
      <c r="N299" s="6"/>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6" t="str">
        <f t="shared" si="109"/>
        <v/>
      </c>
      <c r="R299" s="5" t="str">
        <f>IF($B299="--","",IF($P299="toetsen",toetsen(F!$B299,Q299),IF($P299="toetsen alleen IW",toetsen_alleen_IW(F!$B299,Q299),IF($P299="toetsen alleen LN",toetsen_alleen_LN(F!$B299,Q299),IF($P299="toetsen geen MV en SV",toetsen_geen_MV_en_SV(F!$B299,Q299),IF($P299="toetsen alleen MV en SV",toetsen_alleen_MV_en_SV(F!$B299,Q299),""))))))</f>
        <v/>
      </c>
      <c r="S299" s="5" t="str">
        <f>IF($P299="toetsen",IF(OR(Q299="",VLOOKUP(F!$B299,E!$B$1:$AK$300,10,FALSE)=1000000000),"",IF(Q299&lt;=VLOOKUP(F!$B299,E!$B$1:$AK$300,10,FALSE),"ja","nee")),"")</f>
        <v/>
      </c>
      <c r="T299" s="87" t="str">
        <f t="shared" si="104"/>
        <v/>
      </c>
      <c r="U299" s="5" t="str">
        <f>IF($D299="--","",IF($P299="toetsen",toetsen(F!$B299,T299),IF($P299="toetsen alleen IW",toetsen_alleen_IW(F!$B299,T299),IF($P299="toetsen alleen LN",toetsen_alleen_LN(F!$B299,T299),IF($P299="toetsen geen MV en SV",toetsen_geen_MV_en_SV(F!$B299,T299),IF($P299="toetsen alleen MV en SV",toetsen_alleen_MV_en_SV(F!$B299,T299),""))))))</f>
        <v/>
      </c>
      <c r="V299" s="5" t="str">
        <f>IF($P299="toetsen",IF(OR(T299="",VLOOKUP(F!$B299,E!$B$1:$AK$300,10,FALSE)=1000000000),"",IF(T299&lt;=VLOOKUP(F!$B299,E!$B$1:$AK$300,10,FALSE),"ja","nee")),"")</f>
        <v/>
      </c>
      <c r="W299" s="6" t="str">
        <f t="shared" si="105"/>
        <v/>
      </c>
      <c r="X299" s="5" t="str">
        <f>IF($F299="--","",IF($P299="toetsen",toetsen(F!$B299,W299),IF($P299="toetsen alleen IW",toetsen_alleen_IW(F!$B299,W299),IF($P299="toetsen alleen LN",toetsen_alleen_LN(F!$B299,W299),IF($P299="toetsen geen MV en SV",toetsen_geen_MV_en_SV(F!$B299,W299),IF($P299="toetsen alleen MV en SV",toetsen_alleen_MV_en_SV(F!$B299,W299),""))))))</f>
        <v/>
      </c>
      <c r="Y299" s="5" t="str">
        <f>IF($P299="toetsen",IF(OR(W299="",VLOOKUP(F!$B299,E!$B$1:$AK$300,10,FALSE)=1000000000),"",IF(W299&lt;=VLOOKUP(F!$B299,E!$B$1:$AK$300,10,FALSE),"ja","nee")),"")</f>
        <v/>
      </c>
      <c r="AA299" s="4" t="str">
        <f>IFERROR(IF(Q299="","",(IF(Q299&gt;2*VLOOKUP(F!$B299,E!$B$1:$AK$300,5,FALSE),1,0))),"")</f>
        <v/>
      </c>
      <c r="AB299" s="4" t="str">
        <f>IFERROR(IF(T299="","",(IF(T299&gt;2*VLOOKUP(F!$B299,E!$B$1:$AK$300,5,FALSE),1,0))),"")</f>
        <v/>
      </c>
      <c r="AC299" s="4" t="str">
        <f>IFERROR(IF(W299="","",(IF(W299&gt;2*VLOOKUP(F!$B299,E!$B$1:$AK$300,5,FALSE),1,0))),"")</f>
        <v/>
      </c>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6" t="str">
        <f t="shared" si="106"/>
        <v>--</v>
      </c>
      <c r="AJ299" s="6"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6" t="str">
        <f t="shared" si="107"/>
        <v>--</v>
      </c>
      <c r="AL299" s="6"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6" t="str">
        <f t="shared" si="108"/>
        <v>--</v>
      </c>
      <c r="AN299" s="6"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6" t="str">
        <f t="shared" si="95"/>
        <v>--</v>
      </c>
      <c r="AQ299" s="6" t="str">
        <f t="shared" si="96"/>
        <v/>
      </c>
      <c r="AR299" s="6" t="str">
        <f t="shared" si="97"/>
        <v>--</v>
      </c>
      <c r="AS299" s="6" t="str">
        <f t="shared" si="98"/>
        <v/>
      </c>
      <c r="AT299" s="6" t="str">
        <f t="shared" si="99"/>
        <v/>
      </c>
      <c r="AU299" s="6" t="str">
        <f>IFERROR(IF(AR299="--","",IF(HLOOKUP(SMALL($Q$4:$Y$4,3),$Q$4:$Y$501,ROW(AP299)-3,FALSE)=0,"",IF(HLOOKUP(SMALL($Q$4:$Y$4,3),$Q$4:$Y$501,ROW(AP299)-3,FALSE)="nee",VLOOKUP("De kwaliteitseis emissiearme grond (maximale concentratie) wordt overschreden.",H!$O$10:'H'!$P$59,2,FALSE),""))),"")</f>
        <v/>
      </c>
      <c r="AV299" s="6" t="str">
        <f t="shared" si="89"/>
        <v>--</v>
      </c>
      <c r="AW299" s="6" t="str">
        <f t="shared" si="90"/>
        <v/>
      </c>
      <c r="AX299" s="6" t="str">
        <f t="shared" si="91"/>
        <v>--</v>
      </c>
      <c r="AY299" s="6" t="str">
        <f t="shared" si="100"/>
        <v/>
      </c>
      <c r="AZ299" s="6" t="str">
        <f t="shared" si="101"/>
        <v/>
      </c>
      <c r="BA299" s="6" t="str">
        <f>IFERROR(IF(AR299="--","",IF(HLOOKUP(SMALL($Q$4:$Y$4,6),$Q$4:$Y$501,ROW(AP299)-3,FALSE)=0,"",IF(HLOOKUP(SMALL($Q$4:$Y$4,6),$Q$4:$Y$501,ROW(AP299)-3,FALSE)="nee",VLOOKUP("De kwaliteitseis emissiearme grond (maximale concentratie) wordt overschreden.",H!$O$10:'H'!$P$59,2,FALSE),""))),"")</f>
        <v/>
      </c>
      <c r="BB299" s="6" t="str">
        <f t="shared" si="92"/>
        <v>--</v>
      </c>
      <c r="BC299" s="6" t="str">
        <f t="shared" si="93"/>
        <v/>
      </c>
      <c r="BD299" s="6" t="str">
        <f t="shared" si="94"/>
        <v>--</v>
      </c>
      <c r="BE299" s="6" t="str">
        <f t="shared" si="102"/>
        <v/>
      </c>
      <c r="BF299" s="6" t="str">
        <f t="shared" si="103"/>
        <v/>
      </c>
      <c r="BG299" s="4" t="str">
        <f>IFERROR(IF(AR299="--","",IF(HLOOKUP(SMALL($Q$4:$Y$4,9),$Q$4:$Y$501,ROW(AP299)-3,FALSE)=0,"",IF(HLOOKUP(SMALL($Q$4:$Y$4,9),$Q$4:$Y$501,ROW(AP299)-3,FALSE)="nee",VLOOKUP("De kwaliteitseis emissiearme grond (maximale concentratie) wordt overschreden.",H!$O$10:'H'!$P$59,2,FALSE),""))),"")</f>
        <v/>
      </c>
    </row>
    <row r="300" spans="1:59" x14ac:dyDescent="0.2">
      <c r="A300" s="4" t="str">
        <f>F!A300</f>
        <v>Dioxine (som I-TEQ)</v>
      </c>
      <c r="B300" s="6" t="str">
        <f>IF(ISNUMBER(F!E300)=FALSE,"--",IF(F!E300=0,"--",F!E300))</f>
        <v>--</v>
      </c>
      <c r="C300" s="6" t="str">
        <f>IF(B300="--","",F!F300)</f>
        <v/>
      </c>
      <c r="D300" s="6" t="str">
        <f>IF(ISNUMBER(F!G300)=FALSE,"--",IF(F!G300=0,"--",F!G300))</f>
        <v>--</v>
      </c>
      <c r="E300" s="6" t="str">
        <f>IF(D300="--","",F!H300)</f>
        <v/>
      </c>
      <c r="F300" s="6" t="str">
        <f>IF(ISNUMBER(F!I300)=FALSE,"--",IF(F!I300=0,"--",F!I300))</f>
        <v>--</v>
      </c>
      <c r="G300" s="6" t="str">
        <f>IF(F300="--","",F!J300)</f>
        <v/>
      </c>
      <c r="H300" s="6"/>
      <c r="I300" s="6" t="str">
        <f>IF(F!Z300=-1,-1,F!AV300)</f>
        <v/>
      </c>
      <c r="J300" s="6"/>
      <c r="K300" s="6" t="str">
        <f>IF(F!AC300=-1,-1,F!AX300)</f>
        <v/>
      </c>
      <c r="L300" s="6"/>
      <c r="M300" s="6" t="str">
        <f>IF(F!AF300=-1,-1,F!AZ300)</f>
        <v/>
      </c>
      <c r="N300" s="6"/>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6" t="str">
        <f t="shared" si="109"/>
        <v/>
      </c>
      <c r="R300" s="5" t="str">
        <f>IF($B300="--","",IF($P300="toetsen",toetsen(F!$B300,Q300),IF($P300="toetsen alleen IW",toetsen_alleen_IW(F!$B300,Q300),IF($P300="toetsen alleen LN",toetsen_alleen_LN(F!$B300,Q300),IF($P300="toetsen geen MV en SV",toetsen_geen_MV_en_SV(F!$B300,Q300),IF($P300="toetsen alleen MV en SV",toetsen_alleen_MV_en_SV(F!$B300,Q300),""))))))</f>
        <v/>
      </c>
      <c r="S300" s="5" t="str">
        <f>IF($P300="toetsen",IF(OR(Q300="",VLOOKUP(F!$B300,E!$B$1:$AK$300,10,FALSE)=1000000000),"",IF(Q300&lt;=VLOOKUP(F!$B300,E!$B$1:$AK$300,10,FALSE),"ja","nee")),"")</f>
        <v/>
      </c>
      <c r="T300" s="87" t="str">
        <f t="shared" si="104"/>
        <v/>
      </c>
      <c r="U300" s="5" t="str">
        <f>IF($D300="--","",IF($P300="toetsen",toetsen(F!$B300,T300),IF($P300="toetsen alleen IW",toetsen_alleen_IW(F!$B300,T300),IF($P300="toetsen alleen LN",toetsen_alleen_LN(F!$B300,T300),IF($P300="toetsen geen MV en SV",toetsen_geen_MV_en_SV(F!$B300,T300),IF($P300="toetsen alleen MV en SV",toetsen_alleen_MV_en_SV(F!$B300,T300),""))))))</f>
        <v/>
      </c>
      <c r="V300" s="5" t="str">
        <f>IF($P300="toetsen",IF(OR(T300="",VLOOKUP(F!$B300,E!$B$1:$AK$300,10,FALSE)=1000000000),"",IF(T300&lt;=VLOOKUP(F!$B300,E!$B$1:$AK$300,10,FALSE),"ja","nee")),"")</f>
        <v/>
      </c>
      <c r="W300" s="6" t="str">
        <f t="shared" si="105"/>
        <v/>
      </c>
      <c r="X300" s="5" t="str">
        <f>IF($F300="--","",IF($P300="toetsen",toetsen(F!$B300,W300),IF($P300="toetsen alleen IW",toetsen_alleen_IW(F!$B300,W300),IF($P300="toetsen alleen LN",toetsen_alleen_LN(F!$B300,W300),IF($P300="toetsen geen MV en SV",toetsen_geen_MV_en_SV(F!$B300,W300),IF($P300="toetsen alleen MV en SV",toetsen_alleen_MV_en_SV(F!$B300,W300),""))))))</f>
        <v/>
      </c>
      <c r="Y300" s="5" t="str">
        <f>IF($P300="toetsen",IF(OR(W300="",VLOOKUP(F!$B300,E!$B$1:$AK$300,10,FALSE)=1000000000),"",IF(W300&lt;=VLOOKUP(F!$B300,E!$B$1:$AK$300,10,FALSE),"ja","nee")),"")</f>
        <v/>
      </c>
      <c r="AA300" s="4" t="str">
        <f>IFERROR(IF(Q300="","",(IF(Q300&gt;2*VLOOKUP(F!$B300,E!$B$1:$AK$300,5,FALSE),1,0))),"")</f>
        <v/>
      </c>
      <c r="AB300" s="4" t="str">
        <f>IFERROR(IF(T300="","",(IF(T300&gt;2*VLOOKUP(F!$B300,E!$B$1:$AK$300,5,FALSE),1,0))),"")</f>
        <v/>
      </c>
      <c r="AC300" s="4" t="str">
        <f>IFERROR(IF(W300="","",(IF(W300&gt;2*VLOOKUP(F!$B300,E!$B$1:$AK$300,5,FALSE),1,0))),"")</f>
        <v/>
      </c>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6" t="str">
        <f t="shared" si="106"/>
        <v>--</v>
      </c>
      <c r="AJ300" s="6"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6" t="str">
        <f t="shared" si="107"/>
        <v>--</v>
      </c>
      <c r="AL300" s="6"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6" t="str">
        <f t="shared" si="108"/>
        <v>--</v>
      </c>
      <c r="AN300" s="6"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6" t="str">
        <f t="shared" si="95"/>
        <v>--</v>
      </c>
      <c r="AQ300" s="6" t="str">
        <f t="shared" si="96"/>
        <v/>
      </c>
      <c r="AR300" s="6" t="str">
        <f t="shared" si="97"/>
        <v>--</v>
      </c>
      <c r="AS300" s="6" t="str">
        <f t="shared" si="98"/>
        <v/>
      </c>
      <c r="AT300" s="6" t="str">
        <f t="shared" si="99"/>
        <v/>
      </c>
      <c r="AU300" s="6" t="str">
        <f>IFERROR(IF(AR300="--","",IF(HLOOKUP(SMALL($Q$4:$Y$4,3),$Q$4:$Y$501,ROW(AP300)-3,FALSE)=0,"",IF(HLOOKUP(SMALL($Q$4:$Y$4,3),$Q$4:$Y$501,ROW(AP300)-3,FALSE)="nee",VLOOKUP("De kwaliteitseis emissiearme grond (maximale concentratie) wordt overschreden.",H!$O$10:'H'!$P$59,2,FALSE),""))),"")</f>
        <v/>
      </c>
      <c r="AV300" s="6" t="str">
        <f t="shared" si="89"/>
        <v>--</v>
      </c>
      <c r="AW300" s="6" t="str">
        <f t="shared" si="90"/>
        <v/>
      </c>
      <c r="AX300" s="6" t="str">
        <f t="shared" si="91"/>
        <v>--</v>
      </c>
      <c r="AY300" s="6" t="str">
        <f t="shared" si="100"/>
        <v/>
      </c>
      <c r="AZ300" s="6" t="str">
        <f t="shared" si="101"/>
        <v/>
      </c>
      <c r="BA300" s="6" t="str">
        <f>IFERROR(IF(AR300="--","",IF(HLOOKUP(SMALL($Q$4:$Y$4,6),$Q$4:$Y$501,ROW(AP300)-3,FALSE)=0,"",IF(HLOOKUP(SMALL($Q$4:$Y$4,6),$Q$4:$Y$501,ROW(AP300)-3,FALSE)="nee",VLOOKUP("De kwaliteitseis emissiearme grond (maximale concentratie) wordt overschreden.",H!$O$10:'H'!$P$59,2,FALSE),""))),"")</f>
        <v/>
      </c>
      <c r="BB300" s="6" t="str">
        <f t="shared" si="92"/>
        <v>--</v>
      </c>
      <c r="BC300" s="6" t="str">
        <f t="shared" si="93"/>
        <v/>
      </c>
      <c r="BD300" s="6" t="str">
        <f t="shared" si="94"/>
        <v>--</v>
      </c>
      <c r="BE300" s="6" t="str">
        <f t="shared" si="102"/>
        <v/>
      </c>
      <c r="BF300" s="6" t="str">
        <f t="shared" si="103"/>
        <v/>
      </c>
      <c r="BG300" s="4" t="str">
        <f>IFERROR(IF(AR300="--","",IF(HLOOKUP(SMALL($Q$4:$Y$4,9),$Q$4:$Y$501,ROW(AP300)-3,FALSE)=0,"",IF(HLOOKUP(SMALL($Q$4:$Y$4,9),$Q$4:$Y$501,ROW(AP300)-3,FALSE)="nee",VLOOKUP("De kwaliteitseis emissiearme grond (maximale concentratie) wordt overschreden.",H!$O$10:'H'!$P$59,2,FALSE),""))),"")</f>
        <v/>
      </c>
    </row>
    <row r="301" spans="1:59" x14ac:dyDescent="0.2">
      <c r="A301" s="4" t="str">
        <f>F!A301</f>
        <v>Zwavelkoolstof</v>
      </c>
      <c r="B301" s="6" t="str">
        <f>IF(ISNUMBER(F!E301)=FALSE,"--",IF(F!E301=0,"--",F!E301))</f>
        <v>--</v>
      </c>
      <c r="C301" s="6" t="str">
        <f>IF(B301="--","",F!F301)</f>
        <v/>
      </c>
      <c r="D301" s="6" t="str">
        <f>IF(ISNUMBER(F!G301)=FALSE,"--",IF(F!G301=0,"--",F!G301))</f>
        <v>--</v>
      </c>
      <c r="E301" s="6" t="str">
        <f>IF(D301="--","",F!H301)</f>
        <v/>
      </c>
      <c r="F301" s="6" t="str">
        <f>IF(ISNUMBER(F!I301)=FALSE,"--",IF(F!I301=0,"--",F!I301))</f>
        <v>--</v>
      </c>
      <c r="G301" s="6" t="str">
        <f>IF(F301="--","",F!J301)</f>
        <v/>
      </c>
      <c r="H301" s="6"/>
      <c r="I301" s="6">
        <f>IF(F!Z301=-1,-1,F!AV301)</f>
        <v>0</v>
      </c>
      <c r="J301" s="6"/>
      <c r="K301" s="6">
        <f>IF(F!AC301=-1,-1,F!AX301)</f>
        <v>0</v>
      </c>
      <c r="L301" s="6"/>
      <c r="M301" s="6">
        <f>IF(F!AF301=-1,-1,F!AZ301)</f>
        <v>0</v>
      </c>
      <c r="N301" s="6"/>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6">
        <f t="shared" si="109"/>
        <v>0</v>
      </c>
      <c r="R301" s="5" t="str">
        <f>IF($B301="--","",IF($P301="toetsen",toetsen(F!$B301,Q301),IF($P301="toetsen alleen IW",toetsen_alleen_IW(F!$B301,Q301),IF($P301="toetsen alleen LN",toetsen_alleen_LN(F!$B301,Q301),IF($P301="toetsen geen MV en SV",toetsen_geen_MV_en_SV(F!$B301,Q301),IF($P301="toetsen alleen MV en SV",toetsen_alleen_MV_en_SV(F!$B301,Q301),""))))))</f>
        <v/>
      </c>
      <c r="S301" s="5" t="str">
        <f>IF($P301="toetsen",IF(OR(Q301="",VLOOKUP(F!$B301,E!$B$1:$AK$300,10,FALSE)=1000000000),"",IF(Q301&lt;=VLOOKUP(F!$B301,E!$B$1:$AK$300,10,FALSE),"ja","nee")),"")</f>
        <v/>
      </c>
      <c r="T301" s="87">
        <f t="shared" si="104"/>
        <v>0</v>
      </c>
      <c r="U301" s="5" t="str">
        <f>IF($D301="--","",IF($P301="toetsen",toetsen(F!$B301,T301),IF($P301="toetsen alleen IW",toetsen_alleen_IW(F!$B301,T301),IF($P301="toetsen alleen LN",toetsen_alleen_LN(F!$B301,T301),IF($P301="toetsen geen MV en SV",toetsen_geen_MV_en_SV(F!$B301,T301),IF($P301="toetsen alleen MV en SV",toetsen_alleen_MV_en_SV(F!$B301,T301),""))))))</f>
        <v/>
      </c>
      <c r="V301" s="5" t="str">
        <f>IF($P301="toetsen",IF(OR(T301="",VLOOKUP(F!$B301,E!$B$1:$AK$300,10,FALSE)=1000000000),"",IF(T301&lt;=VLOOKUP(F!$B301,E!$B$1:$AK$300,10,FALSE),"ja","nee")),"")</f>
        <v/>
      </c>
      <c r="W301" s="6">
        <f t="shared" si="105"/>
        <v>0</v>
      </c>
      <c r="X301" s="5" t="str">
        <f>IF($F301="--","",IF($P301="toetsen",toetsen(F!$B301,W301),IF($P301="toetsen alleen IW",toetsen_alleen_IW(F!$B301,W301),IF($P301="toetsen alleen LN",toetsen_alleen_LN(F!$B301,W301),IF($P301="toetsen geen MV en SV",toetsen_geen_MV_en_SV(F!$B301,W301),IF($P301="toetsen alleen MV en SV",toetsen_alleen_MV_en_SV(F!$B301,W301),""))))))</f>
        <v/>
      </c>
      <c r="Y301" s="5" t="str">
        <f>IF($P301="toetsen",IF(OR(W301="",VLOOKUP(F!$B301,E!$B$1:$AK$300,10,FALSE)=1000000000),"",IF(W301&lt;=VLOOKUP(F!$B301,E!$B$1:$AK$300,10,FALSE),"ja","nee")),"")</f>
        <v/>
      </c>
      <c r="AA301" s="4" t="str">
        <f>IFERROR(IF(Q301="","",(IF(Q301&gt;2*VLOOKUP(F!$B301,E!$B$1:$AK$300,5,FALSE),1,0))),"")</f>
        <v/>
      </c>
      <c r="AB301" s="4" t="str">
        <f>IFERROR(IF(T301="","",(IF(T301&gt;2*VLOOKUP(F!$B301,E!$B$1:$AK$300,5,FALSE),1,0))),"")</f>
        <v/>
      </c>
      <c r="AC301" s="4" t="str">
        <f>IFERROR(IF(W301="","",(IF(W301&gt;2*VLOOKUP(F!$B301,E!$B$1:$AK$300,5,FALSE),1,0))),"")</f>
        <v/>
      </c>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6" t="str">
        <f t="shared" si="106"/>
        <v>--</v>
      </c>
      <c r="AJ301" s="6"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6" t="str">
        <f t="shared" si="107"/>
        <v>--</v>
      </c>
      <c r="AL301" s="6"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6" t="str">
        <f t="shared" si="108"/>
        <v>--</v>
      </c>
      <c r="AN301" s="6"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6" t="str">
        <f t="shared" si="95"/>
        <v>--</v>
      </c>
      <c r="AQ301" s="6" t="str">
        <f t="shared" si="96"/>
        <v/>
      </c>
      <c r="AR301" s="6" t="str">
        <f t="shared" si="97"/>
        <v>--</v>
      </c>
      <c r="AS301" s="6" t="str">
        <f t="shared" si="98"/>
        <v/>
      </c>
      <c r="AT301" s="6" t="str">
        <f t="shared" si="99"/>
        <v/>
      </c>
      <c r="AU301" s="6" t="str">
        <f>IFERROR(IF(AR301="--","",IF(HLOOKUP(SMALL($Q$4:$Y$4,3),$Q$4:$Y$501,ROW(AP301)-3,FALSE)=0,"",IF(HLOOKUP(SMALL($Q$4:$Y$4,3),$Q$4:$Y$501,ROW(AP301)-3,FALSE)="nee",VLOOKUP("De kwaliteitseis emissiearme grond (maximale concentratie) wordt overschreden.",H!$O$10:'H'!$P$59,2,FALSE),""))),"")</f>
        <v/>
      </c>
      <c r="AV301" s="6" t="str">
        <f t="shared" si="89"/>
        <v>--</v>
      </c>
      <c r="AW301" s="6" t="str">
        <f t="shared" si="90"/>
        <v/>
      </c>
      <c r="AX301" s="6" t="str">
        <f t="shared" si="91"/>
        <v>--</v>
      </c>
      <c r="AY301" s="6" t="str">
        <f t="shared" si="100"/>
        <v/>
      </c>
      <c r="AZ301" s="6" t="str">
        <f t="shared" si="101"/>
        <v/>
      </c>
      <c r="BA301" s="6" t="str">
        <f>IFERROR(IF(AR301="--","",IF(HLOOKUP(SMALL($Q$4:$Y$4,6),$Q$4:$Y$501,ROW(AP301)-3,FALSE)=0,"",IF(HLOOKUP(SMALL($Q$4:$Y$4,6),$Q$4:$Y$501,ROW(AP301)-3,FALSE)="nee",VLOOKUP("De kwaliteitseis emissiearme grond (maximale concentratie) wordt overschreden.",H!$O$10:'H'!$P$59,2,FALSE),""))),"")</f>
        <v/>
      </c>
      <c r="BB301" s="6" t="str">
        <f t="shared" si="92"/>
        <v>--</v>
      </c>
      <c r="BC301" s="6" t="str">
        <f t="shared" si="93"/>
        <v/>
      </c>
      <c r="BD301" s="6" t="str">
        <f t="shared" si="94"/>
        <v>--</v>
      </c>
      <c r="BE301" s="6" t="str">
        <f t="shared" si="102"/>
        <v/>
      </c>
      <c r="BF301" s="6" t="str">
        <f t="shared" si="103"/>
        <v/>
      </c>
      <c r="BG301" s="4" t="str">
        <f>IFERROR(IF(AR301="--","",IF(HLOOKUP(SMALL($Q$4:$Y$4,9),$Q$4:$Y$501,ROW(AP301)-3,FALSE)=0,"",IF(HLOOKUP(SMALL($Q$4:$Y$4,9),$Q$4:$Y$501,ROW(AP301)-3,FALSE)="nee",VLOOKUP("De kwaliteitseis emissiearme grond (maximale concentratie) wordt overschreden.",H!$O$10:'H'!$P$59,2,FALSE),""))),"")</f>
        <v/>
      </c>
    </row>
    <row r="302" spans="1:59" x14ac:dyDescent="0.2">
      <c r="A302" s="4" t="str">
        <f>F!A302</f>
        <v>Aceton</v>
      </c>
      <c r="B302" s="6" t="str">
        <f>IF(ISNUMBER(F!E302)=FALSE,"--",IF(F!E302=0,"--",F!E302))</f>
        <v>--</v>
      </c>
      <c r="C302" s="6" t="str">
        <f>IF(B302="--","",F!F302)</f>
        <v/>
      </c>
      <c r="D302" s="6" t="str">
        <f>IF(ISNUMBER(F!G302)=FALSE,"--",IF(F!G302=0,"--",F!G302))</f>
        <v>--</v>
      </c>
      <c r="E302" s="6" t="str">
        <f>IF(D302="--","",F!H302)</f>
        <v/>
      </c>
      <c r="F302" s="6" t="str">
        <f>IF(ISNUMBER(F!I302)=FALSE,"--",IF(F!I302=0,"--",F!I302))</f>
        <v>--</v>
      </c>
      <c r="G302" s="6" t="str">
        <f>IF(F302="--","",F!J302)</f>
        <v/>
      </c>
      <c r="H302" s="6"/>
      <c r="I302" s="6" t="str">
        <f>IF(F!Z302=-1,-1,F!AV302)</f>
        <v/>
      </c>
      <c r="J302" s="6"/>
      <c r="K302" s="6" t="str">
        <f>IF(F!AC302=-1,-1,F!AX302)</f>
        <v/>
      </c>
      <c r="L302" s="6"/>
      <c r="M302" s="6" t="str">
        <f>IF(F!AF302=-1,-1,F!AZ302)</f>
        <v/>
      </c>
      <c r="N302" s="6"/>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6" t="str">
        <f t="shared" si="109"/>
        <v/>
      </c>
      <c r="R302" s="5" t="str">
        <f>IF($B302="--","",IF($P302="toetsen",toetsen(F!$B302,Q302),IF($P302="toetsen alleen IW",toetsen_alleen_IW(F!$B302,Q302),IF($P302="toetsen alleen LN",toetsen_alleen_LN(F!$B302,Q302),IF($P302="toetsen geen MV en SV",toetsen_geen_MV_en_SV(F!$B302,Q302),IF($P302="toetsen alleen MV en SV",toetsen_alleen_MV_en_SV(F!$B302,Q302),""))))))</f>
        <v/>
      </c>
      <c r="S302" s="5" t="str">
        <f>IF($P302="toetsen",IF(OR(Q302="",VLOOKUP(F!$B302,E!$B$1:$AK$300,10,FALSE)=1000000000),"",IF(Q302&lt;=VLOOKUP(F!$B302,E!$B$1:$AK$300,10,FALSE),"ja","nee")),"")</f>
        <v/>
      </c>
      <c r="T302" s="87" t="str">
        <f t="shared" si="104"/>
        <v/>
      </c>
      <c r="U302" s="5" t="str">
        <f>IF($D302="--","",IF($P302="toetsen",toetsen(F!$B302,T302),IF($P302="toetsen alleen IW",toetsen_alleen_IW(F!$B302,T302),IF($P302="toetsen alleen LN",toetsen_alleen_LN(F!$B302,T302),IF($P302="toetsen geen MV en SV",toetsen_geen_MV_en_SV(F!$B302,T302),IF($P302="toetsen alleen MV en SV",toetsen_alleen_MV_en_SV(F!$B302,T302),""))))))</f>
        <v/>
      </c>
      <c r="V302" s="5" t="str">
        <f>IF($P302="toetsen",IF(OR(T302="",VLOOKUP(F!$B302,E!$B$1:$AK$300,10,FALSE)=1000000000),"",IF(T302&lt;=VLOOKUP(F!$B302,E!$B$1:$AK$300,10,FALSE),"ja","nee")),"")</f>
        <v/>
      </c>
      <c r="W302" s="6" t="str">
        <f t="shared" si="105"/>
        <v/>
      </c>
      <c r="X302" s="5" t="str">
        <f>IF($F302="--","",IF($P302="toetsen",toetsen(F!$B302,W302),IF($P302="toetsen alleen IW",toetsen_alleen_IW(F!$B302,W302),IF($P302="toetsen alleen LN",toetsen_alleen_LN(F!$B302,W302),IF($P302="toetsen geen MV en SV",toetsen_geen_MV_en_SV(F!$B302,W302),IF($P302="toetsen alleen MV en SV",toetsen_alleen_MV_en_SV(F!$B302,W302),""))))))</f>
        <v/>
      </c>
      <c r="Y302" s="5" t="str">
        <f>IF($P302="toetsen",IF(OR(W302="",VLOOKUP(F!$B302,E!$B$1:$AK$300,10,FALSE)=1000000000),"",IF(W302&lt;=VLOOKUP(F!$B302,E!$B$1:$AK$300,10,FALSE),"ja","nee")),"")</f>
        <v/>
      </c>
      <c r="AA302" s="4" t="str">
        <f>IFERROR(IF(Q302="","",(IF(Q302&gt;2*VLOOKUP(F!$B302,E!$B$1:$AK$300,5,FALSE),1,0))),"")</f>
        <v/>
      </c>
      <c r="AB302" s="4" t="str">
        <f>IFERROR(IF(T302="","",(IF(T302&gt;2*VLOOKUP(F!$B302,E!$B$1:$AK$300,5,FALSE),1,0))),"")</f>
        <v/>
      </c>
      <c r="AC302" s="4" t="str">
        <f>IFERROR(IF(W302="","",(IF(W302&gt;2*VLOOKUP(F!$B302,E!$B$1:$AK$300,5,FALSE),1,0))),"")</f>
        <v/>
      </c>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6" t="str">
        <f t="shared" si="106"/>
        <v>--</v>
      </c>
      <c r="AJ302" s="6"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6" t="str">
        <f t="shared" si="107"/>
        <v>--</v>
      </c>
      <c r="AL302" s="6"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6" t="str">
        <f t="shared" si="108"/>
        <v>--</v>
      </c>
      <c r="AN302" s="6"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6" t="str">
        <f t="shared" si="95"/>
        <v>--</v>
      </c>
      <c r="AQ302" s="6" t="str">
        <f t="shared" si="96"/>
        <v/>
      </c>
      <c r="AR302" s="6" t="str">
        <f t="shared" si="97"/>
        <v>--</v>
      </c>
      <c r="AS302" s="6" t="str">
        <f t="shared" si="98"/>
        <v/>
      </c>
      <c r="AT302" s="6" t="str">
        <f t="shared" si="99"/>
        <v/>
      </c>
      <c r="AU302" s="6" t="str">
        <f>IFERROR(IF(AR302="--","",IF(HLOOKUP(SMALL($Q$4:$Y$4,3),$Q$4:$Y$501,ROW(AP302)-3,FALSE)=0,"",IF(HLOOKUP(SMALL($Q$4:$Y$4,3),$Q$4:$Y$501,ROW(AP302)-3,FALSE)="nee",VLOOKUP("De kwaliteitseis emissiearme grond (maximale concentratie) wordt overschreden.",H!$O$10:'H'!$P$59,2,FALSE),""))),"")</f>
        <v/>
      </c>
      <c r="AV302" s="6" t="str">
        <f t="shared" si="89"/>
        <v>--</v>
      </c>
      <c r="AW302" s="6" t="str">
        <f t="shared" si="90"/>
        <v/>
      </c>
      <c r="AX302" s="6" t="str">
        <f t="shared" si="91"/>
        <v>--</v>
      </c>
      <c r="AY302" s="6" t="str">
        <f t="shared" si="100"/>
        <v/>
      </c>
      <c r="AZ302" s="6" t="str">
        <f t="shared" si="101"/>
        <v/>
      </c>
      <c r="BA302" s="6" t="str">
        <f>IFERROR(IF(AR302="--","",IF(HLOOKUP(SMALL($Q$4:$Y$4,6),$Q$4:$Y$501,ROW(AP302)-3,FALSE)=0,"",IF(HLOOKUP(SMALL($Q$4:$Y$4,6),$Q$4:$Y$501,ROW(AP302)-3,FALSE)="nee",VLOOKUP("De kwaliteitseis emissiearme grond (maximale concentratie) wordt overschreden.",H!$O$10:'H'!$P$59,2,FALSE),""))),"")</f>
        <v/>
      </c>
      <c r="BB302" s="6" t="str">
        <f t="shared" si="92"/>
        <v>--</v>
      </c>
      <c r="BC302" s="6" t="str">
        <f t="shared" si="93"/>
        <v/>
      </c>
      <c r="BD302" s="6" t="str">
        <f t="shared" si="94"/>
        <v>--</v>
      </c>
      <c r="BE302" s="6" t="str">
        <f t="shared" si="102"/>
        <v/>
      </c>
      <c r="BF302" s="6" t="str">
        <f t="shared" si="103"/>
        <v/>
      </c>
      <c r="BG302" s="4" t="str">
        <f>IFERROR(IF(AR302="--","",IF(HLOOKUP(SMALL($Q$4:$Y$4,9),$Q$4:$Y$501,ROW(AP302)-3,FALSE)=0,"",IF(HLOOKUP(SMALL($Q$4:$Y$4,9),$Q$4:$Y$501,ROW(AP302)-3,FALSE)="nee",VLOOKUP("De kwaliteitseis emissiearme grond (maximale concentratie) wordt overschreden.",H!$O$10:'H'!$P$59,2,FALSE),""))),"")</f>
        <v/>
      </c>
    </row>
    <row r="303" spans="1:59" x14ac:dyDescent="0.2">
      <c r="A303" s="4" t="str">
        <f>F!A303</f>
        <v>Diethylether</v>
      </c>
      <c r="B303" s="6" t="str">
        <f>IF(ISNUMBER(F!E303)=FALSE,"--",IF(F!E303=0,"--",F!E303))</f>
        <v>--</v>
      </c>
      <c r="C303" s="6" t="str">
        <f>IF(B303="--","",F!F303)</f>
        <v/>
      </c>
      <c r="D303" s="6" t="str">
        <f>IF(ISNUMBER(F!G303)=FALSE,"--",IF(F!G303=0,"--",F!G303))</f>
        <v>--</v>
      </c>
      <c r="E303" s="6" t="str">
        <f>IF(D303="--","",F!H303)</f>
        <v/>
      </c>
      <c r="F303" s="6" t="str">
        <f>IF(ISNUMBER(F!I303)=FALSE,"--",IF(F!I303=0,"--",F!I303))</f>
        <v>--</v>
      </c>
      <c r="G303" s="6" t="str">
        <f>IF(F303="--","",F!J303)</f>
        <v/>
      </c>
      <c r="H303" s="6"/>
      <c r="I303" s="6" t="str">
        <f>IF(F!Z303=-1,-1,F!AV303)</f>
        <v/>
      </c>
      <c r="J303" s="6"/>
      <c r="K303" s="6" t="str">
        <f>IF(F!AC303=-1,-1,F!AX303)</f>
        <v/>
      </c>
      <c r="L303" s="6"/>
      <c r="M303" s="6" t="str">
        <f>IF(F!AF303=-1,-1,F!AZ303)</f>
        <v/>
      </c>
      <c r="N303" s="6"/>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6" t="str">
        <f t="shared" si="109"/>
        <v/>
      </c>
      <c r="R303" s="5" t="str">
        <f>IF($B303="--","",IF($P303="toetsen",toetsen(F!$B303,Q303),IF($P303="toetsen alleen IW",toetsen_alleen_IW(F!$B303,Q303),IF($P303="toetsen alleen LN",toetsen_alleen_LN(F!$B303,Q303),IF($P303="toetsen geen MV en SV",toetsen_geen_MV_en_SV(F!$B303,Q303),IF($P303="toetsen alleen MV en SV",toetsen_alleen_MV_en_SV(F!$B303,Q303),""))))))</f>
        <v/>
      </c>
      <c r="S303" s="5" t="str">
        <f>IF($P303="toetsen",IF(OR(Q303="",VLOOKUP(F!$B303,E!$B$1:$AK$300,10,FALSE)=1000000000),"",IF(Q303&lt;=VLOOKUP(F!$B303,E!$B$1:$AK$300,10,FALSE),"ja","nee")),"")</f>
        <v/>
      </c>
      <c r="T303" s="87" t="str">
        <f t="shared" si="104"/>
        <v/>
      </c>
      <c r="U303" s="5" t="str">
        <f>IF($D303="--","",IF($P303="toetsen",toetsen(F!$B303,T303),IF($P303="toetsen alleen IW",toetsen_alleen_IW(F!$B303,T303),IF($P303="toetsen alleen LN",toetsen_alleen_LN(F!$B303,T303),IF($P303="toetsen geen MV en SV",toetsen_geen_MV_en_SV(F!$B303,T303),IF($P303="toetsen alleen MV en SV",toetsen_alleen_MV_en_SV(F!$B303,T303),""))))))</f>
        <v/>
      </c>
      <c r="V303" s="5" t="str">
        <f>IF($P303="toetsen",IF(OR(T303="",VLOOKUP(F!$B303,E!$B$1:$AK$300,10,FALSE)=1000000000),"",IF(T303&lt;=VLOOKUP(F!$B303,E!$B$1:$AK$300,10,FALSE),"ja","nee")),"")</f>
        <v/>
      </c>
      <c r="W303" s="6" t="str">
        <f t="shared" si="105"/>
        <v/>
      </c>
      <c r="X303" s="5" t="str">
        <f>IF($F303="--","",IF($P303="toetsen",toetsen(F!$B303,W303),IF($P303="toetsen alleen IW",toetsen_alleen_IW(F!$B303,W303),IF($P303="toetsen alleen LN",toetsen_alleen_LN(F!$B303,W303),IF($P303="toetsen geen MV en SV",toetsen_geen_MV_en_SV(F!$B303,W303),IF($P303="toetsen alleen MV en SV",toetsen_alleen_MV_en_SV(F!$B303,W303),""))))))</f>
        <v/>
      </c>
      <c r="Y303" s="5" t="str">
        <f>IF($P303="toetsen",IF(OR(W303="",VLOOKUP(F!$B303,E!$B$1:$AK$300,10,FALSE)=1000000000),"",IF(W303&lt;=VLOOKUP(F!$B303,E!$B$1:$AK$300,10,FALSE),"ja","nee")),"")</f>
        <v/>
      </c>
      <c r="AA303" s="4" t="str">
        <f>IFERROR(IF(Q303="","",(IF(Q303&gt;2*VLOOKUP(F!$B303,E!$B$1:$AK$300,5,FALSE),1,0))),"")</f>
        <v/>
      </c>
      <c r="AB303" s="4" t="str">
        <f>IFERROR(IF(T303="","",(IF(T303&gt;2*VLOOKUP(F!$B303,E!$B$1:$AK$300,5,FALSE),1,0))),"")</f>
        <v/>
      </c>
      <c r="AC303" s="4" t="str">
        <f>IFERROR(IF(W303="","",(IF(W303&gt;2*VLOOKUP(F!$B303,E!$B$1:$AK$300,5,FALSE),1,0))),"")</f>
        <v/>
      </c>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6" t="str">
        <f t="shared" si="106"/>
        <v>--</v>
      </c>
      <c r="AJ303" s="6"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6" t="str">
        <f t="shared" si="107"/>
        <v>--</v>
      </c>
      <c r="AL303" s="6"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6" t="str">
        <f t="shared" si="108"/>
        <v>--</v>
      </c>
      <c r="AN303" s="6"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6" t="str">
        <f t="shared" si="95"/>
        <v>--</v>
      </c>
      <c r="AQ303" s="6" t="str">
        <f t="shared" si="96"/>
        <v/>
      </c>
      <c r="AR303" s="6" t="str">
        <f t="shared" si="97"/>
        <v>--</v>
      </c>
      <c r="AS303" s="6" t="str">
        <f t="shared" si="98"/>
        <v/>
      </c>
      <c r="AT303" s="6" t="str">
        <f t="shared" si="99"/>
        <v/>
      </c>
      <c r="AU303" s="6" t="str">
        <f>IFERROR(IF(AR303="--","",IF(HLOOKUP(SMALL($Q$4:$Y$4,3),$Q$4:$Y$501,ROW(AP303)-3,FALSE)=0,"",IF(HLOOKUP(SMALL($Q$4:$Y$4,3),$Q$4:$Y$501,ROW(AP303)-3,FALSE)="nee",VLOOKUP("De kwaliteitseis emissiearme grond (maximale concentratie) wordt overschreden.",H!$O$10:'H'!$P$59,2,FALSE),""))),"")</f>
        <v/>
      </c>
      <c r="AV303" s="6" t="str">
        <f t="shared" si="89"/>
        <v>--</v>
      </c>
      <c r="AW303" s="6" t="str">
        <f t="shared" si="90"/>
        <v/>
      </c>
      <c r="AX303" s="6" t="str">
        <f t="shared" si="91"/>
        <v>--</v>
      </c>
      <c r="AY303" s="6" t="str">
        <f t="shared" si="100"/>
        <v/>
      </c>
      <c r="AZ303" s="6" t="str">
        <f t="shared" si="101"/>
        <v/>
      </c>
      <c r="BA303" s="6" t="str">
        <f>IFERROR(IF(AR303="--","",IF(HLOOKUP(SMALL($Q$4:$Y$4,6),$Q$4:$Y$501,ROW(AP303)-3,FALSE)=0,"",IF(HLOOKUP(SMALL($Q$4:$Y$4,6),$Q$4:$Y$501,ROW(AP303)-3,FALSE)="nee",VLOOKUP("De kwaliteitseis emissiearme grond (maximale concentratie) wordt overschreden.",H!$O$10:'H'!$P$59,2,FALSE),""))),"")</f>
        <v/>
      </c>
      <c r="BB303" s="6" t="str">
        <f t="shared" si="92"/>
        <v>--</v>
      </c>
      <c r="BC303" s="6" t="str">
        <f t="shared" si="93"/>
        <v/>
      </c>
      <c r="BD303" s="6" t="str">
        <f t="shared" si="94"/>
        <v>--</v>
      </c>
      <c r="BE303" s="6" t="str">
        <f t="shared" si="102"/>
        <v/>
      </c>
      <c r="BF303" s="6" t="str">
        <f t="shared" si="103"/>
        <v/>
      </c>
      <c r="BG303" s="4" t="str">
        <f>IFERROR(IF(AR303="--","",IF(HLOOKUP(SMALL($Q$4:$Y$4,9),$Q$4:$Y$501,ROW(AP303)-3,FALSE)=0,"",IF(HLOOKUP(SMALL($Q$4:$Y$4,9),$Q$4:$Y$501,ROW(AP303)-3,FALSE)="nee",VLOOKUP("De kwaliteitseis emissiearme grond (maximale concentratie) wordt overschreden.",H!$O$10:'H'!$P$59,2,FALSE),""))),"")</f>
        <v/>
      </c>
    </row>
    <row r="304" spans="1:59" x14ac:dyDescent="0.2">
      <c r="A304" s="4" t="str">
        <f>F!A304</f>
        <v>Methylisobutylketon (MIBK)</v>
      </c>
      <c r="B304" s="6" t="str">
        <f>IF(ISNUMBER(F!E304)=FALSE,"--",IF(F!E304=0,"--",F!E304))</f>
        <v>--</v>
      </c>
      <c r="C304" s="6" t="str">
        <f>IF(B304="--","",F!F304)</f>
        <v/>
      </c>
      <c r="D304" s="6" t="str">
        <f>IF(ISNUMBER(F!G304)=FALSE,"--",IF(F!G304=0,"--",F!G304))</f>
        <v>--</v>
      </c>
      <c r="E304" s="6" t="str">
        <f>IF(D304="--","",F!H304)</f>
        <v/>
      </c>
      <c r="F304" s="6" t="str">
        <f>IF(ISNUMBER(F!I304)=FALSE,"--",IF(F!I304=0,"--",F!I304))</f>
        <v>--</v>
      </c>
      <c r="G304" s="6" t="str">
        <f>IF(F304="--","",F!J304)</f>
        <v/>
      </c>
      <c r="H304" s="6"/>
      <c r="I304" s="6" t="str">
        <f>IF(F!Z304=-1,-1,F!AV304)</f>
        <v/>
      </c>
      <c r="J304" s="6"/>
      <c r="K304" s="6" t="str">
        <f>IF(F!AC304=-1,-1,F!AX304)</f>
        <v/>
      </c>
      <c r="L304" s="6"/>
      <c r="M304" s="6" t="str">
        <f>IF(F!AF304=-1,-1,F!AZ304)</f>
        <v/>
      </c>
      <c r="N304" s="6"/>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6" t="str">
        <f t="shared" si="109"/>
        <v/>
      </c>
      <c r="R304" s="5" t="str">
        <f>IF($B304="--","",IF($P304="toetsen",toetsen(F!$B304,Q304),IF($P304="toetsen alleen IW",toetsen_alleen_IW(F!$B304,Q304),IF($P304="toetsen alleen LN",toetsen_alleen_LN(F!$B304,Q304),IF($P304="toetsen geen MV en SV",toetsen_geen_MV_en_SV(F!$B304,Q304),IF($P304="toetsen alleen MV en SV",toetsen_alleen_MV_en_SV(F!$B304,Q304),""))))))</f>
        <v/>
      </c>
      <c r="S304" s="5" t="str">
        <f>IF($P304="toetsen",IF(OR(Q304="",VLOOKUP(F!$B304,E!$B$1:$AK$300,10,FALSE)=1000000000),"",IF(Q304&lt;=VLOOKUP(F!$B304,E!$B$1:$AK$300,10,FALSE),"ja","nee")),"")</f>
        <v/>
      </c>
      <c r="T304" s="87" t="str">
        <f t="shared" si="104"/>
        <v/>
      </c>
      <c r="U304" s="5" t="str">
        <f>IF($D304="--","",IF($P304="toetsen",toetsen(F!$B304,T304),IF($P304="toetsen alleen IW",toetsen_alleen_IW(F!$B304,T304),IF($P304="toetsen alleen LN",toetsen_alleen_LN(F!$B304,T304),IF($P304="toetsen geen MV en SV",toetsen_geen_MV_en_SV(F!$B304,T304),IF($P304="toetsen alleen MV en SV",toetsen_alleen_MV_en_SV(F!$B304,T304),""))))))</f>
        <v/>
      </c>
      <c r="V304" s="5" t="str">
        <f>IF($P304="toetsen",IF(OR(T304="",VLOOKUP(F!$B304,E!$B$1:$AK$300,10,FALSE)=1000000000),"",IF(T304&lt;=VLOOKUP(F!$B304,E!$B$1:$AK$300,10,FALSE),"ja","nee")),"")</f>
        <v/>
      </c>
      <c r="W304" s="6" t="str">
        <f t="shared" si="105"/>
        <v/>
      </c>
      <c r="X304" s="5" t="str">
        <f>IF($F304="--","",IF($P304="toetsen",toetsen(F!$B304,W304),IF($P304="toetsen alleen IW",toetsen_alleen_IW(F!$B304,W304),IF($P304="toetsen alleen LN",toetsen_alleen_LN(F!$B304,W304),IF($P304="toetsen geen MV en SV",toetsen_geen_MV_en_SV(F!$B304,W304),IF($P304="toetsen alleen MV en SV",toetsen_alleen_MV_en_SV(F!$B304,W304),""))))))</f>
        <v/>
      </c>
      <c r="Y304" s="5" t="str">
        <f>IF($P304="toetsen",IF(OR(W304="",VLOOKUP(F!$B304,E!$B$1:$AK$300,10,FALSE)=1000000000),"",IF(W304&lt;=VLOOKUP(F!$B304,E!$B$1:$AK$300,10,FALSE),"ja","nee")),"")</f>
        <v/>
      </c>
      <c r="AA304" s="4" t="str">
        <f>IFERROR(IF(Q304="","",(IF(Q304&gt;2*VLOOKUP(F!$B304,E!$B$1:$AK$300,5,FALSE),1,0))),"")</f>
        <v/>
      </c>
      <c r="AB304" s="4" t="str">
        <f>IFERROR(IF(T304="","",(IF(T304&gt;2*VLOOKUP(F!$B304,E!$B$1:$AK$300,5,FALSE),1,0))),"")</f>
        <v/>
      </c>
      <c r="AC304" s="4" t="str">
        <f>IFERROR(IF(W304="","",(IF(W304&gt;2*VLOOKUP(F!$B304,E!$B$1:$AK$300,5,FALSE),1,0))),"")</f>
        <v/>
      </c>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6" t="str">
        <f t="shared" si="106"/>
        <v>--</v>
      </c>
      <c r="AJ304" s="6"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6" t="str">
        <f t="shared" si="107"/>
        <v>--</v>
      </c>
      <c r="AL304" s="6"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6" t="str">
        <f t="shared" si="108"/>
        <v>--</v>
      </c>
      <c r="AN304" s="6"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6" t="str">
        <f t="shared" si="95"/>
        <v>--</v>
      </c>
      <c r="AQ304" s="6" t="str">
        <f t="shared" si="96"/>
        <v/>
      </c>
      <c r="AR304" s="6" t="str">
        <f t="shared" si="97"/>
        <v>--</v>
      </c>
      <c r="AS304" s="6" t="str">
        <f t="shared" si="98"/>
        <v/>
      </c>
      <c r="AT304" s="6" t="str">
        <f t="shared" si="99"/>
        <v/>
      </c>
      <c r="AU304" s="6" t="str">
        <f>IFERROR(IF(AR304="--","",IF(HLOOKUP(SMALL($Q$4:$Y$4,3),$Q$4:$Y$501,ROW(AP304)-3,FALSE)=0,"",IF(HLOOKUP(SMALL($Q$4:$Y$4,3),$Q$4:$Y$501,ROW(AP304)-3,FALSE)="nee",VLOOKUP("De kwaliteitseis emissiearme grond (maximale concentratie) wordt overschreden.",H!$O$10:'H'!$P$59,2,FALSE),""))),"")</f>
        <v/>
      </c>
      <c r="AV304" s="6" t="str">
        <f t="shared" si="89"/>
        <v>--</v>
      </c>
      <c r="AW304" s="6" t="str">
        <f t="shared" si="90"/>
        <v/>
      </c>
      <c r="AX304" s="6" t="str">
        <f t="shared" si="91"/>
        <v>--</v>
      </c>
      <c r="AY304" s="6" t="str">
        <f t="shared" si="100"/>
        <v/>
      </c>
      <c r="AZ304" s="6" t="str">
        <f t="shared" si="101"/>
        <v/>
      </c>
      <c r="BA304" s="6" t="str">
        <f>IFERROR(IF(AR304="--","",IF(HLOOKUP(SMALL($Q$4:$Y$4,6),$Q$4:$Y$501,ROW(AP304)-3,FALSE)=0,"",IF(HLOOKUP(SMALL($Q$4:$Y$4,6),$Q$4:$Y$501,ROW(AP304)-3,FALSE)="nee",VLOOKUP("De kwaliteitseis emissiearme grond (maximale concentratie) wordt overschreden.",H!$O$10:'H'!$P$59,2,FALSE),""))),"")</f>
        <v/>
      </c>
      <c r="BB304" s="6" t="str">
        <f t="shared" si="92"/>
        <v>--</v>
      </c>
      <c r="BC304" s="6" t="str">
        <f t="shared" si="93"/>
        <v/>
      </c>
      <c r="BD304" s="6" t="str">
        <f t="shared" si="94"/>
        <v>--</v>
      </c>
      <c r="BE304" s="6" t="str">
        <f t="shared" si="102"/>
        <v/>
      </c>
      <c r="BF304" s="6" t="str">
        <f t="shared" si="103"/>
        <v/>
      </c>
      <c r="BG304" s="4" t="str">
        <f>IFERROR(IF(AR304="--","",IF(HLOOKUP(SMALL($Q$4:$Y$4,9),$Q$4:$Y$501,ROW(AP304)-3,FALSE)=0,"",IF(HLOOKUP(SMALL($Q$4:$Y$4,9),$Q$4:$Y$501,ROW(AP304)-3,FALSE)="nee",VLOOKUP("De kwaliteitseis emissiearme grond (maximale concentratie) wordt overschreden.",H!$O$10:'H'!$P$59,2,FALSE),""))),"")</f>
        <v/>
      </c>
    </row>
    <row r="305" spans="1:59" x14ac:dyDescent="0.2">
      <c r="A305" s="4" t="str">
        <f>F!A305</f>
        <v>Methylethylketon (MEK)</v>
      </c>
      <c r="B305" s="6" t="str">
        <f>IF(ISNUMBER(F!E305)=FALSE,"--",IF(F!E305=0,"--",F!E305))</f>
        <v>--</v>
      </c>
      <c r="C305" s="6" t="str">
        <f>IF(B305="--","",F!F305)</f>
        <v/>
      </c>
      <c r="D305" s="6" t="str">
        <f>IF(ISNUMBER(F!G305)=FALSE,"--",IF(F!G305=0,"--",F!G305))</f>
        <v>--</v>
      </c>
      <c r="E305" s="6" t="str">
        <f>IF(D305="--","",F!H305)</f>
        <v/>
      </c>
      <c r="F305" s="6" t="str">
        <f>IF(ISNUMBER(F!I305)=FALSE,"--",IF(F!I305=0,"--",F!I305))</f>
        <v>--</v>
      </c>
      <c r="G305" s="6" t="str">
        <f>IF(F305="--","",F!J305)</f>
        <v/>
      </c>
      <c r="H305" s="6"/>
      <c r="I305" s="6" t="str">
        <f>IF(F!Z305=-1,-1,F!AV305)</f>
        <v/>
      </c>
      <c r="J305" s="6"/>
      <c r="K305" s="6" t="str">
        <f>IF(F!AC305=-1,-1,F!AX305)</f>
        <v/>
      </c>
      <c r="L305" s="6"/>
      <c r="M305" s="6" t="str">
        <f>IF(F!AF305=-1,-1,F!AZ305)</f>
        <v/>
      </c>
      <c r="N305" s="6"/>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6" t="str">
        <f t="shared" si="109"/>
        <v/>
      </c>
      <c r="R305" s="5" t="str">
        <f>IF($B305="--","",IF($P305="toetsen",toetsen(F!$B305,Q305),IF($P305="toetsen alleen IW",toetsen_alleen_IW(F!$B305,Q305),IF($P305="toetsen alleen LN",toetsen_alleen_LN(F!$B305,Q305),IF($P305="toetsen geen MV en SV",toetsen_geen_MV_en_SV(F!$B305,Q305),IF($P305="toetsen alleen MV en SV",toetsen_alleen_MV_en_SV(F!$B305,Q305),""))))))</f>
        <v/>
      </c>
      <c r="S305" s="5" t="str">
        <f>IF($P305="toetsen",IF(OR(Q305="",VLOOKUP(F!$B305,E!$B$1:$AK$300,10,FALSE)=1000000000),"",IF(Q305&lt;=VLOOKUP(F!$B305,E!$B$1:$AK$300,10,FALSE),"ja","nee")),"")</f>
        <v/>
      </c>
      <c r="T305" s="87" t="str">
        <f t="shared" si="104"/>
        <v/>
      </c>
      <c r="U305" s="5" t="str">
        <f>IF($D305="--","",IF($P305="toetsen",toetsen(F!$B305,T305),IF($P305="toetsen alleen IW",toetsen_alleen_IW(F!$B305,T305),IF($P305="toetsen alleen LN",toetsen_alleen_LN(F!$B305,T305),IF($P305="toetsen geen MV en SV",toetsen_geen_MV_en_SV(F!$B305,T305),IF($P305="toetsen alleen MV en SV",toetsen_alleen_MV_en_SV(F!$B305,T305),""))))))</f>
        <v/>
      </c>
      <c r="V305" s="5" t="str">
        <f>IF($P305="toetsen",IF(OR(T305="",VLOOKUP(F!$B305,E!$B$1:$AK$300,10,FALSE)=1000000000),"",IF(T305&lt;=VLOOKUP(F!$B305,E!$B$1:$AK$300,10,FALSE),"ja","nee")),"")</f>
        <v/>
      </c>
      <c r="W305" s="6" t="str">
        <f t="shared" si="105"/>
        <v/>
      </c>
      <c r="X305" s="5" t="str">
        <f>IF($F305="--","",IF($P305="toetsen",toetsen(F!$B305,W305),IF($P305="toetsen alleen IW",toetsen_alleen_IW(F!$B305,W305),IF($P305="toetsen alleen LN",toetsen_alleen_LN(F!$B305,W305),IF($P305="toetsen geen MV en SV",toetsen_geen_MV_en_SV(F!$B305,W305),IF($P305="toetsen alleen MV en SV",toetsen_alleen_MV_en_SV(F!$B305,W305),""))))))</f>
        <v/>
      </c>
      <c r="Y305" s="5" t="str">
        <f>IF($P305="toetsen",IF(OR(W305="",VLOOKUP(F!$B305,E!$B$1:$AK$300,10,FALSE)=1000000000),"",IF(W305&lt;=VLOOKUP(F!$B305,E!$B$1:$AK$300,10,FALSE),"ja","nee")),"")</f>
        <v/>
      </c>
      <c r="AA305" s="4" t="str">
        <f>IFERROR(IF(Q305="","",(IF(Q305&gt;2*VLOOKUP(F!$B305,E!$B$1:$AK$300,5,FALSE),1,0))),"")</f>
        <v/>
      </c>
      <c r="AB305" s="4" t="str">
        <f>IFERROR(IF(T305="","",(IF(T305&gt;2*VLOOKUP(F!$B305,E!$B$1:$AK$300,5,FALSE),1,0))),"")</f>
        <v/>
      </c>
      <c r="AC305" s="4" t="str">
        <f>IFERROR(IF(W305="","",(IF(W305&gt;2*VLOOKUP(F!$B305,E!$B$1:$AK$300,5,FALSE),1,0))),"")</f>
        <v/>
      </c>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6" t="str">
        <f t="shared" si="106"/>
        <v>--</v>
      </c>
      <c r="AJ305" s="6"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6" t="str">
        <f t="shared" si="107"/>
        <v>--</v>
      </c>
      <c r="AL305" s="6"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6" t="str">
        <f t="shared" si="108"/>
        <v>--</v>
      </c>
      <c r="AN305" s="6"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6" t="str">
        <f t="shared" si="95"/>
        <v>--</v>
      </c>
      <c r="AQ305" s="6" t="str">
        <f t="shared" si="96"/>
        <v/>
      </c>
      <c r="AR305" s="6" t="str">
        <f t="shared" si="97"/>
        <v>--</v>
      </c>
      <c r="AS305" s="6" t="str">
        <f t="shared" si="98"/>
        <v/>
      </c>
      <c r="AT305" s="6" t="str">
        <f t="shared" si="99"/>
        <v/>
      </c>
      <c r="AU305" s="6" t="str">
        <f>IFERROR(IF(AR305="--","",IF(HLOOKUP(SMALL($Q$4:$Y$4,3),$Q$4:$Y$501,ROW(AP305)-3,FALSE)=0,"",IF(HLOOKUP(SMALL($Q$4:$Y$4,3),$Q$4:$Y$501,ROW(AP305)-3,FALSE)="nee",VLOOKUP("De kwaliteitseis emissiearme grond (maximale concentratie) wordt overschreden.",H!$O$10:'H'!$P$59,2,FALSE),""))),"")</f>
        <v/>
      </c>
      <c r="AV305" s="6" t="str">
        <f t="shared" si="89"/>
        <v>--</v>
      </c>
      <c r="AW305" s="6" t="str">
        <f t="shared" si="90"/>
        <v/>
      </c>
      <c r="AX305" s="6" t="str">
        <f t="shared" si="91"/>
        <v>--</v>
      </c>
      <c r="AY305" s="6" t="str">
        <f t="shared" si="100"/>
        <v/>
      </c>
      <c r="AZ305" s="6" t="str">
        <f t="shared" si="101"/>
        <v/>
      </c>
      <c r="BA305" s="6" t="str">
        <f>IFERROR(IF(AR305="--","",IF(HLOOKUP(SMALL($Q$4:$Y$4,6),$Q$4:$Y$501,ROW(AP305)-3,FALSE)=0,"",IF(HLOOKUP(SMALL($Q$4:$Y$4,6),$Q$4:$Y$501,ROW(AP305)-3,FALSE)="nee",VLOOKUP("De kwaliteitseis emissiearme grond (maximale concentratie) wordt overschreden.",H!$O$10:'H'!$P$59,2,FALSE),""))),"")</f>
        <v/>
      </c>
      <c r="BB305" s="6" t="str">
        <f t="shared" si="92"/>
        <v>--</v>
      </c>
      <c r="BC305" s="6" t="str">
        <f t="shared" si="93"/>
        <v/>
      </c>
      <c r="BD305" s="6" t="str">
        <f t="shared" si="94"/>
        <v>--</v>
      </c>
      <c r="BE305" s="6" t="str">
        <f t="shared" si="102"/>
        <v/>
      </c>
      <c r="BF305" s="6" t="str">
        <f t="shared" si="103"/>
        <v/>
      </c>
      <c r="BG305" s="4" t="str">
        <f>IFERROR(IF(AR305="--","",IF(HLOOKUP(SMALL($Q$4:$Y$4,9),$Q$4:$Y$501,ROW(AP305)-3,FALSE)=0,"",IF(HLOOKUP(SMALL($Q$4:$Y$4,9),$Q$4:$Y$501,ROW(AP305)-3,FALSE)="nee",VLOOKUP("De kwaliteitseis emissiearme grond (maximale concentratie) wordt overschreden.",H!$O$10:'H'!$P$59,2,FALSE),""))),"")</f>
        <v/>
      </c>
    </row>
    <row r="306" spans="1:59" x14ac:dyDescent="0.2">
      <c r="A306" s="4" t="str">
        <f>F!A306</f>
        <v>Acetonitrile</v>
      </c>
      <c r="B306" s="6" t="str">
        <f>IF(ISNUMBER(F!E306)=FALSE,"--",IF(F!E306=0,"--",F!E306))</f>
        <v>--</v>
      </c>
      <c r="C306" s="6" t="str">
        <f>IF(B306="--","",F!F306)</f>
        <v/>
      </c>
      <c r="D306" s="6" t="str">
        <f>IF(ISNUMBER(F!G306)=FALSE,"--",IF(F!G306=0,"--",F!G306))</f>
        <v>--</v>
      </c>
      <c r="E306" s="6" t="str">
        <f>IF(D306="--","",F!H306)</f>
        <v/>
      </c>
      <c r="F306" s="6" t="str">
        <f>IF(ISNUMBER(F!I306)=FALSE,"--",IF(F!I306=0,"--",F!I306))</f>
        <v>--</v>
      </c>
      <c r="G306" s="6" t="str">
        <f>IF(F306="--","",F!J306)</f>
        <v/>
      </c>
      <c r="H306" s="6"/>
      <c r="I306" s="6" t="str">
        <f>IF(F!Z306=-1,-1,F!AV306)</f>
        <v/>
      </c>
      <c r="J306" s="6"/>
      <c r="K306" s="6" t="str">
        <f>IF(F!AC306=-1,-1,F!AX306)</f>
        <v/>
      </c>
      <c r="L306" s="6"/>
      <c r="M306" s="6" t="str">
        <f>IF(F!AF306=-1,-1,F!AZ306)</f>
        <v/>
      </c>
      <c r="N306" s="6"/>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6" t="str">
        <f t="shared" si="109"/>
        <v/>
      </c>
      <c r="R306" s="5" t="str">
        <f>IF($B306="--","",IF($P306="toetsen",toetsen(F!$B306,Q306),IF($P306="toetsen alleen IW",toetsen_alleen_IW(F!$B306,Q306),IF($P306="toetsen alleen LN",toetsen_alleen_LN(F!$B306,Q306),IF($P306="toetsen geen MV en SV",toetsen_geen_MV_en_SV(F!$B306,Q306),IF($P306="toetsen alleen MV en SV",toetsen_alleen_MV_en_SV(F!$B306,Q306),""))))))</f>
        <v/>
      </c>
      <c r="S306" s="5" t="str">
        <f>IF($P306="toetsen",IF(OR(Q306="",VLOOKUP(F!$B306,E!$B$1:$AK$300,10,FALSE)=1000000000),"",IF(Q306&lt;=VLOOKUP(F!$B306,E!$B$1:$AK$300,10,FALSE),"ja","nee")),"")</f>
        <v/>
      </c>
      <c r="T306" s="87" t="str">
        <f t="shared" si="104"/>
        <v/>
      </c>
      <c r="U306" s="5" t="str">
        <f>IF($D306="--","",IF($P306="toetsen",toetsen(F!$B306,T306),IF($P306="toetsen alleen IW",toetsen_alleen_IW(F!$B306,T306),IF($P306="toetsen alleen LN",toetsen_alleen_LN(F!$B306,T306),IF($P306="toetsen geen MV en SV",toetsen_geen_MV_en_SV(F!$B306,T306),IF($P306="toetsen alleen MV en SV",toetsen_alleen_MV_en_SV(F!$B306,T306),""))))))</f>
        <v/>
      </c>
      <c r="V306" s="5" t="str">
        <f>IF($P306="toetsen",IF(OR(T306="",VLOOKUP(F!$B306,E!$B$1:$AK$300,10,FALSE)=1000000000),"",IF(T306&lt;=VLOOKUP(F!$B306,E!$B$1:$AK$300,10,FALSE),"ja","nee")),"")</f>
        <v/>
      </c>
      <c r="W306" s="6" t="str">
        <f t="shared" si="105"/>
        <v/>
      </c>
      <c r="X306" s="5" t="str">
        <f>IF($F306="--","",IF($P306="toetsen",toetsen(F!$B306,W306),IF($P306="toetsen alleen IW",toetsen_alleen_IW(F!$B306,W306),IF($P306="toetsen alleen LN",toetsen_alleen_LN(F!$B306,W306),IF($P306="toetsen geen MV en SV",toetsen_geen_MV_en_SV(F!$B306,W306),IF($P306="toetsen alleen MV en SV",toetsen_alleen_MV_en_SV(F!$B306,W306),""))))))</f>
        <v/>
      </c>
      <c r="Y306" s="5" t="str">
        <f>IF($P306="toetsen",IF(OR(W306="",VLOOKUP(F!$B306,E!$B$1:$AK$300,10,FALSE)=1000000000),"",IF(W306&lt;=VLOOKUP(F!$B306,E!$B$1:$AK$300,10,FALSE),"ja","nee")),"")</f>
        <v/>
      </c>
      <c r="AA306" s="4" t="str">
        <f>IFERROR(IF(Q306="","",(IF(Q306&gt;2*VLOOKUP(F!$B306,E!$B$1:$AK$300,5,FALSE),1,0))),"")</f>
        <v/>
      </c>
      <c r="AB306" s="4" t="str">
        <f>IFERROR(IF(T306="","",(IF(T306&gt;2*VLOOKUP(F!$B306,E!$B$1:$AK$300,5,FALSE),1,0))),"")</f>
        <v/>
      </c>
      <c r="AC306" s="4" t="str">
        <f>IFERROR(IF(W306="","",(IF(W306&gt;2*VLOOKUP(F!$B306,E!$B$1:$AK$300,5,FALSE),1,0))),"")</f>
        <v/>
      </c>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6" t="str">
        <f t="shared" si="106"/>
        <v>--</v>
      </c>
      <c r="AJ306" s="6"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6" t="str">
        <f t="shared" si="107"/>
        <v>--</v>
      </c>
      <c r="AL306" s="6"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6" t="str">
        <f t="shared" si="108"/>
        <v>--</v>
      </c>
      <c r="AN306" s="6"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6" t="str">
        <f t="shared" si="95"/>
        <v>--</v>
      </c>
      <c r="AQ306" s="6" t="str">
        <f t="shared" si="96"/>
        <v/>
      </c>
      <c r="AR306" s="6" t="str">
        <f t="shared" si="97"/>
        <v>--</v>
      </c>
      <c r="AS306" s="6" t="str">
        <f t="shared" si="98"/>
        <v/>
      </c>
      <c r="AT306" s="6" t="str">
        <f t="shared" si="99"/>
        <v/>
      </c>
      <c r="AU306" s="6" t="str">
        <f>IFERROR(IF(AR306="--","",IF(HLOOKUP(SMALL($Q$4:$Y$4,3),$Q$4:$Y$501,ROW(AP306)-3,FALSE)=0,"",IF(HLOOKUP(SMALL($Q$4:$Y$4,3),$Q$4:$Y$501,ROW(AP306)-3,FALSE)="nee",VLOOKUP("De kwaliteitseis emissiearme grond (maximale concentratie) wordt overschreden.",H!$O$10:'H'!$P$59,2,FALSE),""))),"")</f>
        <v/>
      </c>
      <c r="AV306" s="6" t="str">
        <f t="shared" si="89"/>
        <v>--</v>
      </c>
      <c r="AW306" s="6" t="str">
        <f t="shared" si="90"/>
        <v/>
      </c>
      <c r="AX306" s="6" t="str">
        <f t="shared" si="91"/>
        <v>--</v>
      </c>
      <c r="AY306" s="6" t="str">
        <f t="shared" si="100"/>
        <v/>
      </c>
      <c r="AZ306" s="6" t="str">
        <f t="shared" si="101"/>
        <v/>
      </c>
      <c r="BA306" s="6" t="str">
        <f>IFERROR(IF(AR306="--","",IF(HLOOKUP(SMALL($Q$4:$Y$4,6),$Q$4:$Y$501,ROW(AP306)-3,FALSE)=0,"",IF(HLOOKUP(SMALL($Q$4:$Y$4,6),$Q$4:$Y$501,ROW(AP306)-3,FALSE)="nee",VLOOKUP("De kwaliteitseis emissiearme grond (maximale concentratie) wordt overschreden.",H!$O$10:'H'!$P$59,2,FALSE),""))),"")</f>
        <v/>
      </c>
      <c r="BB306" s="6" t="str">
        <f t="shared" si="92"/>
        <v>--</v>
      </c>
      <c r="BC306" s="6" t="str">
        <f t="shared" si="93"/>
        <v/>
      </c>
      <c r="BD306" s="6" t="str">
        <f t="shared" si="94"/>
        <v>--</v>
      </c>
      <c r="BE306" s="6" t="str">
        <f t="shared" si="102"/>
        <v/>
      </c>
      <c r="BF306" s="6" t="str">
        <f t="shared" si="103"/>
        <v/>
      </c>
      <c r="BG306" s="4" t="str">
        <f>IFERROR(IF(AR306="--","",IF(HLOOKUP(SMALL($Q$4:$Y$4,9),$Q$4:$Y$501,ROW(AP306)-3,FALSE)=0,"",IF(HLOOKUP(SMALL($Q$4:$Y$4,9),$Q$4:$Y$501,ROW(AP306)-3,FALSE)="nee",VLOOKUP("De kwaliteitseis emissiearme grond (maximale concentratie) wordt overschreden.",H!$O$10:'H'!$P$59,2,FALSE),""))),"")</f>
        <v/>
      </c>
    </row>
    <row r="307" spans="1:59" x14ac:dyDescent="0.2">
      <c r="A307" s="4" t="str">
        <f>F!A307</f>
        <v>3+4-Chlooraniline</v>
      </c>
      <c r="B307" s="6" t="str">
        <f>IF(ISNUMBER(F!E307)=FALSE,"--",IF(F!E307=0,"--",F!E307))</f>
        <v>--</v>
      </c>
      <c r="C307" s="6" t="str">
        <f>IF(B307="--","",F!F307)</f>
        <v/>
      </c>
      <c r="D307" s="6" t="str">
        <f>IF(ISNUMBER(F!G307)=FALSE,"--",IF(F!G307=0,"--",F!G307))</f>
        <v>--</v>
      </c>
      <c r="E307" s="6" t="str">
        <f>IF(D307="--","",F!H307)</f>
        <v/>
      </c>
      <c r="F307" s="6" t="str">
        <f>IF(ISNUMBER(F!I307)=FALSE,"--",IF(F!I307=0,"--",F!I307))</f>
        <v>--</v>
      </c>
      <c r="G307" s="6" t="str">
        <f>IF(F307="--","",F!J307)</f>
        <v/>
      </c>
      <c r="H307" s="6"/>
      <c r="I307" s="6">
        <f>IF(F!Z307=-1,-1,F!AV307)</f>
        <v>0</v>
      </c>
      <c r="J307" s="6"/>
      <c r="K307" s="6">
        <f>IF(F!AC307=-1,-1,F!AX307)</f>
        <v>0</v>
      </c>
      <c r="L307" s="6"/>
      <c r="M307" s="6">
        <f>IF(F!AF307=-1,-1,F!AZ307)</f>
        <v>0</v>
      </c>
      <c r="N307" s="6"/>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6">
        <f t="shared" si="109"/>
        <v>0</v>
      </c>
      <c r="R307" s="5" t="str">
        <f>IF($B307="--","",IF($P307="toetsen",toetsen(F!$B307,Q307),IF($P307="toetsen alleen IW",toetsen_alleen_IW(F!$B307,Q307),IF($P307="toetsen alleen LN",toetsen_alleen_LN(F!$B307,Q307),IF($P307="toetsen geen MV en SV",toetsen_geen_MV_en_SV(F!$B307,Q307),IF($P307="toetsen alleen MV en SV",toetsen_alleen_MV_en_SV(F!$B307,Q307),""))))))</f>
        <v/>
      </c>
      <c r="S307" s="5" t="str">
        <f>IF($P307="toetsen",IF(OR(Q307="",VLOOKUP(F!$B307,E!$B$1:$AK$300,10,FALSE)=1000000000),"",IF(Q307&lt;=VLOOKUP(F!$B307,E!$B$1:$AK$300,10,FALSE),"ja","nee")),"")</f>
        <v/>
      </c>
      <c r="T307" s="87">
        <f t="shared" si="104"/>
        <v>0</v>
      </c>
      <c r="U307" s="5" t="str">
        <f>IF($D307="--","",IF($P307="toetsen",toetsen(F!$B307,T307),IF($P307="toetsen alleen IW",toetsen_alleen_IW(F!$B307,T307),IF($P307="toetsen alleen LN",toetsen_alleen_LN(F!$B307,T307),IF($P307="toetsen geen MV en SV",toetsen_geen_MV_en_SV(F!$B307,T307),IF($P307="toetsen alleen MV en SV",toetsen_alleen_MV_en_SV(F!$B307,T307),""))))))</f>
        <v/>
      </c>
      <c r="V307" s="5" t="str">
        <f>IF($P307="toetsen",IF(OR(T307="",VLOOKUP(F!$B307,E!$B$1:$AK$300,10,FALSE)=1000000000),"",IF(T307&lt;=VLOOKUP(F!$B307,E!$B$1:$AK$300,10,FALSE),"ja","nee")),"")</f>
        <v/>
      </c>
      <c r="W307" s="6">
        <f t="shared" si="105"/>
        <v>0</v>
      </c>
      <c r="X307" s="5" t="str">
        <f>IF($F307="--","",IF($P307="toetsen",toetsen(F!$B307,W307),IF($P307="toetsen alleen IW",toetsen_alleen_IW(F!$B307,W307),IF($P307="toetsen alleen LN",toetsen_alleen_LN(F!$B307,W307),IF($P307="toetsen geen MV en SV",toetsen_geen_MV_en_SV(F!$B307,W307),IF($P307="toetsen alleen MV en SV",toetsen_alleen_MV_en_SV(F!$B307,W307),""))))))</f>
        <v/>
      </c>
      <c r="Y307" s="5" t="str">
        <f>IF($P307="toetsen",IF(OR(W307="",VLOOKUP(F!$B307,E!$B$1:$AK$300,10,FALSE)=1000000000),"",IF(W307&lt;=VLOOKUP(F!$B307,E!$B$1:$AK$300,10,FALSE),"ja","nee")),"")</f>
        <v/>
      </c>
      <c r="AA307" s="4" t="str">
        <f>IFERROR(IF(Q307="","",(IF(Q307&gt;2*VLOOKUP(F!$B307,E!$B$1:$AK$300,5,FALSE),1,0))),"")</f>
        <v/>
      </c>
      <c r="AB307" s="4" t="str">
        <f>IFERROR(IF(T307="","",(IF(T307&gt;2*VLOOKUP(F!$B307,E!$B$1:$AK$300,5,FALSE),1,0))),"")</f>
        <v/>
      </c>
      <c r="AC307" s="4" t="str">
        <f>IFERROR(IF(W307="","",(IF(W307&gt;2*VLOOKUP(F!$B307,E!$B$1:$AK$300,5,FALSE),1,0))),"")</f>
        <v/>
      </c>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6" t="str">
        <f t="shared" si="106"/>
        <v>--</v>
      </c>
      <c r="AJ307" s="6"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6" t="str">
        <f t="shared" si="107"/>
        <v>--</v>
      </c>
      <c r="AL307" s="6"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6" t="str">
        <f t="shared" si="108"/>
        <v>--</v>
      </c>
      <c r="AN307" s="6"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6" t="str">
        <f t="shared" si="95"/>
        <v>--</v>
      </c>
      <c r="AQ307" s="6" t="str">
        <f t="shared" si="96"/>
        <v/>
      </c>
      <c r="AR307" s="6" t="str">
        <f t="shared" si="97"/>
        <v>--</v>
      </c>
      <c r="AS307" s="6" t="str">
        <f t="shared" si="98"/>
        <v/>
      </c>
      <c r="AT307" s="6" t="str">
        <f t="shared" si="99"/>
        <v/>
      </c>
      <c r="AU307" s="6" t="str">
        <f>IFERROR(IF(AR307="--","",IF(HLOOKUP(SMALL($Q$4:$Y$4,3),$Q$4:$Y$501,ROW(AP307)-3,FALSE)=0,"",IF(HLOOKUP(SMALL($Q$4:$Y$4,3),$Q$4:$Y$501,ROW(AP307)-3,FALSE)="nee",VLOOKUP("De kwaliteitseis emissiearme grond (maximale concentratie) wordt overschreden.",H!$O$10:'H'!$P$59,2,FALSE),""))),"")</f>
        <v/>
      </c>
      <c r="AV307" s="6" t="str">
        <f t="shared" si="89"/>
        <v>--</v>
      </c>
      <c r="AW307" s="6" t="str">
        <f t="shared" si="90"/>
        <v/>
      </c>
      <c r="AX307" s="6" t="str">
        <f t="shared" si="91"/>
        <v>--</v>
      </c>
      <c r="AY307" s="6" t="str">
        <f t="shared" si="100"/>
        <v/>
      </c>
      <c r="AZ307" s="6" t="str">
        <f t="shared" si="101"/>
        <v/>
      </c>
      <c r="BA307" s="6" t="str">
        <f>IFERROR(IF(AR307="--","",IF(HLOOKUP(SMALL($Q$4:$Y$4,6),$Q$4:$Y$501,ROW(AP307)-3,FALSE)=0,"",IF(HLOOKUP(SMALL($Q$4:$Y$4,6),$Q$4:$Y$501,ROW(AP307)-3,FALSE)="nee",VLOOKUP("De kwaliteitseis emissiearme grond (maximale concentratie) wordt overschreden.",H!$O$10:'H'!$P$59,2,FALSE),""))),"")</f>
        <v/>
      </c>
      <c r="BB307" s="6" t="str">
        <f t="shared" si="92"/>
        <v>--</v>
      </c>
      <c r="BC307" s="6" t="str">
        <f t="shared" si="93"/>
        <v/>
      </c>
      <c r="BD307" s="6" t="str">
        <f t="shared" si="94"/>
        <v>--</v>
      </c>
      <c r="BE307" s="6" t="str">
        <f t="shared" si="102"/>
        <v/>
      </c>
      <c r="BF307" s="6" t="str">
        <f t="shared" si="103"/>
        <v/>
      </c>
      <c r="BG307" s="4" t="str">
        <f>IFERROR(IF(AR307="--","",IF(HLOOKUP(SMALL($Q$4:$Y$4,9),$Q$4:$Y$501,ROW(AP307)-3,FALSE)=0,"",IF(HLOOKUP(SMALL($Q$4:$Y$4,9),$Q$4:$Y$501,ROW(AP307)-3,FALSE)="nee",VLOOKUP("De kwaliteitseis emissiearme grond (maximale concentratie) wordt overschreden.",H!$O$10:'H'!$P$59,2,FALSE),""))),"")</f>
        <v/>
      </c>
    </row>
    <row r="308" spans="1:59" x14ac:dyDescent="0.2">
      <c r="A308" s="4" t="str">
        <f>F!A308</f>
        <v>2-Nitroaniline</v>
      </c>
      <c r="B308" s="6" t="str">
        <f>IF(ISNUMBER(F!E308)=FALSE,"--",IF(F!E308=0,"--",F!E308))</f>
        <v>--</v>
      </c>
      <c r="C308" s="6" t="str">
        <f>IF(B308="--","",F!F308)</f>
        <v/>
      </c>
      <c r="D308" s="6" t="str">
        <f>IF(ISNUMBER(F!G308)=FALSE,"--",IF(F!G308=0,"--",F!G308))</f>
        <v>--</v>
      </c>
      <c r="E308" s="6" t="str">
        <f>IF(D308="--","",F!H308)</f>
        <v/>
      </c>
      <c r="F308" s="6" t="str">
        <f>IF(ISNUMBER(F!I308)=FALSE,"--",IF(F!I308=0,"--",F!I308))</f>
        <v>--</v>
      </c>
      <c r="G308" s="6" t="str">
        <f>IF(F308="--","",F!J308)</f>
        <v/>
      </c>
      <c r="H308" s="6"/>
      <c r="I308" s="6" t="str">
        <f>IF(F!Z308=-1,-1,F!AV308)</f>
        <v/>
      </c>
      <c r="J308" s="6"/>
      <c r="K308" s="6" t="str">
        <f>IF(F!AC308=-1,-1,F!AX308)</f>
        <v/>
      </c>
      <c r="L308" s="6"/>
      <c r="M308" s="6" t="str">
        <f>IF(F!AF308=-1,-1,F!AZ308)</f>
        <v/>
      </c>
      <c r="N308" s="6"/>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6" t="str">
        <f t="shared" si="109"/>
        <v/>
      </c>
      <c r="R308" s="5" t="str">
        <f>IF($B308="--","",IF($P308="toetsen",toetsen(F!$B308,Q308),IF($P308="toetsen alleen IW",toetsen_alleen_IW(F!$B308,Q308),IF($P308="toetsen alleen LN",toetsen_alleen_LN(F!$B308,Q308),IF($P308="toetsen geen MV en SV",toetsen_geen_MV_en_SV(F!$B308,Q308),IF($P308="toetsen alleen MV en SV",toetsen_alleen_MV_en_SV(F!$B308,Q308),""))))))</f>
        <v/>
      </c>
      <c r="S308" s="5" t="str">
        <f>IF($P308="toetsen",IF(OR(Q308="",VLOOKUP(F!$B308,E!$B$1:$AK$300,10,FALSE)=1000000000),"",IF(Q308&lt;=VLOOKUP(F!$B308,E!$B$1:$AK$300,10,FALSE),"ja","nee")),"")</f>
        <v/>
      </c>
      <c r="T308" s="87" t="str">
        <f t="shared" si="104"/>
        <v/>
      </c>
      <c r="U308" s="5" t="str">
        <f>IF($D308="--","",IF($P308="toetsen",toetsen(F!$B308,T308),IF($P308="toetsen alleen IW",toetsen_alleen_IW(F!$B308,T308),IF($P308="toetsen alleen LN",toetsen_alleen_LN(F!$B308,T308),IF($P308="toetsen geen MV en SV",toetsen_geen_MV_en_SV(F!$B308,T308),IF($P308="toetsen alleen MV en SV",toetsen_alleen_MV_en_SV(F!$B308,T308),""))))))</f>
        <v/>
      </c>
      <c r="V308" s="5" t="str">
        <f>IF($P308="toetsen",IF(OR(T308="",VLOOKUP(F!$B308,E!$B$1:$AK$300,10,FALSE)=1000000000),"",IF(T308&lt;=VLOOKUP(F!$B308,E!$B$1:$AK$300,10,FALSE),"ja","nee")),"")</f>
        <v/>
      </c>
      <c r="W308" s="6" t="str">
        <f t="shared" si="105"/>
        <v/>
      </c>
      <c r="X308" s="5" t="str">
        <f>IF($F308="--","",IF($P308="toetsen",toetsen(F!$B308,W308),IF($P308="toetsen alleen IW",toetsen_alleen_IW(F!$B308,W308),IF($P308="toetsen alleen LN",toetsen_alleen_LN(F!$B308,W308),IF($P308="toetsen geen MV en SV",toetsen_geen_MV_en_SV(F!$B308,W308),IF($P308="toetsen alleen MV en SV",toetsen_alleen_MV_en_SV(F!$B308,W308),""))))))</f>
        <v/>
      </c>
      <c r="Y308" s="5" t="str">
        <f>IF($P308="toetsen",IF(OR(W308="",VLOOKUP(F!$B308,E!$B$1:$AK$300,10,FALSE)=1000000000),"",IF(W308&lt;=VLOOKUP(F!$B308,E!$B$1:$AK$300,10,FALSE),"ja","nee")),"")</f>
        <v/>
      </c>
      <c r="AA308" s="4" t="str">
        <f>IFERROR(IF(Q308="","",(IF(Q308&gt;2*VLOOKUP(F!$B308,E!$B$1:$AK$300,5,FALSE),1,0))),"")</f>
        <v/>
      </c>
      <c r="AB308" s="4" t="str">
        <f>IFERROR(IF(T308="","",(IF(T308&gt;2*VLOOKUP(F!$B308,E!$B$1:$AK$300,5,FALSE),1,0))),"")</f>
        <v/>
      </c>
      <c r="AC308" s="4" t="str">
        <f>IFERROR(IF(W308="","",(IF(W308&gt;2*VLOOKUP(F!$B308,E!$B$1:$AK$300,5,FALSE),1,0))),"")</f>
        <v/>
      </c>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6" t="str">
        <f t="shared" si="106"/>
        <v>--</v>
      </c>
      <c r="AJ308" s="6"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6" t="str">
        <f t="shared" si="107"/>
        <v>--</v>
      </c>
      <c r="AL308" s="6"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6" t="str">
        <f t="shared" si="108"/>
        <v>--</v>
      </c>
      <c r="AN308" s="6"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6" t="str">
        <f t="shared" si="95"/>
        <v>--</v>
      </c>
      <c r="AQ308" s="6" t="str">
        <f t="shared" si="96"/>
        <v/>
      </c>
      <c r="AR308" s="6" t="str">
        <f t="shared" si="97"/>
        <v>--</v>
      </c>
      <c r="AS308" s="6" t="str">
        <f t="shared" si="98"/>
        <v/>
      </c>
      <c r="AT308" s="6" t="str">
        <f t="shared" si="99"/>
        <v/>
      </c>
      <c r="AU308" s="6" t="str">
        <f>IFERROR(IF(AR308="--","",IF(HLOOKUP(SMALL($Q$4:$Y$4,3),$Q$4:$Y$501,ROW(AP308)-3,FALSE)=0,"",IF(HLOOKUP(SMALL($Q$4:$Y$4,3),$Q$4:$Y$501,ROW(AP308)-3,FALSE)="nee",VLOOKUP("De kwaliteitseis emissiearme grond (maximale concentratie) wordt overschreden.",H!$O$10:'H'!$P$59,2,FALSE),""))),"")</f>
        <v/>
      </c>
      <c r="AV308" s="6" t="str">
        <f t="shared" si="89"/>
        <v>--</v>
      </c>
      <c r="AW308" s="6" t="str">
        <f t="shared" si="90"/>
        <v/>
      </c>
      <c r="AX308" s="6" t="str">
        <f t="shared" si="91"/>
        <v>--</v>
      </c>
      <c r="AY308" s="6" t="str">
        <f t="shared" si="100"/>
        <v/>
      </c>
      <c r="AZ308" s="6" t="str">
        <f t="shared" si="101"/>
        <v/>
      </c>
      <c r="BA308" s="6" t="str">
        <f>IFERROR(IF(AR308="--","",IF(HLOOKUP(SMALL($Q$4:$Y$4,6),$Q$4:$Y$501,ROW(AP308)-3,FALSE)=0,"",IF(HLOOKUP(SMALL($Q$4:$Y$4,6),$Q$4:$Y$501,ROW(AP308)-3,FALSE)="nee",VLOOKUP("De kwaliteitseis emissiearme grond (maximale concentratie) wordt overschreden.",H!$O$10:'H'!$P$59,2,FALSE),""))),"")</f>
        <v/>
      </c>
      <c r="BB308" s="6" t="str">
        <f t="shared" si="92"/>
        <v>--</v>
      </c>
      <c r="BC308" s="6" t="str">
        <f t="shared" si="93"/>
        <v/>
      </c>
      <c r="BD308" s="6" t="str">
        <f t="shared" si="94"/>
        <v>--</v>
      </c>
      <c r="BE308" s="6" t="str">
        <f t="shared" si="102"/>
        <v/>
      </c>
      <c r="BF308" s="6" t="str">
        <f t="shared" si="103"/>
        <v/>
      </c>
      <c r="BG308" s="4" t="str">
        <f>IFERROR(IF(AR308="--","",IF(HLOOKUP(SMALL($Q$4:$Y$4,9),$Q$4:$Y$501,ROW(AP308)-3,FALSE)=0,"",IF(HLOOKUP(SMALL($Q$4:$Y$4,9),$Q$4:$Y$501,ROW(AP308)-3,FALSE)="nee",VLOOKUP("De kwaliteitseis emissiearme grond (maximale concentratie) wordt overschreden.",H!$O$10:'H'!$P$59,2,FALSE),""))),"")</f>
        <v/>
      </c>
    </row>
    <row r="309" spans="1:59" x14ac:dyDescent="0.2">
      <c r="A309" s="4" t="str">
        <f>F!A309</f>
        <v>3-Nitroaniline</v>
      </c>
      <c r="B309" s="6" t="str">
        <f>IF(ISNUMBER(F!E309)=FALSE,"--",IF(F!E309=0,"--",F!E309))</f>
        <v>--</v>
      </c>
      <c r="C309" s="6" t="str">
        <f>IF(B309="--","",F!F309)</f>
        <v/>
      </c>
      <c r="D309" s="6" t="str">
        <f>IF(ISNUMBER(F!G309)=FALSE,"--",IF(F!G309=0,"--",F!G309))</f>
        <v>--</v>
      </c>
      <c r="E309" s="6" t="str">
        <f>IF(D309="--","",F!H309)</f>
        <v/>
      </c>
      <c r="F309" s="6" t="str">
        <f>IF(ISNUMBER(F!I309)=FALSE,"--",IF(F!I309=0,"--",F!I309))</f>
        <v>--</v>
      </c>
      <c r="G309" s="6" t="str">
        <f>IF(F309="--","",F!J309)</f>
        <v/>
      </c>
      <c r="H309" s="6"/>
      <c r="I309" s="6" t="str">
        <f>IF(F!Z309=-1,-1,F!AV309)</f>
        <v/>
      </c>
      <c r="J309" s="6"/>
      <c r="K309" s="6" t="str">
        <f>IF(F!AC309=-1,-1,F!AX309)</f>
        <v/>
      </c>
      <c r="L309" s="6"/>
      <c r="M309" s="6" t="str">
        <f>IF(F!AF309=-1,-1,F!AZ309)</f>
        <v/>
      </c>
      <c r="N309" s="6"/>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6" t="str">
        <f t="shared" si="109"/>
        <v/>
      </c>
      <c r="R309" s="5" t="str">
        <f>IF($B309="--","",IF($P309="toetsen",toetsen(F!$B309,Q309),IF($P309="toetsen alleen IW",toetsen_alleen_IW(F!$B309,Q309),IF($P309="toetsen alleen LN",toetsen_alleen_LN(F!$B309,Q309),IF($P309="toetsen geen MV en SV",toetsen_geen_MV_en_SV(F!$B309,Q309),IF($P309="toetsen alleen MV en SV",toetsen_alleen_MV_en_SV(F!$B309,Q309),""))))))</f>
        <v/>
      </c>
      <c r="S309" s="5" t="str">
        <f>IF($P309="toetsen",IF(OR(Q309="",VLOOKUP(F!$B309,E!$B$1:$AK$300,10,FALSE)=1000000000),"",IF(Q309&lt;=VLOOKUP(F!$B309,E!$B$1:$AK$300,10,FALSE),"ja","nee")),"")</f>
        <v/>
      </c>
      <c r="T309" s="87" t="str">
        <f t="shared" si="104"/>
        <v/>
      </c>
      <c r="U309" s="5" t="str">
        <f>IF($D309="--","",IF($P309="toetsen",toetsen(F!$B309,T309),IF($P309="toetsen alleen IW",toetsen_alleen_IW(F!$B309,T309),IF($P309="toetsen alleen LN",toetsen_alleen_LN(F!$B309,T309),IF($P309="toetsen geen MV en SV",toetsen_geen_MV_en_SV(F!$B309,T309),IF($P309="toetsen alleen MV en SV",toetsen_alleen_MV_en_SV(F!$B309,T309),""))))))</f>
        <v/>
      </c>
      <c r="V309" s="5" t="str">
        <f>IF($P309="toetsen",IF(OR(T309="",VLOOKUP(F!$B309,E!$B$1:$AK$300,10,FALSE)=1000000000),"",IF(T309&lt;=VLOOKUP(F!$B309,E!$B$1:$AK$300,10,FALSE),"ja","nee")),"")</f>
        <v/>
      </c>
      <c r="W309" s="6" t="str">
        <f t="shared" si="105"/>
        <v/>
      </c>
      <c r="X309" s="5" t="str">
        <f>IF($F309="--","",IF($P309="toetsen",toetsen(F!$B309,W309),IF($P309="toetsen alleen IW",toetsen_alleen_IW(F!$B309,W309),IF($P309="toetsen alleen LN",toetsen_alleen_LN(F!$B309,W309),IF($P309="toetsen geen MV en SV",toetsen_geen_MV_en_SV(F!$B309,W309),IF($P309="toetsen alleen MV en SV",toetsen_alleen_MV_en_SV(F!$B309,W309),""))))))</f>
        <v/>
      </c>
      <c r="Y309" s="5" t="str">
        <f>IF($P309="toetsen",IF(OR(W309="",VLOOKUP(F!$B309,E!$B$1:$AK$300,10,FALSE)=1000000000),"",IF(W309&lt;=VLOOKUP(F!$B309,E!$B$1:$AK$300,10,FALSE),"ja","nee")),"")</f>
        <v/>
      </c>
      <c r="AA309" s="4" t="str">
        <f>IFERROR(IF(Q309="","",(IF(Q309&gt;2*VLOOKUP(F!$B309,E!$B$1:$AK$300,5,FALSE),1,0))),"")</f>
        <v/>
      </c>
      <c r="AB309" s="4" t="str">
        <f>IFERROR(IF(T309="","",(IF(T309&gt;2*VLOOKUP(F!$B309,E!$B$1:$AK$300,5,FALSE),1,0))),"")</f>
        <v/>
      </c>
      <c r="AC309" s="4" t="str">
        <f>IFERROR(IF(W309="","",(IF(W309&gt;2*VLOOKUP(F!$B309,E!$B$1:$AK$300,5,FALSE),1,0))),"")</f>
        <v/>
      </c>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6" t="str">
        <f t="shared" si="106"/>
        <v>--</v>
      </c>
      <c r="AJ309" s="6"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6" t="str">
        <f t="shared" si="107"/>
        <v>--</v>
      </c>
      <c r="AL309" s="6"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6" t="str">
        <f t="shared" si="108"/>
        <v>--</v>
      </c>
      <c r="AN309" s="6"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6" t="str">
        <f t="shared" si="95"/>
        <v>--</v>
      </c>
      <c r="AQ309" s="6" t="str">
        <f t="shared" si="96"/>
        <v/>
      </c>
      <c r="AR309" s="6" t="str">
        <f t="shared" si="97"/>
        <v>--</v>
      </c>
      <c r="AS309" s="6" t="str">
        <f t="shared" si="98"/>
        <v/>
      </c>
      <c r="AT309" s="6" t="str">
        <f t="shared" si="99"/>
        <v/>
      </c>
      <c r="AU309" s="6" t="str">
        <f>IFERROR(IF(AR309="--","",IF(HLOOKUP(SMALL($Q$4:$Y$4,3),$Q$4:$Y$501,ROW(AP309)-3,FALSE)=0,"",IF(HLOOKUP(SMALL($Q$4:$Y$4,3),$Q$4:$Y$501,ROW(AP309)-3,FALSE)="nee",VLOOKUP("De kwaliteitseis emissiearme grond (maximale concentratie) wordt overschreden.",H!$O$10:'H'!$P$59,2,FALSE),""))),"")</f>
        <v/>
      </c>
      <c r="AV309" s="6" t="str">
        <f t="shared" si="89"/>
        <v>--</v>
      </c>
      <c r="AW309" s="6" t="str">
        <f t="shared" si="90"/>
        <v/>
      </c>
      <c r="AX309" s="6" t="str">
        <f t="shared" si="91"/>
        <v>--</v>
      </c>
      <c r="AY309" s="6" t="str">
        <f t="shared" si="100"/>
        <v/>
      </c>
      <c r="AZ309" s="6" t="str">
        <f t="shared" si="101"/>
        <v/>
      </c>
      <c r="BA309" s="6" t="str">
        <f>IFERROR(IF(AR309="--","",IF(HLOOKUP(SMALL($Q$4:$Y$4,6),$Q$4:$Y$501,ROW(AP309)-3,FALSE)=0,"",IF(HLOOKUP(SMALL($Q$4:$Y$4,6),$Q$4:$Y$501,ROW(AP309)-3,FALSE)="nee",VLOOKUP("De kwaliteitseis emissiearme grond (maximale concentratie) wordt overschreden.",H!$O$10:'H'!$P$59,2,FALSE),""))),"")</f>
        <v/>
      </c>
      <c r="BB309" s="6" t="str">
        <f t="shared" si="92"/>
        <v>--</v>
      </c>
      <c r="BC309" s="6" t="str">
        <f t="shared" si="93"/>
        <v/>
      </c>
      <c r="BD309" s="6" t="str">
        <f t="shared" si="94"/>
        <v>--</v>
      </c>
      <c r="BE309" s="6" t="str">
        <f t="shared" si="102"/>
        <v/>
      </c>
      <c r="BF309" s="6" t="str">
        <f t="shared" si="103"/>
        <v/>
      </c>
      <c r="BG309" s="4" t="str">
        <f>IFERROR(IF(AR309="--","",IF(HLOOKUP(SMALL($Q$4:$Y$4,9),$Q$4:$Y$501,ROW(AP309)-3,FALSE)=0,"",IF(HLOOKUP(SMALL($Q$4:$Y$4,9),$Q$4:$Y$501,ROW(AP309)-3,FALSE)="nee",VLOOKUP("De kwaliteitseis emissiearme grond (maximale concentratie) wordt overschreden.",H!$O$10:'H'!$P$59,2,FALSE),""))),"")</f>
        <v/>
      </c>
    </row>
    <row r="310" spans="1:59" x14ac:dyDescent="0.2">
      <c r="A310" s="4" t="str">
        <f>F!A310</f>
        <v>4-Nitroaniline</v>
      </c>
      <c r="B310" s="6" t="str">
        <f>IF(ISNUMBER(F!E310)=FALSE,"--",IF(F!E310=0,"--",F!E310))</f>
        <v>--</v>
      </c>
      <c r="C310" s="6" t="str">
        <f>IF(B310="--","",F!F310)</f>
        <v/>
      </c>
      <c r="D310" s="6" t="str">
        <f>IF(ISNUMBER(F!G310)=FALSE,"--",IF(F!G310=0,"--",F!G310))</f>
        <v>--</v>
      </c>
      <c r="E310" s="6" t="str">
        <f>IF(D310="--","",F!H310)</f>
        <v/>
      </c>
      <c r="F310" s="6" t="str">
        <f>IF(ISNUMBER(F!I310)=FALSE,"--",IF(F!I310=0,"--",F!I310))</f>
        <v>--</v>
      </c>
      <c r="G310" s="6" t="str">
        <f>IF(F310="--","",F!J310)</f>
        <v/>
      </c>
      <c r="H310" s="6"/>
      <c r="I310" s="6" t="str">
        <f>IF(F!Z310=-1,-1,F!AV310)</f>
        <v/>
      </c>
      <c r="J310" s="6"/>
      <c r="K310" s="6" t="str">
        <f>IF(F!AC310=-1,-1,F!AX310)</f>
        <v/>
      </c>
      <c r="L310" s="6"/>
      <c r="M310" s="6" t="str">
        <f>IF(F!AF310=-1,-1,F!AZ310)</f>
        <v/>
      </c>
      <c r="N310" s="6"/>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6" t="str">
        <f t="shared" si="109"/>
        <v/>
      </c>
      <c r="R310" s="5" t="str">
        <f>IF($B310="--","",IF($P310="toetsen",toetsen(F!$B310,Q310),IF($P310="toetsen alleen IW",toetsen_alleen_IW(F!$B310,Q310),IF($P310="toetsen alleen LN",toetsen_alleen_LN(F!$B310,Q310),IF($P310="toetsen geen MV en SV",toetsen_geen_MV_en_SV(F!$B310,Q310),IF($P310="toetsen alleen MV en SV",toetsen_alleen_MV_en_SV(F!$B310,Q310),""))))))</f>
        <v/>
      </c>
      <c r="S310" s="5" t="str">
        <f>IF($P310="toetsen",IF(OR(Q310="",VLOOKUP(F!$B310,E!$B$1:$AK$300,10,FALSE)=1000000000),"",IF(Q310&lt;=VLOOKUP(F!$B310,E!$B$1:$AK$300,10,FALSE),"ja","nee")),"")</f>
        <v/>
      </c>
      <c r="T310" s="87" t="str">
        <f t="shared" si="104"/>
        <v/>
      </c>
      <c r="U310" s="5" t="str">
        <f>IF($D310="--","",IF($P310="toetsen",toetsen(F!$B310,T310),IF($P310="toetsen alleen IW",toetsen_alleen_IW(F!$B310,T310),IF($P310="toetsen alleen LN",toetsen_alleen_LN(F!$B310,T310),IF($P310="toetsen geen MV en SV",toetsen_geen_MV_en_SV(F!$B310,T310),IF($P310="toetsen alleen MV en SV",toetsen_alleen_MV_en_SV(F!$B310,T310),""))))))</f>
        <v/>
      </c>
      <c r="V310" s="5" t="str">
        <f>IF($P310="toetsen",IF(OR(T310="",VLOOKUP(F!$B310,E!$B$1:$AK$300,10,FALSE)=1000000000),"",IF(T310&lt;=VLOOKUP(F!$B310,E!$B$1:$AK$300,10,FALSE),"ja","nee")),"")</f>
        <v/>
      </c>
      <c r="W310" s="6" t="str">
        <f t="shared" si="105"/>
        <v/>
      </c>
      <c r="X310" s="5" t="str">
        <f>IF($F310="--","",IF($P310="toetsen",toetsen(F!$B310,W310),IF($P310="toetsen alleen IW",toetsen_alleen_IW(F!$B310,W310),IF($P310="toetsen alleen LN",toetsen_alleen_LN(F!$B310,W310),IF($P310="toetsen geen MV en SV",toetsen_geen_MV_en_SV(F!$B310,W310),IF($P310="toetsen alleen MV en SV",toetsen_alleen_MV_en_SV(F!$B310,W310),""))))))</f>
        <v/>
      </c>
      <c r="Y310" s="5" t="str">
        <f>IF($P310="toetsen",IF(OR(W310="",VLOOKUP(F!$B310,E!$B$1:$AK$300,10,FALSE)=1000000000),"",IF(W310&lt;=VLOOKUP(F!$B310,E!$B$1:$AK$300,10,FALSE),"ja","nee")),"")</f>
        <v/>
      </c>
      <c r="AA310" s="4" t="str">
        <f>IFERROR(IF(Q310="","",(IF(Q310&gt;2*VLOOKUP(F!$B310,E!$B$1:$AK$300,5,FALSE),1,0))),"")</f>
        <v/>
      </c>
      <c r="AB310" s="4" t="str">
        <f>IFERROR(IF(T310="","",(IF(T310&gt;2*VLOOKUP(F!$B310,E!$B$1:$AK$300,5,FALSE),1,0))),"")</f>
        <v/>
      </c>
      <c r="AC310" s="4" t="str">
        <f>IFERROR(IF(W310="","",(IF(W310&gt;2*VLOOKUP(F!$B310,E!$B$1:$AK$300,5,FALSE),1,0))),"")</f>
        <v/>
      </c>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6" t="str">
        <f t="shared" si="106"/>
        <v>--</v>
      </c>
      <c r="AJ310" s="6"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6" t="str">
        <f t="shared" si="107"/>
        <v>--</v>
      </c>
      <c r="AL310" s="6"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6" t="str">
        <f t="shared" si="108"/>
        <v>--</v>
      </c>
      <c r="AN310" s="6"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6" t="str">
        <f t="shared" si="95"/>
        <v>--</v>
      </c>
      <c r="AQ310" s="6" t="str">
        <f t="shared" si="96"/>
        <v/>
      </c>
      <c r="AR310" s="6" t="str">
        <f t="shared" si="97"/>
        <v>--</v>
      </c>
      <c r="AS310" s="6" t="str">
        <f t="shared" si="98"/>
        <v/>
      </c>
      <c r="AT310" s="6" t="str">
        <f t="shared" si="99"/>
        <v/>
      </c>
      <c r="AU310" s="6" t="str">
        <f>IFERROR(IF(AR310="--","",IF(HLOOKUP(SMALL($Q$4:$Y$4,3),$Q$4:$Y$501,ROW(AP310)-3,FALSE)=0,"",IF(HLOOKUP(SMALL($Q$4:$Y$4,3),$Q$4:$Y$501,ROW(AP310)-3,FALSE)="nee",VLOOKUP("De kwaliteitseis emissiearme grond (maximale concentratie) wordt overschreden.",H!$O$10:'H'!$P$59,2,FALSE),""))),"")</f>
        <v/>
      </c>
      <c r="AV310" s="6" t="str">
        <f t="shared" si="89"/>
        <v>--</v>
      </c>
      <c r="AW310" s="6" t="str">
        <f t="shared" si="90"/>
        <v/>
      </c>
      <c r="AX310" s="6" t="str">
        <f t="shared" si="91"/>
        <v>--</v>
      </c>
      <c r="AY310" s="6" t="str">
        <f t="shared" si="100"/>
        <v/>
      </c>
      <c r="AZ310" s="6" t="str">
        <f t="shared" si="101"/>
        <v/>
      </c>
      <c r="BA310" s="6" t="str">
        <f>IFERROR(IF(AR310="--","",IF(HLOOKUP(SMALL($Q$4:$Y$4,6),$Q$4:$Y$501,ROW(AP310)-3,FALSE)=0,"",IF(HLOOKUP(SMALL($Q$4:$Y$4,6),$Q$4:$Y$501,ROW(AP310)-3,FALSE)="nee",VLOOKUP("De kwaliteitseis emissiearme grond (maximale concentratie) wordt overschreden.",H!$O$10:'H'!$P$59,2,FALSE),""))),"")</f>
        <v/>
      </c>
      <c r="BB310" s="6" t="str">
        <f t="shared" si="92"/>
        <v>--</v>
      </c>
      <c r="BC310" s="6" t="str">
        <f t="shared" si="93"/>
        <v/>
      </c>
      <c r="BD310" s="6" t="str">
        <f t="shared" si="94"/>
        <v>--</v>
      </c>
      <c r="BE310" s="6" t="str">
        <f t="shared" si="102"/>
        <v/>
      </c>
      <c r="BF310" s="6" t="str">
        <f t="shared" si="103"/>
        <v/>
      </c>
      <c r="BG310" s="4" t="str">
        <f>IFERROR(IF(AR310="--","",IF(HLOOKUP(SMALL($Q$4:$Y$4,9),$Q$4:$Y$501,ROW(AP310)-3,FALSE)=0,"",IF(HLOOKUP(SMALL($Q$4:$Y$4,9),$Q$4:$Y$501,ROW(AP310)-3,FALSE)="nee",VLOOKUP("De kwaliteitseis emissiearme grond (maximale concentratie) wordt overschreden.",H!$O$10:'H'!$P$59,2,FALSE),""))),"")</f>
        <v/>
      </c>
    </row>
    <row r="311" spans="1:59" x14ac:dyDescent="0.2">
      <c r="A311" s="4" t="str">
        <f>F!A311</f>
        <v>n-Nitrosodi-n-propylamine</v>
      </c>
      <c r="B311" s="6" t="str">
        <f>IF(ISNUMBER(F!E311)=FALSE,"--",IF(F!E311=0,"--",F!E311))</f>
        <v>--</v>
      </c>
      <c r="C311" s="6" t="str">
        <f>IF(B311="--","",F!F311)</f>
        <v/>
      </c>
      <c r="D311" s="6" t="str">
        <f>IF(ISNUMBER(F!G311)=FALSE,"--",IF(F!G311=0,"--",F!G311))</f>
        <v>--</v>
      </c>
      <c r="E311" s="6" t="str">
        <f>IF(D311="--","",F!H311)</f>
        <v/>
      </c>
      <c r="F311" s="6" t="str">
        <f>IF(ISNUMBER(F!I311)=FALSE,"--",IF(F!I311=0,"--",F!I311))</f>
        <v>--</v>
      </c>
      <c r="G311" s="6" t="str">
        <f>IF(F311="--","",F!J311)</f>
        <v/>
      </c>
      <c r="H311" s="6"/>
      <c r="I311" s="6" t="str">
        <f>IF(F!Z311=-1,-1,F!AV311)</f>
        <v/>
      </c>
      <c r="J311" s="6"/>
      <c r="K311" s="6" t="str">
        <f>IF(F!AC311=-1,-1,F!AX311)</f>
        <v/>
      </c>
      <c r="L311" s="6"/>
      <c r="M311" s="6" t="str">
        <f>IF(F!AF311=-1,-1,F!AZ311)</f>
        <v/>
      </c>
      <c r="N311" s="6"/>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6" t="str">
        <f t="shared" si="109"/>
        <v/>
      </c>
      <c r="R311" s="5" t="str">
        <f>IF($B311="--","",IF($P311="toetsen",toetsen(F!$B311,Q311),IF($P311="toetsen alleen IW",toetsen_alleen_IW(F!$B311,Q311),IF($P311="toetsen alleen LN",toetsen_alleen_LN(F!$B311,Q311),IF($P311="toetsen geen MV en SV",toetsen_geen_MV_en_SV(F!$B311,Q311),IF($P311="toetsen alleen MV en SV",toetsen_alleen_MV_en_SV(F!$B311,Q311),""))))))</f>
        <v/>
      </c>
      <c r="S311" s="5" t="str">
        <f>IF($P311="toetsen",IF(OR(Q311="",VLOOKUP(F!$B311,E!$B$1:$AK$300,10,FALSE)=1000000000),"",IF(Q311&lt;=VLOOKUP(F!$B311,E!$B$1:$AK$300,10,FALSE),"ja","nee")),"")</f>
        <v/>
      </c>
      <c r="T311" s="87" t="str">
        <f t="shared" si="104"/>
        <v/>
      </c>
      <c r="U311" s="5" t="str">
        <f>IF($D311="--","",IF($P311="toetsen",toetsen(F!$B311,T311),IF($P311="toetsen alleen IW",toetsen_alleen_IW(F!$B311,T311),IF($P311="toetsen alleen LN",toetsen_alleen_LN(F!$B311,T311),IF($P311="toetsen geen MV en SV",toetsen_geen_MV_en_SV(F!$B311,T311),IF($P311="toetsen alleen MV en SV",toetsen_alleen_MV_en_SV(F!$B311,T311),""))))))</f>
        <v/>
      </c>
      <c r="V311" s="5" t="str">
        <f>IF($P311="toetsen",IF(OR(T311="",VLOOKUP(F!$B311,E!$B$1:$AK$300,10,FALSE)=1000000000),"",IF(T311&lt;=VLOOKUP(F!$B311,E!$B$1:$AK$300,10,FALSE),"ja","nee")),"")</f>
        <v/>
      </c>
      <c r="W311" s="6" t="str">
        <f t="shared" si="105"/>
        <v/>
      </c>
      <c r="X311" s="5" t="str">
        <f>IF($F311="--","",IF($P311="toetsen",toetsen(F!$B311,W311),IF($P311="toetsen alleen IW",toetsen_alleen_IW(F!$B311,W311),IF($P311="toetsen alleen LN",toetsen_alleen_LN(F!$B311,W311),IF($P311="toetsen geen MV en SV",toetsen_geen_MV_en_SV(F!$B311,W311),IF($P311="toetsen alleen MV en SV",toetsen_alleen_MV_en_SV(F!$B311,W311),""))))))</f>
        <v/>
      </c>
      <c r="Y311" s="5" t="str">
        <f>IF($P311="toetsen",IF(OR(W311="",VLOOKUP(F!$B311,E!$B$1:$AK$300,10,FALSE)=1000000000),"",IF(W311&lt;=VLOOKUP(F!$B311,E!$B$1:$AK$300,10,FALSE),"ja","nee")),"")</f>
        <v/>
      </c>
      <c r="AA311" s="4" t="str">
        <f>IFERROR(IF(Q311="","",(IF(Q311&gt;2*VLOOKUP(F!$B311,E!$B$1:$AK$300,5,FALSE),1,0))),"")</f>
        <v/>
      </c>
      <c r="AB311" s="4" t="str">
        <f>IFERROR(IF(T311="","",(IF(T311&gt;2*VLOOKUP(F!$B311,E!$B$1:$AK$300,5,FALSE),1,0))),"")</f>
        <v/>
      </c>
      <c r="AC311" s="4" t="str">
        <f>IFERROR(IF(W311="","",(IF(W311&gt;2*VLOOKUP(F!$B311,E!$B$1:$AK$300,5,FALSE),1,0))),"")</f>
        <v/>
      </c>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6" t="str">
        <f t="shared" si="106"/>
        <v>--</v>
      </c>
      <c r="AJ311" s="6"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6" t="str">
        <f t="shared" si="107"/>
        <v>--</v>
      </c>
      <c r="AL311" s="6"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6" t="str">
        <f t="shared" si="108"/>
        <v>--</v>
      </c>
      <c r="AN311" s="6"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6" t="str">
        <f t="shared" si="95"/>
        <v>--</v>
      </c>
      <c r="AQ311" s="6" t="str">
        <f t="shared" si="96"/>
        <v/>
      </c>
      <c r="AR311" s="6" t="str">
        <f t="shared" si="97"/>
        <v>--</v>
      </c>
      <c r="AS311" s="6" t="str">
        <f t="shared" si="98"/>
        <v/>
      </c>
      <c r="AT311" s="6" t="str">
        <f t="shared" si="99"/>
        <v/>
      </c>
      <c r="AU311" s="6" t="str">
        <f>IFERROR(IF(AR311="--","",IF(HLOOKUP(SMALL($Q$4:$Y$4,3),$Q$4:$Y$501,ROW(AP311)-3,FALSE)=0,"",IF(HLOOKUP(SMALL($Q$4:$Y$4,3),$Q$4:$Y$501,ROW(AP311)-3,FALSE)="nee",VLOOKUP("De kwaliteitseis emissiearme grond (maximale concentratie) wordt overschreden.",H!$O$10:'H'!$P$59,2,FALSE),""))),"")</f>
        <v/>
      </c>
      <c r="AV311" s="6" t="str">
        <f t="shared" si="89"/>
        <v>--</v>
      </c>
      <c r="AW311" s="6" t="str">
        <f t="shared" si="90"/>
        <v/>
      </c>
      <c r="AX311" s="6" t="str">
        <f t="shared" si="91"/>
        <v>--</v>
      </c>
      <c r="AY311" s="6" t="str">
        <f t="shared" si="100"/>
        <v/>
      </c>
      <c r="AZ311" s="6" t="str">
        <f t="shared" si="101"/>
        <v/>
      </c>
      <c r="BA311" s="6" t="str">
        <f>IFERROR(IF(AR311="--","",IF(HLOOKUP(SMALL($Q$4:$Y$4,6),$Q$4:$Y$501,ROW(AP311)-3,FALSE)=0,"",IF(HLOOKUP(SMALL($Q$4:$Y$4,6),$Q$4:$Y$501,ROW(AP311)-3,FALSE)="nee",VLOOKUP("De kwaliteitseis emissiearme grond (maximale concentratie) wordt overschreden.",H!$O$10:'H'!$P$59,2,FALSE),""))),"")</f>
        <v/>
      </c>
      <c r="BB311" s="6" t="str">
        <f t="shared" si="92"/>
        <v>--</v>
      </c>
      <c r="BC311" s="6" t="str">
        <f t="shared" si="93"/>
        <v/>
      </c>
      <c r="BD311" s="6" t="str">
        <f t="shared" si="94"/>
        <v>--</v>
      </c>
      <c r="BE311" s="6" t="str">
        <f t="shared" si="102"/>
        <v/>
      </c>
      <c r="BF311" s="6" t="str">
        <f t="shared" si="103"/>
        <v/>
      </c>
      <c r="BG311" s="4" t="str">
        <f>IFERROR(IF(AR311="--","",IF(HLOOKUP(SMALL($Q$4:$Y$4,9),$Q$4:$Y$501,ROW(AP311)-3,FALSE)=0,"",IF(HLOOKUP(SMALL($Q$4:$Y$4,9),$Q$4:$Y$501,ROW(AP311)-3,FALSE)="nee",VLOOKUP("De kwaliteitseis emissiearme grond (maximale concentratie) wordt overschreden.",H!$O$10:'H'!$P$59,2,FALSE),""))),"")</f>
        <v/>
      </c>
    </row>
    <row r="312" spans="1:59" x14ac:dyDescent="0.2">
      <c r="A312" s="4" t="str">
        <f>F!A312</f>
        <v>Methanol</v>
      </c>
      <c r="B312" s="6" t="str">
        <f>IF(ISNUMBER(F!E312)=FALSE,"--",IF(F!E312=0,"--",F!E312))</f>
        <v>--</v>
      </c>
      <c r="C312" s="6" t="str">
        <f>IF(B312="--","",F!F312)</f>
        <v/>
      </c>
      <c r="D312" s="6" t="str">
        <f>IF(ISNUMBER(F!G312)=FALSE,"--",IF(F!G312=0,"--",F!G312))</f>
        <v>--</v>
      </c>
      <c r="E312" s="6" t="str">
        <f>IF(D312="--","",F!H312)</f>
        <v/>
      </c>
      <c r="F312" s="6" t="str">
        <f>IF(ISNUMBER(F!I312)=FALSE,"--",IF(F!I312=0,"--",F!I312))</f>
        <v>--</v>
      </c>
      <c r="G312" s="6" t="str">
        <f>IF(F312="--","",F!J312)</f>
        <v/>
      </c>
      <c r="H312" s="6"/>
      <c r="I312" s="6" t="str">
        <f>IF(F!Z312=-1,-1,F!AV312)</f>
        <v/>
      </c>
      <c r="J312" s="6"/>
      <c r="K312" s="6" t="str">
        <f>IF(F!AC312=-1,-1,F!AX312)</f>
        <v/>
      </c>
      <c r="L312" s="6"/>
      <c r="M312" s="6" t="str">
        <f>IF(F!AF312=-1,-1,F!AZ312)</f>
        <v/>
      </c>
      <c r="N312" s="6"/>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6" t="str">
        <f t="shared" si="109"/>
        <v/>
      </c>
      <c r="R312" s="5" t="str">
        <f>IF($B312="--","",IF($P312="toetsen",toetsen(F!$B312,Q312),IF($P312="toetsen alleen IW",toetsen_alleen_IW(F!$B312,Q312),IF($P312="toetsen alleen LN",toetsen_alleen_LN(F!$B312,Q312),IF($P312="toetsen geen MV en SV",toetsen_geen_MV_en_SV(F!$B312,Q312),IF($P312="toetsen alleen MV en SV",toetsen_alleen_MV_en_SV(F!$B312,Q312),""))))))</f>
        <v/>
      </c>
      <c r="S312" s="5" t="str">
        <f>IF($P312="toetsen",IF(OR(Q312="",VLOOKUP(F!$B312,E!$B$1:$AK$300,10,FALSE)=1000000000),"",IF(Q312&lt;=VLOOKUP(F!$B312,E!$B$1:$AK$300,10,FALSE),"ja","nee")),"")</f>
        <v/>
      </c>
      <c r="T312" s="87" t="str">
        <f t="shared" si="104"/>
        <v/>
      </c>
      <c r="U312" s="5" t="str">
        <f>IF($D312="--","",IF($P312="toetsen",toetsen(F!$B312,T312),IF($P312="toetsen alleen IW",toetsen_alleen_IW(F!$B312,T312),IF($P312="toetsen alleen LN",toetsen_alleen_LN(F!$B312,T312),IF($P312="toetsen geen MV en SV",toetsen_geen_MV_en_SV(F!$B312,T312),IF($P312="toetsen alleen MV en SV",toetsen_alleen_MV_en_SV(F!$B312,T312),""))))))</f>
        <v/>
      </c>
      <c r="V312" s="5" t="str">
        <f>IF($P312="toetsen",IF(OR(T312="",VLOOKUP(F!$B312,E!$B$1:$AK$300,10,FALSE)=1000000000),"",IF(T312&lt;=VLOOKUP(F!$B312,E!$B$1:$AK$300,10,FALSE),"ja","nee")),"")</f>
        <v/>
      </c>
      <c r="W312" s="6" t="str">
        <f t="shared" si="105"/>
        <v/>
      </c>
      <c r="X312" s="5" t="str">
        <f>IF($F312="--","",IF($P312="toetsen",toetsen(F!$B312,W312),IF($P312="toetsen alleen IW",toetsen_alleen_IW(F!$B312,W312),IF($P312="toetsen alleen LN",toetsen_alleen_LN(F!$B312,W312),IF($P312="toetsen geen MV en SV",toetsen_geen_MV_en_SV(F!$B312,W312),IF($P312="toetsen alleen MV en SV",toetsen_alleen_MV_en_SV(F!$B312,W312),""))))))</f>
        <v/>
      </c>
      <c r="Y312" s="5" t="str">
        <f>IF($P312="toetsen",IF(OR(W312="",VLOOKUP(F!$B312,E!$B$1:$AK$300,10,FALSE)=1000000000),"",IF(W312&lt;=VLOOKUP(F!$B312,E!$B$1:$AK$300,10,FALSE),"ja","nee")),"")</f>
        <v/>
      </c>
      <c r="AA312" s="4" t="str">
        <f>IFERROR(IF(Q312="","",(IF(Q312&gt;2*VLOOKUP(F!$B312,E!$B$1:$AK$300,5,FALSE),1,0))),"")</f>
        <v/>
      </c>
      <c r="AB312" s="4" t="str">
        <f>IFERROR(IF(T312="","",(IF(T312&gt;2*VLOOKUP(F!$B312,E!$B$1:$AK$300,5,FALSE),1,0))),"")</f>
        <v/>
      </c>
      <c r="AC312" s="4" t="str">
        <f>IFERROR(IF(W312="","",(IF(W312&gt;2*VLOOKUP(F!$B312,E!$B$1:$AK$300,5,FALSE),1,0))),"")</f>
        <v/>
      </c>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6" t="str">
        <f t="shared" si="106"/>
        <v>--</v>
      </c>
      <c r="AJ312" s="6"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6" t="str">
        <f t="shared" si="107"/>
        <v>--</v>
      </c>
      <c r="AL312" s="6"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6" t="str">
        <f t="shared" si="108"/>
        <v>--</v>
      </c>
      <c r="AN312" s="6"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6" t="str">
        <f t="shared" si="95"/>
        <v>--</v>
      </c>
      <c r="AQ312" s="6" t="str">
        <f t="shared" si="96"/>
        <v/>
      </c>
      <c r="AR312" s="6" t="str">
        <f t="shared" si="97"/>
        <v>--</v>
      </c>
      <c r="AS312" s="6" t="str">
        <f t="shared" si="98"/>
        <v/>
      </c>
      <c r="AT312" s="6" t="str">
        <f t="shared" si="99"/>
        <v/>
      </c>
      <c r="AU312" s="6" t="str">
        <f>IFERROR(IF(AR312="--","",IF(HLOOKUP(SMALL($Q$4:$Y$4,3),$Q$4:$Y$501,ROW(AP312)-3,FALSE)=0,"",IF(HLOOKUP(SMALL($Q$4:$Y$4,3),$Q$4:$Y$501,ROW(AP312)-3,FALSE)="nee",VLOOKUP("De kwaliteitseis emissiearme grond (maximale concentratie) wordt overschreden.",H!$O$10:'H'!$P$59,2,FALSE),""))),"")</f>
        <v/>
      </c>
      <c r="AV312" s="6" t="str">
        <f t="shared" si="89"/>
        <v>--</v>
      </c>
      <c r="AW312" s="6" t="str">
        <f t="shared" si="90"/>
        <v/>
      </c>
      <c r="AX312" s="6" t="str">
        <f t="shared" si="91"/>
        <v>--</v>
      </c>
      <c r="AY312" s="6" t="str">
        <f t="shared" si="100"/>
        <v/>
      </c>
      <c r="AZ312" s="6" t="str">
        <f t="shared" si="101"/>
        <v/>
      </c>
      <c r="BA312" s="6" t="str">
        <f>IFERROR(IF(AR312="--","",IF(HLOOKUP(SMALL($Q$4:$Y$4,6),$Q$4:$Y$501,ROW(AP312)-3,FALSE)=0,"",IF(HLOOKUP(SMALL($Q$4:$Y$4,6),$Q$4:$Y$501,ROW(AP312)-3,FALSE)="nee",VLOOKUP("De kwaliteitseis emissiearme grond (maximale concentratie) wordt overschreden.",H!$O$10:'H'!$P$59,2,FALSE),""))),"")</f>
        <v/>
      </c>
      <c r="BB312" s="6" t="str">
        <f t="shared" si="92"/>
        <v>--</v>
      </c>
      <c r="BC312" s="6" t="str">
        <f t="shared" si="93"/>
        <v/>
      </c>
      <c r="BD312" s="6" t="str">
        <f t="shared" si="94"/>
        <v>--</v>
      </c>
      <c r="BE312" s="6" t="str">
        <f t="shared" si="102"/>
        <v/>
      </c>
      <c r="BF312" s="6" t="str">
        <f t="shared" si="103"/>
        <v/>
      </c>
      <c r="BG312" s="4" t="str">
        <f>IFERROR(IF(AR312="--","",IF(HLOOKUP(SMALL($Q$4:$Y$4,9),$Q$4:$Y$501,ROW(AP312)-3,FALSE)=0,"",IF(HLOOKUP(SMALL($Q$4:$Y$4,9),$Q$4:$Y$501,ROW(AP312)-3,FALSE)="nee",VLOOKUP("De kwaliteitseis emissiearme grond (maximale concentratie) wordt overschreden.",H!$O$10:'H'!$P$59,2,FALSE),""))),"")</f>
        <v/>
      </c>
    </row>
    <row r="313" spans="1:59" x14ac:dyDescent="0.2">
      <c r="A313" s="4" t="str">
        <f>F!A313</f>
        <v>Ethanol</v>
      </c>
      <c r="B313" s="6" t="str">
        <f>IF(ISNUMBER(F!E313)=FALSE,"--",IF(F!E313=0,"--",F!E313))</f>
        <v>--</v>
      </c>
      <c r="C313" s="6" t="str">
        <f>IF(B313="--","",F!F313)</f>
        <v/>
      </c>
      <c r="D313" s="6" t="str">
        <f>IF(ISNUMBER(F!G313)=FALSE,"--",IF(F!G313=0,"--",F!G313))</f>
        <v>--</v>
      </c>
      <c r="E313" s="6" t="str">
        <f>IF(D313="--","",F!H313)</f>
        <v/>
      </c>
      <c r="F313" s="6" t="str">
        <f>IF(ISNUMBER(F!I313)=FALSE,"--",IF(F!I313=0,"--",F!I313))</f>
        <v>--</v>
      </c>
      <c r="G313" s="6" t="str">
        <f>IF(F313="--","",F!J313)</f>
        <v/>
      </c>
      <c r="H313" s="6"/>
      <c r="I313" s="6" t="str">
        <f>IF(F!Z313=-1,-1,F!AV313)</f>
        <v/>
      </c>
      <c r="J313" s="6"/>
      <c r="K313" s="6" t="str">
        <f>IF(F!AC313=-1,-1,F!AX313)</f>
        <v/>
      </c>
      <c r="L313" s="6"/>
      <c r="M313" s="6" t="str">
        <f>IF(F!AF313=-1,-1,F!AZ313)</f>
        <v/>
      </c>
      <c r="N313" s="6"/>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6" t="str">
        <f t="shared" si="109"/>
        <v/>
      </c>
      <c r="R313" s="5" t="str">
        <f>IF($B313="--","",IF($P313="toetsen",toetsen(F!$B313,Q313),IF($P313="toetsen alleen IW",toetsen_alleen_IW(F!$B313,Q313),IF($P313="toetsen alleen LN",toetsen_alleen_LN(F!$B313,Q313),IF($P313="toetsen geen MV en SV",toetsen_geen_MV_en_SV(F!$B313,Q313),IF($P313="toetsen alleen MV en SV",toetsen_alleen_MV_en_SV(F!$B313,Q313),""))))))</f>
        <v/>
      </c>
      <c r="S313" s="5" t="str">
        <f>IF($P313="toetsen",IF(OR(Q313="",VLOOKUP(F!$B313,E!$B$1:$AK$300,10,FALSE)=1000000000),"",IF(Q313&lt;=VLOOKUP(F!$B313,E!$B$1:$AK$300,10,FALSE),"ja","nee")),"")</f>
        <v/>
      </c>
      <c r="T313" s="87" t="str">
        <f t="shared" si="104"/>
        <v/>
      </c>
      <c r="U313" s="5" t="str">
        <f>IF($D313="--","",IF($P313="toetsen",toetsen(F!$B313,T313),IF($P313="toetsen alleen IW",toetsen_alleen_IW(F!$B313,T313),IF($P313="toetsen alleen LN",toetsen_alleen_LN(F!$B313,T313),IF($P313="toetsen geen MV en SV",toetsen_geen_MV_en_SV(F!$B313,T313),IF($P313="toetsen alleen MV en SV",toetsen_alleen_MV_en_SV(F!$B313,T313),""))))))</f>
        <v/>
      </c>
      <c r="V313" s="5" t="str">
        <f>IF($P313="toetsen",IF(OR(T313="",VLOOKUP(F!$B313,E!$B$1:$AK$300,10,FALSE)=1000000000),"",IF(T313&lt;=VLOOKUP(F!$B313,E!$B$1:$AK$300,10,FALSE),"ja","nee")),"")</f>
        <v/>
      </c>
      <c r="W313" s="6" t="str">
        <f t="shared" si="105"/>
        <v/>
      </c>
      <c r="X313" s="5" t="str">
        <f>IF($F313="--","",IF($P313="toetsen",toetsen(F!$B313,W313),IF($P313="toetsen alleen IW",toetsen_alleen_IW(F!$B313,W313),IF($P313="toetsen alleen LN",toetsen_alleen_LN(F!$B313,W313),IF($P313="toetsen geen MV en SV",toetsen_geen_MV_en_SV(F!$B313,W313),IF($P313="toetsen alleen MV en SV",toetsen_alleen_MV_en_SV(F!$B313,W313),""))))))</f>
        <v/>
      </c>
      <c r="Y313" s="5" t="str">
        <f>IF($P313="toetsen",IF(OR(W313="",VLOOKUP(F!$B313,E!$B$1:$AK$300,10,FALSE)=1000000000),"",IF(W313&lt;=VLOOKUP(F!$B313,E!$B$1:$AK$300,10,FALSE),"ja","nee")),"")</f>
        <v/>
      </c>
      <c r="AA313" s="4" t="str">
        <f>IFERROR(IF(Q313="","",(IF(Q313&gt;2*VLOOKUP(F!$B313,E!$B$1:$AK$300,5,FALSE),1,0))),"")</f>
        <v/>
      </c>
      <c r="AB313" s="4" t="str">
        <f>IFERROR(IF(T313="","",(IF(T313&gt;2*VLOOKUP(F!$B313,E!$B$1:$AK$300,5,FALSE),1,0))),"")</f>
        <v/>
      </c>
      <c r="AC313" s="4" t="str">
        <f>IFERROR(IF(W313="","",(IF(W313&gt;2*VLOOKUP(F!$B313,E!$B$1:$AK$300,5,FALSE),1,0))),"")</f>
        <v/>
      </c>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6" t="str">
        <f t="shared" si="106"/>
        <v>--</v>
      </c>
      <c r="AJ313" s="6"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6" t="str">
        <f t="shared" si="107"/>
        <v>--</v>
      </c>
      <c r="AL313" s="6"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6" t="str">
        <f t="shared" si="108"/>
        <v>--</v>
      </c>
      <c r="AN313" s="6"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6" t="str">
        <f t="shared" si="95"/>
        <v>--</v>
      </c>
      <c r="AQ313" s="6" t="str">
        <f t="shared" si="96"/>
        <v/>
      </c>
      <c r="AR313" s="6" t="str">
        <f t="shared" si="97"/>
        <v>--</v>
      </c>
      <c r="AS313" s="6" t="str">
        <f t="shared" si="98"/>
        <v/>
      </c>
      <c r="AT313" s="6" t="str">
        <f t="shared" si="99"/>
        <v/>
      </c>
      <c r="AU313" s="6" t="str">
        <f>IFERROR(IF(AR313="--","",IF(HLOOKUP(SMALL($Q$4:$Y$4,3),$Q$4:$Y$501,ROW(AP313)-3,FALSE)=0,"",IF(HLOOKUP(SMALL($Q$4:$Y$4,3),$Q$4:$Y$501,ROW(AP313)-3,FALSE)="nee",VLOOKUP("De kwaliteitseis emissiearme grond (maximale concentratie) wordt overschreden.",H!$O$10:'H'!$P$59,2,FALSE),""))),"")</f>
        <v/>
      </c>
      <c r="AV313" s="6" t="str">
        <f t="shared" si="89"/>
        <v>--</v>
      </c>
      <c r="AW313" s="6" t="str">
        <f t="shared" si="90"/>
        <v/>
      </c>
      <c r="AX313" s="6" t="str">
        <f t="shared" si="91"/>
        <v>--</v>
      </c>
      <c r="AY313" s="6" t="str">
        <f t="shared" si="100"/>
        <v/>
      </c>
      <c r="AZ313" s="6" t="str">
        <f t="shared" si="101"/>
        <v/>
      </c>
      <c r="BA313" s="6" t="str">
        <f>IFERROR(IF(AR313="--","",IF(HLOOKUP(SMALL($Q$4:$Y$4,6),$Q$4:$Y$501,ROW(AP313)-3,FALSE)=0,"",IF(HLOOKUP(SMALL($Q$4:$Y$4,6),$Q$4:$Y$501,ROW(AP313)-3,FALSE)="nee",VLOOKUP("De kwaliteitseis emissiearme grond (maximale concentratie) wordt overschreden.",H!$O$10:'H'!$P$59,2,FALSE),""))),"")</f>
        <v/>
      </c>
      <c r="BB313" s="6" t="str">
        <f t="shared" si="92"/>
        <v>--</v>
      </c>
      <c r="BC313" s="6" t="str">
        <f t="shared" si="93"/>
        <v/>
      </c>
      <c r="BD313" s="6" t="str">
        <f t="shared" si="94"/>
        <v>--</v>
      </c>
      <c r="BE313" s="6" t="str">
        <f t="shared" si="102"/>
        <v/>
      </c>
      <c r="BF313" s="6" t="str">
        <f t="shared" si="103"/>
        <v/>
      </c>
      <c r="BG313" s="4" t="str">
        <f>IFERROR(IF(AR313="--","",IF(HLOOKUP(SMALL($Q$4:$Y$4,9),$Q$4:$Y$501,ROW(AP313)-3,FALSE)=0,"",IF(HLOOKUP(SMALL($Q$4:$Y$4,9),$Q$4:$Y$501,ROW(AP313)-3,FALSE)="nee",VLOOKUP("De kwaliteitseis emissiearme grond (maximale concentratie) wordt overschreden.",H!$O$10:'H'!$P$59,2,FALSE),""))),"")</f>
        <v/>
      </c>
    </row>
    <row r="314" spans="1:59" x14ac:dyDescent="0.2">
      <c r="A314" s="4" t="str">
        <f>F!A314</f>
        <v>1-Propanol</v>
      </c>
      <c r="B314" s="6" t="str">
        <f>IF(ISNUMBER(F!E314)=FALSE,"--",IF(F!E314=0,"--",F!E314))</f>
        <v>--</v>
      </c>
      <c r="C314" s="6" t="str">
        <f>IF(B314="--","",F!F314)</f>
        <v/>
      </c>
      <c r="D314" s="6" t="str">
        <f>IF(ISNUMBER(F!G314)=FALSE,"--",IF(F!G314=0,"--",F!G314))</f>
        <v>--</v>
      </c>
      <c r="E314" s="6" t="str">
        <f>IF(D314="--","",F!H314)</f>
        <v/>
      </c>
      <c r="F314" s="6" t="str">
        <f>IF(ISNUMBER(F!I314)=FALSE,"--",IF(F!I314=0,"--",F!I314))</f>
        <v>--</v>
      </c>
      <c r="G314" s="6" t="str">
        <f>IF(F314="--","",F!J314)</f>
        <v/>
      </c>
      <c r="H314" s="6"/>
      <c r="I314" s="6" t="str">
        <f>IF(F!Z314=-1,-1,F!AV314)</f>
        <v/>
      </c>
      <c r="J314" s="6"/>
      <c r="K314" s="6" t="str">
        <f>IF(F!AC314=-1,-1,F!AX314)</f>
        <v/>
      </c>
      <c r="L314" s="6"/>
      <c r="M314" s="6" t="str">
        <f>IF(F!AF314=-1,-1,F!AZ314)</f>
        <v/>
      </c>
      <c r="N314" s="6"/>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6" t="str">
        <f t="shared" si="109"/>
        <v/>
      </c>
      <c r="R314" s="5" t="str">
        <f>IF($B314="--","",IF($P314="toetsen",toetsen(F!$B314,Q314),IF($P314="toetsen alleen IW",toetsen_alleen_IW(F!$B314,Q314),IF($P314="toetsen alleen LN",toetsen_alleen_LN(F!$B314,Q314),IF($P314="toetsen geen MV en SV",toetsen_geen_MV_en_SV(F!$B314,Q314),IF($P314="toetsen alleen MV en SV",toetsen_alleen_MV_en_SV(F!$B314,Q314),""))))))</f>
        <v/>
      </c>
      <c r="S314" s="5" t="str">
        <f>IF($P314="toetsen",IF(OR(Q314="",VLOOKUP(F!$B314,E!$B$1:$AK$300,10,FALSE)=1000000000),"",IF(Q314&lt;=VLOOKUP(F!$B314,E!$B$1:$AK$300,10,FALSE),"ja","nee")),"")</f>
        <v/>
      </c>
      <c r="T314" s="87" t="str">
        <f t="shared" si="104"/>
        <v/>
      </c>
      <c r="U314" s="5" t="str">
        <f>IF($D314="--","",IF($P314="toetsen",toetsen(F!$B314,T314),IF($P314="toetsen alleen IW",toetsen_alleen_IW(F!$B314,T314),IF($P314="toetsen alleen LN",toetsen_alleen_LN(F!$B314,T314),IF($P314="toetsen geen MV en SV",toetsen_geen_MV_en_SV(F!$B314,T314),IF($P314="toetsen alleen MV en SV",toetsen_alleen_MV_en_SV(F!$B314,T314),""))))))</f>
        <v/>
      </c>
      <c r="V314" s="5" t="str">
        <f>IF($P314="toetsen",IF(OR(T314="",VLOOKUP(F!$B314,E!$B$1:$AK$300,10,FALSE)=1000000000),"",IF(T314&lt;=VLOOKUP(F!$B314,E!$B$1:$AK$300,10,FALSE),"ja","nee")),"")</f>
        <v/>
      </c>
      <c r="W314" s="6" t="str">
        <f t="shared" si="105"/>
        <v/>
      </c>
      <c r="X314" s="5" t="str">
        <f>IF($F314="--","",IF($P314="toetsen",toetsen(F!$B314,W314),IF($P314="toetsen alleen IW",toetsen_alleen_IW(F!$B314,W314),IF($P314="toetsen alleen LN",toetsen_alleen_LN(F!$B314,W314),IF($P314="toetsen geen MV en SV",toetsen_geen_MV_en_SV(F!$B314,W314),IF($P314="toetsen alleen MV en SV",toetsen_alleen_MV_en_SV(F!$B314,W314),""))))))</f>
        <v/>
      </c>
      <c r="Y314" s="5" t="str">
        <f>IF($P314="toetsen",IF(OR(W314="",VLOOKUP(F!$B314,E!$B$1:$AK$300,10,FALSE)=1000000000),"",IF(W314&lt;=VLOOKUP(F!$B314,E!$B$1:$AK$300,10,FALSE),"ja","nee")),"")</f>
        <v/>
      </c>
      <c r="AA314" s="4" t="str">
        <f>IFERROR(IF(Q314="","",(IF(Q314&gt;2*VLOOKUP(F!$B314,E!$B$1:$AK$300,5,FALSE),1,0))),"")</f>
        <v/>
      </c>
      <c r="AB314" s="4" t="str">
        <f>IFERROR(IF(T314="","",(IF(T314&gt;2*VLOOKUP(F!$B314,E!$B$1:$AK$300,5,FALSE),1,0))),"")</f>
        <v/>
      </c>
      <c r="AC314" s="4" t="str">
        <f>IFERROR(IF(W314="","",(IF(W314&gt;2*VLOOKUP(F!$B314,E!$B$1:$AK$300,5,FALSE),1,0))),"")</f>
        <v/>
      </c>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6" t="str">
        <f t="shared" si="106"/>
        <v>--</v>
      </c>
      <c r="AJ314" s="6"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6" t="str">
        <f t="shared" si="107"/>
        <v>--</v>
      </c>
      <c r="AL314" s="6"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6" t="str">
        <f t="shared" si="108"/>
        <v>--</v>
      </c>
      <c r="AN314" s="6"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6" t="str">
        <f t="shared" si="95"/>
        <v>--</v>
      </c>
      <c r="AQ314" s="6" t="str">
        <f t="shared" si="96"/>
        <v/>
      </c>
      <c r="AR314" s="6" t="str">
        <f t="shared" si="97"/>
        <v>--</v>
      </c>
      <c r="AS314" s="6" t="str">
        <f t="shared" si="98"/>
        <v/>
      </c>
      <c r="AT314" s="6" t="str">
        <f t="shared" si="99"/>
        <v/>
      </c>
      <c r="AU314" s="6" t="str">
        <f>IFERROR(IF(AR314="--","",IF(HLOOKUP(SMALL($Q$4:$Y$4,3),$Q$4:$Y$501,ROW(AP314)-3,FALSE)=0,"",IF(HLOOKUP(SMALL($Q$4:$Y$4,3),$Q$4:$Y$501,ROW(AP314)-3,FALSE)="nee",VLOOKUP("De kwaliteitseis emissiearme grond (maximale concentratie) wordt overschreden.",H!$O$10:'H'!$P$59,2,FALSE),""))),"")</f>
        <v/>
      </c>
      <c r="AV314" s="6" t="str">
        <f t="shared" si="89"/>
        <v>--</v>
      </c>
      <c r="AW314" s="6" t="str">
        <f t="shared" si="90"/>
        <v/>
      </c>
      <c r="AX314" s="6" t="str">
        <f t="shared" si="91"/>
        <v>--</v>
      </c>
      <c r="AY314" s="6" t="str">
        <f t="shared" si="100"/>
        <v/>
      </c>
      <c r="AZ314" s="6" t="str">
        <f t="shared" si="101"/>
        <v/>
      </c>
      <c r="BA314" s="6" t="str">
        <f>IFERROR(IF(AR314="--","",IF(HLOOKUP(SMALL($Q$4:$Y$4,6),$Q$4:$Y$501,ROW(AP314)-3,FALSE)=0,"",IF(HLOOKUP(SMALL($Q$4:$Y$4,6),$Q$4:$Y$501,ROW(AP314)-3,FALSE)="nee",VLOOKUP("De kwaliteitseis emissiearme grond (maximale concentratie) wordt overschreden.",H!$O$10:'H'!$P$59,2,FALSE),""))),"")</f>
        <v/>
      </c>
      <c r="BB314" s="6" t="str">
        <f t="shared" si="92"/>
        <v>--</v>
      </c>
      <c r="BC314" s="6" t="str">
        <f t="shared" si="93"/>
        <v/>
      </c>
      <c r="BD314" s="6" t="str">
        <f t="shared" si="94"/>
        <v>--</v>
      </c>
      <c r="BE314" s="6" t="str">
        <f t="shared" si="102"/>
        <v/>
      </c>
      <c r="BF314" s="6" t="str">
        <f t="shared" si="103"/>
        <v/>
      </c>
      <c r="BG314" s="4" t="str">
        <f>IFERROR(IF(AR314="--","",IF(HLOOKUP(SMALL($Q$4:$Y$4,9),$Q$4:$Y$501,ROW(AP314)-3,FALSE)=0,"",IF(HLOOKUP(SMALL($Q$4:$Y$4,9),$Q$4:$Y$501,ROW(AP314)-3,FALSE)="nee",VLOOKUP("De kwaliteitseis emissiearme grond (maximale concentratie) wordt overschreden.",H!$O$10:'H'!$P$59,2,FALSE),""))),"")</f>
        <v/>
      </c>
    </row>
    <row r="315" spans="1:59" x14ac:dyDescent="0.2">
      <c r="A315" s="4" t="str">
        <f>F!A315</f>
        <v>2-Propanol (IPA)</v>
      </c>
      <c r="B315" s="6" t="str">
        <f>IF(ISNUMBER(F!E315)=FALSE,"--",IF(F!E315=0,"--",F!E315))</f>
        <v>--</v>
      </c>
      <c r="C315" s="6" t="str">
        <f>IF(B315="--","",F!F315)</f>
        <v/>
      </c>
      <c r="D315" s="6" t="str">
        <f>IF(ISNUMBER(F!G315)=FALSE,"--",IF(F!G315=0,"--",F!G315))</f>
        <v>--</v>
      </c>
      <c r="E315" s="6" t="str">
        <f>IF(D315="--","",F!H315)</f>
        <v/>
      </c>
      <c r="F315" s="6" t="str">
        <f>IF(ISNUMBER(F!I315)=FALSE,"--",IF(F!I315=0,"--",F!I315))</f>
        <v>--</v>
      </c>
      <c r="G315" s="6" t="str">
        <f>IF(F315="--","",F!J315)</f>
        <v/>
      </c>
      <c r="H315" s="6"/>
      <c r="I315" s="6" t="str">
        <f>IF(F!Z315=-1,-1,F!AV315)</f>
        <v/>
      </c>
      <c r="J315" s="6"/>
      <c r="K315" s="6" t="str">
        <f>IF(F!AC315=-1,-1,F!AX315)</f>
        <v/>
      </c>
      <c r="L315" s="6"/>
      <c r="M315" s="6" t="str">
        <f>IF(F!AF315=-1,-1,F!AZ315)</f>
        <v/>
      </c>
      <c r="N315" s="6"/>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6" t="str">
        <f t="shared" si="109"/>
        <v/>
      </c>
      <c r="R315" s="5" t="str">
        <f>IF($B315="--","",IF($P315="toetsen",toetsen(F!$B315,Q315),IF($P315="toetsen alleen IW",toetsen_alleen_IW(F!$B315,Q315),IF($P315="toetsen alleen LN",toetsen_alleen_LN(F!$B315,Q315),IF($P315="toetsen geen MV en SV",toetsen_geen_MV_en_SV(F!$B315,Q315),IF($P315="toetsen alleen MV en SV",toetsen_alleen_MV_en_SV(F!$B315,Q315),""))))))</f>
        <v/>
      </c>
      <c r="S315" s="5" t="str">
        <f>IF($P315="toetsen",IF(OR(Q315="",VLOOKUP(F!$B315,E!$B$1:$AK$300,10,FALSE)=1000000000),"",IF(Q315&lt;=VLOOKUP(F!$B315,E!$B$1:$AK$300,10,FALSE),"ja","nee")),"")</f>
        <v/>
      </c>
      <c r="T315" s="87" t="str">
        <f t="shared" si="104"/>
        <v/>
      </c>
      <c r="U315" s="5" t="str">
        <f>IF($D315="--","",IF($P315="toetsen",toetsen(F!$B315,T315),IF($P315="toetsen alleen IW",toetsen_alleen_IW(F!$B315,T315),IF($P315="toetsen alleen LN",toetsen_alleen_LN(F!$B315,T315),IF($P315="toetsen geen MV en SV",toetsen_geen_MV_en_SV(F!$B315,T315),IF($P315="toetsen alleen MV en SV",toetsen_alleen_MV_en_SV(F!$B315,T315),""))))))</f>
        <v/>
      </c>
      <c r="V315" s="5" t="str">
        <f>IF($P315="toetsen",IF(OR(T315="",VLOOKUP(F!$B315,E!$B$1:$AK$300,10,FALSE)=1000000000),"",IF(T315&lt;=VLOOKUP(F!$B315,E!$B$1:$AK$300,10,FALSE),"ja","nee")),"")</f>
        <v/>
      </c>
      <c r="W315" s="6" t="str">
        <f t="shared" si="105"/>
        <v/>
      </c>
      <c r="X315" s="5" t="str">
        <f>IF($F315="--","",IF($P315="toetsen",toetsen(F!$B315,W315),IF($P315="toetsen alleen IW",toetsen_alleen_IW(F!$B315,W315),IF($P315="toetsen alleen LN",toetsen_alleen_LN(F!$B315,W315),IF($P315="toetsen geen MV en SV",toetsen_geen_MV_en_SV(F!$B315,W315),IF($P315="toetsen alleen MV en SV",toetsen_alleen_MV_en_SV(F!$B315,W315),""))))))</f>
        <v/>
      </c>
      <c r="Y315" s="5" t="str">
        <f>IF($P315="toetsen",IF(OR(W315="",VLOOKUP(F!$B315,E!$B$1:$AK$300,10,FALSE)=1000000000),"",IF(W315&lt;=VLOOKUP(F!$B315,E!$B$1:$AK$300,10,FALSE),"ja","nee")),"")</f>
        <v/>
      </c>
      <c r="AA315" s="4" t="str">
        <f>IFERROR(IF(Q315="","",(IF(Q315&gt;2*VLOOKUP(F!$B315,E!$B$1:$AK$300,5,FALSE),1,0))),"")</f>
        <v/>
      </c>
      <c r="AB315" s="4" t="str">
        <f>IFERROR(IF(T315="","",(IF(T315&gt;2*VLOOKUP(F!$B315,E!$B$1:$AK$300,5,FALSE),1,0))),"")</f>
        <v/>
      </c>
      <c r="AC315" s="4" t="str">
        <f>IFERROR(IF(W315="","",(IF(W315&gt;2*VLOOKUP(F!$B315,E!$B$1:$AK$300,5,FALSE),1,0))),"")</f>
        <v/>
      </c>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6" t="str">
        <f t="shared" si="106"/>
        <v>--</v>
      </c>
      <c r="AJ315" s="6"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6" t="str">
        <f t="shared" si="107"/>
        <v>--</v>
      </c>
      <c r="AL315" s="6"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6" t="str">
        <f t="shared" si="108"/>
        <v>--</v>
      </c>
      <c r="AN315" s="6"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6" t="str">
        <f t="shared" si="95"/>
        <v>--</v>
      </c>
      <c r="AQ315" s="6" t="str">
        <f t="shared" si="96"/>
        <v/>
      </c>
      <c r="AR315" s="6" t="str">
        <f t="shared" si="97"/>
        <v>--</v>
      </c>
      <c r="AS315" s="6" t="str">
        <f t="shared" si="98"/>
        <v/>
      </c>
      <c r="AT315" s="6" t="str">
        <f t="shared" si="99"/>
        <v/>
      </c>
      <c r="AU315" s="6" t="str">
        <f>IFERROR(IF(AR315="--","",IF(HLOOKUP(SMALL($Q$4:$Y$4,3),$Q$4:$Y$501,ROW(AP315)-3,FALSE)=0,"",IF(HLOOKUP(SMALL($Q$4:$Y$4,3),$Q$4:$Y$501,ROW(AP315)-3,FALSE)="nee",VLOOKUP("De kwaliteitseis emissiearme grond (maximale concentratie) wordt overschreden.",H!$O$10:'H'!$P$59,2,FALSE),""))),"")</f>
        <v/>
      </c>
      <c r="AV315" s="6" t="str">
        <f t="shared" si="89"/>
        <v>--</v>
      </c>
      <c r="AW315" s="6" t="str">
        <f t="shared" si="90"/>
        <v/>
      </c>
      <c r="AX315" s="6" t="str">
        <f t="shared" si="91"/>
        <v>--</v>
      </c>
      <c r="AY315" s="6" t="str">
        <f t="shared" si="100"/>
        <v/>
      </c>
      <c r="AZ315" s="6" t="str">
        <f t="shared" si="101"/>
        <v/>
      </c>
      <c r="BA315" s="6" t="str">
        <f>IFERROR(IF(AR315="--","",IF(HLOOKUP(SMALL($Q$4:$Y$4,6),$Q$4:$Y$501,ROW(AP315)-3,FALSE)=0,"",IF(HLOOKUP(SMALL($Q$4:$Y$4,6),$Q$4:$Y$501,ROW(AP315)-3,FALSE)="nee",VLOOKUP("De kwaliteitseis emissiearme grond (maximale concentratie) wordt overschreden.",H!$O$10:'H'!$P$59,2,FALSE),""))),"")</f>
        <v/>
      </c>
      <c r="BB315" s="6" t="str">
        <f t="shared" si="92"/>
        <v>--</v>
      </c>
      <c r="BC315" s="6" t="str">
        <f t="shared" si="93"/>
        <v/>
      </c>
      <c r="BD315" s="6" t="str">
        <f t="shared" si="94"/>
        <v>--</v>
      </c>
      <c r="BE315" s="6" t="str">
        <f t="shared" si="102"/>
        <v/>
      </c>
      <c r="BF315" s="6" t="str">
        <f t="shared" si="103"/>
        <v/>
      </c>
      <c r="BG315" s="4" t="str">
        <f>IFERROR(IF(AR315="--","",IF(HLOOKUP(SMALL($Q$4:$Y$4,9),$Q$4:$Y$501,ROW(AP315)-3,FALSE)=0,"",IF(HLOOKUP(SMALL($Q$4:$Y$4,9),$Q$4:$Y$501,ROW(AP315)-3,FALSE)="nee",VLOOKUP("De kwaliteitseis emissiearme grond (maximale concentratie) wordt overschreden.",H!$O$10:'H'!$P$59,2,FALSE),""))),"")</f>
        <v/>
      </c>
    </row>
    <row r="316" spans="1:59" x14ac:dyDescent="0.2">
      <c r="A316" s="4" t="str">
        <f>F!A316</f>
        <v>1-Butanol</v>
      </c>
      <c r="B316" s="6" t="str">
        <f>IF(ISNUMBER(F!E316)=FALSE,"--",IF(F!E316=0,"--",F!E316))</f>
        <v>--</v>
      </c>
      <c r="C316" s="6" t="str">
        <f>IF(B316="--","",F!F316)</f>
        <v/>
      </c>
      <c r="D316" s="6" t="str">
        <f>IF(ISNUMBER(F!G316)=FALSE,"--",IF(F!G316=0,"--",F!G316))</f>
        <v>--</v>
      </c>
      <c r="E316" s="6" t="str">
        <f>IF(D316="--","",F!H316)</f>
        <v/>
      </c>
      <c r="F316" s="6" t="str">
        <f>IF(ISNUMBER(F!I316)=FALSE,"--",IF(F!I316=0,"--",F!I316))</f>
        <v>--</v>
      </c>
      <c r="G316" s="6" t="str">
        <f>IF(F316="--","",F!J316)</f>
        <v/>
      </c>
      <c r="H316" s="6"/>
      <c r="I316" s="6" t="str">
        <f>IF(F!Z316=-1,-1,F!AV316)</f>
        <v/>
      </c>
      <c r="J316" s="6"/>
      <c r="K316" s="6" t="str">
        <f>IF(F!AC316=-1,-1,F!AX316)</f>
        <v/>
      </c>
      <c r="L316" s="6"/>
      <c r="M316" s="6" t="str">
        <f>IF(F!AF316=-1,-1,F!AZ316)</f>
        <v/>
      </c>
      <c r="N316" s="6"/>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6" t="str">
        <f t="shared" si="109"/>
        <v/>
      </c>
      <c r="R316" s="5" t="str">
        <f>IF($B316="--","",IF($P316="toetsen",toetsen(F!$B316,Q316),IF($P316="toetsen alleen IW",toetsen_alleen_IW(F!$B316,Q316),IF($P316="toetsen alleen LN",toetsen_alleen_LN(F!$B316,Q316),IF($P316="toetsen geen MV en SV",toetsen_geen_MV_en_SV(F!$B316,Q316),IF($P316="toetsen alleen MV en SV",toetsen_alleen_MV_en_SV(F!$B316,Q316),""))))))</f>
        <v/>
      </c>
      <c r="S316" s="5" t="str">
        <f>IF($P316="toetsen",IF(OR(Q316="",VLOOKUP(F!$B316,E!$B$1:$AK$300,10,FALSE)=1000000000),"",IF(Q316&lt;=VLOOKUP(F!$B316,E!$B$1:$AK$300,10,FALSE),"ja","nee")),"")</f>
        <v/>
      </c>
      <c r="T316" s="87" t="str">
        <f t="shared" si="104"/>
        <v/>
      </c>
      <c r="U316" s="5" t="str">
        <f>IF($D316="--","",IF($P316="toetsen",toetsen(F!$B316,T316),IF($P316="toetsen alleen IW",toetsen_alleen_IW(F!$B316,T316),IF($P316="toetsen alleen LN",toetsen_alleen_LN(F!$B316,T316),IF($P316="toetsen geen MV en SV",toetsen_geen_MV_en_SV(F!$B316,T316),IF($P316="toetsen alleen MV en SV",toetsen_alleen_MV_en_SV(F!$B316,T316),""))))))</f>
        <v/>
      </c>
      <c r="V316" s="5" t="str">
        <f>IF($P316="toetsen",IF(OR(T316="",VLOOKUP(F!$B316,E!$B$1:$AK$300,10,FALSE)=1000000000),"",IF(T316&lt;=VLOOKUP(F!$B316,E!$B$1:$AK$300,10,FALSE),"ja","nee")),"")</f>
        <v/>
      </c>
      <c r="W316" s="6" t="str">
        <f t="shared" si="105"/>
        <v/>
      </c>
      <c r="X316" s="5" t="str">
        <f>IF($F316="--","",IF($P316="toetsen",toetsen(F!$B316,W316),IF($P316="toetsen alleen IW",toetsen_alleen_IW(F!$B316,W316),IF($P316="toetsen alleen LN",toetsen_alleen_LN(F!$B316,W316),IF($P316="toetsen geen MV en SV",toetsen_geen_MV_en_SV(F!$B316,W316),IF($P316="toetsen alleen MV en SV",toetsen_alleen_MV_en_SV(F!$B316,W316),""))))))</f>
        <v/>
      </c>
      <c r="Y316" s="5" t="str">
        <f>IF($P316="toetsen",IF(OR(W316="",VLOOKUP(F!$B316,E!$B$1:$AK$300,10,FALSE)=1000000000),"",IF(W316&lt;=VLOOKUP(F!$B316,E!$B$1:$AK$300,10,FALSE),"ja","nee")),"")</f>
        <v/>
      </c>
      <c r="AA316" s="4" t="str">
        <f>IFERROR(IF(Q316="","",(IF(Q316&gt;2*VLOOKUP(F!$B316,E!$B$1:$AK$300,5,FALSE),1,0))),"")</f>
        <v/>
      </c>
      <c r="AB316" s="4" t="str">
        <f>IFERROR(IF(T316="","",(IF(T316&gt;2*VLOOKUP(F!$B316,E!$B$1:$AK$300,5,FALSE),1,0))),"")</f>
        <v/>
      </c>
      <c r="AC316" s="4" t="str">
        <f>IFERROR(IF(W316="","",(IF(W316&gt;2*VLOOKUP(F!$B316,E!$B$1:$AK$300,5,FALSE),1,0))),"")</f>
        <v/>
      </c>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6" t="str">
        <f t="shared" si="106"/>
        <v>--</v>
      </c>
      <c r="AJ316" s="6"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6" t="str">
        <f t="shared" si="107"/>
        <v>--</v>
      </c>
      <c r="AL316" s="6"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6" t="str">
        <f t="shared" si="108"/>
        <v>--</v>
      </c>
      <c r="AN316" s="6"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6" t="str">
        <f t="shared" si="95"/>
        <v>--</v>
      </c>
      <c r="AQ316" s="6" t="str">
        <f t="shared" si="96"/>
        <v/>
      </c>
      <c r="AR316" s="6" t="str">
        <f t="shared" si="97"/>
        <v>--</v>
      </c>
      <c r="AS316" s="6" t="str">
        <f t="shared" si="98"/>
        <v/>
      </c>
      <c r="AT316" s="6" t="str">
        <f t="shared" si="99"/>
        <v/>
      </c>
      <c r="AU316" s="6" t="str">
        <f>IFERROR(IF(AR316="--","",IF(HLOOKUP(SMALL($Q$4:$Y$4,3),$Q$4:$Y$501,ROW(AP316)-3,FALSE)=0,"",IF(HLOOKUP(SMALL($Q$4:$Y$4,3),$Q$4:$Y$501,ROW(AP316)-3,FALSE)="nee",VLOOKUP("De kwaliteitseis emissiearme grond (maximale concentratie) wordt overschreden.",H!$O$10:'H'!$P$59,2,FALSE),""))),"")</f>
        <v/>
      </c>
      <c r="AV316" s="6" t="str">
        <f t="shared" si="89"/>
        <v>--</v>
      </c>
      <c r="AW316" s="6" t="str">
        <f t="shared" si="90"/>
        <v/>
      </c>
      <c r="AX316" s="6" t="str">
        <f t="shared" si="91"/>
        <v>--</v>
      </c>
      <c r="AY316" s="6" t="str">
        <f t="shared" si="100"/>
        <v/>
      </c>
      <c r="AZ316" s="6" t="str">
        <f t="shared" si="101"/>
        <v/>
      </c>
      <c r="BA316" s="6" t="str">
        <f>IFERROR(IF(AR316="--","",IF(HLOOKUP(SMALL($Q$4:$Y$4,6),$Q$4:$Y$501,ROW(AP316)-3,FALSE)=0,"",IF(HLOOKUP(SMALL($Q$4:$Y$4,6),$Q$4:$Y$501,ROW(AP316)-3,FALSE)="nee",VLOOKUP("De kwaliteitseis emissiearme grond (maximale concentratie) wordt overschreden.",H!$O$10:'H'!$P$59,2,FALSE),""))),"")</f>
        <v/>
      </c>
      <c r="BB316" s="6" t="str">
        <f t="shared" si="92"/>
        <v>--</v>
      </c>
      <c r="BC316" s="6" t="str">
        <f t="shared" si="93"/>
        <v/>
      </c>
      <c r="BD316" s="6" t="str">
        <f t="shared" si="94"/>
        <v>--</v>
      </c>
      <c r="BE316" s="6" t="str">
        <f t="shared" si="102"/>
        <v/>
      </c>
      <c r="BF316" s="6" t="str">
        <f t="shared" si="103"/>
        <v/>
      </c>
      <c r="BG316" s="4" t="str">
        <f>IFERROR(IF(AR316="--","",IF(HLOOKUP(SMALL($Q$4:$Y$4,9),$Q$4:$Y$501,ROW(AP316)-3,FALSE)=0,"",IF(HLOOKUP(SMALL($Q$4:$Y$4,9),$Q$4:$Y$501,ROW(AP316)-3,FALSE)="nee",VLOOKUP("De kwaliteitseis emissiearme grond (maximale concentratie) wordt overschreden.",H!$O$10:'H'!$P$59,2,FALSE),""))),"")</f>
        <v/>
      </c>
    </row>
    <row r="317" spans="1:59" x14ac:dyDescent="0.2">
      <c r="A317" s="4" t="str">
        <f>F!A317</f>
        <v>Iso-butanol</v>
      </c>
      <c r="B317" s="6" t="str">
        <f>IF(ISNUMBER(F!E317)=FALSE,"--",IF(F!E317=0,"--",F!E317))</f>
        <v>--</v>
      </c>
      <c r="C317" s="6" t="str">
        <f>IF(B317="--","",F!F317)</f>
        <v/>
      </c>
      <c r="D317" s="6" t="str">
        <f>IF(ISNUMBER(F!G317)=FALSE,"--",IF(F!G317=0,"--",F!G317))</f>
        <v>--</v>
      </c>
      <c r="E317" s="6" t="str">
        <f>IF(D317="--","",F!H317)</f>
        <v/>
      </c>
      <c r="F317" s="6" t="str">
        <f>IF(ISNUMBER(F!I317)=FALSE,"--",IF(F!I317=0,"--",F!I317))</f>
        <v>--</v>
      </c>
      <c r="G317" s="6" t="str">
        <f>IF(F317="--","",F!J317)</f>
        <v/>
      </c>
      <c r="H317" s="6"/>
      <c r="I317" s="6" t="str">
        <f>IF(F!Z317=-1,-1,F!AV317)</f>
        <v/>
      </c>
      <c r="J317" s="6"/>
      <c r="K317" s="6" t="str">
        <f>IF(F!AC317=-1,-1,F!AX317)</f>
        <v/>
      </c>
      <c r="L317" s="6"/>
      <c r="M317" s="6" t="str">
        <f>IF(F!AF317=-1,-1,F!AZ317)</f>
        <v/>
      </c>
      <c r="N317" s="6"/>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6" t="str">
        <f t="shared" si="109"/>
        <v/>
      </c>
      <c r="R317" s="5" t="str">
        <f>IF($B317="--","",IF($P317="toetsen",toetsen(F!$B317,Q317),IF($P317="toetsen alleen IW",toetsen_alleen_IW(F!$B317,Q317),IF($P317="toetsen alleen LN",toetsen_alleen_LN(F!$B317,Q317),IF($P317="toetsen geen MV en SV",toetsen_geen_MV_en_SV(F!$B317,Q317),IF($P317="toetsen alleen MV en SV",toetsen_alleen_MV_en_SV(F!$B317,Q317),""))))))</f>
        <v/>
      </c>
      <c r="S317" s="5" t="str">
        <f>IF($P317="toetsen",IF(OR(Q317="",VLOOKUP(F!$B317,E!$B$1:$AK$300,10,FALSE)=1000000000),"",IF(Q317&lt;=VLOOKUP(F!$B317,E!$B$1:$AK$300,10,FALSE),"ja","nee")),"")</f>
        <v/>
      </c>
      <c r="T317" s="87" t="str">
        <f t="shared" si="104"/>
        <v/>
      </c>
      <c r="U317" s="5" t="str">
        <f>IF($D317="--","",IF($P317="toetsen",toetsen(F!$B317,T317),IF($P317="toetsen alleen IW",toetsen_alleen_IW(F!$B317,T317),IF($P317="toetsen alleen LN",toetsen_alleen_LN(F!$B317,T317),IF($P317="toetsen geen MV en SV",toetsen_geen_MV_en_SV(F!$B317,T317),IF($P317="toetsen alleen MV en SV",toetsen_alleen_MV_en_SV(F!$B317,T317),""))))))</f>
        <v/>
      </c>
      <c r="V317" s="5" t="str">
        <f>IF($P317="toetsen",IF(OR(T317="",VLOOKUP(F!$B317,E!$B$1:$AK$300,10,FALSE)=1000000000),"",IF(T317&lt;=VLOOKUP(F!$B317,E!$B$1:$AK$300,10,FALSE),"ja","nee")),"")</f>
        <v/>
      </c>
      <c r="W317" s="6" t="str">
        <f t="shared" si="105"/>
        <v/>
      </c>
      <c r="X317" s="5" t="str">
        <f>IF($F317="--","",IF($P317="toetsen",toetsen(F!$B317,W317),IF($P317="toetsen alleen IW",toetsen_alleen_IW(F!$B317,W317),IF($P317="toetsen alleen LN",toetsen_alleen_LN(F!$B317,W317),IF($P317="toetsen geen MV en SV",toetsen_geen_MV_en_SV(F!$B317,W317),IF($P317="toetsen alleen MV en SV",toetsen_alleen_MV_en_SV(F!$B317,W317),""))))))</f>
        <v/>
      </c>
      <c r="Y317" s="5" t="str">
        <f>IF($P317="toetsen",IF(OR(W317="",VLOOKUP(F!$B317,E!$B$1:$AK$300,10,FALSE)=1000000000),"",IF(W317&lt;=VLOOKUP(F!$B317,E!$B$1:$AK$300,10,FALSE),"ja","nee")),"")</f>
        <v/>
      </c>
      <c r="AA317" s="4" t="str">
        <f>IFERROR(IF(Q317="","",(IF(Q317&gt;2*VLOOKUP(F!$B317,E!$B$1:$AK$300,5,FALSE),1,0))),"")</f>
        <v/>
      </c>
      <c r="AB317" s="4" t="str">
        <f>IFERROR(IF(T317="","",(IF(T317&gt;2*VLOOKUP(F!$B317,E!$B$1:$AK$300,5,FALSE),1,0))),"")</f>
        <v/>
      </c>
      <c r="AC317" s="4" t="str">
        <f>IFERROR(IF(W317="","",(IF(W317&gt;2*VLOOKUP(F!$B317,E!$B$1:$AK$300,5,FALSE),1,0))),"")</f>
        <v/>
      </c>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6" t="str">
        <f t="shared" si="106"/>
        <v>--</v>
      </c>
      <c r="AJ317" s="6"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6" t="str">
        <f t="shared" si="107"/>
        <v>--</v>
      </c>
      <c r="AL317" s="6"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6" t="str">
        <f t="shared" si="108"/>
        <v>--</v>
      </c>
      <c r="AN317" s="6"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6" t="str">
        <f t="shared" si="95"/>
        <v>--</v>
      </c>
      <c r="AQ317" s="6" t="str">
        <f t="shared" si="96"/>
        <v/>
      </c>
      <c r="AR317" s="6" t="str">
        <f t="shared" si="97"/>
        <v>--</v>
      </c>
      <c r="AS317" s="6" t="str">
        <f t="shared" si="98"/>
        <v/>
      </c>
      <c r="AT317" s="6" t="str">
        <f t="shared" si="99"/>
        <v/>
      </c>
      <c r="AU317" s="6" t="str">
        <f>IFERROR(IF(AR317="--","",IF(HLOOKUP(SMALL($Q$4:$Y$4,3),$Q$4:$Y$501,ROW(AP317)-3,FALSE)=0,"",IF(HLOOKUP(SMALL($Q$4:$Y$4,3),$Q$4:$Y$501,ROW(AP317)-3,FALSE)="nee",VLOOKUP("De kwaliteitseis emissiearme grond (maximale concentratie) wordt overschreden.",H!$O$10:'H'!$P$59,2,FALSE),""))),"")</f>
        <v/>
      </c>
      <c r="AV317" s="6" t="str">
        <f t="shared" si="89"/>
        <v>--</v>
      </c>
      <c r="AW317" s="6" t="str">
        <f t="shared" si="90"/>
        <v/>
      </c>
      <c r="AX317" s="6" t="str">
        <f t="shared" si="91"/>
        <v>--</v>
      </c>
      <c r="AY317" s="6" t="str">
        <f t="shared" si="100"/>
        <v/>
      </c>
      <c r="AZ317" s="6" t="str">
        <f t="shared" si="101"/>
        <v/>
      </c>
      <c r="BA317" s="6" t="str">
        <f>IFERROR(IF(AR317="--","",IF(HLOOKUP(SMALL($Q$4:$Y$4,6),$Q$4:$Y$501,ROW(AP317)-3,FALSE)=0,"",IF(HLOOKUP(SMALL($Q$4:$Y$4,6),$Q$4:$Y$501,ROW(AP317)-3,FALSE)="nee",VLOOKUP("De kwaliteitseis emissiearme grond (maximale concentratie) wordt overschreden.",H!$O$10:'H'!$P$59,2,FALSE),""))),"")</f>
        <v/>
      </c>
      <c r="BB317" s="6" t="str">
        <f t="shared" si="92"/>
        <v>--</v>
      </c>
      <c r="BC317" s="6" t="str">
        <f t="shared" si="93"/>
        <v/>
      </c>
      <c r="BD317" s="6" t="str">
        <f t="shared" si="94"/>
        <v>--</v>
      </c>
      <c r="BE317" s="6" t="str">
        <f t="shared" si="102"/>
        <v/>
      </c>
      <c r="BF317" s="6" t="str">
        <f t="shared" si="103"/>
        <v/>
      </c>
      <c r="BG317" s="4" t="str">
        <f>IFERROR(IF(AR317="--","",IF(HLOOKUP(SMALL($Q$4:$Y$4,9),$Q$4:$Y$501,ROW(AP317)-3,FALSE)=0,"",IF(HLOOKUP(SMALL($Q$4:$Y$4,9),$Q$4:$Y$501,ROW(AP317)-3,FALSE)="nee",VLOOKUP("De kwaliteitseis emissiearme grond (maximale concentratie) wordt overschreden.",H!$O$10:'H'!$P$59,2,FALSE),""))),"")</f>
        <v/>
      </c>
    </row>
    <row r="318" spans="1:59" x14ac:dyDescent="0.2">
      <c r="A318" s="4" t="str">
        <f>F!A318</f>
        <v>Tert-butanol</v>
      </c>
      <c r="B318" s="6" t="str">
        <f>IF(ISNUMBER(F!E318)=FALSE,"--",IF(F!E318=0,"--",F!E318))</f>
        <v>--</v>
      </c>
      <c r="C318" s="6" t="str">
        <f>IF(B318="--","",F!F318)</f>
        <v/>
      </c>
      <c r="D318" s="6" t="str">
        <f>IF(ISNUMBER(F!G318)=FALSE,"--",IF(F!G318=0,"--",F!G318))</f>
        <v>--</v>
      </c>
      <c r="E318" s="6" t="str">
        <f>IF(D318="--","",F!H318)</f>
        <v/>
      </c>
      <c r="F318" s="6" t="str">
        <f>IF(ISNUMBER(F!I318)=FALSE,"--",IF(F!I318=0,"--",F!I318))</f>
        <v>--</v>
      </c>
      <c r="G318" s="6" t="str">
        <f>IF(F318="--","",F!J318)</f>
        <v/>
      </c>
      <c r="H318" s="6"/>
      <c r="I318" s="6" t="str">
        <f>IF(F!Z318=-1,-1,F!AV318)</f>
        <v/>
      </c>
      <c r="J318" s="6"/>
      <c r="K318" s="6" t="str">
        <f>IF(F!AC318=-1,-1,F!AX318)</f>
        <v/>
      </c>
      <c r="L318" s="6"/>
      <c r="M318" s="6" t="str">
        <f>IF(F!AF318=-1,-1,F!AZ318)</f>
        <v/>
      </c>
      <c r="N318" s="6"/>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6" t="str">
        <f t="shared" si="109"/>
        <v/>
      </c>
      <c r="R318" s="5" t="str">
        <f>IF($B318="--","",IF($P318="toetsen",toetsen(F!$B318,Q318),IF($P318="toetsen alleen IW",toetsen_alleen_IW(F!$B318,Q318),IF($P318="toetsen alleen LN",toetsen_alleen_LN(F!$B318,Q318),IF($P318="toetsen geen MV en SV",toetsen_geen_MV_en_SV(F!$B318,Q318),IF($P318="toetsen alleen MV en SV",toetsen_alleen_MV_en_SV(F!$B318,Q318),""))))))</f>
        <v/>
      </c>
      <c r="S318" s="5" t="str">
        <f>IF($P318="toetsen",IF(OR(Q318="",VLOOKUP(F!$B318,E!$B$1:$AK$300,10,FALSE)=1000000000),"",IF(Q318&lt;=VLOOKUP(F!$B318,E!$B$1:$AK$300,10,FALSE),"ja","nee")),"")</f>
        <v/>
      </c>
      <c r="T318" s="87" t="str">
        <f t="shared" si="104"/>
        <v/>
      </c>
      <c r="U318" s="5" t="str">
        <f>IF($D318="--","",IF($P318="toetsen",toetsen(F!$B318,T318),IF($P318="toetsen alleen IW",toetsen_alleen_IW(F!$B318,T318),IF($P318="toetsen alleen LN",toetsen_alleen_LN(F!$B318,T318),IF($P318="toetsen geen MV en SV",toetsen_geen_MV_en_SV(F!$B318,T318),IF($P318="toetsen alleen MV en SV",toetsen_alleen_MV_en_SV(F!$B318,T318),""))))))</f>
        <v/>
      </c>
      <c r="V318" s="5" t="str">
        <f>IF($P318="toetsen",IF(OR(T318="",VLOOKUP(F!$B318,E!$B$1:$AK$300,10,FALSE)=1000000000),"",IF(T318&lt;=VLOOKUP(F!$B318,E!$B$1:$AK$300,10,FALSE),"ja","nee")),"")</f>
        <v/>
      </c>
      <c r="W318" s="6" t="str">
        <f t="shared" si="105"/>
        <v/>
      </c>
      <c r="X318" s="5" t="str">
        <f>IF($F318="--","",IF($P318="toetsen",toetsen(F!$B318,W318),IF($P318="toetsen alleen IW",toetsen_alleen_IW(F!$B318,W318),IF($P318="toetsen alleen LN",toetsen_alleen_LN(F!$B318,W318),IF($P318="toetsen geen MV en SV",toetsen_geen_MV_en_SV(F!$B318,W318),IF($P318="toetsen alleen MV en SV",toetsen_alleen_MV_en_SV(F!$B318,W318),""))))))</f>
        <v/>
      </c>
      <c r="Y318" s="5" t="str">
        <f>IF($P318="toetsen",IF(OR(W318="",VLOOKUP(F!$B318,E!$B$1:$AK$300,10,FALSE)=1000000000),"",IF(W318&lt;=VLOOKUP(F!$B318,E!$B$1:$AK$300,10,FALSE),"ja","nee")),"")</f>
        <v/>
      </c>
      <c r="AA318" s="4" t="str">
        <f>IFERROR(IF(Q318="","",(IF(Q318&gt;2*VLOOKUP(F!$B318,E!$B$1:$AK$300,5,FALSE),1,0))),"")</f>
        <v/>
      </c>
      <c r="AB318" s="4" t="str">
        <f>IFERROR(IF(T318="","",(IF(T318&gt;2*VLOOKUP(F!$B318,E!$B$1:$AK$300,5,FALSE),1,0))),"")</f>
        <v/>
      </c>
      <c r="AC318" s="4" t="str">
        <f>IFERROR(IF(W318="","",(IF(W318&gt;2*VLOOKUP(F!$B318,E!$B$1:$AK$300,5,FALSE),1,0))),"")</f>
        <v/>
      </c>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6" t="str">
        <f t="shared" si="106"/>
        <v>--</v>
      </c>
      <c r="AJ318" s="6"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6" t="str">
        <f t="shared" si="107"/>
        <v>--</v>
      </c>
      <c r="AL318" s="6"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6" t="str">
        <f t="shared" si="108"/>
        <v>--</v>
      </c>
      <c r="AN318" s="6"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6" t="str">
        <f t="shared" si="95"/>
        <v>--</v>
      </c>
      <c r="AQ318" s="6" t="str">
        <f t="shared" si="96"/>
        <v/>
      </c>
      <c r="AR318" s="6" t="str">
        <f t="shared" si="97"/>
        <v>--</v>
      </c>
      <c r="AS318" s="6" t="str">
        <f t="shared" si="98"/>
        <v/>
      </c>
      <c r="AT318" s="6" t="str">
        <f t="shared" si="99"/>
        <v/>
      </c>
      <c r="AU318" s="6" t="str">
        <f>IFERROR(IF(AR318="--","",IF(HLOOKUP(SMALL($Q$4:$Y$4,3),$Q$4:$Y$501,ROW(AP318)-3,FALSE)=0,"",IF(HLOOKUP(SMALL($Q$4:$Y$4,3),$Q$4:$Y$501,ROW(AP318)-3,FALSE)="nee",VLOOKUP("De kwaliteitseis emissiearme grond (maximale concentratie) wordt overschreden.",H!$O$10:'H'!$P$59,2,FALSE),""))),"")</f>
        <v/>
      </c>
      <c r="AV318" s="6" t="str">
        <f t="shared" si="89"/>
        <v>--</v>
      </c>
      <c r="AW318" s="6" t="str">
        <f t="shared" si="90"/>
        <v/>
      </c>
      <c r="AX318" s="6" t="str">
        <f t="shared" si="91"/>
        <v>--</v>
      </c>
      <c r="AY318" s="6" t="str">
        <f t="shared" si="100"/>
        <v/>
      </c>
      <c r="AZ318" s="6" t="str">
        <f t="shared" si="101"/>
        <v/>
      </c>
      <c r="BA318" s="6" t="str">
        <f>IFERROR(IF(AR318="--","",IF(HLOOKUP(SMALL($Q$4:$Y$4,6),$Q$4:$Y$501,ROW(AP318)-3,FALSE)=0,"",IF(HLOOKUP(SMALL($Q$4:$Y$4,6),$Q$4:$Y$501,ROW(AP318)-3,FALSE)="nee",VLOOKUP("De kwaliteitseis emissiearme grond (maximale concentratie) wordt overschreden.",H!$O$10:'H'!$P$59,2,FALSE),""))),"")</f>
        <v/>
      </c>
      <c r="BB318" s="6" t="str">
        <f t="shared" si="92"/>
        <v>--</v>
      </c>
      <c r="BC318" s="6" t="str">
        <f t="shared" si="93"/>
        <v/>
      </c>
      <c r="BD318" s="6" t="str">
        <f t="shared" si="94"/>
        <v>--</v>
      </c>
      <c r="BE318" s="6" t="str">
        <f t="shared" si="102"/>
        <v/>
      </c>
      <c r="BF318" s="6" t="str">
        <f t="shared" si="103"/>
        <v/>
      </c>
      <c r="BG318" s="4" t="str">
        <f>IFERROR(IF(AR318="--","",IF(HLOOKUP(SMALL($Q$4:$Y$4,9),$Q$4:$Y$501,ROW(AP318)-3,FALSE)=0,"",IF(HLOOKUP(SMALL($Q$4:$Y$4,9),$Q$4:$Y$501,ROW(AP318)-3,FALSE)="nee",VLOOKUP("De kwaliteitseis emissiearme grond (maximale concentratie) wordt overschreden.",H!$O$10:'H'!$P$59,2,FALSE),""))),"")</f>
        <v/>
      </c>
    </row>
    <row r="319" spans="1:59" x14ac:dyDescent="0.2">
      <c r="A319" s="4" t="str">
        <f>F!A319</f>
        <v>Methylacetaat</v>
      </c>
      <c r="B319" s="6" t="str">
        <f>IF(ISNUMBER(F!E319)=FALSE,"--",IF(F!E319=0,"--",F!E319))</f>
        <v>--</v>
      </c>
      <c r="C319" s="6" t="str">
        <f>IF(B319="--","",F!F319)</f>
        <v/>
      </c>
      <c r="D319" s="6" t="str">
        <f>IF(ISNUMBER(F!G319)=FALSE,"--",IF(F!G319=0,"--",F!G319))</f>
        <v>--</v>
      </c>
      <c r="E319" s="6" t="str">
        <f>IF(D319="--","",F!H319)</f>
        <v/>
      </c>
      <c r="F319" s="6" t="str">
        <f>IF(ISNUMBER(F!I319)=FALSE,"--",IF(F!I319=0,"--",F!I319))</f>
        <v>--</v>
      </c>
      <c r="G319" s="6" t="str">
        <f>IF(F319="--","",F!J319)</f>
        <v/>
      </c>
      <c r="H319" s="6"/>
      <c r="I319" s="6" t="str">
        <f>IF(F!Z319=-1,-1,F!AV319)</f>
        <v/>
      </c>
      <c r="J319" s="6"/>
      <c r="K319" s="6" t="str">
        <f>IF(F!AC319=-1,-1,F!AX319)</f>
        <v/>
      </c>
      <c r="L319" s="6"/>
      <c r="M319" s="6" t="str">
        <f>IF(F!AF319=-1,-1,F!AZ319)</f>
        <v/>
      </c>
      <c r="N319" s="6"/>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6" t="str">
        <f t="shared" si="109"/>
        <v/>
      </c>
      <c r="R319" s="5" t="str">
        <f>IF($B319="--","",IF($P319="toetsen",toetsen(F!$B319,Q319),IF($P319="toetsen alleen IW",toetsen_alleen_IW(F!$B319,Q319),IF($P319="toetsen alleen LN",toetsen_alleen_LN(F!$B319,Q319),IF($P319="toetsen geen MV en SV",toetsen_geen_MV_en_SV(F!$B319,Q319),IF($P319="toetsen alleen MV en SV",toetsen_alleen_MV_en_SV(F!$B319,Q319),""))))))</f>
        <v/>
      </c>
      <c r="S319" s="5" t="str">
        <f>IF($P319="toetsen",IF(OR(Q319="",VLOOKUP(F!$B319,E!$B$1:$AK$300,10,FALSE)=1000000000),"",IF(Q319&lt;=VLOOKUP(F!$B319,E!$B$1:$AK$300,10,FALSE),"ja","nee")),"")</f>
        <v/>
      </c>
      <c r="T319" s="87" t="str">
        <f t="shared" si="104"/>
        <v/>
      </c>
      <c r="U319" s="5" t="str">
        <f>IF($D319="--","",IF($P319="toetsen",toetsen(F!$B319,T319),IF($P319="toetsen alleen IW",toetsen_alleen_IW(F!$B319,T319),IF($P319="toetsen alleen LN",toetsen_alleen_LN(F!$B319,T319),IF($P319="toetsen geen MV en SV",toetsen_geen_MV_en_SV(F!$B319,T319),IF($P319="toetsen alleen MV en SV",toetsen_alleen_MV_en_SV(F!$B319,T319),""))))))</f>
        <v/>
      </c>
      <c r="V319" s="5" t="str">
        <f>IF($P319="toetsen",IF(OR(T319="",VLOOKUP(F!$B319,E!$B$1:$AK$300,10,FALSE)=1000000000),"",IF(T319&lt;=VLOOKUP(F!$B319,E!$B$1:$AK$300,10,FALSE),"ja","nee")),"")</f>
        <v/>
      </c>
      <c r="W319" s="6" t="str">
        <f t="shared" si="105"/>
        <v/>
      </c>
      <c r="X319" s="5" t="str">
        <f>IF($F319="--","",IF($P319="toetsen",toetsen(F!$B319,W319),IF($P319="toetsen alleen IW",toetsen_alleen_IW(F!$B319,W319),IF($P319="toetsen alleen LN",toetsen_alleen_LN(F!$B319,W319),IF($P319="toetsen geen MV en SV",toetsen_geen_MV_en_SV(F!$B319,W319),IF($P319="toetsen alleen MV en SV",toetsen_alleen_MV_en_SV(F!$B319,W319),""))))))</f>
        <v/>
      </c>
      <c r="Y319" s="5" t="str">
        <f>IF($P319="toetsen",IF(OR(W319="",VLOOKUP(F!$B319,E!$B$1:$AK$300,10,FALSE)=1000000000),"",IF(W319&lt;=VLOOKUP(F!$B319,E!$B$1:$AK$300,10,FALSE),"ja","nee")),"")</f>
        <v/>
      </c>
      <c r="AA319" s="4" t="str">
        <f>IFERROR(IF(Q319="","",(IF(Q319&gt;2*VLOOKUP(F!$B319,E!$B$1:$AK$300,5,FALSE),1,0))),"")</f>
        <v/>
      </c>
      <c r="AB319" s="4" t="str">
        <f>IFERROR(IF(T319="","",(IF(T319&gt;2*VLOOKUP(F!$B319,E!$B$1:$AK$300,5,FALSE),1,0))),"")</f>
        <v/>
      </c>
      <c r="AC319" s="4" t="str">
        <f>IFERROR(IF(W319="","",(IF(W319&gt;2*VLOOKUP(F!$B319,E!$B$1:$AK$300,5,FALSE),1,0))),"")</f>
        <v/>
      </c>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6" t="str">
        <f t="shared" si="106"/>
        <v>--</v>
      </c>
      <c r="AJ319" s="6"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6" t="str">
        <f t="shared" si="107"/>
        <v>--</v>
      </c>
      <c r="AL319" s="6"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6" t="str">
        <f t="shared" si="108"/>
        <v>--</v>
      </c>
      <c r="AN319" s="6"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6" t="str">
        <f t="shared" si="95"/>
        <v>--</v>
      </c>
      <c r="AQ319" s="6" t="str">
        <f t="shared" si="96"/>
        <v/>
      </c>
      <c r="AR319" s="6" t="str">
        <f t="shared" si="97"/>
        <v>--</v>
      </c>
      <c r="AS319" s="6" t="str">
        <f t="shared" si="98"/>
        <v/>
      </c>
      <c r="AT319" s="6" t="str">
        <f t="shared" si="99"/>
        <v/>
      </c>
      <c r="AU319" s="6" t="str">
        <f>IFERROR(IF(AR319="--","",IF(HLOOKUP(SMALL($Q$4:$Y$4,3),$Q$4:$Y$501,ROW(AP319)-3,FALSE)=0,"",IF(HLOOKUP(SMALL($Q$4:$Y$4,3),$Q$4:$Y$501,ROW(AP319)-3,FALSE)="nee",VLOOKUP("De kwaliteitseis emissiearme grond (maximale concentratie) wordt overschreden.",H!$O$10:'H'!$P$59,2,FALSE),""))),"")</f>
        <v/>
      </c>
      <c r="AV319" s="6" t="str">
        <f t="shared" si="89"/>
        <v>--</v>
      </c>
      <c r="AW319" s="6" t="str">
        <f t="shared" si="90"/>
        <v/>
      </c>
      <c r="AX319" s="6" t="str">
        <f t="shared" si="91"/>
        <v>--</v>
      </c>
      <c r="AY319" s="6" t="str">
        <f t="shared" si="100"/>
        <v/>
      </c>
      <c r="AZ319" s="6" t="str">
        <f t="shared" si="101"/>
        <v/>
      </c>
      <c r="BA319" s="6" t="str">
        <f>IFERROR(IF(AR319="--","",IF(HLOOKUP(SMALL($Q$4:$Y$4,6),$Q$4:$Y$501,ROW(AP319)-3,FALSE)=0,"",IF(HLOOKUP(SMALL($Q$4:$Y$4,6),$Q$4:$Y$501,ROW(AP319)-3,FALSE)="nee",VLOOKUP("De kwaliteitseis emissiearme grond (maximale concentratie) wordt overschreden.",H!$O$10:'H'!$P$59,2,FALSE),""))),"")</f>
        <v/>
      </c>
      <c r="BB319" s="6" t="str">
        <f t="shared" si="92"/>
        <v>--</v>
      </c>
      <c r="BC319" s="6" t="str">
        <f t="shared" si="93"/>
        <v/>
      </c>
      <c r="BD319" s="6" t="str">
        <f t="shared" si="94"/>
        <v>--</v>
      </c>
      <c r="BE319" s="6" t="str">
        <f t="shared" si="102"/>
        <v/>
      </c>
      <c r="BF319" s="6" t="str">
        <f t="shared" si="103"/>
        <v/>
      </c>
      <c r="BG319" s="4" t="str">
        <f>IFERROR(IF(AR319="--","",IF(HLOOKUP(SMALL($Q$4:$Y$4,9),$Q$4:$Y$501,ROW(AP319)-3,FALSE)=0,"",IF(HLOOKUP(SMALL($Q$4:$Y$4,9),$Q$4:$Y$501,ROW(AP319)-3,FALSE)="nee",VLOOKUP("De kwaliteitseis emissiearme grond (maximale concentratie) wordt overschreden.",H!$O$10:'H'!$P$59,2,FALSE),""))),"")</f>
        <v/>
      </c>
    </row>
    <row r="320" spans="1:59" x14ac:dyDescent="0.2">
      <c r="A320" s="4" t="str">
        <f>F!A320</f>
        <v>Ethylacetaat</v>
      </c>
      <c r="B320" s="6" t="str">
        <f>IF(ISNUMBER(F!E320)=FALSE,"--",IF(F!E320=0,"--",F!E320))</f>
        <v>--</v>
      </c>
      <c r="C320" s="6" t="str">
        <f>IF(B320="--","",F!F320)</f>
        <v/>
      </c>
      <c r="D320" s="6" t="str">
        <f>IF(ISNUMBER(F!G320)=FALSE,"--",IF(F!G320=0,"--",F!G320))</f>
        <v>--</v>
      </c>
      <c r="E320" s="6" t="str">
        <f>IF(D320="--","",F!H320)</f>
        <v/>
      </c>
      <c r="F320" s="6" t="str">
        <f>IF(ISNUMBER(F!I320)=FALSE,"--",IF(F!I320=0,"--",F!I320))</f>
        <v>--</v>
      </c>
      <c r="G320" s="6" t="str">
        <f>IF(F320="--","",F!J320)</f>
        <v/>
      </c>
      <c r="H320" s="6"/>
      <c r="I320" s="6" t="str">
        <f>IF(F!Z320=-1,-1,F!AV320)</f>
        <v/>
      </c>
      <c r="J320" s="6"/>
      <c r="K320" s="6" t="str">
        <f>IF(F!AC320=-1,-1,F!AX320)</f>
        <v/>
      </c>
      <c r="L320" s="6"/>
      <c r="M320" s="6" t="str">
        <f>IF(F!AF320=-1,-1,F!AZ320)</f>
        <v/>
      </c>
      <c r="N320" s="6"/>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6" t="str">
        <f t="shared" si="109"/>
        <v/>
      </c>
      <c r="R320" s="5" t="str">
        <f>IF($B320="--","",IF($P320="toetsen",toetsen(F!$B320,Q320),IF($P320="toetsen alleen IW",toetsen_alleen_IW(F!$B320,Q320),IF($P320="toetsen alleen LN",toetsen_alleen_LN(F!$B320,Q320),IF($P320="toetsen geen MV en SV",toetsen_geen_MV_en_SV(F!$B320,Q320),IF($P320="toetsen alleen MV en SV",toetsen_alleen_MV_en_SV(F!$B320,Q320),""))))))</f>
        <v/>
      </c>
      <c r="S320" s="5" t="str">
        <f>IF($P320="toetsen",IF(OR(Q320="",VLOOKUP(F!$B320,E!$B$1:$AK$300,10,FALSE)=1000000000),"",IF(Q320&lt;=VLOOKUP(F!$B320,E!$B$1:$AK$300,10,FALSE),"ja","nee")),"")</f>
        <v/>
      </c>
      <c r="T320" s="87" t="str">
        <f t="shared" si="104"/>
        <v/>
      </c>
      <c r="U320" s="5" t="str">
        <f>IF($D320="--","",IF($P320="toetsen",toetsen(F!$B320,T320),IF($P320="toetsen alleen IW",toetsen_alleen_IW(F!$B320,T320),IF($P320="toetsen alleen LN",toetsen_alleen_LN(F!$B320,T320),IF($P320="toetsen geen MV en SV",toetsen_geen_MV_en_SV(F!$B320,T320),IF($P320="toetsen alleen MV en SV",toetsen_alleen_MV_en_SV(F!$B320,T320),""))))))</f>
        <v/>
      </c>
      <c r="V320" s="5" t="str">
        <f>IF($P320="toetsen",IF(OR(T320="",VLOOKUP(F!$B320,E!$B$1:$AK$300,10,FALSE)=1000000000),"",IF(T320&lt;=VLOOKUP(F!$B320,E!$B$1:$AK$300,10,FALSE),"ja","nee")),"")</f>
        <v/>
      </c>
      <c r="W320" s="6" t="str">
        <f t="shared" si="105"/>
        <v/>
      </c>
      <c r="X320" s="5" t="str">
        <f>IF($F320="--","",IF($P320="toetsen",toetsen(F!$B320,W320),IF($P320="toetsen alleen IW",toetsen_alleen_IW(F!$B320,W320),IF($P320="toetsen alleen LN",toetsen_alleen_LN(F!$B320,W320),IF($P320="toetsen geen MV en SV",toetsen_geen_MV_en_SV(F!$B320,W320),IF($P320="toetsen alleen MV en SV",toetsen_alleen_MV_en_SV(F!$B320,W320),""))))))</f>
        <v/>
      </c>
      <c r="Y320" s="5" t="str">
        <f>IF($P320="toetsen",IF(OR(W320="",VLOOKUP(F!$B320,E!$B$1:$AK$300,10,FALSE)=1000000000),"",IF(W320&lt;=VLOOKUP(F!$B320,E!$B$1:$AK$300,10,FALSE),"ja","nee")),"")</f>
        <v/>
      </c>
      <c r="AA320" s="4" t="str">
        <f>IFERROR(IF(Q320="","",(IF(Q320&gt;2*VLOOKUP(F!$B320,E!$B$1:$AK$300,5,FALSE),1,0))),"")</f>
        <v/>
      </c>
      <c r="AB320" s="4" t="str">
        <f>IFERROR(IF(T320="","",(IF(T320&gt;2*VLOOKUP(F!$B320,E!$B$1:$AK$300,5,FALSE),1,0))),"")</f>
        <v/>
      </c>
      <c r="AC320" s="4" t="str">
        <f>IFERROR(IF(W320="","",(IF(W320&gt;2*VLOOKUP(F!$B320,E!$B$1:$AK$300,5,FALSE),1,0))),"")</f>
        <v/>
      </c>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6" t="str">
        <f t="shared" si="106"/>
        <v>--</v>
      </c>
      <c r="AJ320" s="6"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6" t="str">
        <f t="shared" si="107"/>
        <v>--</v>
      </c>
      <c r="AL320" s="6"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6" t="str">
        <f t="shared" si="108"/>
        <v>--</v>
      </c>
      <c r="AN320" s="6"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6" t="str">
        <f t="shared" si="95"/>
        <v>--</v>
      </c>
      <c r="AQ320" s="6" t="str">
        <f t="shared" si="96"/>
        <v/>
      </c>
      <c r="AR320" s="6" t="str">
        <f t="shared" si="97"/>
        <v>--</v>
      </c>
      <c r="AS320" s="6" t="str">
        <f t="shared" si="98"/>
        <v/>
      </c>
      <c r="AT320" s="6" t="str">
        <f t="shared" si="99"/>
        <v/>
      </c>
      <c r="AU320" s="6" t="str">
        <f>IFERROR(IF(AR320="--","",IF(HLOOKUP(SMALL($Q$4:$Y$4,3),$Q$4:$Y$501,ROW(AP320)-3,FALSE)=0,"",IF(HLOOKUP(SMALL($Q$4:$Y$4,3),$Q$4:$Y$501,ROW(AP320)-3,FALSE)="nee",VLOOKUP("De kwaliteitseis emissiearme grond (maximale concentratie) wordt overschreden.",H!$O$10:'H'!$P$59,2,FALSE),""))),"")</f>
        <v/>
      </c>
      <c r="AV320" s="6" t="str">
        <f t="shared" si="89"/>
        <v>--</v>
      </c>
      <c r="AW320" s="6" t="str">
        <f t="shared" si="90"/>
        <v/>
      </c>
      <c r="AX320" s="6" t="str">
        <f t="shared" si="91"/>
        <v>--</v>
      </c>
      <c r="AY320" s="6" t="str">
        <f t="shared" si="100"/>
        <v/>
      </c>
      <c r="AZ320" s="6" t="str">
        <f t="shared" si="101"/>
        <v/>
      </c>
      <c r="BA320" s="6" t="str">
        <f>IFERROR(IF(AR320="--","",IF(HLOOKUP(SMALL($Q$4:$Y$4,6),$Q$4:$Y$501,ROW(AP320)-3,FALSE)=0,"",IF(HLOOKUP(SMALL($Q$4:$Y$4,6),$Q$4:$Y$501,ROW(AP320)-3,FALSE)="nee",VLOOKUP("De kwaliteitseis emissiearme grond (maximale concentratie) wordt overschreden.",H!$O$10:'H'!$P$59,2,FALSE),""))),"")</f>
        <v/>
      </c>
      <c r="BB320" s="6" t="str">
        <f t="shared" si="92"/>
        <v>--</v>
      </c>
      <c r="BC320" s="6" t="str">
        <f t="shared" si="93"/>
        <v/>
      </c>
      <c r="BD320" s="6" t="str">
        <f t="shared" si="94"/>
        <v>--</v>
      </c>
      <c r="BE320" s="6" t="str">
        <f t="shared" si="102"/>
        <v/>
      </c>
      <c r="BF320" s="6" t="str">
        <f t="shared" si="103"/>
        <v/>
      </c>
      <c r="BG320" s="4" t="str">
        <f>IFERROR(IF(AR320="--","",IF(HLOOKUP(SMALL($Q$4:$Y$4,9),$Q$4:$Y$501,ROW(AP320)-3,FALSE)=0,"",IF(HLOOKUP(SMALL($Q$4:$Y$4,9),$Q$4:$Y$501,ROW(AP320)-3,FALSE)="nee",VLOOKUP("De kwaliteitseis emissiearme grond (maximale concentratie) wordt overschreden.",H!$O$10:'H'!$P$59,2,FALSE),""))),"")</f>
        <v/>
      </c>
    </row>
    <row r="321" spans="1:59" x14ac:dyDescent="0.2">
      <c r="A321" s="4" t="str">
        <f>F!A321</f>
        <v>Butylacetaat</v>
      </c>
      <c r="B321" s="6" t="str">
        <f>IF(ISNUMBER(F!E321)=FALSE,"--",IF(F!E321=0,"--",F!E321))</f>
        <v>--</v>
      </c>
      <c r="C321" s="6" t="str">
        <f>IF(B321="--","",F!F321)</f>
        <v/>
      </c>
      <c r="D321" s="6" t="str">
        <f>IF(ISNUMBER(F!G321)=FALSE,"--",IF(F!G321=0,"--",F!G321))</f>
        <v>--</v>
      </c>
      <c r="E321" s="6" t="str">
        <f>IF(D321="--","",F!H321)</f>
        <v/>
      </c>
      <c r="F321" s="6" t="str">
        <f>IF(ISNUMBER(F!I321)=FALSE,"--",IF(F!I321=0,"--",F!I321))</f>
        <v>--</v>
      </c>
      <c r="G321" s="6" t="str">
        <f>IF(F321="--","",F!J321)</f>
        <v/>
      </c>
      <c r="H321" s="6"/>
      <c r="I321" s="6" t="str">
        <f>IF(F!Z321=-1,-1,F!AV321)</f>
        <v/>
      </c>
      <c r="J321" s="6"/>
      <c r="K321" s="6" t="str">
        <f>IF(F!AC321=-1,-1,F!AX321)</f>
        <v/>
      </c>
      <c r="L321" s="6"/>
      <c r="M321" s="6" t="str">
        <f>IF(F!AF321=-1,-1,F!AZ321)</f>
        <v/>
      </c>
      <c r="N321" s="6"/>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6" t="str">
        <f t="shared" si="109"/>
        <v/>
      </c>
      <c r="R321" s="5" t="str">
        <f>IF($B321="--","",IF($P321="toetsen",toetsen(F!$B321,Q321),IF($P321="toetsen alleen IW",toetsen_alleen_IW(F!$B321,Q321),IF($P321="toetsen alleen LN",toetsen_alleen_LN(F!$B321,Q321),IF($P321="toetsen geen MV en SV",toetsen_geen_MV_en_SV(F!$B321,Q321),IF($P321="toetsen alleen MV en SV",toetsen_alleen_MV_en_SV(F!$B321,Q321),""))))))</f>
        <v/>
      </c>
      <c r="S321" s="5" t="str">
        <f>IF($P321="toetsen",IF(OR(Q321="",VLOOKUP(F!$B321,E!$B$1:$AK$300,10,FALSE)=1000000000),"",IF(Q321&lt;=VLOOKUP(F!$B321,E!$B$1:$AK$300,10,FALSE),"ja","nee")),"")</f>
        <v/>
      </c>
      <c r="T321" s="87" t="str">
        <f t="shared" si="104"/>
        <v/>
      </c>
      <c r="U321" s="5" t="str">
        <f>IF($D321="--","",IF($P321="toetsen",toetsen(F!$B321,T321),IF($P321="toetsen alleen IW",toetsen_alleen_IW(F!$B321,T321),IF($P321="toetsen alleen LN",toetsen_alleen_LN(F!$B321,T321),IF($P321="toetsen geen MV en SV",toetsen_geen_MV_en_SV(F!$B321,T321),IF($P321="toetsen alleen MV en SV",toetsen_alleen_MV_en_SV(F!$B321,T321),""))))))</f>
        <v/>
      </c>
      <c r="V321" s="5" t="str">
        <f>IF($P321="toetsen",IF(OR(T321="",VLOOKUP(F!$B321,E!$B$1:$AK$300,10,FALSE)=1000000000),"",IF(T321&lt;=VLOOKUP(F!$B321,E!$B$1:$AK$300,10,FALSE),"ja","nee")),"")</f>
        <v/>
      </c>
      <c r="W321" s="6" t="str">
        <f t="shared" si="105"/>
        <v/>
      </c>
      <c r="X321" s="5" t="str">
        <f>IF($F321="--","",IF($P321="toetsen",toetsen(F!$B321,W321),IF($P321="toetsen alleen IW",toetsen_alleen_IW(F!$B321,W321),IF($P321="toetsen alleen LN",toetsen_alleen_LN(F!$B321,W321),IF($P321="toetsen geen MV en SV",toetsen_geen_MV_en_SV(F!$B321,W321),IF($P321="toetsen alleen MV en SV",toetsen_alleen_MV_en_SV(F!$B321,W321),""))))))</f>
        <v/>
      </c>
      <c r="Y321" s="5" t="str">
        <f>IF($P321="toetsen",IF(OR(W321="",VLOOKUP(F!$B321,E!$B$1:$AK$300,10,FALSE)=1000000000),"",IF(W321&lt;=VLOOKUP(F!$B321,E!$B$1:$AK$300,10,FALSE),"ja","nee")),"")</f>
        <v/>
      </c>
      <c r="AA321" s="4" t="str">
        <f>IFERROR(IF(Q321="","",(IF(Q321&gt;2*VLOOKUP(F!$B321,E!$B$1:$AK$300,5,FALSE),1,0))),"")</f>
        <v/>
      </c>
      <c r="AB321" s="4" t="str">
        <f>IFERROR(IF(T321="","",(IF(T321&gt;2*VLOOKUP(F!$B321,E!$B$1:$AK$300,5,FALSE),1,0))),"")</f>
        <v/>
      </c>
      <c r="AC321" s="4" t="str">
        <f>IFERROR(IF(W321="","",(IF(W321&gt;2*VLOOKUP(F!$B321,E!$B$1:$AK$300,5,FALSE),1,0))),"")</f>
        <v/>
      </c>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6" t="str">
        <f t="shared" si="106"/>
        <v>--</v>
      </c>
      <c r="AJ321" s="6"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6" t="str">
        <f t="shared" si="107"/>
        <v>--</v>
      </c>
      <c r="AL321" s="6"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6" t="str">
        <f t="shared" si="108"/>
        <v>--</v>
      </c>
      <c r="AN321" s="6"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6" t="str">
        <f t="shared" si="95"/>
        <v>--</v>
      </c>
      <c r="AQ321" s="6" t="str">
        <f t="shared" si="96"/>
        <v/>
      </c>
      <c r="AR321" s="6" t="str">
        <f t="shared" si="97"/>
        <v>--</v>
      </c>
      <c r="AS321" s="6" t="str">
        <f t="shared" si="98"/>
        <v/>
      </c>
      <c r="AT321" s="6" t="str">
        <f t="shared" si="99"/>
        <v/>
      </c>
      <c r="AU321" s="6" t="str">
        <f>IFERROR(IF(AR321="--","",IF(HLOOKUP(SMALL($Q$4:$Y$4,3),$Q$4:$Y$501,ROW(AP321)-3,FALSE)=0,"",IF(HLOOKUP(SMALL($Q$4:$Y$4,3),$Q$4:$Y$501,ROW(AP321)-3,FALSE)="nee",VLOOKUP("De kwaliteitseis emissiearme grond (maximale concentratie) wordt overschreden.",H!$O$10:'H'!$P$59,2,FALSE),""))),"")</f>
        <v/>
      </c>
      <c r="AV321" s="6" t="str">
        <f t="shared" si="89"/>
        <v>--</v>
      </c>
      <c r="AW321" s="6" t="str">
        <f t="shared" si="90"/>
        <v/>
      </c>
      <c r="AX321" s="6" t="str">
        <f t="shared" si="91"/>
        <v>--</v>
      </c>
      <c r="AY321" s="6" t="str">
        <f t="shared" si="100"/>
        <v/>
      </c>
      <c r="AZ321" s="6" t="str">
        <f t="shared" si="101"/>
        <v/>
      </c>
      <c r="BA321" s="6" t="str">
        <f>IFERROR(IF(AR321="--","",IF(HLOOKUP(SMALL($Q$4:$Y$4,6),$Q$4:$Y$501,ROW(AP321)-3,FALSE)=0,"",IF(HLOOKUP(SMALL($Q$4:$Y$4,6),$Q$4:$Y$501,ROW(AP321)-3,FALSE)="nee",VLOOKUP("De kwaliteitseis emissiearme grond (maximale concentratie) wordt overschreden.",H!$O$10:'H'!$P$59,2,FALSE),""))),"")</f>
        <v/>
      </c>
      <c r="BB321" s="6" t="str">
        <f t="shared" si="92"/>
        <v>--</v>
      </c>
      <c r="BC321" s="6" t="str">
        <f t="shared" si="93"/>
        <v/>
      </c>
      <c r="BD321" s="6" t="str">
        <f t="shared" si="94"/>
        <v>--</v>
      </c>
      <c r="BE321" s="6" t="str">
        <f t="shared" si="102"/>
        <v/>
      </c>
      <c r="BF321" s="6" t="str">
        <f t="shared" si="103"/>
        <v/>
      </c>
      <c r="BG321" s="4" t="str">
        <f>IFERROR(IF(AR321="--","",IF(HLOOKUP(SMALL($Q$4:$Y$4,9),$Q$4:$Y$501,ROW(AP321)-3,FALSE)=0,"",IF(HLOOKUP(SMALL($Q$4:$Y$4,9),$Q$4:$Y$501,ROW(AP321)-3,FALSE)="nee",VLOOKUP("De kwaliteitseis emissiearme grond (maximale concentratie) wordt overschreden.",H!$O$10:'H'!$P$59,2,FALSE),""))),"")</f>
        <v/>
      </c>
    </row>
    <row r="322" spans="1:59" x14ac:dyDescent="0.2">
      <c r="A322" s="4" t="str">
        <f>F!A322</f>
        <v>Ammonium</v>
      </c>
      <c r="B322" s="6" t="str">
        <f>IF(ISNUMBER(F!E322)=FALSE,"--",IF(F!E322=0,"--",F!E322))</f>
        <v>--</v>
      </c>
      <c r="C322" s="6" t="str">
        <f>IF(B322="--","",F!F322)</f>
        <v/>
      </c>
      <c r="D322" s="6" t="str">
        <f>IF(ISNUMBER(F!G322)=FALSE,"--",IF(F!G322=0,"--",F!G322))</f>
        <v>--</v>
      </c>
      <c r="E322" s="6" t="str">
        <f>IF(D322="--","",F!H322)</f>
        <v/>
      </c>
      <c r="F322" s="6" t="str">
        <f>IF(ISNUMBER(F!I322)=FALSE,"--",IF(F!I322=0,"--",F!I322))</f>
        <v>--</v>
      </c>
      <c r="G322" s="6" t="str">
        <f>IF(F322="--","",F!J322)</f>
        <v/>
      </c>
      <c r="H322" s="6"/>
      <c r="I322" s="6" t="str">
        <f>IF(F!Z322=-1,-1,F!AV322)</f>
        <v/>
      </c>
      <c r="J322" s="6"/>
      <c r="K322" s="6" t="str">
        <f>IF(F!AC322=-1,-1,F!AX322)</f>
        <v/>
      </c>
      <c r="L322" s="6"/>
      <c r="M322" s="6" t="str">
        <f>IF(F!AF322=-1,-1,F!AZ322)</f>
        <v/>
      </c>
      <c r="N322" s="6"/>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6" t="str">
        <f t="shared" si="109"/>
        <v/>
      </c>
      <c r="R322" s="5" t="str">
        <f>IF($B322="--","",IF($P322="toetsen",toetsen(F!$B322,Q322),IF($P322="toetsen alleen IW",toetsen_alleen_IW(F!$B322,Q322),IF($P322="toetsen alleen LN",toetsen_alleen_LN(F!$B322,Q322),IF($P322="toetsen geen MV en SV",toetsen_geen_MV_en_SV(F!$B322,Q322),IF($P322="toetsen alleen MV en SV",toetsen_alleen_MV_en_SV(F!$B322,Q322),""))))))</f>
        <v/>
      </c>
      <c r="S322" s="5" t="str">
        <f>IF($P322="toetsen",IF(OR(Q322="",VLOOKUP(F!$B322,E!$B$1:$AK$300,10,FALSE)=1000000000),"",IF(Q322&lt;=VLOOKUP(F!$B322,E!$B$1:$AK$300,10,FALSE),"ja","nee")),"")</f>
        <v/>
      </c>
      <c r="T322" s="87" t="str">
        <f t="shared" si="104"/>
        <v/>
      </c>
      <c r="U322" s="5" t="str">
        <f>IF($D322="--","",IF($P322="toetsen",toetsen(F!$B322,T322),IF($P322="toetsen alleen IW",toetsen_alleen_IW(F!$B322,T322),IF($P322="toetsen alleen LN",toetsen_alleen_LN(F!$B322,T322),IF($P322="toetsen geen MV en SV",toetsen_geen_MV_en_SV(F!$B322,T322),IF($P322="toetsen alleen MV en SV",toetsen_alleen_MV_en_SV(F!$B322,T322),""))))))</f>
        <v/>
      </c>
      <c r="V322" s="5" t="str">
        <f>IF($P322="toetsen",IF(OR(T322="",VLOOKUP(F!$B322,E!$B$1:$AK$300,10,FALSE)=1000000000),"",IF(T322&lt;=VLOOKUP(F!$B322,E!$B$1:$AK$300,10,FALSE),"ja","nee")),"")</f>
        <v/>
      </c>
      <c r="W322" s="6" t="str">
        <f t="shared" si="105"/>
        <v/>
      </c>
      <c r="X322" s="5" t="str">
        <f>IF($F322="--","",IF($P322="toetsen",toetsen(F!$B322,W322),IF($P322="toetsen alleen IW",toetsen_alleen_IW(F!$B322,W322),IF($P322="toetsen alleen LN",toetsen_alleen_LN(F!$B322,W322),IF($P322="toetsen geen MV en SV",toetsen_geen_MV_en_SV(F!$B322,W322),IF($P322="toetsen alleen MV en SV",toetsen_alleen_MV_en_SV(F!$B322,W322),""))))))</f>
        <v/>
      </c>
      <c r="Y322" s="5" t="str">
        <f>IF($P322="toetsen",IF(OR(W322="",VLOOKUP(F!$B322,E!$B$1:$AK$300,10,FALSE)=1000000000),"",IF(W322&lt;=VLOOKUP(F!$B322,E!$B$1:$AK$300,10,FALSE),"ja","nee")),"")</f>
        <v/>
      </c>
      <c r="AA322" s="4" t="str">
        <f>IFERROR(IF(Q322="","",(IF(Q322&gt;2*VLOOKUP(F!$B322,E!$B$1:$AK$300,5,FALSE),1,0))),"")</f>
        <v/>
      </c>
      <c r="AB322" s="4" t="str">
        <f>IFERROR(IF(T322="","",(IF(T322&gt;2*VLOOKUP(F!$B322,E!$B$1:$AK$300,5,FALSE),1,0))),"")</f>
        <v/>
      </c>
      <c r="AC322" s="4" t="str">
        <f>IFERROR(IF(W322="","",(IF(W322&gt;2*VLOOKUP(F!$B322,E!$B$1:$AK$300,5,FALSE),1,0))),"")</f>
        <v/>
      </c>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6" t="str">
        <f t="shared" si="106"/>
        <v>--</v>
      </c>
      <c r="AJ322" s="6"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6" t="str">
        <f t="shared" si="107"/>
        <v>--</v>
      </c>
      <c r="AL322" s="6"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6" t="str">
        <f t="shared" si="108"/>
        <v>--</v>
      </c>
      <c r="AN322" s="6"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6" t="str">
        <f t="shared" si="95"/>
        <v>--</v>
      </c>
      <c r="AQ322" s="6" t="str">
        <f t="shared" si="96"/>
        <v/>
      </c>
      <c r="AR322" s="6" t="str">
        <f t="shared" si="97"/>
        <v>--</v>
      </c>
      <c r="AS322" s="6" t="str">
        <f t="shared" si="98"/>
        <v/>
      </c>
      <c r="AT322" s="6" t="str">
        <f t="shared" si="99"/>
        <v/>
      </c>
      <c r="AU322" s="6" t="str">
        <f>IFERROR(IF(AR322="--","",IF(HLOOKUP(SMALL($Q$4:$Y$4,3),$Q$4:$Y$501,ROW(AP322)-3,FALSE)=0,"",IF(HLOOKUP(SMALL($Q$4:$Y$4,3),$Q$4:$Y$501,ROW(AP322)-3,FALSE)="nee",VLOOKUP("De kwaliteitseis emissiearme grond (maximale concentratie) wordt overschreden.",H!$O$10:'H'!$P$59,2,FALSE),""))),"")</f>
        <v/>
      </c>
      <c r="AV322" s="6" t="str">
        <f t="shared" si="89"/>
        <v>--</v>
      </c>
      <c r="AW322" s="6" t="str">
        <f t="shared" si="90"/>
        <v/>
      </c>
      <c r="AX322" s="6" t="str">
        <f t="shared" si="91"/>
        <v>--</v>
      </c>
      <c r="AY322" s="6" t="str">
        <f t="shared" si="100"/>
        <v/>
      </c>
      <c r="AZ322" s="6" t="str">
        <f t="shared" si="101"/>
        <v/>
      </c>
      <c r="BA322" s="6" t="str">
        <f>IFERROR(IF(AR322="--","",IF(HLOOKUP(SMALL($Q$4:$Y$4,6),$Q$4:$Y$501,ROW(AP322)-3,FALSE)=0,"",IF(HLOOKUP(SMALL($Q$4:$Y$4,6),$Q$4:$Y$501,ROW(AP322)-3,FALSE)="nee",VLOOKUP("De kwaliteitseis emissiearme grond (maximale concentratie) wordt overschreden.",H!$O$10:'H'!$P$59,2,FALSE),""))),"")</f>
        <v/>
      </c>
      <c r="BB322" s="6" t="str">
        <f t="shared" si="92"/>
        <v>--</v>
      </c>
      <c r="BC322" s="6" t="str">
        <f t="shared" si="93"/>
        <v/>
      </c>
      <c r="BD322" s="6" t="str">
        <f t="shared" si="94"/>
        <v>--</v>
      </c>
      <c r="BE322" s="6" t="str">
        <f t="shared" si="102"/>
        <v/>
      </c>
      <c r="BF322" s="6" t="str">
        <f t="shared" si="103"/>
        <v/>
      </c>
      <c r="BG322" s="4" t="str">
        <f>IFERROR(IF(AR322="--","",IF(HLOOKUP(SMALL($Q$4:$Y$4,9),$Q$4:$Y$501,ROW(AP322)-3,FALSE)=0,"",IF(HLOOKUP(SMALL($Q$4:$Y$4,9),$Q$4:$Y$501,ROW(AP322)-3,FALSE)="nee",VLOOKUP("De kwaliteitseis emissiearme grond (maximale concentratie) wordt overschreden.",H!$O$10:'H'!$P$59,2,FALSE),""))),"")</f>
        <v/>
      </c>
    </row>
    <row r="323" spans="1:59" x14ac:dyDescent="0.2">
      <c r="A323" s="4" t="str">
        <f>F!A323</f>
        <v>Chloride</v>
      </c>
      <c r="B323" s="6" t="str">
        <f>IF(ISNUMBER(F!E323)=FALSE,"--",IF(F!E323=0,"--",F!E323))</f>
        <v>--</v>
      </c>
      <c r="C323" s="6" t="str">
        <f>IF(B323="--","",F!F323)</f>
        <v/>
      </c>
      <c r="D323" s="6" t="str">
        <f>IF(ISNUMBER(F!G323)=FALSE,"--",IF(F!G323=0,"--",F!G323))</f>
        <v>--</v>
      </c>
      <c r="E323" s="6" t="str">
        <f>IF(D323="--","",F!H323)</f>
        <v/>
      </c>
      <c r="F323" s="6" t="str">
        <f>IF(ISNUMBER(F!I323)=FALSE,"--",IF(F!I323=0,"--",F!I323))</f>
        <v>--</v>
      </c>
      <c r="G323" s="6" t="str">
        <f>IF(F323="--","",F!J323)</f>
        <v/>
      </c>
      <c r="H323" s="6"/>
      <c r="I323" s="6" t="str">
        <f>IF(F!Z323=-1,-1,F!AV323)</f>
        <v/>
      </c>
      <c r="J323" s="6"/>
      <c r="K323" s="6" t="str">
        <f>IF(F!AC323=-1,-1,F!AX323)</f>
        <v/>
      </c>
      <c r="L323" s="6"/>
      <c r="M323" s="6" t="str">
        <f>IF(F!AF323=-1,-1,F!AZ323)</f>
        <v/>
      </c>
      <c r="N323" s="6"/>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6" t="str">
        <f t="shared" si="109"/>
        <v/>
      </c>
      <c r="R323" s="5" t="str">
        <f>IF($B323="--","",IF($P323="toetsen",toetsen(F!$B323,Q323),IF($P323="toetsen alleen IW",toetsen_alleen_IW(F!$B323,Q323),IF($P323="toetsen alleen LN",toetsen_alleen_LN(F!$B323,Q323),IF($P323="toetsen geen MV en SV",toetsen_geen_MV_en_SV(F!$B323,Q323),IF($P323="toetsen alleen MV en SV",toetsen_alleen_MV_en_SV(F!$B323,Q323),""))))))</f>
        <v/>
      </c>
      <c r="S323" s="5" t="str">
        <f>IF($P323="toetsen",IF(OR(Q323="",VLOOKUP(F!$B323,E!$B$1:$AK$300,10,FALSE)=1000000000),"",IF(Q323&lt;=VLOOKUP(F!$B323,E!$B$1:$AK$300,10,FALSE),"ja","nee")),"")</f>
        <v/>
      </c>
      <c r="T323" s="87" t="str">
        <f t="shared" si="104"/>
        <v/>
      </c>
      <c r="U323" s="5" t="str">
        <f>IF($D323="--","",IF($P323="toetsen",toetsen(F!$B323,T323),IF($P323="toetsen alleen IW",toetsen_alleen_IW(F!$B323,T323),IF($P323="toetsen alleen LN",toetsen_alleen_LN(F!$B323,T323),IF($P323="toetsen geen MV en SV",toetsen_geen_MV_en_SV(F!$B323,T323),IF($P323="toetsen alleen MV en SV",toetsen_alleen_MV_en_SV(F!$B323,T323),""))))))</f>
        <v/>
      </c>
      <c r="V323" s="5" t="str">
        <f>IF($P323="toetsen",IF(OR(T323="",VLOOKUP(F!$B323,E!$B$1:$AK$300,10,FALSE)=1000000000),"",IF(T323&lt;=VLOOKUP(F!$B323,E!$B$1:$AK$300,10,FALSE),"ja","nee")),"")</f>
        <v/>
      </c>
      <c r="W323" s="6" t="str">
        <f t="shared" si="105"/>
        <v/>
      </c>
      <c r="X323" s="5" t="str">
        <f>IF($F323="--","",IF($P323="toetsen",toetsen(F!$B323,W323),IF($P323="toetsen alleen IW",toetsen_alleen_IW(F!$B323,W323),IF($P323="toetsen alleen LN",toetsen_alleen_LN(F!$B323,W323),IF($P323="toetsen geen MV en SV",toetsen_geen_MV_en_SV(F!$B323,W323),IF($P323="toetsen alleen MV en SV",toetsen_alleen_MV_en_SV(F!$B323,W323),""))))))</f>
        <v/>
      </c>
      <c r="Y323" s="5" t="str">
        <f>IF($P323="toetsen",IF(OR(W323="",VLOOKUP(F!$B323,E!$B$1:$AK$300,10,FALSE)=1000000000),"",IF(W323&lt;=VLOOKUP(F!$B323,E!$B$1:$AK$300,10,FALSE),"ja","nee")),"")</f>
        <v/>
      </c>
      <c r="AA323" s="4" t="str">
        <f>IFERROR(IF(Q323="","",(IF(Q323&gt;2*VLOOKUP(F!$B323,E!$B$1:$AK$300,5,FALSE),1,0))),"")</f>
        <v/>
      </c>
      <c r="AB323" s="4" t="str">
        <f>IFERROR(IF(T323="","",(IF(T323&gt;2*VLOOKUP(F!$B323,E!$B$1:$AK$300,5,FALSE),1,0))),"")</f>
        <v/>
      </c>
      <c r="AC323" s="4" t="str">
        <f>IFERROR(IF(W323="","",(IF(W323&gt;2*VLOOKUP(F!$B323,E!$B$1:$AK$300,5,FALSE),1,0))),"")</f>
        <v/>
      </c>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6" t="str">
        <f t="shared" si="106"/>
        <v>--</v>
      </c>
      <c r="AJ323" s="6"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6" t="str">
        <f t="shared" si="107"/>
        <v>--</v>
      </c>
      <c r="AL323" s="6"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6" t="str">
        <f t="shared" si="108"/>
        <v>--</v>
      </c>
      <c r="AN323" s="6"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6" t="str">
        <f t="shared" si="95"/>
        <v>--</v>
      </c>
      <c r="AQ323" s="6" t="str">
        <f t="shared" si="96"/>
        <v/>
      </c>
      <c r="AR323" s="6" t="str">
        <f t="shared" si="97"/>
        <v>--</v>
      </c>
      <c r="AS323" s="6" t="str">
        <f t="shared" si="98"/>
        <v/>
      </c>
      <c r="AT323" s="6" t="str">
        <f t="shared" si="99"/>
        <v/>
      </c>
      <c r="AU323" s="6" t="str">
        <f>IFERROR(IF(AR323="--","",IF(HLOOKUP(SMALL($Q$4:$Y$4,3),$Q$4:$Y$501,ROW(AP323)-3,FALSE)=0,"",IF(HLOOKUP(SMALL($Q$4:$Y$4,3),$Q$4:$Y$501,ROW(AP323)-3,FALSE)="nee",VLOOKUP("De kwaliteitseis emissiearme grond (maximale concentratie) wordt overschreden.",H!$O$10:'H'!$P$59,2,FALSE),""))),"")</f>
        <v/>
      </c>
      <c r="AV323" s="6" t="str">
        <f t="shared" si="89"/>
        <v>--</v>
      </c>
      <c r="AW323" s="6" t="str">
        <f t="shared" si="90"/>
        <v/>
      </c>
      <c r="AX323" s="6" t="str">
        <f t="shared" si="91"/>
        <v>--</v>
      </c>
      <c r="AY323" s="6" t="str">
        <f t="shared" si="100"/>
        <v/>
      </c>
      <c r="AZ323" s="6" t="str">
        <f t="shared" si="101"/>
        <v/>
      </c>
      <c r="BA323" s="6" t="str">
        <f>IFERROR(IF(AR323="--","",IF(HLOOKUP(SMALL($Q$4:$Y$4,6),$Q$4:$Y$501,ROW(AP323)-3,FALSE)=0,"",IF(HLOOKUP(SMALL($Q$4:$Y$4,6),$Q$4:$Y$501,ROW(AP323)-3,FALSE)="nee",VLOOKUP("De kwaliteitseis emissiearme grond (maximale concentratie) wordt overschreden.",H!$O$10:'H'!$P$59,2,FALSE),""))),"")</f>
        <v/>
      </c>
      <c r="BB323" s="6" t="str">
        <f t="shared" si="92"/>
        <v>--</v>
      </c>
      <c r="BC323" s="6" t="str">
        <f t="shared" si="93"/>
        <v/>
      </c>
      <c r="BD323" s="6" t="str">
        <f t="shared" si="94"/>
        <v>--</v>
      </c>
      <c r="BE323" s="6" t="str">
        <f t="shared" si="102"/>
        <v/>
      </c>
      <c r="BF323" s="6" t="str">
        <f t="shared" si="103"/>
        <v/>
      </c>
      <c r="BG323" s="4" t="str">
        <f>IFERROR(IF(AR323="--","",IF(HLOOKUP(SMALL($Q$4:$Y$4,9),$Q$4:$Y$501,ROW(AP323)-3,FALSE)=0,"",IF(HLOOKUP(SMALL($Q$4:$Y$4,9),$Q$4:$Y$501,ROW(AP323)-3,FALSE)="nee",VLOOKUP("De kwaliteitseis emissiearme grond (maximale concentratie) wordt overschreden.",H!$O$10:'H'!$P$59,2,FALSE),""))),"")</f>
        <v/>
      </c>
    </row>
    <row r="324" spans="1:59" x14ac:dyDescent="0.2">
      <c r="A324" s="4" t="str">
        <f>F!A324</f>
        <v>Cyanide (vrij)</v>
      </c>
      <c r="B324" s="6" t="str">
        <f>IF(ISNUMBER(F!E324)=FALSE,"--",IF(F!E324=0,"--",F!E324))</f>
        <v>--</v>
      </c>
      <c r="C324" s="6" t="str">
        <f>IF(B324="--","",F!F324)</f>
        <v/>
      </c>
      <c r="D324" s="6" t="str">
        <f>IF(ISNUMBER(F!G324)=FALSE,"--",IF(F!G324=0,"--",F!G324))</f>
        <v>--</v>
      </c>
      <c r="E324" s="6" t="str">
        <f>IF(D324="--","",F!H324)</f>
        <v/>
      </c>
      <c r="F324" s="6" t="str">
        <f>IF(ISNUMBER(F!I324)=FALSE,"--",IF(F!I324=0,"--",F!I324))</f>
        <v>--</v>
      </c>
      <c r="G324" s="6" t="str">
        <f>IF(F324="--","",F!J324)</f>
        <v/>
      </c>
      <c r="H324" s="6"/>
      <c r="I324" s="6" t="str">
        <f>IF(F!Z324=-1,-1,F!AV324)</f>
        <v/>
      </c>
      <c r="J324" s="6"/>
      <c r="K324" s="6" t="str">
        <f>IF(F!AC324=-1,-1,F!AX324)</f>
        <v/>
      </c>
      <c r="L324" s="6"/>
      <c r="M324" s="6" t="str">
        <f>IF(F!AF324=-1,-1,F!AZ324)</f>
        <v/>
      </c>
      <c r="N324" s="6"/>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6" t="str">
        <f t="shared" si="109"/>
        <v/>
      </c>
      <c r="R324" s="5" t="str">
        <f>IF($B324="--","",IF($P324="toetsen",toetsen(F!$B324,Q324),IF($P324="toetsen alleen IW",toetsen_alleen_IW(F!$B324,Q324),IF($P324="toetsen alleen LN",toetsen_alleen_LN(F!$B324,Q324),IF($P324="toetsen geen MV en SV",toetsen_geen_MV_en_SV(F!$B324,Q324),IF($P324="toetsen alleen MV en SV",toetsen_alleen_MV_en_SV(F!$B324,Q324),""))))))</f>
        <v/>
      </c>
      <c r="S324" s="5" t="str">
        <f>IF($P324="toetsen",IF(OR(Q324="",VLOOKUP(F!$B324,E!$B$1:$AK$300,10,FALSE)=1000000000),"",IF(Q324&lt;=VLOOKUP(F!$B324,E!$B$1:$AK$300,10,FALSE),"ja","nee")),"")</f>
        <v/>
      </c>
      <c r="T324" s="87" t="str">
        <f t="shared" si="104"/>
        <v/>
      </c>
      <c r="U324" s="5" t="str">
        <f>IF($D324="--","",IF($P324="toetsen",toetsen(F!$B324,T324),IF($P324="toetsen alleen IW",toetsen_alleen_IW(F!$B324,T324),IF($P324="toetsen alleen LN",toetsen_alleen_LN(F!$B324,T324),IF($P324="toetsen geen MV en SV",toetsen_geen_MV_en_SV(F!$B324,T324),IF($P324="toetsen alleen MV en SV",toetsen_alleen_MV_en_SV(F!$B324,T324),""))))))</f>
        <v/>
      </c>
      <c r="V324" s="5" t="str">
        <f>IF($P324="toetsen",IF(OR(T324="",VLOOKUP(F!$B324,E!$B$1:$AK$300,10,FALSE)=1000000000),"",IF(T324&lt;=VLOOKUP(F!$B324,E!$B$1:$AK$300,10,FALSE),"ja","nee")),"")</f>
        <v/>
      </c>
      <c r="W324" s="6" t="str">
        <f t="shared" si="105"/>
        <v/>
      </c>
      <c r="X324" s="5" t="str">
        <f>IF($F324="--","",IF($P324="toetsen",toetsen(F!$B324,W324),IF($P324="toetsen alleen IW",toetsen_alleen_IW(F!$B324,W324),IF($P324="toetsen alleen LN",toetsen_alleen_LN(F!$B324,W324),IF($P324="toetsen geen MV en SV",toetsen_geen_MV_en_SV(F!$B324,W324),IF($P324="toetsen alleen MV en SV",toetsen_alleen_MV_en_SV(F!$B324,W324),""))))))</f>
        <v/>
      </c>
      <c r="Y324" s="5" t="str">
        <f>IF($P324="toetsen",IF(OR(W324="",VLOOKUP(F!$B324,E!$B$1:$AK$300,10,FALSE)=1000000000),"",IF(W324&lt;=VLOOKUP(F!$B324,E!$B$1:$AK$300,10,FALSE),"ja","nee")),"")</f>
        <v/>
      </c>
      <c r="AA324" s="4" t="str">
        <f>IFERROR(IF(Q324="","",(IF(Q324&gt;2*VLOOKUP(F!$B324,E!$B$1:$AK$300,5,FALSE),1,0))),"")</f>
        <v/>
      </c>
      <c r="AB324" s="4" t="str">
        <f>IFERROR(IF(T324="","",(IF(T324&gt;2*VLOOKUP(F!$B324,E!$B$1:$AK$300,5,FALSE),1,0))),"")</f>
        <v/>
      </c>
      <c r="AC324" s="4" t="str">
        <f>IFERROR(IF(W324="","",(IF(W324&gt;2*VLOOKUP(F!$B324,E!$B$1:$AK$300,5,FALSE),1,0))),"")</f>
        <v/>
      </c>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6" t="str">
        <f t="shared" si="106"/>
        <v>--</v>
      </c>
      <c r="AJ324" s="6"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6" t="str">
        <f t="shared" si="107"/>
        <v>--</v>
      </c>
      <c r="AL324" s="6"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6" t="str">
        <f t="shared" si="108"/>
        <v>--</v>
      </c>
      <c r="AN324" s="6"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6" t="str">
        <f t="shared" si="95"/>
        <v>--</v>
      </c>
      <c r="AQ324" s="6" t="str">
        <f t="shared" si="96"/>
        <v/>
      </c>
      <c r="AR324" s="6" t="str">
        <f t="shared" si="97"/>
        <v>--</v>
      </c>
      <c r="AS324" s="6" t="str">
        <f t="shared" si="98"/>
        <v/>
      </c>
      <c r="AT324" s="6" t="str">
        <f t="shared" si="99"/>
        <v/>
      </c>
      <c r="AU324" s="6" t="str">
        <f>IFERROR(IF(AR324="--","",IF(HLOOKUP(SMALL($Q$4:$Y$4,3),$Q$4:$Y$501,ROW(AP324)-3,FALSE)=0,"",IF(HLOOKUP(SMALL($Q$4:$Y$4,3),$Q$4:$Y$501,ROW(AP324)-3,FALSE)="nee",VLOOKUP("De kwaliteitseis emissiearme grond (maximale concentratie) wordt overschreden.",H!$O$10:'H'!$P$59,2,FALSE),""))),"")</f>
        <v/>
      </c>
      <c r="AV324" s="6" t="str">
        <f t="shared" si="89"/>
        <v>--</v>
      </c>
      <c r="AW324" s="6" t="str">
        <f t="shared" si="90"/>
        <v/>
      </c>
      <c r="AX324" s="6" t="str">
        <f t="shared" si="91"/>
        <v>--</v>
      </c>
      <c r="AY324" s="6" t="str">
        <f t="shared" si="100"/>
        <v/>
      </c>
      <c r="AZ324" s="6" t="str">
        <f t="shared" si="101"/>
        <v/>
      </c>
      <c r="BA324" s="6" t="str">
        <f>IFERROR(IF(AR324="--","",IF(HLOOKUP(SMALL($Q$4:$Y$4,6),$Q$4:$Y$501,ROW(AP324)-3,FALSE)=0,"",IF(HLOOKUP(SMALL($Q$4:$Y$4,6),$Q$4:$Y$501,ROW(AP324)-3,FALSE)="nee",VLOOKUP("De kwaliteitseis emissiearme grond (maximale concentratie) wordt overschreden.",H!$O$10:'H'!$P$59,2,FALSE),""))),"")</f>
        <v/>
      </c>
      <c r="BB324" s="6" t="str">
        <f t="shared" si="92"/>
        <v>--</v>
      </c>
      <c r="BC324" s="6" t="str">
        <f t="shared" si="93"/>
        <v/>
      </c>
      <c r="BD324" s="6" t="str">
        <f t="shared" si="94"/>
        <v>--</v>
      </c>
      <c r="BE324" s="6" t="str">
        <f t="shared" si="102"/>
        <v/>
      </c>
      <c r="BF324" s="6" t="str">
        <f t="shared" si="103"/>
        <v/>
      </c>
      <c r="BG324" s="4" t="str">
        <f>IFERROR(IF(AR324="--","",IF(HLOOKUP(SMALL($Q$4:$Y$4,9),$Q$4:$Y$501,ROW(AP324)-3,FALSE)=0,"",IF(HLOOKUP(SMALL($Q$4:$Y$4,9),$Q$4:$Y$501,ROW(AP324)-3,FALSE)="nee",VLOOKUP("De kwaliteitseis emissiearme grond (maximale concentratie) wordt overschreden.",H!$O$10:'H'!$P$59,2,FALSE),""))),"")</f>
        <v/>
      </c>
    </row>
    <row r="325" spans="1:59" x14ac:dyDescent="0.2">
      <c r="A325" s="4" t="str">
        <f>F!A325</f>
        <v>Cyanide (complex)</v>
      </c>
      <c r="B325" s="6" t="str">
        <f>IF(ISNUMBER(F!E325)=FALSE,"--",IF(F!E325=0,"--",F!E325))</f>
        <v>--</v>
      </c>
      <c r="C325" s="6" t="str">
        <f>IF(B325="--","",F!F325)</f>
        <v/>
      </c>
      <c r="D325" s="6" t="str">
        <f>IF(ISNUMBER(F!G325)=FALSE,"--",IF(F!G325=0,"--",F!G325))</f>
        <v>--</v>
      </c>
      <c r="E325" s="6" t="str">
        <f>IF(D325="--","",F!H325)</f>
        <v/>
      </c>
      <c r="F325" s="6" t="str">
        <f>IF(ISNUMBER(F!I325)=FALSE,"--",IF(F!I325=0,"--",F!I325))</f>
        <v>--</v>
      </c>
      <c r="G325" s="6" t="str">
        <f>IF(F325="--","",F!J325)</f>
        <v/>
      </c>
      <c r="H325" s="6"/>
      <c r="I325" s="6" t="str">
        <f>IF(F!Z325=-1,-1,F!AV325)</f>
        <v/>
      </c>
      <c r="J325" s="6"/>
      <c r="K325" s="6" t="str">
        <f>IF(F!AC325=-1,-1,F!AX325)</f>
        <v/>
      </c>
      <c r="L325" s="6"/>
      <c r="M325" s="6" t="str">
        <f>IF(F!AF325=-1,-1,F!AZ325)</f>
        <v/>
      </c>
      <c r="N325" s="6"/>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6" t="str">
        <f t="shared" si="109"/>
        <v/>
      </c>
      <c r="R325" s="5" t="str">
        <f>IF($B325="--","",IF($P325="toetsen",toetsen(F!$B325,Q325),IF($P325="toetsen alleen IW",toetsen_alleen_IW(F!$B325,Q325),IF($P325="toetsen alleen LN",toetsen_alleen_LN(F!$B325,Q325),IF($P325="toetsen geen MV en SV",toetsen_geen_MV_en_SV(F!$B325,Q325),IF($P325="toetsen alleen MV en SV",toetsen_alleen_MV_en_SV(F!$B325,Q325),""))))))</f>
        <v/>
      </c>
      <c r="S325" s="5" t="str">
        <f>IF($P325="toetsen",IF(OR(Q325="",VLOOKUP(F!$B325,E!$B$1:$AK$300,10,FALSE)=1000000000),"",IF(Q325&lt;=VLOOKUP(F!$B325,E!$B$1:$AK$300,10,FALSE),"ja","nee")),"")</f>
        <v/>
      </c>
      <c r="T325" s="87" t="str">
        <f t="shared" si="104"/>
        <v/>
      </c>
      <c r="U325" s="5" t="str">
        <f>IF($D325="--","",IF($P325="toetsen",toetsen(F!$B325,T325),IF($P325="toetsen alleen IW",toetsen_alleen_IW(F!$B325,T325),IF($P325="toetsen alleen LN",toetsen_alleen_LN(F!$B325,T325),IF($P325="toetsen geen MV en SV",toetsen_geen_MV_en_SV(F!$B325,T325),IF($P325="toetsen alleen MV en SV",toetsen_alleen_MV_en_SV(F!$B325,T325),""))))))</f>
        <v/>
      </c>
      <c r="V325" s="5" t="str">
        <f>IF($P325="toetsen",IF(OR(T325="",VLOOKUP(F!$B325,E!$B$1:$AK$300,10,FALSE)=1000000000),"",IF(T325&lt;=VLOOKUP(F!$B325,E!$B$1:$AK$300,10,FALSE),"ja","nee")),"")</f>
        <v/>
      </c>
      <c r="W325" s="6" t="str">
        <f t="shared" si="105"/>
        <v/>
      </c>
      <c r="X325" s="5" t="str">
        <f>IF($F325="--","",IF($P325="toetsen",toetsen(F!$B325,W325),IF($P325="toetsen alleen IW",toetsen_alleen_IW(F!$B325,W325),IF($P325="toetsen alleen LN",toetsen_alleen_LN(F!$B325,W325),IF($P325="toetsen geen MV en SV",toetsen_geen_MV_en_SV(F!$B325,W325),IF($P325="toetsen alleen MV en SV",toetsen_alleen_MV_en_SV(F!$B325,W325),""))))))</f>
        <v/>
      </c>
      <c r="Y325" s="5" t="str">
        <f>IF($P325="toetsen",IF(OR(W325="",VLOOKUP(F!$B325,E!$B$1:$AK$300,10,FALSE)=1000000000),"",IF(W325&lt;=VLOOKUP(F!$B325,E!$B$1:$AK$300,10,FALSE),"ja","nee")),"")</f>
        <v/>
      </c>
      <c r="AA325" s="4" t="str">
        <f>IFERROR(IF(Q325="","",(IF(Q325&gt;2*VLOOKUP(F!$B325,E!$B$1:$AK$300,5,FALSE),1,0))),"")</f>
        <v/>
      </c>
      <c r="AB325" s="4" t="str">
        <f>IFERROR(IF(T325="","",(IF(T325&gt;2*VLOOKUP(F!$B325,E!$B$1:$AK$300,5,FALSE),1,0))),"")</f>
        <v/>
      </c>
      <c r="AC325" s="4" t="str">
        <f>IFERROR(IF(W325="","",(IF(W325&gt;2*VLOOKUP(F!$B325,E!$B$1:$AK$300,5,FALSE),1,0))),"")</f>
        <v/>
      </c>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6" t="str">
        <f t="shared" si="106"/>
        <v>--</v>
      </c>
      <c r="AJ325" s="6"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6" t="str">
        <f t="shared" si="107"/>
        <v>--</v>
      </c>
      <c r="AL325" s="6"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6" t="str">
        <f t="shared" si="108"/>
        <v>--</v>
      </c>
      <c r="AN325" s="6"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6" t="str">
        <f t="shared" si="95"/>
        <v>--</v>
      </c>
      <c r="AQ325" s="6" t="str">
        <f t="shared" si="96"/>
        <v/>
      </c>
      <c r="AR325" s="6" t="str">
        <f t="shared" si="97"/>
        <v>--</v>
      </c>
      <c r="AS325" s="6" t="str">
        <f t="shared" si="98"/>
        <v/>
      </c>
      <c r="AT325" s="6" t="str">
        <f t="shared" si="99"/>
        <v/>
      </c>
      <c r="AU325" s="6" t="str">
        <f>IFERROR(IF(AR325="--","",IF(HLOOKUP(SMALL($Q$4:$Y$4,3),$Q$4:$Y$501,ROW(AP325)-3,FALSE)=0,"",IF(HLOOKUP(SMALL($Q$4:$Y$4,3),$Q$4:$Y$501,ROW(AP325)-3,FALSE)="nee",VLOOKUP("De kwaliteitseis emissiearme grond (maximale concentratie) wordt overschreden.",H!$O$10:'H'!$P$59,2,FALSE),""))),"")</f>
        <v/>
      </c>
      <c r="AV325" s="6" t="str">
        <f t="shared" si="89"/>
        <v>--</v>
      </c>
      <c r="AW325" s="6" t="str">
        <f t="shared" si="90"/>
        <v/>
      </c>
      <c r="AX325" s="6" t="str">
        <f t="shared" si="91"/>
        <v>--</v>
      </c>
      <c r="AY325" s="6" t="str">
        <f t="shared" si="100"/>
        <v/>
      </c>
      <c r="AZ325" s="6" t="str">
        <f t="shared" si="101"/>
        <v/>
      </c>
      <c r="BA325" s="6" t="str">
        <f>IFERROR(IF(AR325="--","",IF(HLOOKUP(SMALL($Q$4:$Y$4,6),$Q$4:$Y$501,ROW(AP325)-3,FALSE)=0,"",IF(HLOOKUP(SMALL($Q$4:$Y$4,6),$Q$4:$Y$501,ROW(AP325)-3,FALSE)="nee",VLOOKUP("De kwaliteitseis emissiearme grond (maximale concentratie) wordt overschreden.",H!$O$10:'H'!$P$59,2,FALSE),""))),"")</f>
        <v/>
      </c>
      <c r="BB325" s="6" t="str">
        <f t="shared" si="92"/>
        <v>--</v>
      </c>
      <c r="BC325" s="6" t="str">
        <f t="shared" si="93"/>
        <v/>
      </c>
      <c r="BD325" s="6" t="str">
        <f t="shared" si="94"/>
        <v>--</v>
      </c>
      <c r="BE325" s="6" t="str">
        <f t="shared" si="102"/>
        <v/>
      </c>
      <c r="BF325" s="6" t="str">
        <f t="shared" si="103"/>
        <v/>
      </c>
      <c r="BG325" s="4" t="str">
        <f>IFERROR(IF(AR325="--","",IF(HLOOKUP(SMALL($Q$4:$Y$4,9),$Q$4:$Y$501,ROW(AP325)-3,FALSE)=0,"",IF(HLOOKUP(SMALL($Q$4:$Y$4,9),$Q$4:$Y$501,ROW(AP325)-3,FALSE)="nee",VLOOKUP("De kwaliteitseis emissiearme grond (maximale concentratie) wordt overschreden.",H!$O$10:'H'!$P$59,2,FALSE),""))),"")</f>
        <v/>
      </c>
    </row>
    <row r="326" spans="1:59" x14ac:dyDescent="0.2">
      <c r="A326" s="4" t="str">
        <f>F!A326</f>
        <v>Thiocyanaten</v>
      </c>
      <c r="B326" s="6" t="str">
        <f>IF(ISNUMBER(F!E326)=FALSE,"--",IF(F!E326=0,"--",F!E326))</f>
        <v>--</v>
      </c>
      <c r="C326" s="6" t="str">
        <f>IF(B326="--","",F!F326)</f>
        <v/>
      </c>
      <c r="D326" s="6" t="str">
        <f>IF(ISNUMBER(F!G326)=FALSE,"--",IF(F!G326=0,"--",F!G326))</f>
        <v>--</v>
      </c>
      <c r="E326" s="6" t="str">
        <f>IF(D326="--","",F!H326)</f>
        <v/>
      </c>
      <c r="F326" s="6" t="str">
        <f>IF(ISNUMBER(F!I326)=FALSE,"--",IF(F!I326=0,"--",F!I326))</f>
        <v>--</v>
      </c>
      <c r="G326" s="6" t="str">
        <f>IF(F326="--","",F!J326)</f>
        <v/>
      </c>
      <c r="H326" s="6"/>
      <c r="I326" s="6" t="str">
        <f>IF(F!Z326=-1,-1,F!AV326)</f>
        <v/>
      </c>
      <c r="J326" s="6"/>
      <c r="K326" s="6" t="str">
        <f>IF(F!AC326=-1,-1,F!AX326)</f>
        <v/>
      </c>
      <c r="L326" s="6"/>
      <c r="M326" s="6" t="str">
        <f>IF(F!AF326=-1,-1,F!AZ326)</f>
        <v/>
      </c>
      <c r="N326" s="6"/>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6" t="str">
        <f t="shared" si="109"/>
        <v/>
      </c>
      <c r="R326" s="5" t="str">
        <f>IF($B326="--","",IF($P326="toetsen",toetsen(F!$B326,Q326),IF($P326="toetsen alleen IW",toetsen_alleen_IW(F!$B326,Q326),IF($P326="toetsen alleen LN",toetsen_alleen_LN(F!$B326,Q326),IF($P326="toetsen geen MV en SV",toetsen_geen_MV_en_SV(F!$B326,Q326),IF($P326="toetsen alleen MV en SV",toetsen_alleen_MV_en_SV(F!$B326,Q326),""))))))</f>
        <v/>
      </c>
      <c r="S326" s="5" t="str">
        <f>IF($P326="toetsen",IF(OR(Q326="",VLOOKUP(F!$B326,E!$B$1:$AK$300,10,FALSE)=1000000000),"",IF(Q326&lt;=VLOOKUP(F!$B326,E!$B$1:$AK$300,10,FALSE),"ja","nee")),"")</f>
        <v/>
      </c>
      <c r="T326" s="87" t="str">
        <f t="shared" si="104"/>
        <v/>
      </c>
      <c r="U326" s="5" t="str">
        <f>IF($D326="--","",IF($P326="toetsen",toetsen(F!$B326,T326),IF($P326="toetsen alleen IW",toetsen_alleen_IW(F!$B326,T326),IF($P326="toetsen alleen LN",toetsen_alleen_LN(F!$B326,T326),IF($P326="toetsen geen MV en SV",toetsen_geen_MV_en_SV(F!$B326,T326),IF($P326="toetsen alleen MV en SV",toetsen_alleen_MV_en_SV(F!$B326,T326),""))))))</f>
        <v/>
      </c>
      <c r="V326" s="5" t="str">
        <f>IF($P326="toetsen",IF(OR(T326="",VLOOKUP(F!$B326,E!$B$1:$AK$300,10,FALSE)=1000000000),"",IF(T326&lt;=VLOOKUP(F!$B326,E!$B$1:$AK$300,10,FALSE),"ja","nee")),"")</f>
        <v/>
      </c>
      <c r="W326" s="6" t="str">
        <f t="shared" si="105"/>
        <v/>
      </c>
      <c r="X326" s="5" t="str">
        <f>IF($F326="--","",IF($P326="toetsen",toetsen(F!$B326,W326),IF($P326="toetsen alleen IW",toetsen_alleen_IW(F!$B326,W326),IF($P326="toetsen alleen LN",toetsen_alleen_LN(F!$B326,W326),IF($P326="toetsen geen MV en SV",toetsen_geen_MV_en_SV(F!$B326,W326),IF($P326="toetsen alleen MV en SV",toetsen_alleen_MV_en_SV(F!$B326,W326),""))))))</f>
        <v/>
      </c>
      <c r="Y326" s="5" t="str">
        <f>IF($P326="toetsen",IF(OR(W326="",VLOOKUP(F!$B326,E!$B$1:$AK$300,10,FALSE)=1000000000),"",IF(W326&lt;=VLOOKUP(F!$B326,E!$B$1:$AK$300,10,FALSE),"ja","nee")),"")</f>
        <v/>
      </c>
      <c r="AA326" s="4" t="str">
        <f>IFERROR(IF(Q326="","",(IF(Q326&gt;2*VLOOKUP(F!$B326,E!$B$1:$AK$300,5,FALSE),1,0))),"")</f>
        <v/>
      </c>
      <c r="AB326" s="4" t="str">
        <f>IFERROR(IF(T326="","",(IF(T326&gt;2*VLOOKUP(F!$B326,E!$B$1:$AK$300,5,FALSE),1,0))),"")</f>
        <v/>
      </c>
      <c r="AC326" s="4" t="str">
        <f>IFERROR(IF(W326="","",(IF(W326&gt;2*VLOOKUP(F!$B326,E!$B$1:$AK$300,5,FALSE),1,0))),"")</f>
        <v/>
      </c>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6" t="str">
        <f t="shared" si="106"/>
        <v>--</v>
      </c>
      <c r="AJ326" s="6"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6" t="str">
        <f t="shared" si="107"/>
        <v>--</v>
      </c>
      <c r="AL326" s="6"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6" t="str">
        <f t="shared" si="108"/>
        <v>--</v>
      </c>
      <c r="AN326" s="6"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6" t="str">
        <f t="shared" si="95"/>
        <v>--</v>
      </c>
      <c r="AQ326" s="6" t="str">
        <f t="shared" si="96"/>
        <v/>
      </c>
      <c r="AR326" s="6" t="str">
        <f t="shared" si="97"/>
        <v>--</v>
      </c>
      <c r="AS326" s="6" t="str">
        <f t="shared" si="98"/>
        <v/>
      </c>
      <c r="AT326" s="6" t="str">
        <f t="shared" si="99"/>
        <v/>
      </c>
      <c r="AU326" s="6" t="str">
        <f>IFERROR(IF(AR326="--","",IF(HLOOKUP(SMALL($Q$4:$Y$4,3),$Q$4:$Y$501,ROW(AP326)-3,FALSE)=0,"",IF(HLOOKUP(SMALL($Q$4:$Y$4,3),$Q$4:$Y$501,ROW(AP326)-3,FALSE)="nee",VLOOKUP("De kwaliteitseis emissiearme grond (maximale concentratie) wordt overschreden.",H!$O$10:'H'!$P$59,2,FALSE),""))),"")</f>
        <v/>
      </c>
      <c r="AV326" s="6" t="str">
        <f t="shared" si="89"/>
        <v>--</v>
      </c>
      <c r="AW326" s="6" t="str">
        <f t="shared" si="90"/>
        <v/>
      </c>
      <c r="AX326" s="6" t="str">
        <f t="shared" si="91"/>
        <v>--</v>
      </c>
      <c r="AY326" s="6" t="str">
        <f t="shared" si="100"/>
        <v/>
      </c>
      <c r="AZ326" s="6" t="str">
        <f t="shared" si="101"/>
        <v/>
      </c>
      <c r="BA326" s="6" t="str">
        <f>IFERROR(IF(AR326="--","",IF(HLOOKUP(SMALL($Q$4:$Y$4,6),$Q$4:$Y$501,ROW(AP326)-3,FALSE)=0,"",IF(HLOOKUP(SMALL($Q$4:$Y$4,6),$Q$4:$Y$501,ROW(AP326)-3,FALSE)="nee",VLOOKUP("De kwaliteitseis emissiearme grond (maximale concentratie) wordt overschreden.",H!$O$10:'H'!$P$59,2,FALSE),""))),"")</f>
        <v/>
      </c>
      <c r="BB326" s="6" t="str">
        <f t="shared" si="92"/>
        <v>--</v>
      </c>
      <c r="BC326" s="6" t="str">
        <f t="shared" si="93"/>
        <v/>
      </c>
      <c r="BD326" s="6" t="str">
        <f t="shared" si="94"/>
        <v>--</v>
      </c>
      <c r="BE326" s="6" t="str">
        <f t="shared" si="102"/>
        <v/>
      </c>
      <c r="BF326" s="6" t="str">
        <f t="shared" si="103"/>
        <v/>
      </c>
      <c r="BG326" s="4" t="str">
        <f>IFERROR(IF(AR326="--","",IF(HLOOKUP(SMALL($Q$4:$Y$4,9),$Q$4:$Y$501,ROW(AP326)-3,FALSE)=0,"",IF(HLOOKUP(SMALL($Q$4:$Y$4,9),$Q$4:$Y$501,ROW(AP326)-3,FALSE)="nee",VLOOKUP("De kwaliteitseis emissiearme grond (maximale concentratie) wordt overschreden.",H!$O$10:'H'!$P$59,2,FALSE),""))),"")</f>
        <v/>
      </c>
    </row>
    <row r="327" spans="1:59" x14ac:dyDescent="0.2">
      <c r="A327" s="4" t="str">
        <f>F!A327</f>
        <v>PFBA</v>
      </c>
      <c r="B327" s="6">
        <f>IF(ISNUMBER(F!E327)=FALSE,"--",IF(F!E327=0,"--",F!E327))</f>
        <v>0.1</v>
      </c>
      <c r="C327" s="6" t="str">
        <f>IF(B327="--","",F!F327)</f>
        <v>&lt;</v>
      </c>
      <c r="D327" s="6">
        <f>IF(ISNUMBER(F!G327)=FALSE,"--",IF(F!G327=0,"--",F!G327))</f>
        <v>0.1</v>
      </c>
      <c r="E327" s="6" t="str">
        <f>IF(D327="--","",F!H327)</f>
        <v>&lt;</v>
      </c>
      <c r="F327" s="6">
        <f>IF(ISNUMBER(F!I327)=FALSE,"--",IF(F!I327=0,"--",F!I327))</f>
        <v>0.1</v>
      </c>
      <c r="G327" s="6" t="str">
        <f>IF(F327="--","",F!J327)</f>
        <v>&lt;</v>
      </c>
      <c r="H327" s="6"/>
      <c r="I327" s="16">
        <f>IF(F!Z327=0,-1,F!AV327)</f>
        <v>-1</v>
      </c>
      <c r="J327" s="6"/>
      <c r="K327" s="16">
        <f>IF(F!AC327=0,-1,F!AX327)</f>
        <v>-1</v>
      </c>
      <c r="L327" s="6"/>
      <c r="M327" s="16">
        <f>IF(F!AF327=0,-1,F!AZ327)</f>
        <v>-1</v>
      </c>
      <c r="N327" s="6"/>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6">
        <f t="shared" si="109"/>
        <v>-1</v>
      </c>
      <c r="R327" s="5" t="str">
        <f>IF($B327="--","",IF($P327="toetsen",toetsen(F!$B327,Q327),IF($P327="toetsen alleen IW",toetsen_alleen_IW(F!$B327,Q327),IF($P327="toetsen alleen LN",toetsen_alleen_LN(F!$B327,Q327),IF($P327="toetsen geen MV en SV",toetsen_geen_MV_en_SV(F!$B327,Q327),IF($P327="toetsen alleen MV en SV",toetsen_alleen_MV_en_SV(F!$B327,Q327),""))))))</f>
        <v>-</v>
      </c>
      <c r="S327" s="5" t="str">
        <f>IF($P327="toetsen",IF(OR(Q327="",VLOOKUP(F!$B327,E!$B$1:$AK$300,10,FALSE)=1000000000),"",IF(Q327&lt;=VLOOKUP(F!$B327,E!$B$1:$AK$300,10,FALSE),"ja","nee")),"")</f>
        <v>ja</v>
      </c>
      <c r="T327" s="87">
        <f t="shared" si="104"/>
        <v>-1</v>
      </c>
      <c r="U327" s="5" t="str">
        <f>IF($D327="--","",IF($P327="toetsen",toetsen(F!$B327,T327),IF($P327="toetsen alleen IW",toetsen_alleen_IW(F!$B327,T327),IF($P327="toetsen alleen LN",toetsen_alleen_LN(F!$B327,T327),IF($P327="toetsen geen MV en SV",toetsen_geen_MV_en_SV(F!$B327,T327),IF($P327="toetsen alleen MV en SV",toetsen_alleen_MV_en_SV(F!$B327,T327),""))))))</f>
        <v>-</v>
      </c>
      <c r="V327" s="5" t="str">
        <f>IF($P327="toetsen",IF(OR(T327="",VLOOKUP(F!$B327,E!$B$1:$AK$300,10,FALSE)=1000000000),"",IF(T327&lt;=VLOOKUP(F!$B327,E!$B$1:$AK$300,10,FALSE),"ja","nee")),"")</f>
        <v>ja</v>
      </c>
      <c r="W327" s="6">
        <f t="shared" si="105"/>
        <v>-1</v>
      </c>
      <c r="X327" s="5" t="str">
        <f>IF($F327="--","",IF($P327="toetsen",toetsen(F!$B327,W327),IF($P327="toetsen alleen IW",toetsen_alleen_IW(F!$B327,W327),IF($P327="toetsen alleen LN",toetsen_alleen_LN(F!$B327,W327),IF($P327="toetsen geen MV en SV",toetsen_geen_MV_en_SV(F!$B327,W327),IF($P327="toetsen alleen MV en SV",toetsen_alleen_MV_en_SV(F!$B327,W327),""))))))</f>
        <v>-</v>
      </c>
      <c r="Y327" s="5" t="str">
        <f>IF($P327="toetsen",IF(OR(W327="",VLOOKUP(F!$B327,E!$B$1:$AK$300,10,FALSE)=1000000000),"",IF(W327&lt;=VLOOKUP(F!$B327,E!$B$1:$AK$300,10,FALSE),"ja","nee")),"")</f>
        <v>ja</v>
      </c>
      <c r="AA327" s="4">
        <f>IFERROR(IF(Q327="","",(IF(Q327&gt;2*VLOOKUP(F!$B327,E!$B$1:$AK$300,5,FALSE),1,0))),"")</f>
        <v>0</v>
      </c>
      <c r="AB327" s="4">
        <f>IFERROR(IF(T327="","",(IF(T327&gt;2*VLOOKUP(F!$B327,E!$B$1:$AK$300,5,FALSE),1,0))),"")</f>
        <v>0</v>
      </c>
      <c r="AC327" s="4">
        <f>IFERROR(IF(W327="","",(IF(W327&gt;2*VLOOKUP(F!$B327,E!$B$1:$AK$300,5,FALSE),1,0))),"")</f>
        <v>0</v>
      </c>
      <c r="AE327" s="4">
        <f>IFERROR(IF(Q327="","",(IF(Q327&gt;VLOOKUP(F!$B327,E!$B$1:$AK$300,6,FALSE)+VLOOKUP(F!$B327,E!$B$1:$AK$300,5,FALSE),1,0))),"")</f>
        <v>0</v>
      </c>
      <c r="AF327" s="4">
        <f>IFERROR(IF(T327="","",(IF(T327&gt;VLOOKUP(F!$B327,E!$B$1:$AK$300,6,FALSE)+VLOOKUP(F!$B327,E!$B$1:$AK$300,5,FALSE),1,0))),"")</f>
        <v>0</v>
      </c>
      <c r="AG327" s="4">
        <f>IFERROR(IF(W327="","",(IF(W327&gt;VLOOKUP(F!$B327,E!$B$1:$AK$300,6,FALSE)+VLOOKUP(F!$B327,E!$B$1:$AK$300,5,FALSE),1,0))),"")</f>
        <v>0</v>
      </c>
      <c r="AI327" s="6" t="str">
        <f t="shared" si="106"/>
        <v>0,10</v>
      </c>
      <c r="AJ327" s="6"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rg</v>
      </c>
      <c r="AK327" s="6" t="str">
        <f t="shared" si="107"/>
        <v>0,10</v>
      </c>
      <c r="AL327" s="6"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rg</v>
      </c>
      <c r="AM327" s="6" t="str">
        <f t="shared" si="108"/>
        <v>0,10</v>
      </c>
      <c r="AN327" s="6"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rg</v>
      </c>
      <c r="AP327" s="6" t="str">
        <f t="shared" si="95"/>
        <v>0,10</v>
      </c>
      <c r="AQ327" s="6" t="str">
        <f t="shared" si="96"/>
        <v>&lt;</v>
      </c>
      <c r="AR327" s="6" t="str">
        <f t="shared" si="97"/>
        <v>rg</v>
      </c>
      <c r="AS327" s="6" t="str">
        <f t="shared" si="98"/>
        <v>&lt;</v>
      </c>
      <c r="AT327" s="6" t="str">
        <f t="shared" si="99"/>
        <v>-</v>
      </c>
      <c r="AU327" s="6" t="str">
        <f>IFERROR(IF(AR327="--","",IF(HLOOKUP(SMALL($Q$4:$Y$4,3),$Q$4:$Y$501,ROW(AP327)-3,FALSE)=0,"",IF(HLOOKUP(SMALL($Q$4:$Y$4,3),$Q$4:$Y$501,ROW(AP327)-3,FALSE)="nee",VLOOKUP("De kwaliteitseis emissiearme grond (maximale concentratie) wordt overschreden.",H!$O$10:'H'!$P$59,2,FALSE),""))),"")</f>
        <v/>
      </c>
      <c r="AV327" s="6" t="str">
        <f t="shared" ref="AV327:AV373" si="110">HLOOKUP(SMALL($AI$4:$AN$4,3),$AI$4:$AN$501,ROW(AP327)-3,FALSE)</f>
        <v>0,10</v>
      </c>
      <c r="AW327" s="6" t="str">
        <f t="shared" ref="AW327:AW368" si="111">IF(HLOOKUP(SMALL($C$4:$G$4,2),$C$4:$G$501,ROW(AP327)-3,FALSE)="&lt;","&lt;","")</f>
        <v>&lt;</v>
      </c>
      <c r="AX327" s="6" t="str">
        <f t="shared" ref="AX327:AX368" si="112">HLOOKUP(SMALL($AI$4:$AN$4,4),$AI$4:$AN$501,ROW(AP327)-3,FALSE)</f>
        <v>rg</v>
      </c>
      <c r="AY327" s="6" t="str">
        <f t="shared" si="100"/>
        <v>&lt;</v>
      </c>
      <c r="AZ327" s="6" t="str">
        <f t="shared" si="101"/>
        <v>-</v>
      </c>
      <c r="BA327" s="6" t="str">
        <f>IFERROR(IF(AR327="--","",IF(HLOOKUP(SMALL($Q$4:$Y$4,6),$Q$4:$Y$501,ROW(AP327)-3,FALSE)=0,"",IF(HLOOKUP(SMALL($Q$4:$Y$4,6),$Q$4:$Y$501,ROW(AP327)-3,FALSE)="nee",VLOOKUP("De kwaliteitseis emissiearme grond (maximale concentratie) wordt overschreden.",H!$O$10:'H'!$P$59,2,FALSE),""))),"")</f>
        <v/>
      </c>
      <c r="BB327" s="6" t="str">
        <f t="shared" ref="BB327:BB373" si="113">HLOOKUP(SMALL($AI$4:$AN$4,5),$AI$4:$AN$501,ROW(AP327)-3,FALSE)</f>
        <v>0,10</v>
      </c>
      <c r="BC327" s="6" t="str">
        <f t="shared" ref="BC327:BC368" si="114">IF(HLOOKUP(SMALL($C$4:$G$4,3),$C$4:$G$501,ROW(AP327)-3,FALSE)="&lt;","&lt;","")</f>
        <v>&lt;</v>
      </c>
      <c r="BD327" s="6" t="str">
        <f t="shared" ref="BD327:BD368" si="115">HLOOKUP(SMALL($AI$4:$AN$4,6),$AI$4:$AN$501,ROW(AP327)-3,FALSE)</f>
        <v>rg</v>
      </c>
      <c r="BE327" s="6" t="str">
        <f t="shared" si="102"/>
        <v>&lt;</v>
      </c>
      <c r="BF327" s="6" t="str">
        <f t="shared" si="103"/>
        <v>-</v>
      </c>
      <c r="BG327" s="4" t="str">
        <f>IFERROR(IF(AR327="--","",IF(HLOOKUP(SMALL($Q$4:$Y$4,9),$Q$4:$Y$501,ROW(AP327)-3,FALSE)=0,"",IF(HLOOKUP(SMALL($Q$4:$Y$4,9),$Q$4:$Y$501,ROW(AP327)-3,FALSE)="nee",VLOOKUP("De kwaliteitseis emissiearme grond (maximale concentratie) wordt overschreden.",H!$O$10:'H'!$P$59,2,FALSE),""))),"")</f>
        <v/>
      </c>
    </row>
    <row r="328" spans="1:59" x14ac:dyDescent="0.2">
      <c r="A328" s="4" t="str">
        <f>F!A328</f>
        <v>PFPeA</v>
      </c>
      <c r="B328" s="6">
        <f>IF(ISNUMBER(F!E328)=FALSE,"--",IF(F!E328=0,"--",F!E328))</f>
        <v>0.1</v>
      </c>
      <c r="C328" s="6" t="str">
        <f>IF(B328="--","",F!F328)</f>
        <v>&lt;</v>
      </c>
      <c r="D328" s="6">
        <f>IF(ISNUMBER(F!G328)=FALSE,"--",IF(F!G328=0,"--",F!G328))</f>
        <v>0.1</v>
      </c>
      <c r="E328" s="6" t="str">
        <f>IF(D328="--","",F!H328)</f>
        <v>&lt;</v>
      </c>
      <c r="F328" s="6">
        <f>IF(ISNUMBER(F!I328)=FALSE,"--",IF(F!I328=0,"--",F!I328))</f>
        <v>0.1</v>
      </c>
      <c r="G328" s="6" t="str">
        <f>IF(F328="--","",F!J328)</f>
        <v>&lt;</v>
      </c>
      <c r="H328" s="6"/>
      <c r="I328" s="16">
        <f>IF(F!Z328=0,-1,F!AV328)</f>
        <v>-1</v>
      </c>
      <c r="J328" s="6"/>
      <c r="K328" s="16">
        <f>IF(F!AC328=0,-1,F!AX328)</f>
        <v>-1</v>
      </c>
      <c r="L328" s="6"/>
      <c r="M328" s="16">
        <f>IF(F!AF328=0,-1,F!AZ328)</f>
        <v>-1</v>
      </c>
      <c r="N328" s="6"/>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6">
        <f t="shared" si="109"/>
        <v>-1</v>
      </c>
      <c r="R328" s="5" t="str">
        <f>IF($B328="--","",IF($P328="toetsen",toetsen(F!$B328,Q328),IF($P328="toetsen alleen IW",toetsen_alleen_IW(F!$B328,Q328),IF($P328="toetsen alleen LN",toetsen_alleen_LN(F!$B328,Q328),IF($P328="toetsen geen MV en SV",toetsen_geen_MV_en_SV(F!$B328,Q328),IF($P328="toetsen alleen MV en SV",toetsen_alleen_MV_en_SV(F!$B328,Q328),""))))))</f>
        <v>-</v>
      </c>
      <c r="S328" s="5" t="str">
        <f>IF($P328="toetsen",IF(OR(Q328="",VLOOKUP(F!$B328,E!$B$1:$AK$300,10,FALSE)=1000000000),"",IF(Q328&lt;=VLOOKUP(F!$B328,E!$B$1:$AK$300,10,FALSE),"ja","nee")),"")</f>
        <v>ja</v>
      </c>
      <c r="T328" s="87">
        <f t="shared" si="104"/>
        <v>-1</v>
      </c>
      <c r="U328" s="5" t="str">
        <f>IF($D328="--","",IF($P328="toetsen",toetsen(F!$B328,T328),IF($P328="toetsen alleen IW",toetsen_alleen_IW(F!$B328,T328),IF($P328="toetsen alleen LN",toetsen_alleen_LN(F!$B328,T328),IF($P328="toetsen geen MV en SV",toetsen_geen_MV_en_SV(F!$B328,T328),IF($P328="toetsen alleen MV en SV",toetsen_alleen_MV_en_SV(F!$B328,T328),""))))))</f>
        <v>-</v>
      </c>
      <c r="V328" s="5" t="str">
        <f>IF($P328="toetsen",IF(OR(T328="",VLOOKUP(F!$B328,E!$B$1:$AK$300,10,FALSE)=1000000000),"",IF(T328&lt;=VLOOKUP(F!$B328,E!$B$1:$AK$300,10,FALSE),"ja","nee")),"")</f>
        <v>ja</v>
      </c>
      <c r="W328" s="6">
        <f t="shared" si="105"/>
        <v>-1</v>
      </c>
      <c r="X328" s="5" t="str">
        <f>IF($F328="--","",IF($P328="toetsen",toetsen(F!$B328,W328),IF($P328="toetsen alleen IW",toetsen_alleen_IW(F!$B328,W328),IF($P328="toetsen alleen LN",toetsen_alleen_LN(F!$B328,W328),IF($P328="toetsen geen MV en SV",toetsen_geen_MV_en_SV(F!$B328,W328),IF($P328="toetsen alleen MV en SV",toetsen_alleen_MV_en_SV(F!$B328,W328),""))))))</f>
        <v>-</v>
      </c>
      <c r="Y328" s="5" t="str">
        <f>IF($P328="toetsen",IF(OR(W328="",VLOOKUP(F!$B328,E!$B$1:$AK$300,10,FALSE)=1000000000),"",IF(W328&lt;=VLOOKUP(F!$B328,E!$B$1:$AK$300,10,FALSE),"ja","nee")),"")</f>
        <v>ja</v>
      </c>
      <c r="AA328" s="4">
        <f>IFERROR(IF(Q328="","",(IF(Q328&gt;2*VLOOKUP(F!$B328,E!$B$1:$AK$300,5,FALSE),1,0))),"")</f>
        <v>0</v>
      </c>
      <c r="AB328" s="4">
        <f>IFERROR(IF(T328="","",(IF(T328&gt;2*VLOOKUP(F!$B328,E!$B$1:$AK$300,5,FALSE),1,0))),"")</f>
        <v>0</v>
      </c>
      <c r="AC328" s="4">
        <f>IFERROR(IF(W328="","",(IF(W328&gt;2*VLOOKUP(F!$B328,E!$B$1:$AK$300,5,FALSE),1,0))),"")</f>
        <v>0</v>
      </c>
      <c r="AE328" s="4">
        <f>IFERROR(IF(Q328="","",(IF(Q328&gt;VLOOKUP(F!$B328,E!$B$1:$AK$300,6,FALSE)+VLOOKUP(F!$B328,E!$B$1:$AK$300,5,FALSE),1,0))),"")</f>
        <v>0</v>
      </c>
      <c r="AF328" s="4">
        <f>IFERROR(IF(T328="","",(IF(T328&gt;VLOOKUP(F!$B328,E!$B$1:$AK$300,6,FALSE)+VLOOKUP(F!$B328,E!$B$1:$AK$300,5,FALSE),1,0))),"")</f>
        <v>0</v>
      </c>
      <c r="AG328" s="4">
        <f>IFERROR(IF(W328="","",(IF(W328&gt;VLOOKUP(F!$B328,E!$B$1:$AK$300,6,FALSE)+VLOOKUP(F!$B328,E!$B$1:$AK$300,5,FALSE),1,0))),"")</f>
        <v>0</v>
      </c>
      <c r="AI328" s="6" t="str">
        <f t="shared" si="106"/>
        <v>0,10</v>
      </c>
      <c r="AJ328" s="6"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rg</v>
      </c>
      <c r="AK328" s="6" t="str">
        <f t="shared" si="107"/>
        <v>0,10</v>
      </c>
      <c r="AL328" s="6"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rg</v>
      </c>
      <c r="AM328" s="6" t="str">
        <f t="shared" si="108"/>
        <v>0,10</v>
      </c>
      <c r="AN328" s="6"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rg</v>
      </c>
      <c r="AP328" s="6" t="str">
        <f t="shared" ref="AP328:AP373" si="116">HLOOKUP(SMALL($AI$4:$AN$4,1),$AI$4:$AN$501,ROW(AP328)-3,FALSE)</f>
        <v>0,10</v>
      </c>
      <c r="AQ328" s="6" t="str">
        <f t="shared" ref="AQ328:AQ368" si="117">IF(HLOOKUP(SMALL($C$4:$G$4,1),$C$4:$G$501,ROW(AP328)-3,FALSE)="&lt;","&lt;","")</f>
        <v>&lt;</v>
      </c>
      <c r="AR328" s="6" t="str">
        <f t="shared" ref="AR328:AR368" si="118">HLOOKUP(SMALL($AI$4:$AN$4,2),$AI$4:$AN$501,ROW(AP328)-3,FALSE)</f>
        <v>rg</v>
      </c>
      <c r="AS328" s="6" t="str">
        <f t="shared" ref="AS328:AS368" si="119">IF(AR328="rg","&lt;","")</f>
        <v>&lt;</v>
      </c>
      <c r="AT328" s="6" t="str">
        <f t="shared" ref="AT328:AT368" si="120">IF(AR328="--","",IF(HLOOKUP(SMALL($Q$4:$Y$4,2),$Q$4:$Y$501,ROW(AP328)-3,FALSE)=0,"",HLOOKUP(SMALL($Q$4:$Y$4,2),$Q$4:$Y$501,ROW(AP328)-3,FALSE)))</f>
        <v>-</v>
      </c>
      <c r="AU328" s="6" t="str">
        <f>IFERROR(IF(AR328="--","",IF(HLOOKUP(SMALL($Q$4:$Y$4,3),$Q$4:$Y$501,ROW(AP328)-3,FALSE)=0,"",IF(HLOOKUP(SMALL($Q$4:$Y$4,3),$Q$4:$Y$501,ROW(AP328)-3,FALSE)="nee",VLOOKUP("De kwaliteitseis emissiearme grond (maximale concentratie) wordt overschreden.",H!$O$10:'H'!$P$59,2,FALSE),""))),"")</f>
        <v/>
      </c>
      <c r="AV328" s="6" t="str">
        <f t="shared" si="110"/>
        <v>0,10</v>
      </c>
      <c r="AW328" s="6" t="str">
        <f t="shared" si="111"/>
        <v>&lt;</v>
      </c>
      <c r="AX328" s="6" t="str">
        <f t="shared" si="112"/>
        <v>rg</v>
      </c>
      <c r="AY328" s="6" t="str">
        <f t="shared" ref="AY328:AY368" si="121">IF(AX328="rg","&lt;","")</f>
        <v>&lt;</v>
      </c>
      <c r="AZ328" s="6" t="str">
        <f t="shared" ref="AZ328:AZ368" si="122">IF(AX328="--","",IF(HLOOKUP(SMALL($Q$4:$Y$4,5),$Q$4:$Y$501,ROW(AP328)-3,FALSE)=0,"",HLOOKUP(SMALL($Q$4:$Y$4,5),$Q$4:$Y$501,ROW(AP328)-3,FALSE)))</f>
        <v>-</v>
      </c>
      <c r="BA328" s="6" t="str">
        <f>IFERROR(IF(AR328="--","",IF(HLOOKUP(SMALL($Q$4:$Y$4,6),$Q$4:$Y$501,ROW(AP328)-3,FALSE)=0,"",IF(HLOOKUP(SMALL($Q$4:$Y$4,6),$Q$4:$Y$501,ROW(AP328)-3,FALSE)="nee",VLOOKUP("De kwaliteitseis emissiearme grond (maximale concentratie) wordt overschreden.",H!$O$10:'H'!$P$59,2,FALSE),""))),"")</f>
        <v/>
      </c>
      <c r="BB328" s="6" t="str">
        <f t="shared" si="113"/>
        <v>0,10</v>
      </c>
      <c r="BC328" s="6" t="str">
        <f t="shared" si="114"/>
        <v>&lt;</v>
      </c>
      <c r="BD328" s="6" t="str">
        <f t="shared" si="115"/>
        <v>rg</v>
      </c>
      <c r="BE328" s="6" t="str">
        <f t="shared" ref="BE328:BE368" si="123">IF(BD328="rg","&lt;","")</f>
        <v>&lt;</v>
      </c>
      <c r="BF328" s="6" t="str">
        <f t="shared" ref="BF328:BF368" si="124">IF(BD328="--","",IF(HLOOKUP(SMALL($Q$4:$Y$4,8),$Q$4:$Y$501,ROW(AP328)-3,FALSE)=0,"",HLOOKUP(SMALL($Q$4:$Y$4,8),$Q$4:$Y$501,ROW(AP328)-3,FALSE)))</f>
        <v>-</v>
      </c>
      <c r="BG328" s="4" t="str">
        <f>IFERROR(IF(AR328="--","",IF(HLOOKUP(SMALL($Q$4:$Y$4,9),$Q$4:$Y$501,ROW(AP328)-3,FALSE)=0,"",IF(HLOOKUP(SMALL($Q$4:$Y$4,9),$Q$4:$Y$501,ROW(AP328)-3,FALSE)="nee",VLOOKUP("De kwaliteitseis emissiearme grond (maximale concentratie) wordt overschreden.",H!$O$10:'H'!$P$59,2,FALSE),""))),"")</f>
        <v/>
      </c>
    </row>
    <row r="329" spans="1:59" x14ac:dyDescent="0.2">
      <c r="A329" s="4" t="str">
        <f>F!A329</f>
        <v>PFHxA</v>
      </c>
      <c r="B329" s="6">
        <f>IF(ISNUMBER(F!E329)=FALSE,"--",IF(F!E329=0,"--",F!E329))</f>
        <v>0.1</v>
      </c>
      <c r="C329" s="6" t="str">
        <f>IF(B329="--","",F!F329)</f>
        <v>&lt;</v>
      </c>
      <c r="D329" s="6">
        <f>IF(ISNUMBER(F!G329)=FALSE,"--",IF(F!G329=0,"--",F!G329))</f>
        <v>0.1</v>
      </c>
      <c r="E329" s="6" t="str">
        <f>IF(D329="--","",F!H329)</f>
        <v>&lt;</v>
      </c>
      <c r="F329" s="6">
        <f>IF(ISNUMBER(F!I329)=FALSE,"--",IF(F!I329=0,"--",F!I329))</f>
        <v>0.1</v>
      </c>
      <c r="G329" s="6" t="str">
        <f>IF(F329="--","",F!J329)</f>
        <v>&lt;</v>
      </c>
      <c r="H329" s="6"/>
      <c r="I329" s="16">
        <f>IF(F!Z329=0,-1,F!AV329)</f>
        <v>-1</v>
      </c>
      <c r="J329" s="6"/>
      <c r="K329" s="16">
        <f>IF(F!AC329=0,-1,F!AX329)</f>
        <v>-1</v>
      </c>
      <c r="L329" s="6"/>
      <c r="M329" s="16">
        <f>IF(F!AF329=0,-1,F!AZ329)</f>
        <v>-1</v>
      </c>
      <c r="N329" s="6"/>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6">
        <f t="shared" si="109"/>
        <v>-1</v>
      </c>
      <c r="R329" s="5" t="str">
        <f>IF($B329="--","",IF($P329="toetsen",toetsen(F!$B329,Q329),IF($P329="toetsen alleen IW",toetsen_alleen_IW(F!$B329,Q329),IF($P329="toetsen alleen LN",toetsen_alleen_LN(F!$B329,Q329),IF($P329="toetsen geen MV en SV",toetsen_geen_MV_en_SV(F!$B329,Q329),IF($P329="toetsen alleen MV en SV",toetsen_alleen_MV_en_SV(F!$B329,Q329),""))))))</f>
        <v>-</v>
      </c>
      <c r="S329" s="5" t="str">
        <f>IF($P329="toetsen",IF(OR(Q329="",VLOOKUP(F!$B329,E!$B$1:$AK$300,10,FALSE)=1000000000),"",IF(Q329&lt;=VLOOKUP(F!$B329,E!$B$1:$AK$300,10,FALSE),"ja","nee")),"")</f>
        <v>ja</v>
      </c>
      <c r="T329" s="87">
        <f t="shared" si="104"/>
        <v>-1</v>
      </c>
      <c r="U329" s="5" t="str">
        <f>IF($D329="--","",IF($P329="toetsen",toetsen(F!$B329,T329),IF($P329="toetsen alleen IW",toetsen_alleen_IW(F!$B329,T329),IF($P329="toetsen alleen LN",toetsen_alleen_LN(F!$B329,T329),IF($P329="toetsen geen MV en SV",toetsen_geen_MV_en_SV(F!$B329,T329),IF($P329="toetsen alleen MV en SV",toetsen_alleen_MV_en_SV(F!$B329,T329),""))))))</f>
        <v>-</v>
      </c>
      <c r="V329" s="5" t="str">
        <f>IF($P329="toetsen",IF(OR(T329="",VLOOKUP(F!$B329,E!$B$1:$AK$300,10,FALSE)=1000000000),"",IF(T329&lt;=VLOOKUP(F!$B329,E!$B$1:$AK$300,10,FALSE),"ja","nee")),"")</f>
        <v>ja</v>
      </c>
      <c r="W329" s="6">
        <f t="shared" si="105"/>
        <v>-1</v>
      </c>
      <c r="X329" s="5" t="str">
        <f>IF($F329="--","",IF($P329="toetsen",toetsen(F!$B329,W329),IF($P329="toetsen alleen IW",toetsen_alleen_IW(F!$B329,W329),IF($P329="toetsen alleen LN",toetsen_alleen_LN(F!$B329,W329),IF($P329="toetsen geen MV en SV",toetsen_geen_MV_en_SV(F!$B329,W329),IF($P329="toetsen alleen MV en SV",toetsen_alleen_MV_en_SV(F!$B329,W329),""))))))</f>
        <v>-</v>
      </c>
      <c r="Y329" s="5" t="str">
        <f>IF($P329="toetsen",IF(OR(W329="",VLOOKUP(F!$B329,E!$B$1:$AK$300,10,FALSE)=1000000000),"",IF(W329&lt;=VLOOKUP(F!$B329,E!$B$1:$AK$300,10,FALSE),"ja","nee")),"")</f>
        <v>ja</v>
      </c>
      <c r="AA329" s="4">
        <f>IFERROR(IF(Q329="","",(IF(Q329&gt;2*VLOOKUP(F!$B329,E!$B$1:$AK$300,5,FALSE),1,0))),"")</f>
        <v>0</v>
      </c>
      <c r="AB329" s="4">
        <f>IFERROR(IF(T329="","",(IF(T329&gt;2*VLOOKUP(F!$B329,E!$B$1:$AK$300,5,FALSE),1,0))),"")</f>
        <v>0</v>
      </c>
      <c r="AC329" s="4">
        <f>IFERROR(IF(W329="","",(IF(W329&gt;2*VLOOKUP(F!$B329,E!$B$1:$AK$300,5,FALSE),1,0))),"")</f>
        <v>0</v>
      </c>
      <c r="AE329" s="4">
        <f>IFERROR(IF(Q329="","",(IF(Q329&gt;VLOOKUP(F!$B329,E!$B$1:$AK$300,6,FALSE)+VLOOKUP(F!$B329,E!$B$1:$AK$300,5,FALSE),1,0))),"")</f>
        <v>0</v>
      </c>
      <c r="AF329" s="4">
        <f>IFERROR(IF(T329="","",(IF(T329&gt;VLOOKUP(F!$B329,E!$B$1:$AK$300,6,FALSE)+VLOOKUP(F!$B329,E!$B$1:$AK$300,5,FALSE),1,0))),"")</f>
        <v>0</v>
      </c>
      <c r="AG329" s="4">
        <f>IFERROR(IF(W329="","",(IF(W329&gt;VLOOKUP(F!$B329,E!$B$1:$AK$300,6,FALSE)+VLOOKUP(F!$B329,E!$B$1:$AK$300,5,FALSE),1,0))),"")</f>
        <v>0</v>
      </c>
      <c r="AI329" s="6" t="str">
        <f t="shared" si="106"/>
        <v>0,10</v>
      </c>
      <c r="AJ329" s="6"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rg</v>
      </c>
      <c r="AK329" s="6" t="str">
        <f t="shared" si="107"/>
        <v>0,10</v>
      </c>
      <c r="AL329" s="6"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rg</v>
      </c>
      <c r="AM329" s="6" t="str">
        <f t="shared" si="108"/>
        <v>0,10</v>
      </c>
      <c r="AN329" s="6"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rg</v>
      </c>
      <c r="AP329" s="6" t="str">
        <f t="shared" si="116"/>
        <v>0,10</v>
      </c>
      <c r="AQ329" s="6" t="str">
        <f t="shared" si="117"/>
        <v>&lt;</v>
      </c>
      <c r="AR329" s="6" t="str">
        <f t="shared" si="118"/>
        <v>rg</v>
      </c>
      <c r="AS329" s="6" t="str">
        <f t="shared" si="119"/>
        <v>&lt;</v>
      </c>
      <c r="AT329" s="6" t="str">
        <f t="shared" si="120"/>
        <v>-</v>
      </c>
      <c r="AU329" s="6" t="str">
        <f>IFERROR(IF(AR329="--","",IF(HLOOKUP(SMALL($Q$4:$Y$4,3),$Q$4:$Y$501,ROW(AP329)-3,FALSE)=0,"",IF(HLOOKUP(SMALL($Q$4:$Y$4,3),$Q$4:$Y$501,ROW(AP329)-3,FALSE)="nee",VLOOKUP("De kwaliteitseis emissiearme grond (maximale concentratie) wordt overschreden.",H!$O$10:'H'!$P$59,2,FALSE),""))),"")</f>
        <v/>
      </c>
      <c r="AV329" s="6" t="str">
        <f t="shared" si="110"/>
        <v>0,10</v>
      </c>
      <c r="AW329" s="6" t="str">
        <f t="shared" si="111"/>
        <v>&lt;</v>
      </c>
      <c r="AX329" s="6" t="str">
        <f t="shared" si="112"/>
        <v>rg</v>
      </c>
      <c r="AY329" s="6" t="str">
        <f t="shared" si="121"/>
        <v>&lt;</v>
      </c>
      <c r="AZ329" s="6" t="str">
        <f t="shared" si="122"/>
        <v>-</v>
      </c>
      <c r="BA329" s="6" t="str">
        <f>IFERROR(IF(AR329="--","",IF(HLOOKUP(SMALL($Q$4:$Y$4,6),$Q$4:$Y$501,ROW(AP329)-3,FALSE)=0,"",IF(HLOOKUP(SMALL($Q$4:$Y$4,6),$Q$4:$Y$501,ROW(AP329)-3,FALSE)="nee",VLOOKUP("De kwaliteitseis emissiearme grond (maximale concentratie) wordt overschreden.",H!$O$10:'H'!$P$59,2,FALSE),""))),"")</f>
        <v/>
      </c>
      <c r="BB329" s="6" t="str">
        <f t="shared" si="113"/>
        <v>0,10</v>
      </c>
      <c r="BC329" s="6" t="str">
        <f t="shared" si="114"/>
        <v>&lt;</v>
      </c>
      <c r="BD329" s="6" t="str">
        <f t="shared" si="115"/>
        <v>rg</v>
      </c>
      <c r="BE329" s="6" t="str">
        <f t="shared" si="123"/>
        <v>&lt;</v>
      </c>
      <c r="BF329" s="6" t="str">
        <f t="shared" si="124"/>
        <v>-</v>
      </c>
      <c r="BG329" s="4" t="str">
        <f>IFERROR(IF(AR329="--","",IF(HLOOKUP(SMALL($Q$4:$Y$4,9),$Q$4:$Y$501,ROW(AP329)-3,FALSE)=0,"",IF(HLOOKUP(SMALL($Q$4:$Y$4,9),$Q$4:$Y$501,ROW(AP329)-3,FALSE)="nee",VLOOKUP("De kwaliteitseis emissiearme grond (maximale concentratie) wordt overschreden.",H!$O$10:'H'!$P$59,2,FALSE),""))),"")</f>
        <v/>
      </c>
    </row>
    <row r="330" spans="1:59" x14ac:dyDescent="0.2">
      <c r="A330" s="4" t="str">
        <f>F!A330</f>
        <v>PFHpA</v>
      </c>
      <c r="B330" s="6">
        <f>IF(ISNUMBER(F!E330)=FALSE,"--",IF(F!E330=0,"--",F!E330))</f>
        <v>0.1</v>
      </c>
      <c r="C330" s="6" t="str">
        <f>IF(B330="--","",F!F330)</f>
        <v>&lt;</v>
      </c>
      <c r="D330" s="6">
        <f>IF(ISNUMBER(F!G330)=FALSE,"--",IF(F!G330=0,"--",F!G330))</f>
        <v>0.1</v>
      </c>
      <c r="E330" s="6" t="str">
        <f>IF(D330="--","",F!H330)</f>
        <v>&lt;</v>
      </c>
      <c r="F330" s="6">
        <f>IF(ISNUMBER(F!I330)=FALSE,"--",IF(F!I330=0,"--",F!I330))</f>
        <v>0.1</v>
      </c>
      <c r="G330" s="6" t="str">
        <f>IF(F330="--","",F!J330)</f>
        <v>&lt;</v>
      </c>
      <c r="H330" s="6"/>
      <c r="I330" s="16">
        <f>IF(F!Z330=0,-1,F!AV330)</f>
        <v>-1</v>
      </c>
      <c r="J330" s="6"/>
      <c r="K330" s="16">
        <f>IF(F!AC330=0,-1,F!AX330)</f>
        <v>-1</v>
      </c>
      <c r="L330" s="6"/>
      <c r="M330" s="16">
        <f>IF(F!AF330=0,-1,F!AZ330)</f>
        <v>-1</v>
      </c>
      <c r="N330" s="6"/>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6">
        <f t="shared" si="109"/>
        <v>-1</v>
      </c>
      <c r="R330" s="5" t="str">
        <f>IF($B330="--","",IF($P330="toetsen",toetsen(F!$B330,Q330),IF($P330="toetsen alleen IW",toetsen_alleen_IW(F!$B330,Q330),IF($P330="toetsen alleen LN",toetsen_alleen_LN(F!$B330,Q330),IF($P330="toetsen geen MV en SV",toetsen_geen_MV_en_SV(F!$B330,Q330),IF($P330="toetsen alleen MV en SV",toetsen_alleen_MV_en_SV(F!$B330,Q330),""))))))</f>
        <v>-</v>
      </c>
      <c r="S330" s="5" t="str">
        <f>IF($P330="toetsen",IF(OR(Q330="",VLOOKUP(F!$B330,E!$B$1:$AK$300,10,FALSE)=1000000000),"",IF(Q330&lt;=VLOOKUP(F!$B330,E!$B$1:$AK$300,10,FALSE),"ja","nee")),"")</f>
        <v>ja</v>
      </c>
      <c r="T330" s="87">
        <f t="shared" si="104"/>
        <v>-1</v>
      </c>
      <c r="U330" s="5" t="str">
        <f>IF($D330="--","",IF($P330="toetsen",toetsen(F!$B330,T330),IF($P330="toetsen alleen IW",toetsen_alleen_IW(F!$B330,T330),IF($P330="toetsen alleen LN",toetsen_alleen_LN(F!$B330,T330),IF($P330="toetsen geen MV en SV",toetsen_geen_MV_en_SV(F!$B330,T330),IF($P330="toetsen alleen MV en SV",toetsen_alleen_MV_en_SV(F!$B330,T330),""))))))</f>
        <v>-</v>
      </c>
      <c r="V330" s="5" t="str">
        <f>IF($P330="toetsen",IF(OR(T330="",VLOOKUP(F!$B330,E!$B$1:$AK$300,10,FALSE)=1000000000),"",IF(T330&lt;=VLOOKUP(F!$B330,E!$B$1:$AK$300,10,FALSE),"ja","nee")),"")</f>
        <v>ja</v>
      </c>
      <c r="W330" s="6">
        <f t="shared" si="105"/>
        <v>-1</v>
      </c>
      <c r="X330" s="5" t="str">
        <f>IF($F330="--","",IF($P330="toetsen",toetsen(F!$B330,W330),IF($P330="toetsen alleen IW",toetsen_alleen_IW(F!$B330,W330),IF($P330="toetsen alleen LN",toetsen_alleen_LN(F!$B330,W330),IF($P330="toetsen geen MV en SV",toetsen_geen_MV_en_SV(F!$B330,W330),IF($P330="toetsen alleen MV en SV",toetsen_alleen_MV_en_SV(F!$B330,W330),""))))))</f>
        <v>-</v>
      </c>
      <c r="Y330" s="5" t="str">
        <f>IF($P330="toetsen",IF(OR(W330="",VLOOKUP(F!$B330,E!$B$1:$AK$300,10,FALSE)=1000000000),"",IF(W330&lt;=VLOOKUP(F!$B330,E!$B$1:$AK$300,10,FALSE),"ja","nee")),"")</f>
        <v>ja</v>
      </c>
      <c r="AA330" s="4">
        <f>IFERROR(IF(Q330="","",(IF(Q330&gt;2*VLOOKUP(F!$B330,E!$B$1:$AK$300,5,FALSE),1,0))),"")</f>
        <v>0</v>
      </c>
      <c r="AB330" s="4">
        <f>IFERROR(IF(T330="","",(IF(T330&gt;2*VLOOKUP(F!$B330,E!$B$1:$AK$300,5,FALSE),1,0))),"")</f>
        <v>0</v>
      </c>
      <c r="AC330" s="4">
        <f>IFERROR(IF(W330="","",(IF(W330&gt;2*VLOOKUP(F!$B330,E!$B$1:$AK$300,5,FALSE),1,0))),"")</f>
        <v>0</v>
      </c>
      <c r="AE330" s="4">
        <f>IFERROR(IF(Q330="","",(IF(Q330&gt;VLOOKUP(F!$B330,E!$B$1:$AK$300,6,FALSE)+VLOOKUP(F!$B330,E!$B$1:$AK$300,5,FALSE),1,0))),"")</f>
        <v>0</v>
      </c>
      <c r="AF330" s="4">
        <f>IFERROR(IF(T330="","",(IF(T330&gt;VLOOKUP(F!$B330,E!$B$1:$AK$300,6,FALSE)+VLOOKUP(F!$B330,E!$B$1:$AK$300,5,FALSE),1,0))),"")</f>
        <v>0</v>
      </c>
      <c r="AG330" s="4">
        <f>IFERROR(IF(W330="","",(IF(W330&gt;VLOOKUP(F!$B330,E!$B$1:$AK$300,6,FALSE)+VLOOKUP(F!$B330,E!$B$1:$AK$300,5,FALSE),1,0))),"")</f>
        <v>0</v>
      </c>
      <c r="AI330" s="6" t="str">
        <f t="shared" si="106"/>
        <v>0,10</v>
      </c>
      <c r="AJ330" s="6"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rg</v>
      </c>
      <c r="AK330" s="6" t="str">
        <f t="shared" si="107"/>
        <v>0,10</v>
      </c>
      <c r="AL330" s="6"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rg</v>
      </c>
      <c r="AM330" s="6" t="str">
        <f t="shared" si="108"/>
        <v>0,10</v>
      </c>
      <c r="AN330" s="6"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rg</v>
      </c>
      <c r="AP330" s="6" t="str">
        <f t="shared" si="116"/>
        <v>0,10</v>
      </c>
      <c r="AQ330" s="6" t="str">
        <f t="shared" si="117"/>
        <v>&lt;</v>
      </c>
      <c r="AR330" s="6" t="str">
        <f t="shared" si="118"/>
        <v>rg</v>
      </c>
      <c r="AS330" s="6" t="str">
        <f t="shared" si="119"/>
        <v>&lt;</v>
      </c>
      <c r="AT330" s="6" t="str">
        <f t="shared" si="120"/>
        <v>-</v>
      </c>
      <c r="AU330" s="6" t="str">
        <f>IFERROR(IF(AR330="--","",IF(HLOOKUP(SMALL($Q$4:$Y$4,3),$Q$4:$Y$501,ROW(AP330)-3,FALSE)=0,"",IF(HLOOKUP(SMALL($Q$4:$Y$4,3),$Q$4:$Y$501,ROW(AP330)-3,FALSE)="nee",VLOOKUP("De kwaliteitseis emissiearme grond (maximale concentratie) wordt overschreden.",H!$O$10:'H'!$P$59,2,FALSE),""))),"")</f>
        <v/>
      </c>
      <c r="AV330" s="6" t="str">
        <f t="shared" si="110"/>
        <v>0,10</v>
      </c>
      <c r="AW330" s="6" t="str">
        <f t="shared" si="111"/>
        <v>&lt;</v>
      </c>
      <c r="AX330" s="6" t="str">
        <f t="shared" si="112"/>
        <v>rg</v>
      </c>
      <c r="AY330" s="6" t="str">
        <f t="shared" si="121"/>
        <v>&lt;</v>
      </c>
      <c r="AZ330" s="6" t="str">
        <f t="shared" si="122"/>
        <v>-</v>
      </c>
      <c r="BA330" s="6" t="str">
        <f>IFERROR(IF(AR330="--","",IF(HLOOKUP(SMALL($Q$4:$Y$4,6),$Q$4:$Y$501,ROW(AP330)-3,FALSE)=0,"",IF(HLOOKUP(SMALL($Q$4:$Y$4,6),$Q$4:$Y$501,ROW(AP330)-3,FALSE)="nee",VLOOKUP("De kwaliteitseis emissiearme grond (maximale concentratie) wordt overschreden.",H!$O$10:'H'!$P$59,2,FALSE),""))),"")</f>
        <v/>
      </c>
      <c r="BB330" s="6" t="str">
        <f t="shared" si="113"/>
        <v>0,10</v>
      </c>
      <c r="BC330" s="6" t="str">
        <f t="shared" si="114"/>
        <v>&lt;</v>
      </c>
      <c r="BD330" s="6" t="str">
        <f t="shared" si="115"/>
        <v>rg</v>
      </c>
      <c r="BE330" s="6" t="str">
        <f t="shared" si="123"/>
        <v>&lt;</v>
      </c>
      <c r="BF330" s="6" t="str">
        <f t="shared" si="124"/>
        <v>-</v>
      </c>
      <c r="BG330" s="4" t="str">
        <f>IFERROR(IF(AR330="--","",IF(HLOOKUP(SMALL($Q$4:$Y$4,9),$Q$4:$Y$501,ROW(AP330)-3,FALSE)=0,"",IF(HLOOKUP(SMALL($Q$4:$Y$4,9),$Q$4:$Y$501,ROW(AP330)-3,FALSE)="nee",VLOOKUP("De kwaliteitseis emissiearme grond (maximale concentratie) wordt overschreden.",H!$O$10:'H'!$P$59,2,FALSE),""))),"")</f>
        <v/>
      </c>
    </row>
    <row r="331" spans="1:59" x14ac:dyDescent="0.2">
      <c r="A331" s="4" t="str">
        <f>F!A331</f>
        <v>PFOA lineair</v>
      </c>
      <c r="B331" s="6">
        <f>IF(ISNUMBER(F!E331)=FALSE,"--",IF(F!E331=0,"--",F!E331))</f>
        <v>0.1</v>
      </c>
      <c r="C331" s="6" t="str">
        <f>IF(B331="--","",F!F331)</f>
        <v>&lt;</v>
      </c>
      <c r="D331" s="6">
        <f>IF(ISNUMBER(F!G331)=FALSE,"--",IF(F!G331=0,"--",F!G331))</f>
        <v>0.1</v>
      </c>
      <c r="E331" s="6" t="str">
        <f>IF(D331="--","",F!H331)</f>
        <v>&lt;</v>
      </c>
      <c r="F331" s="6">
        <f>IF(ISNUMBER(F!I331)=FALSE,"--",IF(F!I331=0,"--",F!I331))</f>
        <v>0.1</v>
      </c>
      <c r="G331" s="6" t="str">
        <f>IF(F331="--","",F!J331)</f>
        <v>&lt;</v>
      </c>
      <c r="H331" s="6"/>
      <c r="I331" s="16">
        <f>IF(F!Z331=0,-1,F!AV331)</f>
        <v>-1</v>
      </c>
      <c r="J331" s="6"/>
      <c r="K331" s="16">
        <f>IF(F!AC331=0,-1,F!AX331)</f>
        <v>-1</v>
      </c>
      <c r="L331" s="6"/>
      <c r="M331" s="16">
        <f>IF(F!AF331=0,-1,F!AZ331)</f>
        <v>-1</v>
      </c>
      <c r="N331" s="6"/>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6">
        <f t="shared" si="109"/>
        <v>-1</v>
      </c>
      <c r="R331" s="102"/>
      <c r="S331" s="102"/>
      <c r="T331" s="87">
        <f t="shared" si="104"/>
        <v>-1</v>
      </c>
      <c r="U331" s="102"/>
      <c r="V331" s="102"/>
      <c r="W331" s="6">
        <f t="shared" si="105"/>
        <v>-1</v>
      </c>
      <c r="X331" s="102"/>
      <c r="Y331" s="102"/>
      <c r="AA331" s="4">
        <f>IFERROR(IF(Q331="","",(IF(Q331&gt;2*VLOOKUP(F!$B331,E!$B$1:$AK$300,5,FALSE),1,0))),"")</f>
        <v>0</v>
      </c>
      <c r="AB331" s="4">
        <f>IFERROR(IF(T331="","",(IF(T331&gt;2*VLOOKUP(F!$B331,E!$B$1:$AK$300,5,FALSE),1,0))),"")</f>
        <v>0</v>
      </c>
      <c r="AC331" s="4">
        <f>IFERROR(IF(W331="","",(IF(W331&gt;2*VLOOKUP(F!$B331,E!$B$1:$AK$300,5,FALSE),1,0))),"")</f>
        <v>0</v>
      </c>
      <c r="AE331" s="4">
        <f>IFERROR(IF(Q331="","",(IF(Q331&gt;VLOOKUP(F!$B331,E!$B$1:$AK$300,6,FALSE)+VLOOKUP(F!$B331,E!$B$1:$AK$300,5,FALSE),1,0))),"")</f>
        <v>0</v>
      </c>
      <c r="AF331" s="4">
        <f>IFERROR(IF(T331="","",(IF(T331&gt;VLOOKUP(F!$B331,E!$B$1:$AK$300,6,FALSE)+VLOOKUP(F!$B331,E!$B$1:$AK$300,5,FALSE),1,0))),"")</f>
        <v>0</v>
      </c>
      <c r="AG331" s="4">
        <f>IFERROR(IF(W331="","",(IF(W331&gt;VLOOKUP(F!$B331,E!$B$1:$AK$300,6,FALSE)+VLOOKUP(F!$B331,E!$B$1:$AK$300,5,FALSE),1,0))),"")</f>
        <v>0</v>
      </c>
      <c r="AI331" s="6" t="str">
        <f t="shared" si="106"/>
        <v>0,10</v>
      </c>
      <c r="AJ331" s="6"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rg</v>
      </c>
      <c r="AK331" s="6" t="str">
        <f t="shared" si="107"/>
        <v>0,10</v>
      </c>
      <c r="AL331" s="6"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rg</v>
      </c>
      <c r="AM331" s="6" t="str">
        <f t="shared" si="108"/>
        <v>0,10</v>
      </c>
      <c r="AN331" s="6"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rg</v>
      </c>
      <c r="AP331" s="6" t="str">
        <f t="shared" si="116"/>
        <v>0,10</v>
      </c>
      <c r="AQ331" s="6" t="str">
        <f t="shared" si="117"/>
        <v>&lt;</v>
      </c>
      <c r="AR331" s="6" t="str">
        <f t="shared" si="118"/>
        <v>rg</v>
      </c>
      <c r="AS331" s="6" t="str">
        <f t="shared" si="119"/>
        <v>&lt;</v>
      </c>
      <c r="AT331" s="6" t="str">
        <f t="shared" si="120"/>
        <v/>
      </c>
      <c r="AU331" s="6" t="str">
        <f>IFERROR(IF(AR331="--","",IF(HLOOKUP(SMALL($Q$4:$Y$4,3),$Q$4:$Y$501,ROW(AP331)-3,FALSE)=0,"",IF(HLOOKUP(SMALL($Q$4:$Y$4,3),$Q$4:$Y$501,ROW(AP331)-3,FALSE)="nee",VLOOKUP("De kwaliteitseis emissiearme grond (maximale concentratie) wordt overschreden.",H!$O$10:'H'!$P$59,2,FALSE),""))),"")</f>
        <v/>
      </c>
      <c r="AV331" s="6" t="str">
        <f t="shared" si="110"/>
        <v>0,10</v>
      </c>
      <c r="AW331" s="6" t="str">
        <f t="shared" si="111"/>
        <v>&lt;</v>
      </c>
      <c r="AX331" s="6" t="str">
        <f t="shared" si="112"/>
        <v>rg</v>
      </c>
      <c r="AY331" s="6" t="str">
        <f t="shared" si="121"/>
        <v>&lt;</v>
      </c>
      <c r="AZ331" s="6" t="str">
        <f t="shared" si="122"/>
        <v/>
      </c>
      <c r="BA331" s="6" t="str">
        <f>IFERROR(IF(AR331="--","",IF(HLOOKUP(SMALL($Q$4:$Y$4,6),$Q$4:$Y$501,ROW(AP331)-3,FALSE)=0,"",IF(HLOOKUP(SMALL($Q$4:$Y$4,6),$Q$4:$Y$501,ROW(AP331)-3,FALSE)="nee",VLOOKUP("De kwaliteitseis emissiearme grond (maximale concentratie) wordt overschreden.",H!$O$10:'H'!$P$59,2,FALSE),""))),"")</f>
        <v/>
      </c>
      <c r="BB331" s="6" t="str">
        <f t="shared" si="113"/>
        <v>0,10</v>
      </c>
      <c r="BC331" s="6" t="str">
        <f t="shared" si="114"/>
        <v>&lt;</v>
      </c>
      <c r="BD331" s="6" t="str">
        <f t="shared" si="115"/>
        <v>rg</v>
      </c>
      <c r="BE331" s="6" t="str">
        <f t="shared" si="123"/>
        <v>&lt;</v>
      </c>
      <c r="BF331" s="6" t="str">
        <f t="shared" si="124"/>
        <v/>
      </c>
      <c r="BG331" s="4" t="str">
        <f>IFERROR(IF(AR331="--","",IF(HLOOKUP(SMALL($Q$4:$Y$4,9),$Q$4:$Y$501,ROW(AP331)-3,FALSE)=0,"",IF(HLOOKUP(SMALL($Q$4:$Y$4,9),$Q$4:$Y$501,ROW(AP331)-3,FALSE)="nee",VLOOKUP("De kwaliteitseis emissiearme grond (maximale concentratie) wordt overschreden.",H!$O$10:'H'!$P$59,2,FALSE),""))),"")</f>
        <v/>
      </c>
    </row>
    <row r="332" spans="1:59" x14ac:dyDescent="0.2">
      <c r="A332" s="4" t="str">
        <f>F!A332</f>
        <v>PFOA vertakt</v>
      </c>
      <c r="B332" s="6">
        <f>IF(ISNUMBER(F!E332)=FALSE,"--",IF(F!E332=0,"--",F!E332))</f>
        <v>0.1</v>
      </c>
      <c r="C332" s="6" t="str">
        <f>IF(B332="--","",F!F332)</f>
        <v>&lt;</v>
      </c>
      <c r="D332" s="6">
        <f>IF(ISNUMBER(F!G332)=FALSE,"--",IF(F!G332=0,"--",F!G332))</f>
        <v>0.1</v>
      </c>
      <c r="E332" s="6" t="str">
        <f>IF(D332="--","",F!H332)</f>
        <v>&lt;</v>
      </c>
      <c r="F332" s="6">
        <f>IF(ISNUMBER(F!I332)=FALSE,"--",IF(F!I332=0,"--",F!I332))</f>
        <v>0.1</v>
      </c>
      <c r="G332" s="6" t="str">
        <f>IF(F332="--","",F!J332)</f>
        <v>&lt;</v>
      </c>
      <c r="H332" s="6"/>
      <c r="I332" s="16">
        <f>IF(F!Z332=0,-1,F!AV332)</f>
        <v>-1</v>
      </c>
      <c r="J332" s="6"/>
      <c r="K332" s="16">
        <f>IF(F!AC332=0,-1,F!AX332)</f>
        <v>-1</v>
      </c>
      <c r="L332" s="6"/>
      <c r="M332" s="16">
        <f>IF(F!AF332=0,-1,F!AZ332)</f>
        <v>-1</v>
      </c>
      <c r="N332" s="6"/>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6">
        <f t="shared" si="109"/>
        <v>-1</v>
      </c>
      <c r="R332" s="102"/>
      <c r="S332" s="102"/>
      <c r="T332" s="87">
        <f t="shared" ref="T332:T368" si="125">K332</f>
        <v>-1</v>
      </c>
      <c r="U332" s="102"/>
      <c r="V332" s="102"/>
      <c r="W332" s="6">
        <f t="shared" ref="W332:W368" si="126">M332</f>
        <v>-1</v>
      </c>
      <c r="X332" s="102"/>
      <c r="Y332" s="102"/>
      <c r="AA332" s="4">
        <f>IFERROR(IF(Q332="","",(IF(Q332&gt;2*VLOOKUP(F!$B332,E!$B$1:$AK$300,5,FALSE),1,0))),"")</f>
        <v>0</v>
      </c>
      <c r="AB332" s="4">
        <f>IFERROR(IF(T332="","",(IF(T332&gt;2*VLOOKUP(F!$B332,E!$B$1:$AK$300,5,FALSE),1,0))),"")</f>
        <v>0</v>
      </c>
      <c r="AC332" s="4">
        <f>IFERROR(IF(W332="","",(IF(W332&gt;2*VLOOKUP(F!$B332,E!$B$1:$AK$300,5,FALSE),1,0))),"")</f>
        <v>0</v>
      </c>
      <c r="AE332" s="4">
        <f>IFERROR(IF(Q332="","",(IF(Q332&gt;VLOOKUP(F!$B332,E!$B$1:$AK$300,6,FALSE)+VLOOKUP(F!$B332,E!$B$1:$AK$300,5,FALSE),1,0))),"")</f>
        <v>0</v>
      </c>
      <c r="AF332" s="4">
        <f>IFERROR(IF(T332="","",(IF(T332&gt;VLOOKUP(F!$B332,E!$B$1:$AK$300,6,FALSE)+VLOOKUP(F!$B332,E!$B$1:$AK$300,5,FALSE),1,0))),"")</f>
        <v>0</v>
      </c>
      <c r="AG332" s="4">
        <f>IFERROR(IF(W332="","",(IF(W332&gt;VLOOKUP(F!$B332,E!$B$1:$AK$300,6,FALSE)+VLOOKUP(F!$B332,E!$B$1:$AK$300,5,FALSE),1,0))),"")</f>
        <v>0</v>
      </c>
      <c r="AI332" s="6" t="str">
        <f t="shared" ref="AI332:AI368" si="127">IF(B332="--",B332,(IF(B332&lt;1,FIXED(B332,2),IF(B332&lt;10,FIXED(B332,1),IF(B332&lt;100,FIXED(B332,0),IF(B332&lt;1000,MROUND(B332,10),MROUND(B332,100)))))))</f>
        <v>0,10</v>
      </c>
      <c r="AJ332" s="6"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rg</v>
      </c>
      <c r="AK332" s="6" t="str">
        <f t="shared" ref="AK332:AK368" si="128">IF(D332="--",D332,(IF(D332&lt;1,FIXED(D332,2),IF(D332&lt;10,FIXED(D332,1),IF(D332&lt;100,FIXED(D332,0),IF(D332&lt;1000,MROUND(D332,10),MROUND(D332,100)))))))</f>
        <v>0,10</v>
      </c>
      <c r="AL332" s="6"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rg</v>
      </c>
      <c r="AM332" s="6" t="str">
        <f t="shared" ref="AM332:AM368" si="129">IF(F332="--",F332,(IF(F332&lt;1,FIXED(F332,2),IF(F332&lt;10,FIXED(F332,1),IF(F332&lt;100,FIXED(F332,0),IF(F332&lt;1000,MROUND(F332,10),MROUND(F332,100)))))))</f>
        <v>0,10</v>
      </c>
      <c r="AN332" s="6"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rg</v>
      </c>
      <c r="AP332" s="6" t="str">
        <f t="shared" si="116"/>
        <v>0,10</v>
      </c>
      <c r="AQ332" s="6" t="str">
        <f t="shared" si="117"/>
        <v>&lt;</v>
      </c>
      <c r="AR332" s="6" t="str">
        <f t="shared" si="118"/>
        <v>rg</v>
      </c>
      <c r="AS332" s="6" t="str">
        <f t="shared" si="119"/>
        <v>&lt;</v>
      </c>
      <c r="AT332" s="6" t="str">
        <f t="shared" si="120"/>
        <v/>
      </c>
      <c r="AU332" s="6" t="str">
        <f>IFERROR(IF(AR332="--","",IF(HLOOKUP(SMALL($Q$4:$Y$4,3),$Q$4:$Y$501,ROW(AP332)-3,FALSE)=0,"",IF(HLOOKUP(SMALL($Q$4:$Y$4,3),$Q$4:$Y$501,ROW(AP332)-3,FALSE)="nee",VLOOKUP("De kwaliteitseis emissiearme grond (maximale concentratie) wordt overschreden.",H!$O$10:'H'!$P$59,2,FALSE),""))),"")</f>
        <v/>
      </c>
      <c r="AV332" s="6" t="str">
        <f t="shared" si="110"/>
        <v>0,10</v>
      </c>
      <c r="AW332" s="6" t="str">
        <f t="shared" si="111"/>
        <v>&lt;</v>
      </c>
      <c r="AX332" s="6" t="str">
        <f t="shared" si="112"/>
        <v>rg</v>
      </c>
      <c r="AY332" s="6" t="str">
        <f t="shared" si="121"/>
        <v>&lt;</v>
      </c>
      <c r="AZ332" s="6" t="str">
        <f t="shared" si="122"/>
        <v/>
      </c>
      <c r="BA332" s="6" t="str">
        <f>IFERROR(IF(AR332="--","",IF(HLOOKUP(SMALL($Q$4:$Y$4,6),$Q$4:$Y$501,ROW(AP332)-3,FALSE)=0,"",IF(HLOOKUP(SMALL($Q$4:$Y$4,6),$Q$4:$Y$501,ROW(AP332)-3,FALSE)="nee",VLOOKUP("De kwaliteitseis emissiearme grond (maximale concentratie) wordt overschreden.",H!$O$10:'H'!$P$59,2,FALSE),""))),"")</f>
        <v/>
      </c>
      <c r="BB332" s="6" t="str">
        <f t="shared" si="113"/>
        <v>0,10</v>
      </c>
      <c r="BC332" s="6" t="str">
        <f t="shared" si="114"/>
        <v>&lt;</v>
      </c>
      <c r="BD332" s="6" t="str">
        <f t="shared" si="115"/>
        <v>rg</v>
      </c>
      <c r="BE332" s="6" t="str">
        <f t="shared" si="123"/>
        <v>&lt;</v>
      </c>
      <c r="BF332" s="6" t="str">
        <f t="shared" si="124"/>
        <v/>
      </c>
      <c r="BG332" s="4" t="str">
        <f>IFERROR(IF(AR332="--","",IF(HLOOKUP(SMALL($Q$4:$Y$4,9),$Q$4:$Y$501,ROW(AP332)-3,FALSE)=0,"",IF(HLOOKUP(SMALL($Q$4:$Y$4,9),$Q$4:$Y$501,ROW(AP332)-3,FALSE)="nee",VLOOKUP("De kwaliteitseis emissiearme grond (maximale concentratie) wordt overschreden.",H!$O$10:'H'!$P$59,2,FALSE),""))),"")</f>
        <v/>
      </c>
    </row>
    <row r="333" spans="1:59" x14ac:dyDescent="0.2">
      <c r="A333" s="4" t="str">
        <f>F!A333</f>
        <v>PFOA totaal</v>
      </c>
      <c r="B333" s="6">
        <f>IF(ISNUMBER(F!E333)=FALSE,"--",IF(F!E333=0,"--",F!E333))</f>
        <v>0.1</v>
      </c>
      <c r="C333" s="6" t="str">
        <f>IF(B333="--","",F!F333)</f>
        <v>&lt;</v>
      </c>
      <c r="D333" s="6">
        <f>IF(ISNUMBER(F!G333)=FALSE,"--",IF(F!G333=0,"--",F!G333))</f>
        <v>0.1</v>
      </c>
      <c r="E333" s="6" t="str">
        <f>IF(D333="--","",F!H333)</f>
        <v>&lt;</v>
      </c>
      <c r="F333" s="6">
        <f>IF(ISNUMBER(F!I333)=FALSE,"--",IF(F!I333=0,"--",F!I333))</f>
        <v>0.1</v>
      </c>
      <c r="G333" s="6" t="str">
        <f>IF(F333="--","",F!J333)</f>
        <v>&lt;</v>
      </c>
      <c r="H333" s="6"/>
      <c r="I333" s="170">
        <f>IF(AND(I331=-1,I332=-1),-1,F!AV333)</f>
        <v>-1</v>
      </c>
      <c r="J333" s="6"/>
      <c r="K333" s="170">
        <f>IF(AND(K331=-1,K332=-1),-1,F!AX333)</f>
        <v>-1</v>
      </c>
      <c r="L333" s="6"/>
      <c r="M333" s="170">
        <f>IF(AND(M331=-1,M332=-1),-1,F!AZ333)</f>
        <v>-1</v>
      </c>
      <c r="N333" s="6"/>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6">
        <f t="shared" ref="Q333:Q368" si="130">I333</f>
        <v>-1</v>
      </c>
      <c r="R333" s="5" t="str">
        <f>IF($B333="--","",IF($P333="toetsen",toetsen(F!$B333,Q333),IF($P333="toetsen alleen IW",toetsen_alleen_IW(F!$B333,Q333),IF($P333="toetsen alleen LN",toetsen_alleen_LN(F!$B333,Q333),IF($P333="toetsen geen MV en SV",toetsen_geen_MV_en_SV(F!$B333,Q333),IF($P333="toetsen alleen MV en SV",toetsen_alleen_MV_en_SV(F!$B333,Q333),""))))))</f>
        <v>-</v>
      </c>
      <c r="S333" s="5" t="str">
        <f>IF($P333="toetsen",IF(OR(Q333="",VLOOKUP(F!$B333,E!$B$1:$AK$300,10,FALSE)=1000000000),"",IF(Q333&lt;=VLOOKUP(F!$B333,E!$B$1:$AK$300,10,FALSE),"ja","nee")),"")</f>
        <v>ja</v>
      </c>
      <c r="T333" s="87">
        <f t="shared" si="125"/>
        <v>-1</v>
      </c>
      <c r="U333" s="5" t="str">
        <f>IF($D333="--","",IF($P333="toetsen",toetsen(F!$B333,T333),IF($P333="toetsen alleen IW",toetsen_alleen_IW(F!$B333,T333),IF($P333="toetsen alleen LN",toetsen_alleen_LN(F!$B333,T333),IF($P333="toetsen geen MV en SV",toetsen_geen_MV_en_SV(F!$B333,T333),IF($P333="toetsen alleen MV en SV",toetsen_alleen_MV_en_SV(F!$B333,T333),""))))))</f>
        <v>-</v>
      </c>
      <c r="V333" s="5" t="str">
        <f>IF($P333="toetsen",IF(OR(T333="",VLOOKUP(F!$B333,E!$B$1:$AK$300,10,FALSE)=1000000000),"",IF(T333&lt;=VLOOKUP(F!$B333,E!$B$1:$AK$300,10,FALSE),"ja","nee")),"")</f>
        <v>ja</v>
      </c>
      <c r="W333" s="6">
        <f t="shared" si="126"/>
        <v>-1</v>
      </c>
      <c r="X333" s="5" t="str">
        <f>IF($F333="--","",IF($P333="toetsen",toetsen(F!$B333,W333),IF($P333="toetsen alleen IW",toetsen_alleen_IW(F!$B333,W333),IF($P333="toetsen alleen LN",toetsen_alleen_LN(F!$B333,W333),IF($P333="toetsen geen MV en SV",toetsen_geen_MV_en_SV(F!$B333,W333),IF($P333="toetsen alleen MV en SV",toetsen_alleen_MV_en_SV(F!$B333,W333),""))))))</f>
        <v>-</v>
      </c>
      <c r="Y333" s="5" t="str">
        <f>IF($P333="toetsen",IF(OR(W333="",VLOOKUP(F!$B333,E!$B$1:$AK$300,10,FALSE)=1000000000),"",IF(W333&lt;=VLOOKUP(F!$B333,E!$B$1:$AK$300,10,FALSE),"ja","nee")),"")</f>
        <v>ja</v>
      </c>
      <c r="AA333" s="4">
        <f>IFERROR(IF(Q333="","",(IF(Q333&gt;2*VLOOKUP(F!$B333,E!$B$1:$AK$300,5,FALSE),1,0))),"")</f>
        <v>0</v>
      </c>
      <c r="AB333" s="4">
        <f>IFERROR(IF(T333="","",(IF(T333&gt;2*VLOOKUP(F!$B333,E!$B$1:$AK$300,5,FALSE),1,0))),"")</f>
        <v>0</v>
      </c>
      <c r="AC333" s="4">
        <f>IFERROR(IF(W333="","",(IF(W333&gt;2*VLOOKUP(F!$B333,E!$B$1:$AK$300,5,FALSE),1,0))),"")</f>
        <v>0</v>
      </c>
      <c r="AE333" s="4">
        <f>IFERROR(IF(Q333="","",(IF(Q333&gt;VLOOKUP(F!$B333,E!$B$1:$AK$300,6,FALSE)+VLOOKUP(F!$B333,E!$B$1:$AK$300,5,FALSE),1,0))),"")</f>
        <v>0</v>
      </c>
      <c r="AF333" s="4">
        <f>IFERROR(IF(T333="","",(IF(T333&gt;VLOOKUP(F!$B333,E!$B$1:$AK$300,6,FALSE)+VLOOKUP(F!$B333,E!$B$1:$AK$300,5,FALSE),1,0))),"")</f>
        <v>0</v>
      </c>
      <c r="AG333" s="4">
        <f>IFERROR(IF(W333="","",(IF(W333&gt;VLOOKUP(F!$B333,E!$B$1:$AK$300,6,FALSE)+VLOOKUP(F!$B333,E!$B$1:$AK$300,5,FALSE),1,0))),"")</f>
        <v>0</v>
      </c>
      <c r="AI333" s="6" t="str">
        <f t="shared" si="127"/>
        <v>0,10</v>
      </c>
      <c r="AJ333" s="6"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rg</v>
      </c>
      <c r="AK333" s="6" t="str">
        <f t="shared" si="128"/>
        <v>0,10</v>
      </c>
      <c r="AL333" s="6"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rg</v>
      </c>
      <c r="AM333" s="6" t="str">
        <f t="shared" si="129"/>
        <v>0,10</v>
      </c>
      <c r="AN333" s="6"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rg</v>
      </c>
      <c r="AP333" s="6" t="str">
        <f t="shared" si="116"/>
        <v>0,10</v>
      </c>
      <c r="AQ333" s="6" t="str">
        <f t="shared" si="117"/>
        <v>&lt;</v>
      </c>
      <c r="AR333" s="6" t="str">
        <f t="shared" si="118"/>
        <v>rg</v>
      </c>
      <c r="AS333" s="6" t="str">
        <f t="shared" si="119"/>
        <v>&lt;</v>
      </c>
      <c r="AT333" s="6" t="str">
        <f t="shared" si="120"/>
        <v>-</v>
      </c>
      <c r="AU333" s="6" t="str">
        <f>IFERROR(IF(AR333="--","",IF(HLOOKUP(SMALL($Q$4:$Y$4,3),$Q$4:$Y$501,ROW(AP333)-3,FALSE)=0,"",IF(HLOOKUP(SMALL($Q$4:$Y$4,3),$Q$4:$Y$501,ROW(AP333)-3,FALSE)="nee",VLOOKUP("De kwaliteitseis emissiearme grond (maximale concentratie) wordt overschreden.",H!$O$10:'H'!$P$59,2,FALSE),""))),"")</f>
        <v/>
      </c>
      <c r="AV333" s="6" t="str">
        <f t="shared" si="110"/>
        <v>0,10</v>
      </c>
      <c r="AW333" s="6" t="str">
        <f t="shared" si="111"/>
        <v>&lt;</v>
      </c>
      <c r="AX333" s="6" t="str">
        <f t="shared" si="112"/>
        <v>rg</v>
      </c>
      <c r="AY333" s="6" t="str">
        <f t="shared" si="121"/>
        <v>&lt;</v>
      </c>
      <c r="AZ333" s="6" t="str">
        <f t="shared" si="122"/>
        <v>-</v>
      </c>
      <c r="BA333" s="6" t="str">
        <f>IFERROR(IF(AR333="--","",IF(HLOOKUP(SMALL($Q$4:$Y$4,6),$Q$4:$Y$501,ROW(AP333)-3,FALSE)=0,"",IF(HLOOKUP(SMALL($Q$4:$Y$4,6),$Q$4:$Y$501,ROW(AP333)-3,FALSE)="nee",VLOOKUP("De kwaliteitseis emissiearme grond (maximale concentratie) wordt overschreden.",H!$O$10:'H'!$P$59,2,FALSE),""))),"")</f>
        <v/>
      </c>
      <c r="BB333" s="6" t="str">
        <f t="shared" si="113"/>
        <v>0,10</v>
      </c>
      <c r="BC333" s="6" t="str">
        <f t="shared" si="114"/>
        <v>&lt;</v>
      </c>
      <c r="BD333" s="6" t="str">
        <f t="shared" si="115"/>
        <v>rg</v>
      </c>
      <c r="BE333" s="6" t="str">
        <f t="shared" si="123"/>
        <v>&lt;</v>
      </c>
      <c r="BF333" s="6" t="str">
        <f t="shared" si="124"/>
        <v>-</v>
      </c>
      <c r="BG333" s="4" t="str">
        <f>IFERROR(IF(AR333="--","",IF(HLOOKUP(SMALL($Q$4:$Y$4,9),$Q$4:$Y$501,ROW(AP333)-3,FALSE)=0,"",IF(HLOOKUP(SMALL($Q$4:$Y$4,9),$Q$4:$Y$501,ROW(AP333)-3,FALSE)="nee",VLOOKUP("De kwaliteitseis emissiearme grond (maximale concentratie) wordt overschreden.",H!$O$10:'H'!$P$59,2,FALSE),""))),"")</f>
        <v/>
      </c>
    </row>
    <row r="334" spans="1:59" x14ac:dyDescent="0.2">
      <c r="A334" s="4" t="str">
        <f>F!A334</f>
        <v>PFNA</v>
      </c>
      <c r="B334" s="6">
        <f>IF(ISNUMBER(F!E334)=FALSE,"--",IF(F!E334=0,"--",F!E334))</f>
        <v>0.1</v>
      </c>
      <c r="C334" s="6" t="str">
        <f>IF(B334="--","",F!F334)</f>
        <v>&lt;</v>
      </c>
      <c r="D334" s="6">
        <f>IF(ISNUMBER(F!G334)=FALSE,"--",IF(F!G334=0,"--",F!G334))</f>
        <v>0.1</v>
      </c>
      <c r="E334" s="6" t="str">
        <f>IF(D334="--","",F!H334)</f>
        <v>&lt;</v>
      </c>
      <c r="F334" s="6">
        <f>IF(ISNUMBER(F!I334)=FALSE,"--",IF(F!I334=0,"--",F!I334))</f>
        <v>0.1</v>
      </c>
      <c r="G334" s="6" t="str">
        <f>IF(F334="--","",F!J334)</f>
        <v>&lt;</v>
      </c>
      <c r="H334" s="6"/>
      <c r="I334" s="16">
        <f>IF(F!Z334=0,-1,F!AV334)</f>
        <v>-1</v>
      </c>
      <c r="J334" s="6"/>
      <c r="K334" s="16">
        <f>IF(F!AC334=0,-1,F!AX334)</f>
        <v>-1</v>
      </c>
      <c r="L334" s="6"/>
      <c r="M334" s="16">
        <f>IF(F!AF334=0,-1,F!AZ334)</f>
        <v>-1</v>
      </c>
      <c r="N334" s="6"/>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6">
        <f t="shared" si="130"/>
        <v>-1</v>
      </c>
      <c r="R334" s="5" t="str">
        <f>IF($B334="--","",IF($P334="toetsen",toetsen(F!$B334,Q334),IF($P334="toetsen alleen IW",toetsen_alleen_IW(F!$B334,Q334),IF($P334="toetsen alleen LN",toetsen_alleen_LN(F!$B334,Q334),IF($P334="toetsen geen MV en SV",toetsen_geen_MV_en_SV(F!$B334,Q334),IF($P334="toetsen alleen MV en SV",toetsen_alleen_MV_en_SV(F!$B334,Q334),""))))))</f>
        <v>-</v>
      </c>
      <c r="S334" s="5" t="str">
        <f>IF($P334="toetsen",IF(OR(Q334="",VLOOKUP(F!$B334,E!$B$1:$AK$300,10,FALSE)=1000000000),"",IF(Q334&lt;=VLOOKUP(F!$B334,E!$B$1:$AK$300,10,FALSE),"ja","nee")),"")</f>
        <v>ja</v>
      </c>
      <c r="T334" s="87">
        <f t="shared" si="125"/>
        <v>-1</v>
      </c>
      <c r="U334" s="5" t="str">
        <f>IF($D334="--","",IF($P334="toetsen",toetsen(F!$B334,T334),IF($P334="toetsen alleen IW",toetsen_alleen_IW(F!$B334,T334),IF($P334="toetsen alleen LN",toetsen_alleen_LN(F!$B334,T334),IF($P334="toetsen geen MV en SV",toetsen_geen_MV_en_SV(F!$B334,T334),IF($P334="toetsen alleen MV en SV",toetsen_alleen_MV_en_SV(F!$B334,T334),""))))))</f>
        <v>-</v>
      </c>
      <c r="V334" s="5" t="str">
        <f>IF($P334="toetsen",IF(OR(T334="",VLOOKUP(F!$B334,E!$B$1:$AK$300,10,FALSE)=1000000000),"",IF(T334&lt;=VLOOKUP(F!$B334,E!$B$1:$AK$300,10,FALSE),"ja","nee")),"")</f>
        <v>ja</v>
      </c>
      <c r="W334" s="6">
        <f t="shared" si="126"/>
        <v>-1</v>
      </c>
      <c r="X334" s="5" t="str">
        <f>IF($F334="--","",IF($P334="toetsen",toetsen(F!$B334,W334),IF($P334="toetsen alleen IW",toetsen_alleen_IW(F!$B334,W334),IF($P334="toetsen alleen LN",toetsen_alleen_LN(F!$B334,W334),IF($P334="toetsen geen MV en SV",toetsen_geen_MV_en_SV(F!$B334,W334),IF($P334="toetsen alleen MV en SV",toetsen_alleen_MV_en_SV(F!$B334,W334),""))))))</f>
        <v>-</v>
      </c>
      <c r="Y334" s="5" t="str">
        <f>IF($P334="toetsen",IF(OR(W334="",VLOOKUP(F!$B334,E!$B$1:$AK$300,10,FALSE)=1000000000),"",IF(W334&lt;=VLOOKUP(F!$B334,E!$B$1:$AK$300,10,FALSE),"ja","nee")),"")</f>
        <v>ja</v>
      </c>
      <c r="AA334" s="4">
        <f>IFERROR(IF(Q334="","",(IF(Q334&gt;2*VLOOKUP(F!$B334,E!$B$1:$AK$300,5,FALSE),1,0))),"")</f>
        <v>0</v>
      </c>
      <c r="AB334" s="4">
        <f>IFERROR(IF(T334="","",(IF(T334&gt;2*VLOOKUP(F!$B334,E!$B$1:$AK$300,5,FALSE),1,0))),"")</f>
        <v>0</v>
      </c>
      <c r="AC334" s="4">
        <f>IFERROR(IF(W334="","",(IF(W334&gt;2*VLOOKUP(F!$B334,E!$B$1:$AK$300,5,FALSE),1,0))),"")</f>
        <v>0</v>
      </c>
      <c r="AE334" s="4">
        <f>IFERROR(IF(Q334="","",(IF(Q334&gt;VLOOKUP(F!$B334,E!$B$1:$AK$300,6,FALSE)+VLOOKUP(F!$B334,E!$B$1:$AK$300,5,FALSE),1,0))),"")</f>
        <v>0</v>
      </c>
      <c r="AF334" s="4">
        <f>IFERROR(IF(T334="","",(IF(T334&gt;VLOOKUP(F!$B334,E!$B$1:$AK$300,6,FALSE)+VLOOKUP(F!$B334,E!$B$1:$AK$300,5,FALSE),1,0))),"")</f>
        <v>0</v>
      </c>
      <c r="AG334" s="4">
        <f>IFERROR(IF(W334="","",(IF(W334&gt;VLOOKUP(F!$B334,E!$B$1:$AK$300,6,FALSE)+VLOOKUP(F!$B334,E!$B$1:$AK$300,5,FALSE),1,0))),"")</f>
        <v>0</v>
      </c>
      <c r="AI334" s="6" t="str">
        <f t="shared" si="127"/>
        <v>0,10</v>
      </c>
      <c r="AJ334" s="6"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rg</v>
      </c>
      <c r="AK334" s="6" t="str">
        <f t="shared" si="128"/>
        <v>0,10</v>
      </c>
      <c r="AL334" s="6"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rg</v>
      </c>
      <c r="AM334" s="6" t="str">
        <f t="shared" si="129"/>
        <v>0,10</v>
      </c>
      <c r="AN334" s="6"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rg</v>
      </c>
      <c r="AP334" s="6" t="str">
        <f t="shared" si="116"/>
        <v>0,10</v>
      </c>
      <c r="AQ334" s="6" t="str">
        <f t="shared" si="117"/>
        <v>&lt;</v>
      </c>
      <c r="AR334" s="6" t="str">
        <f t="shared" si="118"/>
        <v>rg</v>
      </c>
      <c r="AS334" s="6" t="str">
        <f t="shared" si="119"/>
        <v>&lt;</v>
      </c>
      <c r="AT334" s="6" t="str">
        <f t="shared" si="120"/>
        <v>-</v>
      </c>
      <c r="AU334" s="6" t="str">
        <f>IFERROR(IF(AR334="--","",IF(HLOOKUP(SMALL($Q$4:$Y$4,3),$Q$4:$Y$501,ROW(AP334)-3,FALSE)=0,"",IF(HLOOKUP(SMALL($Q$4:$Y$4,3),$Q$4:$Y$501,ROW(AP334)-3,FALSE)="nee",VLOOKUP("De kwaliteitseis emissiearme grond (maximale concentratie) wordt overschreden.",H!$O$10:'H'!$P$59,2,FALSE),""))),"")</f>
        <v/>
      </c>
      <c r="AV334" s="6" t="str">
        <f t="shared" si="110"/>
        <v>0,10</v>
      </c>
      <c r="AW334" s="6" t="str">
        <f t="shared" si="111"/>
        <v>&lt;</v>
      </c>
      <c r="AX334" s="6" t="str">
        <f t="shared" si="112"/>
        <v>rg</v>
      </c>
      <c r="AY334" s="6" t="str">
        <f t="shared" si="121"/>
        <v>&lt;</v>
      </c>
      <c r="AZ334" s="6" t="str">
        <f t="shared" si="122"/>
        <v>-</v>
      </c>
      <c r="BA334" s="6" t="str">
        <f>IFERROR(IF(AR334="--","",IF(HLOOKUP(SMALL($Q$4:$Y$4,6),$Q$4:$Y$501,ROW(AP334)-3,FALSE)=0,"",IF(HLOOKUP(SMALL($Q$4:$Y$4,6),$Q$4:$Y$501,ROW(AP334)-3,FALSE)="nee",VLOOKUP("De kwaliteitseis emissiearme grond (maximale concentratie) wordt overschreden.",H!$O$10:'H'!$P$59,2,FALSE),""))),"")</f>
        <v/>
      </c>
      <c r="BB334" s="6" t="str">
        <f t="shared" si="113"/>
        <v>0,10</v>
      </c>
      <c r="BC334" s="6" t="str">
        <f t="shared" si="114"/>
        <v>&lt;</v>
      </c>
      <c r="BD334" s="6" t="str">
        <f t="shared" si="115"/>
        <v>rg</v>
      </c>
      <c r="BE334" s="6" t="str">
        <f t="shared" si="123"/>
        <v>&lt;</v>
      </c>
      <c r="BF334" s="6" t="str">
        <f t="shared" si="124"/>
        <v>-</v>
      </c>
      <c r="BG334" s="4" t="str">
        <f>IFERROR(IF(AR334="--","",IF(HLOOKUP(SMALL($Q$4:$Y$4,9),$Q$4:$Y$501,ROW(AP334)-3,FALSE)=0,"",IF(HLOOKUP(SMALL($Q$4:$Y$4,9),$Q$4:$Y$501,ROW(AP334)-3,FALSE)="nee",VLOOKUP("De kwaliteitseis emissiearme grond (maximale concentratie) wordt overschreden.",H!$O$10:'H'!$P$59,2,FALSE),""))),"")</f>
        <v/>
      </c>
    </row>
    <row r="335" spans="1:59" x14ac:dyDescent="0.2">
      <c r="A335" s="4" t="str">
        <f>F!A335</f>
        <v>PFDA</v>
      </c>
      <c r="B335" s="6">
        <f>IF(ISNUMBER(F!E335)=FALSE,"--",IF(F!E335=0,"--",F!E335))</f>
        <v>0.1</v>
      </c>
      <c r="C335" s="6" t="str">
        <f>IF(B335="--","",F!F335)</f>
        <v>&lt;</v>
      </c>
      <c r="D335" s="6">
        <f>IF(ISNUMBER(F!G335)=FALSE,"--",IF(F!G335=0,"--",F!G335))</f>
        <v>0.1</v>
      </c>
      <c r="E335" s="6" t="str">
        <f>IF(D335="--","",F!H335)</f>
        <v>&lt;</v>
      </c>
      <c r="F335" s="6">
        <f>IF(ISNUMBER(F!I335)=FALSE,"--",IF(F!I335=0,"--",F!I335))</f>
        <v>0.1</v>
      </c>
      <c r="G335" s="6" t="str">
        <f>IF(F335="--","",F!J335)</f>
        <v>&lt;</v>
      </c>
      <c r="H335" s="6"/>
      <c r="I335" s="16">
        <f>IF(F!Z335=0,-1,F!AV335)</f>
        <v>-1</v>
      </c>
      <c r="J335" s="6"/>
      <c r="K335" s="16">
        <f>IF(F!AC335=0,-1,F!AX335)</f>
        <v>-1</v>
      </c>
      <c r="L335" s="6"/>
      <c r="M335" s="16">
        <f>IF(F!AF335=0,-1,F!AZ335)</f>
        <v>-1</v>
      </c>
      <c r="N335" s="6"/>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6">
        <f t="shared" si="130"/>
        <v>-1</v>
      </c>
      <c r="R335" s="5" t="str">
        <f>IF($B335="--","",IF($P335="toetsen",toetsen(F!$B335,Q335),IF($P335="toetsen alleen IW",toetsen_alleen_IW(F!$B335,Q335),IF($P335="toetsen alleen LN",toetsen_alleen_LN(F!$B335,Q335),IF($P335="toetsen geen MV en SV",toetsen_geen_MV_en_SV(F!$B335,Q335),IF($P335="toetsen alleen MV en SV",toetsen_alleen_MV_en_SV(F!$B335,Q335),""))))))</f>
        <v>-</v>
      </c>
      <c r="S335" s="5" t="str">
        <f>IF($P335="toetsen",IF(OR(Q335="",VLOOKUP(F!$B335,E!$B$1:$AK$300,10,FALSE)=1000000000),"",IF(Q335&lt;=VLOOKUP(F!$B335,E!$B$1:$AK$300,10,FALSE),"ja","nee")),"")</f>
        <v>ja</v>
      </c>
      <c r="T335" s="87">
        <f t="shared" si="125"/>
        <v>-1</v>
      </c>
      <c r="U335" s="5" t="str">
        <f>IF($D335="--","",IF($P335="toetsen",toetsen(F!$B335,T335),IF($P335="toetsen alleen IW",toetsen_alleen_IW(F!$B335,T335),IF($P335="toetsen alleen LN",toetsen_alleen_LN(F!$B335,T335),IF($P335="toetsen geen MV en SV",toetsen_geen_MV_en_SV(F!$B335,T335),IF($P335="toetsen alleen MV en SV",toetsen_alleen_MV_en_SV(F!$B335,T335),""))))))</f>
        <v>-</v>
      </c>
      <c r="V335" s="5" t="str">
        <f>IF($P335="toetsen",IF(OR(T335="",VLOOKUP(F!$B335,E!$B$1:$AK$300,10,FALSE)=1000000000),"",IF(T335&lt;=VLOOKUP(F!$B335,E!$B$1:$AK$300,10,FALSE),"ja","nee")),"")</f>
        <v>ja</v>
      </c>
      <c r="W335" s="6">
        <f t="shared" si="126"/>
        <v>-1</v>
      </c>
      <c r="X335" s="5" t="str">
        <f>IF($F335="--","",IF($P335="toetsen",toetsen(F!$B335,W335),IF($P335="toetsen alleen IW",toetsen_alleen_IW(F!$B335,W335),IF($P335="toetsen alleen LN",toetsen_alleen_LN(F!$B335,W335),IF($P335="toetsen geen MV en SV",toetsen_geen_MV_en_SV(F!$B335,W335),IF($P335="toetsen alleen MV en SV",toetsen_alleen_MV_en_SV(F!$B335,W335),""))))))</f>
        <v>-</v>
      </c>
      <c r="Y335" s="5" t="str">
        <f>IF($P335="toetsen",IF(OR(W335="",VLOOKUP(F!$B335,E!$B$1:$AK$300,10,FALSE)=1000000000),"",IF(W335&lt;=VLOOKUP(F!$B335,E!$B$1:$AK$300,10,FALSE),"ja","nee")),"")</f>
        <v>ja</v>
      </c>
      <c r="AA335" s="4">
        <f>IFERROR(IF(Q335="","",(IF(Q335&gt;2*VLOOKUP(F!$B335,E!$B$1:$AK$300,5,FALSE),1,0))),"")</f>
        <v>0</v>
      </c>
      <c r="AB335" s="4">
        <f>IFERROR(IF(T335="","",(IF(T335&gt;2*VLOOKUP(F!$B335,E!$B$1:$AK$300,5,FALSE),1,0))),"")</f>
        <v>0</v>
      </c>
      <c r="AC335" s="4">
        <f>IFERROR(IF(W335="","",(IF(W335&gt;2*VLOOKUP(F!$B335,E!$B$1:$AK$300,5,FALSE),1,0))),"")</f>
        <v>0</v>
      </c>
      <c r="AE335" s="4">
        <f>IFERROR(IF(Q335="","",(IF(Q335&gt;VLOOKUP(F!$B335,E!$B$1:$AK$300,6,FALSE)+VLOOKUP(F!$B335,E!$B$1:$AK$300,5,FALSE),1,0))),"")</f>
        <v>0</v>
      </c>
      <c r="AF335" s="4">
        <f>IFERROR(IF(T335="","",(IF(T335&gt;VLOOKUP(F!$B335,E!$B$1:$AK$300,6,FALSE)+VLOOKUP(F!$B335,E!$B$1:$AK$300,5,FALSE),1,0))),"")</f>
        <v>0</v>
      </c>
      <c r="AG335" s="4">
        <f>IFERROR(IF(W335="","",(IF(W335&gt;VLOOKUP(F!$B335,E!$B$1:$AK$300,6,FALSE)+VLOOKUP(F!$B335,E!$B$1:$AK$300,5,FALSE),1,0))),"")</f>
        <v>0</v>
      </c>
      <c r="AI335" s="6" t="str">
        <f t="shared" si="127"/>
        <v>0,10</v>
      </c>
      <c r="AJ335" s="6"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rg</v>
      </c>
      <c r="AK335" s="6" t="str">
        <f t="shared" si="128"/>
        <v>0,10</v>
      </c>
      <c r="AL335" s="6"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rg</v>
      </c>
      <c r="AM335" s="6" t="str">
        <f t="shared" si="129"/>
        <v>0,10</v>
      </c>
      <c r="AN335" s="6"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rg</v>
      </c>
      <c r="AP335" s="6" t="str">
        <f t="shared" si="116"/>
        <v>0,10</v>
      </c>
      <c r="AQ335" s="6" t="str">
        <f t="shared" si="117"/>
        <v>&lt;</v>
      </c>
      <c r="AR335" s="6" t="str">
        <f t="shared" si="118"/>
        <v>rg</v>
      </c>
      <c r="AS335" s="6" t="str">
        <f t="shared" si="119"/>
        <v>&lt;</v>
      </c>
      <c r="AT335" s="6" t="str">
        <f t="shared" si="120"/>
        <v>-</v>
      </c>
      <c r="AU335" s="6" t="str">
        <f>IFERROR(IF(AR335="--","",IF(HLOOKUP(SMALL($Q$4:$Y$4,3),$Q$4:$Y$501,ROW(AP335)-3,FALSE)=0,"",IF(HLOOKUP(SMALL($Q$4:$Y$4,3),$Q$4:$Y$501,ROW(AP335)-3,FALSE)="nee",VLOOKUP("De kwaliteitseis emissiearme grond (maximale concentratie) wordt overschreden.",H!$O$10:'H'!$P$59,2,FALSE),""))),"")</f>
        <v/>
      </c>
      <c r="AV335" s="6" t="str">
        <f t="shared" si="110"/>
        <v>0,10</v>
      </c>
      <c r="AW335" s="6" t="str">
        <f t="shared" si="111"/>
        <v>&lt;</v>
      </c>
      <c r="AX335" s="6" t="str">
        <f t="shared" si="112"/>
        <v>rg</v>
      </c>
      <c r="AY335" s="6" t="str">
        <f t="shared" si="121"/>
        <v>&lt;</v>
      </c>
      <c r="AZ335" s="6" t="str">
        <f t="shared" si="122"/>
        <v>-</v>
      </c>
      <c r="BA335" s="6" t="str">
        <f>IFERROR(IF(AR335="--","",IF(HLOOKUP(SMALL($Q$4:$Y$4,6),$Q$4:$Y$501,ROW(AP335)-3,FALSE)=0,"",IF(HLOOKUP(SMALL($Q$4:$Y$4,6),$Q$4:$Y$501,ROW(AP335)-3,FALSE)="nee",VLOOKUP("De kwaliteitseis emissiearme grond (maximale concentratie) wordt overschreden.",H!$O$10:'H'!$P$59,2,FALSE),""))),"")</f>
        <v/>
      </c>
      <c r="BB335" s="6" t="str">
        <f t="shared" si="113"/>
        <v>0,10</v>
      </c>
      <c r="BC335" s="6" t="str">
        <f t="shared" si="114"/>
        <v>&lt;</v>
      </c>
      <c r="BD335" s="6" t="str">
        <f t="shared" si="115"/>
        <v>rg</v>
      </c>
      <c r="BE335" s="6" t="str">
        <f t="shared" si="123"/>
        <v>&lt;</v>
      </c>
      <c r="BF335" s="6" t="str">
        <f t="shared" si="124"/>
        <v>-</v>
      </c>
      <c r="BG335" s="4" t="str">
        <f>IFERROR(IF(AR335="--","",IF(HLOOKUP(SMALL($Q$4:$Y$4,9),$Q$4:$Y$501,ROW(AP335)-3,FALSE)=0,"",IF(HLOOKUP(SMALL($Q$4:$Y$4,9),$Q$4:$Y$501,ROW(AP335)-3,FALSE)="nee",VLOOKUP("De kwaliteitseis emissiearme grond (maximale concentratie) wordt overschreden.",H!$O$10:'H'!$P$59,2,FALSE),""))),"")</f>
        <v/>
      </c>
    </row>
    <row r="336" spans="1:59" x14ac:dyDescent="0.2">
      <c r="A336" s="4" t="str">
        <f>F!A336</f>
        <v>PFUnDA</v>
      </c>
      <c r="B336" s="6">
        <f>IF(ISNUMBER(F!E336)=FALSE,"--",IF(F!E336=0,"--",F!E336))</f>
        <v>0.1</v>
      </c>
      <c r="C336" s="6" t="str">
        <f>IF(B336="--","",F!F336)</f>
        <v>&lt;</v>
      </c>
      <c r="D336" s="6">
        <f>IF(ISNUMBER(F!G336)=FALSE,"--",IF(F!G336=0,"--",F!G336))</f>
        <v>0.1</v>
      </c>
      <c r="E336" s="6" t="str">
        <f>IF(D336="--","",F!H336)</f>
        <v>&lt;</v>
      </c>
      <c r="F336" s="6">
        <f>IF(ISNUMBER(F!I336)=FALSE,"--",IF(F!I336=0,"--",F!I336))</f>
        <v>0.1</v>
      </c>
      <c r="G336" s="6" t="str">
        <f>IF(F336="--","",F!J336)</f>
        <v>&lt;</v>
      </c>
      <c r="H336" s="6"/>
      <c r="I336" s="16">
        <f>IF(F!Z336=0,-1,F!AV336)</f>
        <v>-1</v>
      </c>
      <c r="J336" s="6"/>
      <c r="K336" s="16">
        <f>IF(F!AC336=0,-1,F!AX336)</f>
        <v>-1</v>
      </c>
      <c r="L336" s="6"/>
      <c r="M336" s="16">
        <f>IF(F!AF336=0,-1,F!AZ336)</f>
        <v>-1</v>
      </c>
      <c r="N336" s="6"/>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6">
        <f t="shared" si="130"/>
        <v>-1</v>
      </c>
      <c r="R336" s="5" t="str">
        <f>IF($B336="--","",IF($P336="toetsen",toetsen(F!$B336,Q336),IF($P336="toetsen alleen IW",toetsen_alleen_IW(F!$B336,Q336),IF($P336="toetsen alleen LN",toetsen_alleen_LN(F!$B336,Q336),IF($P336="toetsen geen MV en SV",toetsen_geen_MV_en_SV(F!$B336,Q336),IF($P336="toetsen alleen MV en SV",toetsen_alleen_MV_en_SV(F!$B336,Q336),""))))))</f>
        <v>-</v>
      </c>
      <c r="S336" s="5" t="str">
        <f>IF($P336="toetsen",IF(OR(Q336="",VLOOKUP(F!$B336,E!$B$1:$AK$300,10,FALSE)=1000000000),"",IF(Q336&lt;=VLOOKUP(F!$B336,E!$B$1:$AK$300,10,FALSE),"ja","nee")),"")</f>
        <v>ja</v>
      </c>
      <c r="T336" s="87">
        <f t="shared" si="125"/>
        <v>-1</v>
      </c>
      <c r="U336" s="5" t="str">
        <f>IF($D336="--","",IF($P336="toetsen",toetsen(F!$B336,T336),IF($P336="toetsen alleen IW",toetsen_alleen_IW(F!$B336,T336),IF($P336="toetsen alleen LN",toetsen_alleen_LN(F!$B336,T336),IF($P336="toetsen geen MV en SV",toetsen_geen_MV_en_SV(F!$B336,T336),IF($P336="toetsen alleen MV en SV",toetsen_alleen_MV_en_SV(F!$B336,T336),""))))))</f>
        <v>-</v>
      </c>
      <c r="V336" s="5" t="str">
        <f>IF($P336="toetsen",IF(OR(T336="",VLOOKUP(F!$B336,E!$B$1:$AK$300,10,FALSE)=1000000000),"",IF(T336&lt;=VLOOKUP(F!$B336,E!$B$1:$AK$300,10,FALSE),"ja","nee")),"")</f>
        <v>ja</v>
      </c>
      <c r="W336" s="6">
        <f t="shared" si="126"/>
        <v>-1</v>
      </c>
      <c r="X336" s="5" t="str">
        <f>IF($F336="--","",IF($P336="toetsen",toetsen(F!$B336,W336),IF($P336="toetsen alleen IW",toetsen_alleen_IW(F!$B336,W336),IF($P336="toetsen alleen LN",toetsen_alleen_LN(F!$B336,W336),IF($P336="toetsen geen MV en SV",toetsen_geen_MV_en_SV(F!$B336,W336),IF($P336="toetsen alleen MV en SV",toetsen_alleen_MV_en_SV(F!$B336,W336),""))))))</f>
        <v>-</v>
      </c>
      <c r="Y336" s="5" t="str">
        <f>IF($P336="toetsen",IF(OR(W336="",VLOOKUP(F!$B336,E!$B$1:$AK$300,10,FALSE)=1000000000),"",IF(W336&lt;=VLOOKUP(F!$B336,E!$B$1:$AK$300,10,FALSE),"ja","nee")),"")</f>
        <v>ja</v>
      </c>
      <c r="AA336" s="4">
        <f>IFERROR(IF(Q336="","",(IF(Q336&gt;2*VLOOKUP(F!$B336,E!$B$1:$AK$300,5,FALSE),1,0))),"")</f>
        <v>0</v>
      </c>
      <c r="AB336" s="4">
        <f>IFERROR(IF(T336="","",(IF(T336&gt;2*VLOOKUP(F!$B336,E!$B$1:$AK$300,5,FALSE),1,0))),"")</f>
        <v>0</v>
      </c>
      <c r="AC336" s="4">
        <f>IFERROR(IF(W336="","",(IF(W336&gt;2*VLOOKUP(F!$B336,E!$B$1:$AK$300,5,FALSE),1,0))),"")</f>
        <v>0</v>
      </c>
      <c r="AE336" s="4">
        <f>IFERROR(IF(Q336="","",(IF(Q336&gt;VLOOKUP(F!$B336,E!$B$1:$AK$300,6,FALSE)+VLOOKUP(F!$B336,E!$B$1:$AK$300,5,FALSE),1,0))),"")</f>
        <v>0</v>
      </c>
      <c r="AF336" s="4">
        <f>IFERROR(IF(T336="","",(IF(T336&gt;VLOOKUP(F!$B336,E!$B$1:$AK$300,6,FALSE)+VLOOKUP(F!$B336,E!$B$1:$AK$300,5,FALSE),1,0))),"")</f>
        <v>0</v>
      </c>
      <c r="AG336" s="4">
        <f>IFERROR(IF(W336="","",(IF(W336&gt;VLOOKUP(F!$B336,E!$B$1:$AK$300,6,FALSE)+VLOOKUP(F!$B336,E!$B$1:$AK$300,5,FALSE),1,0))),"")</f>
        <v>0</v>
      </c>
      <c r="AI336" s="6" t="str">
        <f t="shared" si="127"/>
        <v>0,10</v>
      </c>
      <c r="AJ336" s="6"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rg</v>
      </c>
      <c r="AK336" s="6" t="str">
        <f t="shared" si="128"/>
        <v>0,10</v>
      </c>
      <c r="AL336" s="6"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rg</v>
      </c>
      <c r="AM336" s="6" t="str">
        <f t="shared" si="129"/>
        <v>0,10</v>
      </c>
      <c r="AN336" s="6"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rg</v>
      </c>
      <c r="AP336" s="6" t="str">
        <f t="shared" si="116"/>
        <v>0,10</v>
      </c>
      <c r="AQ336" s="6" t="str">
        <f t="shared" si="117"/>
        <v>&lt;</v>
      </c>
      <c r="AR336" s="6" t="str">
        <f t="shared" si="118"/>
        <v>rg</v>
      </c>
      <c r="AS336" s="6" t="str">
        <f t="shared" si="119"/>
        <v>&lt;</v>
      </c>
      <c r="AT336" s="6" t="str">
        <f t="shared" si="120"/>
        <v>-</v>
      </c>
      <c r="AU336" s="6" t="str">
        <f>IFERROR(IF(AR336="--","",IF(HLOOKUP(SMALL($Q$4:$Y$4,3),$Q$4:$Y$501,ROW(AP336)-3,FALSE)=0,"",IF(HLOOKUP(SMALL($Q$4:$Y$4,3),$Q$4:$Y$501,ROW(AP336)-3,FALSE)="nee",VLOOKUP("De kwaliteitseis emissiearme grond (maximale concentratie) wordt overschreden.",H!$O$10:'H'!$P$59,2,FALSE),""))),"")</f>
        <v/>
      </c>
      <c r="AV336" s="6" t="str">
        <f t="shared" si="110"/>
        <v>0,10</v>
      </c>
      <c r="AW336" s="6" t="str">
        <f t="shared" si="111"/>
        <v>&lt;</v>
      </c>
      <c r="AX336" s="6" t="str">
        <f t="shared" si="112"/>
        <v>rg</v>
      </c>
      <c r="AY336" s="6" t="str">
        <f t="shared" si="121"/>
        <v>&lt;</v>
      </c>
      <c r="AZ336" s="6" t="str">
        <f t="shared" si="122"/>
        <v>-</v>
      </c>
      <c r="BA336" s="6" t="str">
        <f>IFERROR(IF(AR336="--","",IF(HLOOKUP(SMALL($Q$4:$Y$4,6),$Q$4:$Y$501,ROW(AP336)-3,FALSE)=0,"",IF(HLOOKUP(SMALL($Q$4:$Y$4,6),$Q$4:$Y$501,ROW(AP336)-3,FALSE)="nee",VLOOKUP("De kwaliteitseis emissiearme grond (maximale concentratie) wordt overschreden.",H!$O$10:'H'!$P$59,2,FALSE),""))),"")</f>
        <v/>
      </c>
      <c r="BB336" s="6" t="str">
        <f t="shared" si="113"/>
        <v>0,10</v>
      </c>
      <c r="BC336" s="6" t="str">
        <f t="shared" si="114"/>
        <v>&lt;</v>
      </c>
      <c r="BD336" s="6" t="str">
        <f t="shared" si="115"/>
        <v>rg</v>
      </c>
      <c r="BE336" s="6" t="str">
        <f t="shared" si="123"/>
        <v>&lt;</v>
      </c>
      <c r="BF336" s="6" t="str">
        <f t="shared" si="124"/>
        <v>-</v>
      </c>
      <c r="BG336" s="4" t="str">
        <f>IFERROR(IF(AR336="--","",IF(HLOOKUP(SMALL($Q$4:$Y$4,9),$Q$4:$Y$501,ROW(AP336)-3,FALSE)=0,"",IF(HLOOKUP(SMALL($Q$4:$Y$4,9),$Q$4:$Y$501,ROW(AP336)-3,FALSE)="nee",VLOOKUP("De kwaliteitseis emissiearme grond (maximale concentratie) wordt overschreden.",H!$O$10:'H'!$P$59,2,FALSE),""))),"")</f>
        <v/>
      </c>
    </row>
    <row r="337" spans="1:59" x14ac:dyDescent="0.2">
      <c r="A337" s="4" t="str">
        <f>F!A337</f>
        <v>PFDoDA</v>
      </c>
      <c r="B337" s="6">
        <f>IF(ISNUMBER(F!E337)=FALSE,"--",IF(F!E337=0,"--",F!E337))</f>
        <v>0.1</v>
      </c>
      <c r="C337" s="6" t="str">
        <f>IF(B337="--","",F!F337)</f>
        <v>&lt;</v>
      </c>
      <c r="D337" s="6">
        <f>IF(ISNUMBER(F!G337)=FALSE,"--",IF(F!G337=0,"--",F!G337))</f>
        <v>0.1</v>
      </c>
      <c r="E337" s="6" t="str">
        <f>IF(D337="--","",F!H337)</f>
        <v>&lt;</v>
      </c>
      <c r="F337" s="6">
        <f>IF(ISNUMBER(F!I337)=FALSE,"--",IF(F!I337=0,"--",F!I337))</f>
        <v>0.1</v>
      </c>
      <c r="G337" s="6" t="str">
        <f>IF(F337="--","",F!J337)</f>
        <v>&lt;</v>
      </c>
      <c r="H337" s="6"/>
      <c r="I337" s="16">
        <f>IF(F!Z337=0,-1,F!AV337)</f>
        <v>-1</v>
      </c>
      <c r="J337" s="6"/>
      <c r="K337" s="16">
        <f>IF(F!AC337=0,-1,F!AX337)</f>
        <v>-1</v>
      </c>
      <c r="L337" s="6"/>
      <c r="M337" s="16">
        <f>IF(F!AF337=0,-1,F!AZ337)</f>
        <v>-1</v>
      </c>
      <c r="N337" s="6"/>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6">
        <f t="shared" si="130"/>
        <v>-1</v>
      </c>
      <c r="R337" s="5" t="str">
        <f>IF($B337="--","",IF($P337="toetsen",toetsen(F!$B337,Q337),IF($P337="toetsen alleen IW",toetsen_alleen_IW(F!$B337,Q337),IF($P337="toetsen alleen LN",toetsen_alleen_LN(F!$B337,Q337),IF($P337="toetsen geen MV en SV",toetsen_geen_MV_en_SV(F!$B337,Q337),IF($P337="toetsen alleen MV en SV",toetsen_alleen_MV_en_SV(F!$B337,Q337),""))))))</f>
        <v>-</v>
      </c>
      <c r="S337" s="5" t="str">
        <f>IF($P337="toetsen",IF(OR(Q337="",VLOOKUP(F!$B337,E!$B$1:$AK$300,10,FALSE)=1000000000),"",IF(Q337&lt;=VLOOKUP(F!$B337,E!$B$1:$AK$300,10,FALSE),"ja","nee")),"")</f>
        <v>ja</v>
      </c>
      <c r="T337" s="87">
        <f t="shared" si="125"/>
        <v>-1</v>
      </c>
      <c r="U337" s="5" t="str">
        <f>IF($D337="--","",IF($P337="toetsen",toetsen(F!$B337,T337),IF($P337="toetsen alleen IW",toetsen_alleen_IW(F!$B337,T337),IF($P337="toetsen alleen LN",toetsen_alleen_LN(F!$B337,T337),IF($P337="toetsen geen MV en SV",toetsen_geen_MV_en_SV(F!$B337,T337),IF($P337="toetsen alleen MV en SV",toetsen_alleen_MV_en_SV(F!$B337,T337),""))))))</f>
        <v>-</v>
      </c>
      <c r="V337" s="5" t="str">
        <f>IF($P337="toetsen",IF(OR(T337="",VLOOKUP(F!$B337,E!$B$1:$AK$300,10,FALSE)=1000000000),"",IF(T337&lt;=VLOOKUP(F!$B337,E!$B$1:$AK$300,10,FALSE),"ja","nee")),"")</f>
        <v>ja</v>
      </c>
      <c r="W337" s="6">
        <f t="shared" si="126"/>
        <v>-1</v>
      </c>
      <c r="X337" s="5" t="str">
        <f>IF($F337="--","",IF($P337="toetsen",toetsen(F!$B337,W337),IF($P337="toetsen alleen IW",toetsen_alleen_IW(F!$B337,W337),IF($P337="toetsen alleen LN",toetsen_alleen_LN(F!$B337,W337),IF($P337="toetsen geen MV en SV",toetsen_geen_MV_en_SV(F!$B337,W337),IF($P337="toetsen alleen MV en SV",toetsen_alleen_MV_en_SV(F!$B337,W337),""))))))</f>
        <v>-</v>
      </c>
      <c r="Y337" s="5" t="str">
        <f>IF($P337="toetsen",IF(OR(W337="",VLOOKUP(F!$B337,E!$B$1:$AK$300,10,FALSE)=1000000000),"",IF(W337&lt;=VLOOKUP(F!$B337,E!$B$1:$AK$300,10,FALSE),"ja","nee")),"")</f>
        <v>ja</v>
      </c>
      <c r="AA337" s="4">
        <f>IFERROR(IF(Q337="","",(IF(Q337&gt;2*VLOOKUP(F!$B337,E!$B$1:$AK$300,5,FALSE),1,0))),"")</f>
        <v>0</v>
      </c>
      <c r="AB337" s="4">
        <f>IFERROR(IF(T337="","",(IF(T337&gt;2*VLOOKUP(F!$B337,E!$B$1:$AK$300,5,FALSE),1,0))),"")</f>
        <v>0</v>
      </c>
      <c r="AC337" s="4">
        <f>IFERROR(IF(W337="","",(IF(W337&gt;2*VLOOKUP(F!$B337,E!$B$1:$AK$300,5,FALSE),1,0))),"")</f>
        <v>0</v>
      </c>
      <c r="AE337" s="4">
        <f>IFERROR(IF(Q337="","",(IF(Q337&gt;VLOOKUP(F!$B337,E!$B$1:$AK$300,6,FALSE)+VLOOKUP(F!$B337,E!$B$1:$AK$300,5,FALSE),1,0))),"")</f>
        <v>0</v>
      </c>
      <c r="AF337" s="4">
        <f>IFERROR(IF(T337="","",(IF(T337&gt;VLOOKUP(F!$B337,E!$B$1:$AK$300,6,FALSE)+VLOOKUP(F!$B337,E!$B$1:$AK$300,5,FALSE),1,0))),"")</f>
        <v>0</v>
      </c>
      <c r="AG337" s="4">
        <f>IFERROR(IF(W337="","",(IF(W337&gt;VLOOKUP(F!$B337,E!$B$1:$AK$300,6,FALSE)+VLOOKUP(F!$B337,E!$B$1:$AK$300,5,FALSE),1,0))),"")</f>
        <v>0</v>
      </c>
      <c r="AI337" s="6" t="str">
        <f t="shared" si="127"/>
        <v>0,10</v>
      </c>
      <c r="AJ337" s="6"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rg</v>
      </c>
      <c r="AK337" s="6" t="str">
        <f t="shared" si="128"/>
        <v>0,10</v>
      </c>
      <c r="AL337" s="6"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rg</v>
      </c>
      <c r="AM337" s="6" t="str">
        <f t="shared" si="129"/>
        <v>0,10</v>
      </c>
      <c r="AN337" s="6"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rg</v>
      </c>
      <c r="AP337" s="6" t="str">
        <f t="shared" si="116"/>
        <v>0,10</v>
      </c>
      <c r="AQ337" s="6" t="str">
        <f t="shared" si="117"/>
        <v>&lt;</v>
      </c>
      <c r="AR337" s="6" t="str">
        <f t="shared" si="118"/>
        <v>rg</v>
      </c>
      <c r="AS337" s="6" t="str">
        <f t="shared" si="119"/>
        <v>&lt;</v>
      </c>
      <c r="AT337" s="6" t="str">
        <f t="shared" si="120"/>
        <v>-</v>
      </c>
      <c r="AU337" s="6" t="str">
        <f>IFERROR(IF(AR337="--","",IF(HLOOKUP(SMALL($Q$4:$Y$4,3),$Q$4:$Y$501,ROW(AP337)-3,FALSE)=0,"",IF(HLOOKUP(SMALL($Q$4:$Y$4,3),$Q$4:$Y$501,ROW(AP337)-3,FALSE)="nee",VLOOKUP("De kwaliteitseis emissiearme grond (maximale concentratie) wordt overschreden.",H!$O$10:'H'!$P$59,2,FALSE),""))),"")</f>
        <v/>
      </c>
      <c r="AV337" s="6" t="str">
        <f t="shared" si="110"/>
        <v>0,10</v>
      </c>
      <c r="AW337" s="6" t="str">
        <f t="shared" si="111"/>
        <v>&lt;</v>
      </c>
      <c r="AX337" s="6" t="str">
        <f t="shared" si="112"/>
        <v>rg</v>
      </c>
      <c r="AY337" s="6" t="str">
        <f t="shared" si="121"/>
        <v>&lt;</v>
      </c>
      <c r="AZ337" s="6" t="str">
        <f t="shared" si="122"/>
        <v>-</v>
      </c>
      <c r="BA337" s="6" t="str">
        <f>IFERROR(IF(AR337="--","",IF(HLOOKUP(SMALL($Q$4:$Y$4,6),$Q$4:$Y$501,ROW(AP337)-3,FALSE)=0,"",IF(HLOOKUP(SMALL($Q$4:$Y$4,6),$Q$4:$Y$501,ROW(AP337)-3,FALSE)="nee",VLOOKUP("De kwaliteitseis emissiearme grond (maximale concentratie) wordt overschreden.",H!$O$10:'H'!$P$59,2,FALSE),""))),"")</f>
        <v/>
      </c>
      <c r="BB337" s="6" t="str">
        <f t="shared" si="113"/>
        <v>0,10</v>
      </c>
      <c r="BC337" s="6" t="str">
        <f t="shared" si="114"/>
        <v>&lt;</v>
      </c>
      <c r="BD337" s="6" t="str">
        <f t="shared" si="115"/>
        <v>rg</v>
      </c>
      <c r="BE337" s="6" t="str">
        <f t="shared" si="123"/>
        <v>&lt;</v>
      </c>
      <c r="BF337" s="6" t="str">
        <f t="shared" si="124"/>
        <v>-</v>
      </c>
      <c r="BG337" s="4" t="str">
        <f>IFERROR(IF(AR337="--","",IF(HLOOKUP(SMALL($Q$4:$Y$4,9),$Q$4:$Y$501,ROW(AP337)-3,FALSE)=0,"",IF(HLOOKUP(SMALL($Q$4:$Y$4,9),$Q$4:$Y$501,ROW(AP337)-3,FALSE)="nee",VLOOKUP("De kwaliteitseis emissiearme grond (maximale concentratie) wordt overschreden.",H!$O$10:'H'!$P$59,2,FALSE),""))),"")</f>
        <v/>
      </c>
    </row>
    <row r="338" spans="1:59" x14ac:dyDescent="0.2">
      <c r="A338" s="4" t="str">
        <f>F!A338</f>
        <v>PFTrDA</v>
      </c>
      <c r="B338" s="6" t="str">
        <f>IF(ISNUMBER(F!E338)=FALSE,"--",IF(F!E338=0,"--",F!E338))</f>
        <v>--</v>
      </c>
      <c r="C338" s="6" t="str">
        <f>IF(B338="--","",F!F338)</f>
        <v/>
      </c>
      <c r="D338" s="6" t="str">
        <f>IF(ISNUMBER(F!G338)=FALSE,"--",IF(F!G338=0,"--",F!G338))</f>
        <v>--</v>
      </c>
      <c r="E338" s="6" t="str">
        <f>IF(D338="--","",F!H338)</f>
        <v/>
      </c>
      <c r="F338" s="6" t="str">
        <f>IF(ISNUMBER(F!I338)=FALSE,"--",IF(F!I338=0,"--",F!I338))</f>
        <v>--</v>
      </c>
      <c r="G338" s="6" t="str">
        <f>IF(F338="--","",F!J338)</f>
        <v/>
      </c>
      <c r="H338" s="6"/>
      <c r="I338" s="16" t="str">
        <f>IF(F!Z338=0,-1,F!AV338)</f>
        <v/>
      </c>
      <c r="J338" s="6"/>
      <c r="K338" s="16" t="str">
        <f>IF(F!AC338=0,-1,F!AX338)</f>
        <v/>
      </c>
      <c r="L338" s="6"/>
      <c r="M338" s="16" t="str">
        <f>IF(F!AF338=0,-1,F!AZ338)</f>
        <v/>
      </c>
      <c r="N338" s="6"/>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6" t="str">
        <f t="shared" si="130"/>
        <v/>
      </c>
      <c r="R338" s="5" t="str">
        <f>IF($B338="--","",IF($P338="toetsen",toetsen(F!$B338,Q338),IF($P338="toetsen alleen IW",toetsen_alleen_IW(F!$B338,Q338),IF($P338="toetsen alleen LN",toetsen_alleen_LN(F!$B338,Q338),IF($P338="toetsen geen MV en SV",toetsen_geen_MV_en_SV(F!$B338,Q338),IF($P338="toetsen alleen MV en SV",toetsen_alleen_MV_en_SV(F!$B338,Q338),""))))))</f>
        <v/>
      </c>
      <c r="S338" s="5" t="str">
        <f>IF($P338="toetsen",IF(OR(Q338="",VLOOKUP(F!$B338,E!$B$1:$AK$300,10,FALSE)=1000000000),"",IF(Q338&lt;=VLOOKUP(F!$B338,E!$B$1:$AK$300,10,FALSE),"ja","nee")),"")</f>
        <v/>
      </c>
      <c r="T338" s="87" t="str">
        <f t="shared" si="125"/>
        <v/>
      </c>
      <c r="U338" s="5" t="str">
        <f>IF($D338="--","",IF($P338="toetsen",toetsen(F!$B338,T338),IF($P338="toetsen alleen IW",toetsen_alleen_IW(F!$B338,T338),IF($P338="toetsen alleen LN",toetsen_alleen_LN(F!$B338,T338),IF($P338="toetsen geen MV en SV",toetsen_geen_MV_en_SV(F!$B338,T338),IF($P338="toetsen alleen MV en SV",toetsen_alleen_MV_en_SV(F!$B338,T338),""))))))</f>
        <v/>
      </c>
      <c r="V338" s="5" t="str">
        <f>IF($P338="toetsen",IF(OR(T338="",VLOOKUP(F!$B338,E!$B$1:$AK$300,10,FALSE)=1000000000),"",IF(T338&lt;=VLOOKUP(F!$B338,E!$B$1:$AK$300,10,FALSE),"ja","nee")),"")</f>
        <v/>
      </c>
      <c r="W338" s="6" t="str">
        <f t="shared" si="126"/>
        <v/>
      </c>
      <c r="X338" s="5" t="str">
        <f>IF($F338="--","",IF($P338="toetsen",toetsen(F!$B338,W338),IF($P338="toetsen alleen IW",toetsen_alleen_IW(F!$B338,W338),IF($P338="toetsen alleen LN",toetsen_alleen_LN(F!$B338,W338),IF($P338="toetsen geen MV en SV",toetsen_geen_MV_en_SV(F!$B338,W338),IF($P338="toetsen alleen MV en SV",toetsen_alleen_MV_en_SV(F!$B338,W338),""))))))</f>
        <v/>
      </c>
      <c r="Y338" s="5" t="str">
        <f>IF($P338="toetsen",IF(OR(W338="",VLOOKUP(F!$B338,E!$B$1:$AK$300,10,FALSE)=1000000000),"",IF(W338&lt;=VLOOKUP(F!$B338,E!$B$1:$AK$300,10,FALSE),"ja","nee")),"")</f>
        <v/>
      </c>
      <c r="AA338" s="4" t="str">
        <f>IFERROR(IF(Q338="","",(IF(Q338&gt;2*VLOOKUP(F!$B338,E!$B$1:$AK$300,5,FALSE),1,0))),"")</f>
        <v/>
      </c>
      <c r="AB338" s="4" t="str">
        <f>IFERROR(IF(T338="","",(IF(T338&gt;2*VLOOKUP(F!$B338,E!$B$1:$AK$300,5,FALSE),1,0))),"")</f>
        <v/>
      </c>
      <c r="AC338" s="4" t="str">
        <f>IFERROR(IF(W338="","",(IF(W338&gt;2*VLOOKUP(F!$B338,E!$B$1:$AK$300,5,FALSE),1,0))),"")</f>
        <v/>
      </c>
      <c r="AE338" s="4" t="str">
        <f>IFERROR(IF(Q338="","",(IF(Q338&gt;VLOOKUP(F!$B338,E!$B$1:$AK$300,6,FALSE)+VLOOKUP(F!$B338,E!$B$1:$AK$300,5,FALSE),1,0))),"")</f>
        <v/>
      </c>
      <c r="AF338" s="4" t="str">
        <f>IFERROR(IF(T338="","",(IF(T338&gt;VLOOKUP(F!$B338,E!$B$1:$AK$300,6,FALSE)+VLOOKUP(F!$B338,E!$B$1:$AK$300,5,FALSE),1,0))),"")</f>
        <v/>
      </c>
      <c r="AG338" s="4" t="str">
        <f>IFERROR(IF(W338="","",(IF(W338&gt;VLOOKUP(F!$B338,E!$B$1:$AK$300,6,FALSE)+VLOOKUP(F!$B338,E!$B$1:$AK$300,5,FALSE),1,0))),"")</f>
        <v/>
      </c>
      <c r="AI338" s="6" t="str">
        <f t="shared" si="127"/>
        <v>--</v>
      </c>
      <c r="AJ338" s="6"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6" t="str">
        <f t="shared" si="128"/>
        <v>--</v>
      </c>
      <c r="AL338" s="6"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v>
      </c>
      <c r="AM338" s="6" t="str">
        <f t="shared" si="129"/>
        <v>--</v>
      </c>
      <c r="AN338" s="6"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6" t="str">
        <f t="shared" si="116"/>
        <v>--</v>
      </c>
      <c r="AQ338" s="6" t="str">
        <f t="shared" si="117"/>
        <v/>
      </c>
      <c r="AR338" s="6" t="str">
        <f t="shared" si="118"/>
        <v>--</v>
      </c>
      <c r="AS338" s="6" t="str">
        <f t="shared" si="119"/>
        <v/>
      </c>
      <c r="AT338" s="6" t="str">
        <f t="shared" si="120"/>
        <v/>
      </c>
      <c r="AU338" s="6" t="str">
        <f>IFERROR(IF(AR338="--","",IF(HLOOKUP(SMALL($Q$4:$Y$4,3),$Q$4:$Y$501,ROW(AP338)-3,FALSE)=0,"",IF(HLOOKUP(SMALL($Q$4:$Y$4,3),$Q$4:$Y$501,ROW(AP338)-3,FALSE)="nee",VLOOKUP("De kwaliteitseis emissiearme grond (maximale concentratie) wordt overschreden.",H!$O$10:'H'!$P$59,2,FALSE),""))),"")</f>
        <v/>
      </c>
      <c r="AV338" s="6" t="str">
        <f t="shared" si="110"/>
        <v>--</v>
      </c>
      <c r="AW338" s="6" t="str">
        <f t="shared" si="111"/>
        <v/>
      </c>
      <c r="AX338" s="6" t="str">
        <f t="shared" si="112"/>
        <v>--</v>
      </c>
      <c r="AY338" s="6" t="str">
        <f t="shared" si="121"/>
        <v/>
      </c>
      <c r="AZ338" s="6" t="str">
        <f t="shared" si="122"/>
        <v/>
      </c>
      <c r="BA338" s="6" t="str">
        <f>IFERROR(IF(AR338="--","",IF(HLOOKUP(SMALL($Q$4:$Y$4,6),$Q$4:$Y$501,ROW(AP338)-3,FALSE)=0,"",IF(HLOOKUP(SMALL($Q$4:$Y$4,6),$Q$4:$Y$501,ROW(AP338)-3,FALSE)="nee",VLOOKUP("De kwaliteitseis emissiearme grond (maximale concentratie) wordt overschreden.",H!$O$10:'H'!$P$59,2,FALSE),""))),"")</f>
        <v/>
      </c>
      <c r="BB338" s="6" t="str">
        <f t="shared" si="113"/>
        <v>--</v>
      </c>
      <c r="BC338" s="6" t="str">
        <f t="shared" si="114"/>
        <v/>
      </c>
      <c r="BD338" s="6" t="str">
        <f t="shared" si="115"/>
        <v>--</v>
      </c>
      <c r="BE338" s="6" t="str">
        <f t="shared" si="123"/>
        <v/>
      </c>
      <c r="BF338" s="6" t="str">
        <f t="shared" si="124"/>
        <v/>
      </c>
      <c r="BG338" s="4" t="str">
        <f>IFERROR(IF(AR338="--","",IF(HLOOKUP(SMALL($Q$4:$Y$4,9),$Q$4:$Y$501,ROW(AP338)-3,FALSE)=0,"",IF(HLOOKUP(SMALL($Q$4:$Y$4,9),$Q$4:$Y$501,ROW(AP338)-3,FALSE)="nee",VLOOKUP("De kwaliteitseis emissiearme grond (maximale concentratie) wordt overschreden.",H!$O$10:'H'!$P$59,2,FALSE),""))),"")</f>
        <v/>
      </c>
    </row>
    <row r="339" spans="1:59" x14ac:dyDescent="0.2">
      <c r="A339" s="4" t="str">
        <f>F!A339</f>
        <v>PFTeDA</v>
      </c>
      <c r="B339" s="6" t="str">
        <f>IF(ISNUMBER(F!E339)=FALSE,"--",IF(F!E339=0,"--",F!E339))</f>
        <v>--</v>
      </c>
      <c r="C339" s="6" t="str">
        <f>IF(B339="--","",F!F339)</f>
        <v/>
      </c>
      <c r="D339" s="6" t="str">
        <f>IF(ISNUMBER(F!G339)=FALSE,"--",IF(F!G339=0,"--",F!G339))</f>
        <v>--</v>
      </c>
      <c r="E339" s="6" t="str">
        <f>IF(D339="--","",F!H339)</f>
        <v/>
      </c>
      <c r="F339" s="6" t="str">
        <f>IF(ISNUMBER(F!I339)=FALSE,"--",IF(F!I339=0,"--",F!I339))</f>
        <v>--</v>
      </c>
      <c r="G339" s="6" t="str">
        <f>IF(F339="--","",F!J339)</f>
        <v/>
      </c>
      <c r="H339" s="6"/>
      <c r="I339" s="16" t="str">
        <f>IF(F!Z339=0,-1,F!AV339)</f>
        <v/>
      </c>
      <c r="J339" s="6"/>
      <c r="K339" s="16" t="str">
        <f>IF(F!AC339=0,-1,F!AX339)</f>
        <v/>
      </c>
      <c r="L339" s="6"/>
      <c r="M339" s="16" t="str">
        <f>IF(F!AF339=0,-1,F!AZ339)</f>
        <v/>
      </c>
      <c r="N339" s="6"/>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6" t="str">
        <f t="shared" si="130"/>
        <v/>
      </c>
      <c r="R339" s="5" t="str">
        <f>IF($B339="--","",IF($P339="toetsen",toetsen(F!$B339,Q339),IF($P339="toetsen alleen IW",toetsen_alleen_IW(F!$B339,Q339),IF($P339="toetsen alleen LN",toetsen_alleen_LN(F!$B339,Q339),IF($P339="toetsen geen MV en SV",toetsen_geen_MV_en_SV(F!$B339,Q339),IF($P339="toetsen alleen MV en SV",toetsen_alleen_MV_en_SV(F!$B339,Q339),""))))))</f>
        <v/>
      </c>
      <c r="S339" s="5" t="str">
        <f>IF($P339="toetsen",IF(OR(Q339="",VLOOKUP(F!$B339,E!$B$1:$AK$300,10,FALSE)=1000000000),"",IF(Q339&lt;=VLOOKUP(F!$B339,E!$B$1:$AK$300,10,FALSE),"ja","nee")),"")</f>
        <v/>
      </c>
      <c r="T339" s="87" t="str">
        <f t="shared" si="125"/>
        <v/>
      </c>
      <c r="U339" s="5" t="str">
        <f>IF($D339="--","",IF($P339="toetsen",toetsen(F!$B339,T339),IF($P339="toetsen alleen IW",toetsen_alleen_IW(F!$B339,T339),IF($P339="toetsen alleen LN",toetsen_alleen_LN(F!$B339,T339),IF($P339="toetsen geen MV en SV",toetsen_geen_MV_en_SV(F!$B339,T339),IF($P339="toetsen alleen MV en SV",toetsen_alleen_MV_en_SV(F!$B339,T339),""))))))</f>
        <v/>
      </c>
      <c r="V339" s="5" t="str">
        <f>IF($P339="toetsen",IF(OR(T339="",VLOOKUP(F!$B339,E!$B$1:$AK$300,10,FALSE)=1000000000),"",IF(T339&lt;=VLOOKUP(F!$B339,E!$B$1:$AK$300,10,FALSE),"ja","nee")),"")</f>
        <v/>
      </c>
      <c r="W339" s="6" t="str">
        <f t="shared" si="126"/>
        <v/>
      </c>
      <c r="X339" s="5" t="str">
        <f>IF($F339="--","",IF($P339="toetsen",toetsen(F!$B339,W339),IF($P339="toetsen alleen IW",toetsen_alleen_IW(F!$B339,W339),IF($P339="toetsen alleen LN",toetsen_alleen_LN(F!$B339,W339),IF($P339="toetsen geen MV en SV",toetsen_geen_MV_en_SV(F!$B339,W339),IF($P339="toetsen alleen MV en SV",toetsen_alleen_MV_en_SV(F!$B339,W339),""))))))</f>
        <v/>
      </c>
      <c r="Y339" s="5" t="str">
        <f>IF($P339="toetsen",IF(OR(W339="",VLOOKUP(F!$B339,E!$B$1:$AK$300,10,FALSE)=1000000000),"",IF(W339&lt;=VLOOKUP(F!$B339,E!$B$1:$AK$300,10,FALSE),"ja","nee")),"")</f>
        <v/>
      </c>
      <c r="AA339" s="4" t="str">
        <f>IFERROR(IF(Q339="","",(IF(Q339&gt;2*VLOOKUP(F!$B339,E!$B$1:$AK$300,5,FALSE),1,0))),"")</f>
        <v/>
      </c>
      <c r="AB339" s="4" t="str">
        <f>IFERROR(IF(T339="","",(IF(T339&gt;2*VLOOKUP(F!$B339,E!$B$1:$AK$300,5,FALSE),1,0))),"")</f>
        <v/>
      </c>
      <c r="AC339" s="4" t="str">
        <f>IFERROR(IF(W339="","",(IF(W339&gt;2*VLOOKUP(F!$B339,E!$B$1:$AK$300,5,FALSE),1,0))),"")</f>
        <v/>
      </c>
      <c r="AE339" s="4" t="str">
        <f>IFERROR(IF(Q339="","",(IF(Q339&gt;VLOOKUP(F!$B339,E!$B$1:$AK$300,6,FALSE)+VLOOKUP(F!$B339,E!$B$1:$AK$300,5,FALSE),1,0))),"")</f>
        <v/>
      </c>
      <c r="AF339" s="4" t="str">
        <f>IFERROR(IF(T339="","",(IF(T339&gt;VLOOKUP(F!$B339,E!$B$1:$AK$300,6,FALSE)+VLOOKUP(F!$B339,E!$B$1:$AK$300,5,FALSE),1,0))),"")</f>
        <v/>
      </c>
      <c r="AG339" s="4" t="str">
        <f>IFERROR(IF(W339="","",(IF(W339&gt;VLOOKUP(F!$B339,E!$B$1:$AK$300,6,FALSE)+VLOOKUP(F!$B339,E!$B$1:$AK$300,5,FALSE),1,0))),"")</f>
        <v/>
      </c>
      <c r="AI339" s="6" t="str">
        <f t="shared" si="127"/>
        <v>--</v>
      </c>
      <c r="AJ339" s="6"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6" t="str">
        <f t="shared" si="128"/>
        <v>--</v>
      </c>
      <c r="AL339" s="6"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v>
      </c>
      <c r="AM339" s="6" t="str">
        <f t="shared" si="129"/>
        <v>--</v>
      </c>
      <c r="AN339" s="6"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6" t="str">
        <f t="shared" si="116"/>
        <v>--</v>
      </c>
      <c r="AQ339" s="6" t="str">
        <f t="shared" si="117"/>
        <v/>
      </c>
      <c r="AR339" s="6" t="str">
        <f t="shared" si="118"/>
        <v>--</v>
      </c>
      <c r="AS339" s="6" t="str">
        <f t="shared" si="119"/>
        <v/>
      </c>
      <c r="AT339" s="6" t="str">
        <f t="shared" si="120"/>
        <v/>
      </c>
      <c r="AU339" s="6" t="str">
        <f>IFERROR(IF(AR339="--","",IF(HLOOKUP(SMALL($Q$4:$Y$4,3),$Q$4:$Y$501,ROW(AP339)-3,FALSE)=0,"",IF(HLOOKUP(SMALL($Q$4:$Y$4,3),$Q$4:$Y$501,ROW(AP339)-3,FALSE)="nee",VLOOKUP("De kwaliteitseis emissiearme grond (maximale concentratie) wordt overschreden.",H!$O$10:'H'!$P$59,2,FALSE),""))),"")</f>
        <v/>
      </c>
      <c r="AV339" s="6" t="str">
        <f t="shared" si="110"/>
        <v>--</v>
      </c>
      <c r="AW339" s="6" t="str">
        <f t="shared" si="111"/>
        <v/>
      </c>
      <c r="AX339" s="6" t="str">
        <f t="shared" si="112"/>
        <v>--</v>
      </c>
      <c r="AY339" s="6" t="str">
        <f t="shared" si="121"/>
        <v/>
      </c>
      <c r="AZ339" s="6" t="str">
        <f t="shared" si="122"/>
        <v/>
      </c>
      <c r="BA339" s="6" t="str">
        <f>IFERROR(IF(AR339="--","",IF(HLOOKUP(SMALL($Q$4:$Y$4,6),$Q$4:$Y$501,ROW(AP339)-3,FALSE)=0,"",IF(HLOOKUP(SMALL($Q$4:$Y$4,6),$Q$4:$Y$501,ROW(AP339)-3,FALSE)="nee",VLOOKUP("De kwaliteitseis emissiearme grond (maximale concentratie) wordt overschreden.",H!$O$10:'H'!$P$59,2,FALSE),""))),"")</f>
        <v/>
      </c>
      <c r="BB339" s="6" t="str">
        <f t="shared" si="113"/>
        <v>--</v>
      </c>
      <c r="BC339" s="6" t="str">
        <f t="shared" si="114"/>
        <v/>
      </c>
      <c r="BD339" s="6" t="str">
        <f t="shared" si="115"/>
        <v>--</v>
      </c>
      <c r="BE339" s="6" t="str">
        <f t="shared" si="123"/>
        <v/>
      </c>
      <c r="BF339" s="6" t="str">
        <f t="shared" si="124"/>
        <v/>
      </c>
      <c r="BG339" s="4" t="str">
        <f>IFERROR(IF(AR339="--","",IF(HLOOKUP(SMALL($Q$4:$Y$4,9),$Q$4:$Y$501,ROW(AP339)-3,FALSE)=0,"",IF(HLOOKUP(SMALL($Q$4:$Y$4,9),$Q$4:$Y$501,ROW(AP339)-3,FALSE)="nee",VLOOKUP("De kwaliteitseis emissiearme grond (maximale concentratie) wordt overschreden.",H!$O$10:'H'!$P$59,2,FALSE),""))),"")</f>
        <v/>
      </c>
    </row>
    <row r="340" spans="1:59" x14ac:dyDescent="0.2">
      <c r="A340" s="4" t="str">
        <f>F!A340</f>
        <v>PFHxDA</v>
      </c>
      <c r="B340" s="6" t="str">
        <f>IF(ISNUMBER(F!E340)=FALSE,"--",IF(F!E340=0,"--",F!E340))</f>
        <v>--</v>
      </c>
      <c r="C340" s="6" t="str">
        <f>IF(B340="--","",F!F340)</f>
        <v/>
      </c>
      <c r="D340" s="6" t="str">
        <f>IF(ISNUMBER(F!G340)=FALSE,"--",IF(F!G340=0,"--",F!G340))</f>
        <v>--</v>
      </c>
      <c r="E340" s="6" t="str">
        <f>IF(D340="--","",F!H340)</f>
        <v/>
      </c>
      <c r="F340" s="6" t="str">
        <f>IF(ISNUMBER(F!I340)=FALSE,"--",IF(F!I340=0,"--",F!I340))</f>
        <v>--</v>
      </c>
      <c r="G340" s="6" t="str">
        <f>IF(F340="--","",F!J340)</f>
        <v/>
      </c>
      <c r="H340" s="6"/>
      <c r="I340" s="16" t="str">
        <f>IF(F!Z340=0,-1,F!AV340)</f>
        <v/>
      </c>
      <c r="J340" s="6"/>
      <c r="K340" s="16" t="str">
        <f>IF(F!AC340=0,-1,F!AX340)</f>
        <v/>
      </c>
      <c r="L340" s="6"/>
      <c r="M340" s="16" t="str">
        <f>IF(F!AF340=0,-1,F!AZ340)</f>
        <v/>
      </c>
      <c r="N340" s="6"/>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6" t="str">
        <f t="shared" si="130"/>
        <v/>
      </c>
      <c r="R340" s="5" t="str">
        <f>IF($B340="--","",IF($P340="toetsen",toetsen(F!$B340,Q340),IF($P340="toetsen alleen IW",toetsen_alleen_IW(F!$B340,Q340),IF($P340="toetsen alleen LN",toetsen_alleen_LN(F!$B340,Q340),IF($P340="toetsen geen MV en SV",toetsen_geen_MV_en_SV(F!$B340,Q340),IF($P340="toetsen alleen MV en SV",toetsen_alleen_MV_en_SV(F!$B340,Q340),""))))))</f>
        <v/>
      </c>
      <c r="S340" s="5" t="str">
        <f>IF($P340="toetsen",IF(OR(Q340="",VLOOKUP(F!$B340,E!$B$1:$AK$300,10,FALSE)=1000000000),"",IF(Q340&lt;=VLOOKUP(F!$B340,E!$B$1:$AK$300,10,FALSE),"ja","nee")),"")</f>
        <v/>
      </c>
      <c r="T340" s="87" t="str">
        <f t="shared" si="125"/>
        <v/>
      </c>
      <c r="U340" s="5" t="str">
        <f>IF($D340="--","",IF($P340="toetsen",toetsen(F!$B340,T340),IF($P340="toetsen alleen IW",toetsen_alleen_IW(F!$B340,T340),IF($P340="toetsen alleen LN",toetsen_alleen_LN(F!$B340,T340),IF($P340="toetsen geen MV en SV",toetsen_geen_MV_en_SV(F!$B340,T340),IF($P340="toetsen alleen MV en SV",toetsen_alleen_MV_en_SV(F!$B340,T340),""))))))</f>
        <v/>
      </c>
      <c r="V340" s="5" t="str">
        <f>IF($P340="toetsen",IF(OR(T340="",VLOOKUP(F!$B340,E!$B$1:$AK$300,10,FALSE)=1000000000),"",IF(T340&lt;=VLOOKUP(F!$B340,E!$B$1:$AK$300,10,FALSE),"ja","nee")),"")</f>
        <v/>
      </c>
      <c r="W340" s="6" t="str">
        <f t="shared" si="126"/>
        <v/>
      </c>
      <c r="X340" s="5" t="str">
        <f>IF($F340="--","",IF($P340="toetsen",toetsen(F!$B340,W340),IF($P340="toetsen alleen IW",toetsen_alleen_IW(F!$B340,W340),IF($P340="toetsen alleen LN",toetsen_alleen_LN(F!$B340,W340),IF($P340="toetsen geen MV en SV",toetsen_geen_MV_en_SV(F!$B340,W340),IF($P340="toetsen alleen MV en SV",toetsen_alleen_MV_en_SV(F!$B340,W340),""))))))</f>
        <v/>
      </c>
      <c r="Y340" s="5" t="str">
        <f>IF($P340="toetsen",IF(OR(W340="",VLOOKUP(F!$B340,E!$B$1:$AK$300,10,FALSE)=1000000000),"",IF(W340&lt;=VLOOKUP(F!$B340,E!$B$1:$AK$300,10,FALSE),"ja","nee")),"")</f>
        <v/>
      </c>
      <c r="AA340" s="4" t="str">
        <f>IFERROR(IF(Q340="","",(IF(Q340&gt;2*VLOOKUP(F!$B340,E!$B$1:$AK$300,5,FALSE),1,0))),"")</f>
        <v/>
      </c>
      <c r="AB340" s="4" t="str">
        <f>IFERROR(IF(T340="","",(IF(T340&gt;2*VLOOKUP(F!$B340,E!$B$1:$AK$300,5,FALSE),1,0))),"")</f>
        <v/>
      </c>
      <c r="AC340" s="4" t="str">
        <f>IFERROR(IF(W340="","",(IF(W340&gt;2*VLOOKUP(F!$B340,E!$B$1:$AK$300,5,FALSE),1,0))),"")</f>
        <v/>
      </c>
      <c r="AE340" s="4" t="str">
        <f>IFERROR(IF(Q340="","",(IF(Q340&gt;VLOOKUP(F!$B340,E!$B$1:$AK$300,6,FALSE)+VLOOKUP(F!$B340,E!$B$1:$AK$300,5,FALSE),1,0))),"")</f>
        <v/>
      </c>
      <c r="AF340" s="4" t="str">
        <f>IFERROR(IF(T340="","",(IF(T340&gt;VLOOKUP(F!$B340,E!$B$1:$AK$300,6,FALSE)+VLOOKUP(F!$B340,E!$B$1:$AK$300,5,FALSE),1,0))),"")</f>
        <v/>
      </c>
      <c r="AG340" s="4" t="str">
        <f>IFERROR(IF(W340="","",(IF(W340&gt;VLOOKUP(F!$B340,E!$B$1:$AK$300,6,FALSE)+VLOOKUP(F!$B340,E!$B$1:$AK$300,5,FALSE),1,0))),"")</f>
        <v/>
      </c>
      <c r="AI340" s="6" t="str">
        <f t="shared" si="127"/>
        <v>--</v>
      </c>
      <c r="AJ340" s="6"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6" t="str">
        <f t="shared" si="128"/>
        <v>--</v>
      </c>
      <c r="AL340" s="6"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v>
      </c>
      <c r="AM340" s="6" t="str">
        <f t="shared" si="129"/>
        <v>--</v>
      </c>
      <c r="AN340" s="6"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6" t="str">
        <f t="shared" si="116"/>
        <v>--</v>
      </c>
      <c r="AQ340" s="6" t="str">
        <f t="shared" si="117"/>
        <v/>
      </c>
      <c r="AR340" s="6" t="str">
        <f t="shared" si="118"/>
        <v>--</v>
      </c>
      <c r="AS340" s="6" t="str">
        <f t="shared" si="119"/>
        <v/>
      </c>
      <c r="AT340" s="6" t="str">
        <f t="shared" si="120"/>
        <v/>
      </c>
      <c r="AU340" s="6" t="str">
        <f>IFERROR(IF(AR340="--","",IF(HLOOKUP(SMALL($Q$4:$Y$4,3),$Q$4:$Y$501,ROW(AP340)-3,FALSE)=0,"",IF(HLOOKUP(SMALL($Q$4:$Y$4,3),$Q$4:$Y$501,ROW(AP340)-3,FALSE)="nee",VLOOKUP("De kwaliteitseis emissiearme grond (maximale concentratie) wordt overschreden.",H!$O$10:'H'!$P$59,2,FALSE),""))),"")</f>
        <v/>
      </c>
      <c r="AV340" s="6" t="str">
        <f t="shared" si="110"/>
        <v>--</v>
      </c>
      <c r="AW340" s="6" t="str">
        <f t="shared" si="111"/>
        <v/>
      </c>
      <c r="AX340" s="6" t="str">
        <f t="shared" si="112"/>
        <v>--</v>
      </c>
      <c r="AY340" s="6" t="str">
        <f t="shared" si="121"/>
        <v/>
      </c>
      <c r="AZ340" s="6" t="str">
        <f t="shared" si="122"/>
        <v/>
      </c>
      <c r="BA340" s="6" t="str">
        <f>IFERROR(IF(AR340="--","",IF(HLOOKUP(SMALL($Q$4:$Y$4,6),$Q$4:$Y$501,ROW(AP340)-3,FALSE)=0,"",IF(HLOOKUP(SMALL($Q$4:$Y$4,6),$Q$4:$Y$501,ROW(AP340)-3,FALSE)="nee",VLOOKUP("De kwaliteitseis emissiearme grond (maximale concentratie) wordt overschreden.",H!$O$10:'H'!$P$59,2,FALSE),""))),"")</f>
        <v/>
      </c>
      <c r="BB340" s="6" t="str">
        <f t="shared" si="113"/>
        <v>--</v>
      </c>
      <c r="BC340" s="6" t="str">
        <f t="shared" si="114"/>
        <v/>
      </c>
      <c r="BD340" s="6" t="str">
        <f t="shared" si="115"/>
        <v>--</v>
      </c>
      <c r="BE340" s="6" t="str">
        <f t="shared" si="123"/>
        <v/>
      </c>
      <c r="BF340" s="6" t="str">
        <f t="shared" si="124"/>
        <v/>
      </c>
      <c r="BG340" s="4" t="str">
        <f>IFERROR(IF(AR340="--","",IF(HLOOKUP(SMALL($Q$4:$Y$4,9),$Q$4:$Y$501,ROW(AP340)-3,FALSE)=0,"",IF(HLOOKUP(SMALL($Q$4:$Y$4,9),$Q$4:$Y$501,ROW(AP340)-3,FALSE)="nee",VLOOKUP("De kwaliteitseis emissiearme grond (maximale concentratie) wordt overschreden.",H!$O$10:'H'!$P$59,2,FALSE),""))),"")</f>
        <v/>
      </c>
    </row>
    <row r="341" spans="1:59" x14ac:dyDescent="0.2">
      <c r="A341" s="4" t="str">
        <f>F!A341</f>
        <v>PFODA</v>
      </c>
      <c r="B341" s="6" t="str">
        <f>IF(ISNUMBER(F!E341)=FALSE,"--",IF(F!E341=0,"--",F!E341))</f>
        <v>--</v>
      </c>
      <c r="C341" s="6" t="str">
        <f>IF(B341="--","",F!F341)</f>
        <v/>
      </c>
      <c r="D341" s="6" t="str">
        <f>IF(ISNUMBER(F!G341)=FALSE,"--",IF(F!G341=0,"--",F!G341))</f>
        <v>--</v>
      </c>
      <c r="E341" s="6" t="str">
        <f>IF(D341="--","",F!H341)</f>
        <v/>
      </c>
      <c r="F341" s="6" t="str">
        <f>IF(ISNUMBER(F!I341)=FALSE,"--",IF(F!I341=0,"--",F!I341))</f>
        <v>--</v>
      </c>
      <c r="G341" s="6" t="str">
        <f>IF(F341="--","",F!J341)</f>
        <v/>
      </c>
      <c r="H341" s="6"/>
      <c r="I341" s="16" t="str">
        <f>IF(F!Z341=0,-1,F!AV341)</f>
        <v/>
      </c>
      <c r="J341" s="6"/>
      <c r="K341" s="16" t="str">
        <f>IF(F!AC341=0,-1,F!AX341)</f>
        <v/>
      </c>
      <c r="L341" s="6"/>
      <c r="M341" s="16" t="str">
        <f>IF(F!AF341=0,-1,F!AZ341)</f>
        <v/>
      </c>
      <c r="N341" s="6"/>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6" t="str">
        <f t="shared" si="130"/>
        <v/>
      </c>
      <c r="R341" s="5" t="str">
        <f>IF($B341="--","",IF($P341="toetsen",toetsen(F!$B341,Q341),IF($P341="toetsen alleen IW",toetsen_alleen_IW(F!$B341,Q341),IF($P341="toetsen alleen LN",toetsen_alleen_LN(F!$B341,Q341),IF($P341="toetsen geen MV en SV",toetsen_geen_MV_en_SV(F!$B341,Q341),IF($P341="toetsen alleen MV en SV",toetsen_alleen_MV_en_SV(F!$B341,Q341),""))))))</f>
        <v/>
      </c>
      <c r="S341" s="5" t="str">
        <f>IF($P341="toetsen",IF(OR(Q341="",VLOOKUP(F!$B341,E!$B$1:$AK$300,10,FALSE)=1000000000),"",IF(Q341&lt;=VLOOKUP(F!$B341,E!$B$1:$AK$300,10,FALSE),"ja","nee")),"")</f>
        <v/>
      </c>
      <c r="T341" s="87" t="str">
        <f t="shared" si="125"/>
        <v/>
      </c>
      <c r="U341" s="5" t="str">
        <f>IF($D341="--","",IF($P341="toetsen",toetsen(F!$B341,T341),IF($P341="toetsen alleen IW",toetsen_alleen_IW(F!$B341,T341),IF($P341="toetsen alleen LN",toetsen_alleen_LN(F!$B341,T341),IF($P341="toetsen geen MV en SV",toetsen_geen_MV_en_SV(F!$B341,T341),IF($P341="toetsen alleen MV en SV",toetsen_alleen_MV_en_SV(F!$B341,T341),""))))))</f>
        <v/>
      </c>
      <c r="V341" s="5" t="str">
        <f>IF($P341="toetsen",IF(OR(T341="",VLOOKUP(F!$B341,E!$B$1:$AK$300,10,FALSE)=1000000000),"",IF(T341&lt;=VLOOKUP(F!$B341,E!$B$1:$AK$300,10,FALSE),"ja","nee")),"")</f>
        <v/>
      </c>
      <c r="W341" s="6" t="str">
        <f t="shared" si="126"/>
        <v/>
      </c>
      <c r="X341" s="5" t="str">
        <f>IF($F341="--","",IF($P341="toetsen",toetsen(F!$B341,W341),IF($P341="toetsen alleen IW",toetsen_alleen_IW(F!$B341,W341),IF($P341="toetsen alleen LN",toetsen_alleen_LN(F!$B341,W341),IF($P341="toetsen geen MV en SV",toetsen_geen_MV_en_SV(F!$B341,W341),IF($P341="toetsen alleen MV en SV",toetsen_alleen_MV_en_SV(F!$B341,W341),""))))))</f>
        <v/>
      </c>
      <c r="Y341" s="5" t="str">
        <f>IF($P341="toetsen",IF(OR(W341="",VLOOKUP(F!$B341,E!$B$1:$AK$300,10,FALSE)=1000000000),"",IF(W341&lt;=VLOOKUP(F!$B341,E!$B$1:$AK$300,10,FALSE),"ja","nee")),"")</f>
        <v/>
      </c>
      <c r="AA341" s="4" t="str">
        <f>IFERROR(IF(Q341="","",(IF(Q341&gt;2*VLOOKUP(F!$B341,E!$B$1:$AK$300,5,FALSE),1,0))),"")</f>
        <v/>
      </c>
      <c r="AB341" s="4" t="str">
        <f>IFERROR(IF(T341="","",(IF(T341&gt;2*VLOOKUP(F!$B341,E!$B$1:$AK$300,5,FALSE),1,0))),"")</f>
        <v/>
      </c>
      <c r="AC341" s="4" t="str">
        <f>IFERROR(IF(W341="","",(IF(W341&gt;2*VLOOKUP(F!$B341,E!$B$1:$AK$300,5,FALSE),1,0))),"")</f>
        <v/>
      </c>
      <c r="AE341" s="4" t="str">
        <f>IFERROR(IF(Q341="","",(IF(Q341&gt;VLOOKUP(F!$B341,E!$B$1:$AK$300,6,FALSE)+VLOOKUP(F!$B341,E!$B$1:$AK$300,5,FALSE),1,0))),"")</f>
        <v/>
      </c>
      <c r="AF341" s="4" t="str">
        <f>IFERROR(IF(T341="","",(IF(T341&gt;VLOOKUP(F!$B341,E!$B$1:$AK$300,6,FALSE)+VLOOKUP(F!$B341,E!$B$1:$AK$300,5,FALSE),1,0))),"")</f>
        <v/>
      </c>
      <c r="AG341" s="4" t="str">
        <f>IFERROR(IF(W341="","",(IF(W341&gt;VLOOKUP(F!$B341,E!$B$1:$AK$300,6,FALSE)+VLOOKUP(F!$B341,E!$B$1:$AK$300,5,FALSE),1,0))),"")</f>
        <v/>
      </c>
      <c r="AI341" s="6" t="str">
        <f t="shared" si="127"/>
        <v>--</v>
      </c>
      <c r="AJ341" s="6"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6" t="str">
        <f t="shared" si="128"/>
        <v>--</v>
      </c>
      <c r="AL341" s="6"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v>
      </c>
      <c r="AM341" s="6" t="str">
        <f t="shared" si="129"/>
        <v>--</v>
      </c>
      <c r="AN341" s="6"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6" t="str">
        <f t="shared" si="116"/>
        <v>--</v>
      </c>
      <c r="AQ341" s="6" t="str">
        <f t="shared" si="117"/>
        <v/>
      </c>
      <c r="AR341" s="6" t="str">
        <f t="shared" si="118"/>
        <v>--</v>
      </c>
      <c r="AS341" s="6" t="str">
        <f t="shared" si="119"/>
        <v/>
      </c>
      <c r="AT341" s="6" t="str">
        <f t="shared" si="120"/>
        <v/>
      </c>
      <c r="AU341" s="6" t="str">
        <f>IFERROR(IF(AR341="--","",IF(HLOOKUP(SMALL($Q$4:$Y$4,3),$Q$4:$Y$501,ROW(AP341)-3,FALSE)=0,"",IF(HLOOKUP(SMALL($Q$4:$Y$4,3),$Q$4:$Y$501,ROW(AP341)-3,FALSE)="nee",VLOOKUP("De kwaliteitseis emissiearme grond (maximale concentratie) wordt overschreden.",H!$O$10:'H'!$P$59,2,FALSE),""))),"")</f>
        <v/>
      </c>
      <c r="AV341" s="6" t="str">
        <f t="shared" si="110"/>
        <v>--</v>
      </c>
      <c r="AW341" s="6" t="str">
        <f t="shared" si="111"/>
        <v/>
      </c>
      <c r="AX341" s="6" t="str">
        <f t="shared" si="112"/>
        <v>--</v>
      </c>
      <c r="AY341" s="6" t="str">
        <f t="shared" si="121"/>
        <v/>
      </c>
      <c r="AZ341" s="6" t="str">
        <f t="shared" si="122"/>
        <v/>
      </c>
      <c r="BA341" s="6" t="str">
        <f>IFERROR(IF(AR341="--","",IF(HLOOKUP(SMALL($Q$4:$Y$4,6),$Q$4:$Y$501,ROW(AP341)-3,FALSE)=0,"",IF(HLOOKUP(SMALL($Q$4:$Y$4,6),$Q$4:$Y$501,ROW(AP341)-3,FALSE)="nee",VLOOKUP("De kwaliteitseis emissiearme grond (maximale concentratie) wordt overschreden.",H!$O$10:'H'!$P$59,2,FALSE),""))),"")</f>
        <v/>
      </c>
      <c r="BB341" s="6" t="str">
        <f t="shared" si="113"/>
        <v>--</v>
      </c>
      <c r="BC341" s="6" t="str">
        <f t="shared" si="114"/>
        <v/>
      </c>
      <c r="BD341" s="6" t="str">
        <f t="shared" si="115"/>
        <v>--</v>
      </c>
      <c r="BE341" s="6" t="str">
        <f t="shared" si="123"/>
        <v/>
      </c>
      <c r="BF341" s="6" t="str">
        <f t="shared" si="124"/>
        <v/>
      </c>
      <c r="BG341" s="4" t="str">
        <f>IFERROR(IF(AR341="--","",IF(HLOOKUP(SMALL($Q$4:$Y$4,9),$Q$4:$Y$501,ROW(AP341)-3,FALSE)=0,"",IF(HLOOKUP(SMALL($Q$4:$Y$4,9),$Q$4:$Y$501,ROW(AP341)-3,FALSE)="nee",VLOOKUP("De kwaliteitseis emissiearme grond (maximale concentratie) wordt overschreden.",H!$O$10:'H'!$P$59,2,FALSE),""))),"")</f>
        <v/>
      </c>
    </row>
    <row r="342" spans="1:59" x14ac:dyDescent="0.2">
      <c r="A342" s="4" t="str">
        <f>F!A342</f>
        <v>PFBS</v>
      </c>
      <c r="B342" s="6">
        <f>IF(ISNUMBER(F!E342)=FALSE,"--",IF(F!E342=0,"--",F!E342))</f>
        <v>0.1</v>
      </c>
      <c r="C342" s="6" t="str">
        <f>IF(B342="--","",F!F342)</f>
        <v>&lt;</v>
      </c>
      <c r="D342" s="6">
        <f>IF(ISNUMBER(F!G342)=FALSE,"--",IF(F!G342=0,"--",F!G342))</f>
        <v>0.1</v>
      </c>
      <c r="E342" s="6" t="str">
        <f>IF(D342="--","",F!H342)</f>
        <v>&lt;</v>
      </c>
      <c r="F342" s="6">
        <f>IF(ISNUMBER(F!I342)=FALSE,"--",IF(F!I342=0,"--",F!I342))</f>
        <v>0.1</v>
      </c>
      <c r="G342" s="6" t="str">
        <f>IF(F342="--","",F!J342)</f>
        <v>&lt;</v>
      </c>
      <c r="H342" s="6"/>
      <c r="I342" s="16">
        <f>IF(F!Z342=0,-1,F!AV342)</f>
        <v>-1</v>
      </c>
      <c r="J342" s="6"/>
      <c r="K342" s="16">
        <f>IF(F!AC342=0,-1,F!AX342)</f>
        <v>-1</v>
      </c>
      <c r="L342" s="6"/>
      <c r="M342" s="16">
        <f>IF(F!AF342=0,-1,F!AZ342)</f>
        <v>-1</v>
      </c>
      <c r="N342" s="6"/>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6">
        <f t="shared" si="130"/>
        <v>-1</v>
      </c>
      <c r="R342" s="5" t="str">
        <f>IF($B342="--","",IF($P342="toetsen",toetsen(F!$B342,Q342),IF($P342="toetsen alleen IW",toetsen_alleen_IW(F!$B342,Q342),IF($P342="toetsen alleen LN",toetsen_alleen_LN(F!$B342,Q342),IF($P342="toetsen geen MV en SV",toetsen_geen_MV_en_SV(F!$B342,Q342),IF($P342="toetsen alleen MV en SV",toetsen_alleen_MV_en_SV(F!$B342,Q342),""))))))</f>
        <v>-</v>
      </c>
      <c r="S342" s="5" t="str">
        <f>IF($P342="toetsen",IF(OR(Q342="",VLOOKUP(F!$B342,E!$B$1:$AK$300,10,FALSE)=1000000000),"",IF(Q342&lt;=VLOOKUP(F!$B342,E!$B$1:$AK$300,10,FALSE),"ja","nee")),"")</f>
        <v>ja</v>
      </c>
      <c r="T342" s="87">
        <f t="shared" si="125"/>
        <v>-1</v>
      </c>
      <c r="U342" s="5" t="str">
        <f>IF($D342="--","",IF($P342="toetsen",toetsen(F!$B342,T342),IF($P342="toetsen alleen IW",toetsen_alleen_IW(F!$B342,T342),IF($P342="toetsen alleen LN",toetsen_alleen_LN(F!$B342,T342),IF($P342="toetsen geen MV en SV",toetsen_geen_MV_en_SV(F!$B342,T342),IF($P342="toetsen alleen MV en SV",toetsen_alleen_MV_en_SV(F!$B342,T342),""))))))</f>
        <v>-</v>
      </c>
      <c r="V342" s="5" t="str">
        <f>IF($P342="toetsen",IF(OR(T342="",VLOOKUP(F!$B342,E!$B$1:$AK$300,10,FALSE)=1000000000),"",IF(T342&lt;=VLOOKUP(F!$B342,E!$B$1:$AK$300,10,FALSE),"ja","nee")),"")</f>
        <v>ja</v>
      </c>
      <c r="W342" s="6">
        <f t="shared" si="126"/>
        <v>-1</v>
      </c>
      <c r="X342" s="5" t="str">
        <f>IF($F342="--","",IF($P342="toetsen",toetsen(F!$B342,W342),IF($P342="toetsen alleen IW",toetsen_alleen_IW(F!$B342,W342),IF($P342="toetsen alleen LN",toetsen_alleen_LN(F!$B342,W342),IF($P342="toetsen geen MV en SV",toetsen_geen_MV_en_SV(F!$B342,W342),IF($P342="toetsen alleen MV en SV",toetsen_alleen_MV_en_SV(F!$B342,W342),""))))))</f>
        <v>-</v>
      </c>
      <c r="Y342" s="5" t="str">
        <f>IF($P342="toetsen",IF(OR(W342="",VLOOKUP(F!$B342,E!$B$1:$AK$300,10,FALSE)=1000000000),"",IF(W342&lt;=VLOOKUP(F!$B342,E!$B$1:$AK$300,10,FALSE),"ja","nee")),"")</f>
        <v>ja</v>
      </c>
      <c r="AA342" s="4">
        <f>IFERROR(IF(Q342="","",(IF(Q342&gt;2*VLOOKUP(F!$B342,E!$B$1:$AK$300,5,FALSE),1,0))),"")</f>
        <v>0</v>
      </c>
      <c r="AB342" s="4">
        <f>IFERROR(IF(T342="","",(IF(T342&gt;2*VLOOKUP(F!$B342,E!$B$1:$AK$300,5,FALSE),1,0))),"")</f>
        <v>0</v>
      </c>
      <c r="AC342" s="4">
        <f>IFERROR(IF(W342="","",(IF(W342&gt;2*VLOOKUP(F!$B342,E!$B$1:$AK$300,5,FALSE),1,0))),"")</f>
        <v>0</v>
      </c>
      <c r="AE342" s="4">
        <f>IFERROR(IF(Q342="","",(IF(Q342&gt;VLOOKUP(F!$B342,E!$B$1:$AK$300,6,FALSE)+VLOOKUP(F!$B342,E!$B$1:$AK$300,5,FALSE),1,0))),"")</f>
        <v>0</v>
      </c>
      <c r="AF342" s="4">
        <f>IFERROR(IF(T342="","",(IF(T342&gt;VLOOKUP(F!$B342,E!$B$1:$AK$300,6,FALSE)+VLOOKUP(F!$B342,E!$B$1:$AK$300,5,FALSE),1,0))),"")</f>
        <v>0</v>
      </c>
      <c r="AG342" s="4">
        <f>IFERROR(IF(W342="","",(IF(W342&gt;VLOOKUP(F!$B342,E!$B$1:$AK$300,6,FALSE)+VLOOKUP(F!$B342,E!$B$1:$AK$300,5,FALSE),1,0))),"")</f>
        <v>0</v>
      </c>
      <c r="AI342" s="6" t="str">
        <f t="shared" si="127"/>
        <v>0,10</v>
      </c>
      <c r="AJ342" s="6"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rg</v>
      </c>
      <c r="AK342" s="6" t="str">
        <f t="shared" si="128"/>
        <v>0,10</v>
      </c>
      <c r="AL342" s="6"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rg</v>
      </c>
      <c r="AM342" s="6" t="str">
        <f t="shared" si="129"/>
        <v>0,10</v>
      </c>
      <c r="AN342" s="6"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rg</v>
      </c>
      <c r="AP342" s="6" t="str">
        <f t="shared" si="116"/>
        <v>0,10</v>
      </c>
      <c r="AQ342" s="6" t="str">
        <f t="shared" si="117"/>
        <v>&lt;</v>
      </c>
      <c r="AR342" s="6" t="str">
        <f t="shared" si="118"/>
        <v>rg</v>
      </c>
      <c r="AS342" s="6" t="str">
        <f t="shared" si="119"/>
        <v>&lt;</v>
      </c>
      <c r="AT342" s="6" t="str">
        <f t="shared" si="120"/>
        <v>-</v>
      </c>
      <c r="AU342" s="6" t="str">
        <f>IFERROR(IF(AR342="--","",IF(HLOOKUP(SMALL($Q$4:$Y$4,3),$Q$4:$Y$501,ROW(AP342)-3,FALSE)=0,"",IF(HLOOKUP(SMALL($Q$4:$Y$4,3),$Q$4:$Y$501,ROW(AP342)-3,FALSE)="nee",VLOOKUP("De kwaliteitseis emissiearme grond (maximale concentratie) wordt overschreden.",H!$O$10:'H'!$P$59,2,FALSE),""))),"")</f>
        <v/>
      </c>
      <c r="AV342" s="6" t="str">
        <f t="shared" si="110"/>
        <v>0,10</v>
      </c>
      <c r="AW342" s="6" t="str">
        <f t="shared" si="111"/>
        <v>&lt;</v>
      </c>
      <c r="AX342" s="6" t="str">
        <f t="shared" si="112"/>
        <v>rg</v>
      </c>
      <c r="AY342" s="6" t="str">
        <f t="shared" si="121"/>
        <v>&lt;</v>
      </c>
      <c r="AZ342" s="6" t="str">
        <f t="shared" si="122"/>
        <v>-</v>
      </c>
      <c r="BA342" s="6" t="str">
        <f>IFERROR(IF(AR342="--","",IF(HLOOKUP(SMALL($Q$4:$Y$4,6),$Q$4:$Y$501,ROW(AP342)-3,FALSE)=0,"",IF(HLOOKUP(SMALL($Q$4:$Y$4,6),$Q$4:$Y$501,ROW(AP342)-3,FALSE)="nee",VLOOKUP("De kwaliteitseis emissiearme grond (maximale concentratie) wordt overschreden.",H!$O$10:'H'!$P$59,2,FALSE),""))),"")</f>
        <v/>
      </c>
      <c r="BB342" s="6" t="str">
        <f t="shared" si="113"/>
        <v>0,10</v>
      </c>
      <c r="BC342" s="6" t="str">
        <f t="shared" si="114"/>
        <v>&lt;</v>
      </c>
      <c r="BD342" s="6" t="str">
        <f t="shared" si="115"/>
        <v>rg</v>
      </c>
      <c r="BE342" s="6" t="str">
        <f t="shared" si="123"/>
        <v>&lt;</v>
      </c>
      <c r="BF342" s="6" t="str">
        <f t="shared" si="124"/>
        <v>-</v>
      </c>
      <c r="BG342" s="4" t="str">
        <f>IFERROR(IF(AR342="--","",IF(HLOOKUP(SMALL($Q$4:$Y$4,9),$Q$4:$Y$501,ROW(AP342)-3,FALSE)=0,"",IF(HLOOKUP(SMALL($Q$4:$Y$4,9),$Q$4:$Y$501,ROW(AP342)-3,FALSE)="nee",VLOOKUP("De kwaliteitseis emissiearme grond (maximale concentratie) wordt overschreden.",H!$O$10:'H'!$P$59,2,FALSE),""))),"")</f>
        <v/>
      </c>
    </row>
    <row r="343" spans="1:59" x14ac:dyDescent="0.2">
      <c r="A343" s="4" t="str">
        <f>F!A343</f>
        <v>PFPeS</v>
      </c>
      <c r="B343" s="6">
        <f>IF(ISNUMBER(F!E343)=FALSE,"--",IF(F!E343=0,"--",F!E343))</f>
        <v>0.1</v>
      </c>
      <c r="C343" s="6" t="str">
        <f>IF(B343="--","",F!F343)</f>
        <v>&lt;</v>
      </c>
      <c r="D343" s="6">
        <f>IF(ISNUMBER(F!G343)=FALSE,"--",IF(F!G343=0,"--",F!G343))</f>
        <v>0.1</v>
      </c>
      <c r="E343" s="6" t="str">
        <f>IF(D343="--","",F!H343)</f>
        <v>&lt;</v>
      </c>
      <c r="F343" s="6">
        <f>IF(ISNUMBER(F!I343)=FALSE,"--",IF(F!I343=0,"--",F!I343))</f>
        <v>0.1</v>
      </c>
      <c r="G343" s="6" t="str">
        <f>IF(F343="--","",F!J343)</f>
        <v>&lt;</v>
      </c>
      <c r="H343" s="6"/>
      <c r="I343" s="16">
        <f>IF(F!Z343=0,-1,F!AV343)</f>
        <v>-1</v>
      </c>
      <c r="J343" s="6"/>
      <c r="K343" s="16">
        <f>IF(F!AC343=0,-1,F!AX343)</f>
        <v>-1</v>
      </c>
      <c r="L343" s="6"/>
      <c r="M343" s="16">
        <f>IF(F!AF343=0,-1,F!AZ343)</f>
        <v>-1</v>
      </c>
      <c r="N343" s="6"/>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6">
        <f t="shared" si="130"/>
        <v>-1</v>
      </c>
      <c r="R343" s="5" t="str">
        <f>IF($B343="--","",IF($P343="toetsen",toetsen(F!$B343,Q343),IF($P343="toetsen alleen IW",toetsen_alleen_IW(F!$B343,Q343),IF($P343="toetsen alleen LN",toetsen_alleen_LN(F!$B343,Q343),IF($P343="toetsen geen MV en SV",toetsen_geen_MV_en_SV(F!$B343,Q343),IF($P343="toetsen alleen MV en SV",toetsen_alleen_MV_en_SV(F!$B343,Q343),""))))))</f>
        <v>-</v>
      </c>
      <c r="S343" s="5" t="str">
        <f>IF($P343="toetsen",IF(OR(Q343="",VLOOKUP(F!$B343,E!$B$1:$AK$300,10,FALSE)=1000000000),"",IF(Q343&lt;=VLOOKUP(F!$B343,E!$B$1:$AK$300,10,FALSE),"ja","nee")),"")</f>
        <v>ja</v>
      </c>
      <c r="T343" s="87">
        <f t="shared" si="125"/>
        <v>-1</v>
      </c>
      <c r="U343" s="5" t="str">
        <f>IF($D343="--","",IF($P343="toetsen",toetsen(F!$B343,T343),IF($P343="toetsen alleen IW",toetsen_alleen_IW(F!$B343,T343),IF($P343="toetsen alleen LN",toetsen_alleen_LN(F!$B343,T343),IF($P343="toetsen geen MV en SV",toetsen_geen_MV_en_SV(F!$B343,T343),IF($P343="toetsen alleen MV en SV",toetsen_alleen_MV_en_SV(F!$B343,T343),""))))))</f>
        <v>-</v>
      </c>
      <c r="V343" s="5" t="str">
        <f>IF($P343="toetsen",IF(OR(T343="",VLOOKUP(F!$B343,E!$B$1:$AK$300,10,FALSE)=1000000000),"",IF(T343&lt;=VLOOKUP(F!$B343,E!$B$1:$AK$300,10,FALSE),"ja","nee")),"")</f>
        <v>ja</v>
      </c>
      <c r="W343" s="6">
        <f t="shared" si="126"/>
        <v>-1</v>
      </c>
      <c r="X343" s="5" t="str">
        <f>IF($F343="--","",IF($P343="toetsen",toetsen(F!$B343,W343),IF($P343="toetsen alleen IW",toetsen_alleen_IW(F!$B343,W343),IF($P343="toetsen alleen LN",toetsen_alleen_LN(F!$B343,W343),IF($P343="toetsen geen MV en SV",toetsen_geen_MV_en_SV(F!$B343,W343),IF($P343="toetsen alleen MV en SV",toetsen_alleen_MV_en_SV(F!$B343,W343),""))))))</f>
        <v>-</v>
      </c>
      <c r="Y343" s="5" t="str">
        <f>IF($P343="toetsen",IF(OR(W343="",VLOOKUP(F!$B343,E!$B$1:$AK$300,10,FALSE)=1000000000),"",IF(W343&lt;=VLOOKUP(F!$B343,E!$B$1:$AK$300,10,FALSE),"ja","nee")),"")</f>
        <v>ja</v>
      </c>
      <c r="AA343" s="4">
        <f>IFERROR(IF(Q343="","",(IF(Q343&gt;2*VLOOKUP(F!$B343,E!$B$1:$AK$300,5,FALSE),1,0))),"")</f>
        <v>0</v>
      </c>
      <c r="AB343" s="4">
        <f>IFERROR(IF(T343="","",(IF(T343&gt;2*VLOOKUP(F!$B343,E!$B$1:$AK$300,5,FALSE),1,0))),"")</f>
        <v>0</v>
      </c>
      <c r="AC343" s="4">
        <f>IFERROR(IF(W343="","",(IF(W343&gt;2*VLOOKUP(F!$B343,E!$B$1:$AK$300,5,FALSE),1,0))),"")</f>
        <v>0</v>
      </c>
      <c r="AE343" s="4">
        <f>IFERROR(IF(Q343="","",(IF(Q343&gt;VLOOKUP(F!$B343,E!$B$1:$AK$300,6,FALSE)+VLOOKUP(F!$B343,E!$B$1:$AK$300,5,FALSE),1,0))),"")</f>
        <v>0</v>
      </c>
      <c r="AF343" s="4">
        <f>IFERROR(IF(T343="","",(IF(T343&gt;VLOOKUP(F!$B343,E!$B$1:$AK$300,6,FALSE)+VLOOKUP(F!$B343,E!$B$1:$AK$300,5,FALSE),1,0))),"")</f>
        <v>0</v>
      </c>
      <c r="AG343" s="4">
        <f>IFERROR(IF(W343="","",(IF(W343&gt;VLOOKUP(F!$B343,E!$B$1:$AK$300,6,FALSE)+VLOOKUP(F!$B343,E!$B$1:$AK$300,5,FALSE),1,0))),"")</f>
        <v>0</v>
      </c>
      <c r="AI343" s="6" t="str">
        <f t="shared" si="127"/>
        <v>0,10</v>
      </c>
      <c r="AJ343" s="6"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rg</v>
      </c>
      <c r="AK343" s="6" t="str">
        <f t="shared" si="128"/>
        <v>0,10</v>
      </c>
      <c r="AL343" s="6"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rg</v>
      </c>
      <c r="AM343" s="6" t="str">
        <f t="shared" si="129"/>
        <v>0,10</v>
      </c>
      <c r="AN343" s="6"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rg</v>
      </c>
      <c r="AP343" s="6" t="str">
        <f t="shared" si="116"/>
        <v>0,10</v>
      </c>
      <c r="AQ343" s="6" t="str">
        <f t="shared" si="117"/>
        <v>&lt;</v>
      </c>
      <c r="AR343" s="6" t="str">
        <f t="shared" si="118"/>
        <v>rg</v>
      </c>
      <c r="AS343" s="6" t="str">
        <f t="shared" si="119"/>
        <v>&lt;</v>
      </c>
      <c r="AT343" s="6" t="str">
        <f t="shared" si="120"/>
        <v>-</v>
      </c>
      <c r="AU343" s="6" t="str">
        <f>IFERROR(IF(AR343="--","",IF(HLOOKUP(SMALL($Q$4:$Y$4,3),$Q$4:$Y$501,ROW(AP343)-3,FALSE)=0,"",IF(HLOOKUP(SMALL($Q$4:$Y$4,3),$Q$4:$Y$501,ROW(AP343)-3,FALSE)="nee",VLOOKUP("De kwaliteitseis emissiearme grond (maximale concentratie) wordt overschreden.",H!$O$10:'H'!$P$59,2,FALSE),""))),"")</f>
        <v/>
      </c>
      <c r="AV343" s="6" t="str">
        <f t="shared" si="110"/>
        <v>0,10</v>
      </c>
      <c r="AW343" s="6" t="str">
        <f t="shared" si="111"/>
        <v>&lt;</v>
      </c>
      <c r="AX343" s="6" t="str">
        <f t="shared" si="112"/>
        <v>rg</v>
      </c>
      <c r="AY343" s="6" t="str">
        <f t="shared" si="121"/>
        <v>&lt;</v>
      </c>
      <c r="AZ343" s="6" t="str">
        <f t="shared" si="122"/>
        <v>-</v>
      </c>
      <c r="BA343" s="6" t="str">
        <f>IFERROR(IF(AR343="--","",IF(HLOOKUP(SMALL($Q$4:$Y$4,6),$Q$4:$Y$501,ROW(AP343)-3,FALSE)=0,"",IF(HLOOKUP(SMALL($Q$4:$Y$4,6),$Q$4:$Y$501,ROW(AP343)-3,FALSE)="nee",VLOOKUP("De kwaliteitseis emissiearme grond (maximale concentratie) wordt overschreden.",H!$O$10:'H'!$P$59,2,FALSE),""))),"")</f>
        <v/>
      </c>
      <c r="BB343" s="6" t="str">
        <f t="shared" si="113"/>
        <v>0,10</v>
      </c>
      <c r="BC343" s="6" t="str">
        <f t="shared" si="114"/>
        <v>&lt;</v>
      </c>
      <c r="BD343" s="6" t="str">
        <f t="shared" si="115"/>
        <v>rg</v>
      </c>
      <c r="BE343" s="6" t="str">
        <f t="shared" si="123"/>
        <v>&lt;</v>
      </c>
      <c r="BF343" s="6" t="str">
        <f t="shared" si="124"/>
        <v>-</v>
      </c>
      <c r="BG343" s="4" t="str">
        <f>IFERROR(IF(AR343="--","",IF(HLOOKUP(SMALL($Q$4:$Y$4,9),$Q$4:$Y$501,ROW(AP343)-3,FALSE)=0,"",IF(HLOOKUP(SMALL($Q$4:$Y$4,9),$Q$4:$Y$501,ROW(AP343)-3,FALSE)="nee",VLOOKUP("De kwaliteitseis emissiearme grond (maximale concentratie) wordt overschreden.",H!$O$10:'H'!$P$59,2,FALSE),""))),"")</f>
        <v/>
      </c>
    </row>
    <row r="344" spans="1:59" x14ac:dyDescent="0.2">
      <c r="A344" s="4" t="str">
        <f>F!A344</f>
        <v>PFHxS</v>
      </c>
      <c r="B344" s="6">
        <f>IF(ISNUMBER(F!E344)=FALSE,"--",IF(F!E344=0,"--",F!E344))</f>
        <v>0.1</v>
      </c>
      <c r="C344" s="6" t="str">
        <f>IF(B344="--","",F!F344)</f>
        <v>&lt;</v>
      </c>
      <c r="D344" s="6">
        <f>IF(ISNUMBER(F!G344)=FALSE,"--",IF(F!G344=0,"--",F!G344))</f>
        <v>0.1</v>
      </c>
      <c r="E344" s="6" t="str">
        <f>IF(D344="--","",F!H344)</f>
        <v>&lt;</v>
      </c>
      <c r="F344" s="6">
        <f>IF(ISNUMBER(F!I344)=FALSE,"--",IF(F!I344=0,"--",F!I344))</f>
        <v>0.1</v>
      </c>
      <c r="G344" s="6" t="str">
        <f>IF(F344="--","",F!J344)</f>
        <v>&lt;</v>
      </c>
      <c r="H344" s="6"/>
      <c r="I344" s="16">
        <f>IF(F!Z344=0,-1,F!AV344)</f>
        <v>-1</v>
      </c>
      <c r="J344" s="6"/>
      <c r="K344" s="16">
        <f>IF(F!AC344=0,-1,F!AX344)</f>
        <v>-1</v>
      </c>
      <c r="L344" s="6"/>
      <c r="M344" s="16">
        <f>IF(F!AF344=0,-1,F!AZ344)</f>
        <v>-1</v>
      </c>
      <c r="N344" s="6"/>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6">
        <f t="shared" si="130"/>
        <v>-1</v>
      </c>
      <c r="R344" s="5" t="str">
        <f>IF($B344="--","",IF($P344="toetsen",toetsen(F!$B344,Q344),IF($P344="toetsen alleen IW",toetsen_alleen_IW(F!$B344,Q344),IF($P344="toetsen alleen LN",toetsen_alleen_LN(F!$B344,Q344),IF($P344="toetsen geen MV en SV",toetsen_geen_MV_en_SV(F!$B344,Q344),IF($P344="toetsen alleen MV en SV",toetsen_alleen_MV_en_SV(F!$B344,Q344),""))))))</f>
        <v>-</v>
      </c>
      <c r="S344" s="5" t="str">
        <f>IF($P344="toetsen",IF(OR(Q344="",VLOOKUP(F!$B344,E!$B$1:$AK$300,10,FALSE)=1000000000),"",IF(Q344&lt;=VLOOKUP(F!$B344,E!$B$1:$AK$300,10,FALSE),"ja","nee")),"")</f>
        <v>ja</v>
      </c>
      <c r="T344" s="87">
        <f t="shared" si="125"/>
        <v>-1</v>
      </c>
      <c r="U344" s="5" t="str">
        <f>IF($D344="--","",IF($P344="toetsen",toetsen(F!$B344,T344),IF($P344="toetsen alleen IW",toetsen_alleen_IW(F!$B344,T344),IF($P344="toetsen alleen LN",toetsen_alleen_LN(F!$B344,T344),IF($P344="toetsen geen MV en SV",toetsen_geen_MV_en_SV(F!$B344,T344),IF($P344="toetsen alleen MV en SV",toetsen_alleen_MV_en_SV(F!$B344,T344),""))))))</f>
        <v>-</v>
      </c>
      <c r="V344" s="5" t="str">
        <f>IF($P344="toetsen",IF(OR(T344="",VLOOKUP(F!$B344,E!$B$1:$AK$300,10,FALSE)=1000000000),"",IF(T344&lt;=VLOOKUP(F!$B344,E!$B$1:$AK$300,10,FALSE),"ja","nee")),"")</f>
        <v>ja</v>
      </c>
      <c r="W344" s="6">
        <f t="shared" si="126"/>
        <v>-1</v>
      </c>
      <c r="X344" s="5" t="str">
        <f>IF($F344="--","",IF($P344="toetsen",toetsen(F!$B344,W344),IF($P344="toetsen alleen IW",toetsen_alleen_IW(F!$B344,W344),IF($P344="toetsen alleen LN",toetsen_alleen_LN(F!$B344,W344),IF($P344="toetsen geen MV en SV",toetsen_geen_MV_en_SV(F!$B344,W344),IF($P344="toetsen alleen MV en SV",toetsen_alleen_MV_en_SV(F!$B344,W344),""))))))</f>
        <v>-</v>
      </c>
      <c r="Y344" s="5" t="str">
        <f>IF($P344="toetsen",IF(OR(W344="",VLOOKUP(F!$B344,E!$B$1:$AK$300,10,FALSE)=1000000000),"",IF(W344&lt;=VLOOKUP(F!$B344,E!$B$1:$AK$300,10,FALSE),"ja","nee")),"")</f>
        <v>ja</v>
      </c>
      <c r="AA344" s="4">
        <f>IFERROR(IF(Q344="","",(IF(Q344&gt;2*VLOOKUP(F!$B344,E!$B$1:$AK$300,5,FALSE),1,0))),"")</f>
        <v>0</v>
      </c>
      <c r="AB344" s="4">
        <f>IFERROR(IF(T344="","",(IF(T344&gt;2*VLOOKUP(F!$B344,E!$B$1:$AK$300,5,FALSE),1,0))),"")</f>
        <v>0</v>
      </c>
      <c r="AC344" s="4">
        <f>IFERROR(IF(W344="","",(IF(W344&gt;2*VLOOKUP(F!$B344,E!$B$1:$AK$300,5,FALSE),1,0))),"")</f>
        <v>0</v>
      </c>
      <c r="AE344" s="4">
        <f>IFERROR(IF(Q344="","",(IF(Q344&gt;VLOOKUP(F!$B344,E!$B$1:$AK$300,6,FALSE)+VLOOKUP(F!$B344,E!$B$1:$AK$300,5,FALSE),1,0))),"")</f>
        <v>0</v>
      </c>
      <c r="AF344" s="4">
        <f>IFERROR(IF(T344="","",(IF(T344&gt;VLOOKUP(F!$B344,E!$B$1:$AK$300,6,FALSE)+VLOOKUP(F!$B344,E!$B$1:$AK$300,5,FALSE),1,0))),"")</f>
        <v>0</v>
      </c>
      <c r="AG344" s="4">
        <f>IFERROR(IF(W344="","",(IF(W344&gt;VLOOKUP(F!$B344,E!$B$1:$AK$300,6,FALSE)+VLOOKUP(F!$B344,E!$B$1:$AK$300,5,FALSE),1,0))),"")</f>
        <v>0</v>
      </c>
      <c r="AI344" s="6" t="str">
        <f t="shared" si="127"/>
        <v>0,10</v>
      </c>
      <c r="AJ344" s="6"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rg</v>
      </c>
      <c r="AK344" s="6" t="str">
        <f t="shared" si="128"/>
        <v>0,10</v>
      </c>
      <c r="AL344" s="6"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rg</v>
      </c>
      <c r="AM344" s="6" t="str">
        <f t="shared" si="129"/>
        <v>0,10</v>
      </c>
      <c r="AN344" s="6"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rg</v>
      </c>
      <c r="AP344" s="6" t="str">
        <f t="shared" si="116"/>
        <v>0,10</v>
      </c>
      <c r="AQ344" s="6" t="str">
        <f t="shared" si="117"/>
        <v>&lt;</v>
      </c>
      <c r="AR344" s="6" t="str">
        <f t="shared" si="118"/>
        <v>rg</v>
      </c>
      <c r="AS344" s="6" t="str">
        <f t="shared" si="119"/>
        <v>&lt;</v>
      </c>
      <c r="AT344" s="6" t="str">
        <f t="shared" si="120"/>
        <v>-</v>
      </c>
      <c r="AU344" s="6" t="str">
        <f>IFERROR(IF(AR344="--","",IF(HLOOKUP(SMALL($Q$4:$Y$4,3),$Q$4:$Y$501,ROW(AP344)-3,FALSE)=0,"",IF(HLOOKUP(SMALL($Q$4:$Y$4,3),$Q$4:$Y$501,ROW(AP344)-3,FALSE)="nee",VLOOKUP("De kwaliteitseis emissiearme grond (maximale concentratie) wordt overschreden.",H!$O$10:'H'!$P$59,2,FALSE),""))),"")</f>
        <v/>
      </c>
      <c r="AV344" s="6" t="str">
        <f t="shared" si="110"/>
        <v>0,10</v>
      </c>
      <c r="AW344" s="6" t="str">
        <f t="shared" si="111"/>
        <v>&lt;</v>
      </c>
      <c r="AX344" s="6" t="str">
        <f t="shared" si="112"/>
        <v>rg</v>
      </c>
      <c r="AY344" s="6" t="str">
        <f t="shared" si="121"/>
        <v>&lt;</v>
      </c>
      <c r="AZ344" s="6" t="str">
        <f t="shared" si="122"/>
        <v>-</v>
      </c>
      <c r="BA344" s="6" t="str">
        <f>IFERROR(IF(AR344="--","",IF(HLOOKUP(SMALL($Q$4:$Y$4,6),$Q$4:$Y$501,ROW(AP344)-3,FALSE)=0,"",IF(HLOOKUP(SMALL($Q$4:$Y$4,6),$Q$4:$Y$501,ROW(AP344)-3,FALSE)="nee",VLOOKUP("De kwaliteitseis emissiearme grond (maximale concentratie) wordt overschreden.",H!$O$10:'H'!$P$59,2,FALSE),""))),"")</f>
        <v/>
      </c>
      <c r="BB344" s="6" t="str">
        <f t="shared" si="113"/>
        <v>0,10</v>
      </c>
      <c r="BC344" s="6" t="str">
        <f t="shared" si="114"/>
        <v>&lt;</v>
      </c>
      <c r="BD344" s="6" t="str">
        <f t="shared" si="115"/>
        <v>rg</v>
      </c>
      <c r="BE344" s="6" t="str">
        <f t="shared" si="123"/>
        <v>&lt;</v>
      </c>
      <c r="BF344" s="6" t="str">
        <f t="shared" si="124"/>
        <v>-</v>
      </c>
      <c r="BG344" s="4" t="str">
        <f>IFERROR(IF(AR344="--","",IF(HLOOKUP(SMALL($Q$4:$Y$4,9),$Q$4:$Y$501,ROW(AP344)-3,FALSE)=0,"",IF(HLOOKUP(SMALL($Q$4:$Y$4,9),$Q$4:$Y$501,ROW(AP344)-3,FALSE)="nee",VLOOKUP("De kwaliteitseis emissiearme grond (maximale concentratie) wordt overschreden.",H!$O$10:'H'!$P$59,2,FALSE),""))),"")</f>
        <v/>
      </c>
    </row>
    <row r="345" spans="1:59" x14ac:dyDescent="0.2">
      <c r="A345" s="4" t="str">
        <f>F!A345</f>
        <v>PFHpS</v>
      </c>
      <c r="B345" s="6">
        <f>IF(ISNUMBER(F!E345)=FALSE,"--",IF(F!E345=0,"--",F!E345))</f>
        <v>0.1</v>
      </c>
      <c r="C345" s="6" t="str">
        <f>IF(B345="--","",F!F345)</f>
        <v>&lt;</v>
      </c>
      <c r="D345" s="6">
        <f>IF(ISNUMBER(F!G345)=FALSE,"--",IF(F!G345=0,"--",F!G345))</f>
        <v>0.1</v>
      </c>
      <c r="E345" s="6" t="str">
        <f>IF(D345="--","",F!H345)</f>
        <v>&lt;</v>
      </c>
      <c r="F345" s="6">
        <f>IF(ISNUMBER(F!I345)=FALSE,"--",IF(F!I345=0,"--",F!I345))</f>
        <v>0.1</v>
      </c>
      <c r="G345" s="6" t="str">
        <f>IF(F345="--","",F!J345)</f>
        <v>&lt;</v>
      </c>
      <c r="H345" s="6"/>
      <c r="I345" s="16">
        <f>IF(F!Z345=0,-1,F!AV345)</f>
        <v>-1</v>
      </c>
      <c r="J345" s="6"/>
      <c r="K345" s="16">
        <f>IF(F!AC345=0,-1,F!AX345)</f>
        <v>-1</v>
      </c>
      <c r="L345" s="6"/>
      <c r="M345" s="16">
        <f>IF(F!AF345=0,-1,F!AZ345)</f>
        <v>-1</v>
      </c>
      <c r="N345" s="6"/>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6">
        <f t="shared" si="130"/>
        <v>-1</v>
      </c>
      <c r="R345" s="5" t="str">
        <f>IF($B345="--","",IF($P345="toetsen",toetsen(F!$B345,Q345),IF($P345="toetsen alleen IW",toetsen_alleen_IW(F!$B345,Q345),IF($P345="toetsen alleen LN",toetsen_alleen_LN(F!$B345,Q345),IF($P345="toetsen geen MV en SV",toetsen_geen_MV_en_SV(F!$B345,Q345),IF($P345="toetsen alleen MV en SV",toetsen_alleen_MV_en_SV(F!$B345,Q345),""))))))</f>
        <v>-</v>
      </c>
      <c r="S345" s="5" t="str">
        <f>IF($P345="toetsen",IF(OR(Q345="",VLOOKUP(F!$B345,E!$B$1:$AK$300,10,FALSE)=1000000000),"",IF(Q345&lt;=VLOOKUP(F!$B345,E!$B$1:$AK$300,10,FALSE),"ja","nee")),"")</f>
        <v>ja</v>
      </c>
      <c r="T345" s="87">
        <f t="shared" si="125"/>
        <v>-1</v>
      </c>
      <c r="U345" s="5" t="str">
        <f>IF($D345="--","",IF($P345="toetsen",toetsen(F!$B345,T345),IF($P345="toetsen alleen IW",toetsen_alleen_IW(F!$B345,T345),IF($P345="toetsen alleen LN",toetsen_alleen_LN(F!$B345,T345),IF($P345="toetsen geen MV en SV",toetsen_geen_MV_en_SV(F!$B345,T345),IF($P345="toetsen alleen MV en SV",toetsen_alleen_MV_en_SV(F!$B345,T345),""))))))</f>
        <v>-</v>
      </c>
      <c r="V345" s="5" t="str">
        <f>IF($P345="toetsen",IF(OR(T345="",VLOOKUP(F!$B345,E!$B$1:$AK$300,10,FALSE)=1000000000),"",IF(T345&lt;=VLOOKUP(F!$B345,E!$B$1:$AK$300,10,FALSE),"ja","nee")),"")</f>
        <v>ja</v>
      </c>
      <c r="W345" s="6">
        <f t="shared" si="126"/>
        <v>-1</v>
      </c>
      <c r="X345" s="5" t="str">
        <f>IF($F345="--","",IF($P345="toetsen",toetsen(F!$B345,W345),IF($P345="toetsen alleen IW",toetsen_alleen_IW(F!$B345,W345),IF($P345="toetsen alleen LN",toetsen_alleen_LN(F!$B345,W345),IF($P345="toetsen geen MV en SV",toetsen_geen_MV_en_SV(F!$B345,W345),IF($P345="toetsen alleen MV en SV",toetsen_alleen_MV_en_SV(F!$B345,W345),""))))))</f>
        <v>-</v>
      </c>
      <c r="Y345" s="5" t="str">
        <f>IF($P345="toetsen",IF(OR(W345="",VLOOKUP(F!$B345,E!$B$1:$AK$300,10,FALSE)=1000000000),"",IF(W345&lt;=VLOOKUP(F!$B345,E!$B$1:$AK$300,10,FALSE),"ja","nee")),"")</f>
        <v>ja</v>
      </c>
      <c r="AA345" s="4">
        <f>IFERROR(IF(Q345="","",(IF(Q345&gt;2*VLOOKUP(F!$B345,E!$B$1:$AK$300,5,FALSE),1,0))),"")</f>
        <v>0</v>
      </c>
      <c r="AB345" s="4">
        <f>IFERROR(IF(T345="","",(IF(T345&gt;2*VLOOKUP(F!$B345,E!$B$1:$AK$300,5,FALSE),1,0))),"")</f>
        <v>0</v>
      </c>
      <c r="AC345" s="4">
        <f>IFERROR(IF(W345="","",(IF(W345&gt;2*VLOOKUP(F!$B345,E!$B$1:$AK$300,5,FALSE),1,0))),"")</f>
        <v>0</v>
      </c>
      <c r="AE345" s="4">
        <f>IFERROR(IF(Q345="","",(IF(Q345&gt;VLOOKUP(F!$B345,E!$B$1:$AK$300,6,FALSE)+VLOOKUP(F!$B345,E!$B$1:$AK$300,5,FALSE),1,0))),"")</f>
        <v>0</v>
      </c>
      <c r="AF345" s="4">
        <f>IFERROR(IF(T345="","",(IF(T345&gt;VLOOKUP(F!$B345,E!$B$1:$AK$300,6,FALSE)+VLOOKUP(F!$B345,E!$B$1:$AK$300,5,FALSE),1,0))),"")</f>
        <v>0</v>
      </c>
      <c r="AG345" s="4">
        <f>IFERROR(IF(W345="","",(IF(W345&gt;VLOOKUP(F!$B345,E!$B$1:$AK$300,6,FALSE)+VLOOKUP(F!$B345,E!$B$1:$AK$300,5,FALSE),1,0))),"")</f>
        <v>0</v>
      </c>
      <c r="AI345" s="6" t="str">
        <f t="shared" si="127"/>
        <v>0,10</v>
      </c>
      <c r="AJ345" s="6"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rg</v>
      </c>
      <c r="AK345" s="6" t="str">
        <f t="shared" si="128"/>
        <v>0,10</v>
      </c>
      <c r="AL345" s="6"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rg</v>
      </c>
      <c r="AM345" s="6" t="str">
        <f t="shared" si="129"/>
        <v>0,10</v>
      </c>
      <c r="AN345" s="6"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rg</v>
      </c>
      <c r="AP345" s="6" t="str">
        <f t="shared" si="116"/>
        <v>0,10</v>
      </c>
      <c r="AQ345" s="6" t="str">
        <f t="shared" si="117"/>
        <v>&lt;</v>
      </c>
      <c r="AR345" s="6" t="str">
        <f t="shared" si="118"/>
        <v>rg</v>
      </c>
      <c r="AS345" s="6" t="str">
        <f t="shared" si="119"/>
        <v>&lt;</v>
      </c>
      <c r="AT345" s="6" t="str">
        <f t="shared" si="120"/>
        <v>-</v>
      </c>
      <c r="AU345" s="6" t="str">
        <f>IFERROR(IF(AR345="--","",IF(HLOOKUP(SMALL($Q$4:$Y$4,3),$Q$4:$Y$501,ROW(AP345)-3,FALSE)=0,"",IF(HLOOKUP(SMALL($Q$4:$Y$4,3),$Q$4:$Y$501,ROW(AP345)-3,FALSE)="nee",VLOOKUP("De kwaliteitseis emissiearme grond (maximale concentratie) wordt overschreden.",H!$O$10:'H'!$P$59,2,FALSE),""))),"")</f>
        <v/>
      </c>
      <c r="AV345" s="6" t="str">
        <f t="shared" si="110"/>
        <v>0,10</v>
      </c>
      <c r="AW345" s="6" t="str">
        <f t="shared" si="111"/>
        <v>&lt;</v>
      </c>
      <c r="AX345" s="6" t="str">
        <f t="shared" si="112"/>
        <v>rg</v>
      </c>
      <c r="AY345" s="6" t="str">
        <f t="shared" si="121"/>
        <v>&lt;</v>
      </c>
      <c r="AZ345" s="6" t="str">
        <f t="shared" si="122"/>
        <v>-</v>
      </c>
      <c r="BA345" s="6" t="str">
        <f>IFERROR(IF(AR345="--","",IF(HLOOKUP(SMALL($Q$4:$Y$4,6),$Q$4:$Y$501,ROW(AP345)-3,FALSE)=0,"",IF(HLOOKUP(SMALL($Q$4:$Y$4,6),$Q$4:$Y$501,ROW(AP345)-3,FALSE)="nee",VLOOKUP("De kwaliteitseis emissiearme grond (maximale concentratie) wordt overschreden.",H!$O$10:'H'!$P$59,2,FALSE),""))),"")</f>
        <v/>
      </c>
      <c r="BB345" s="6" t="str">
        <f t="shared" si="113"/>
        <v>0,10</v>
      </c>
      <c r="BC345" s="6" t="str">
        <f t="shared" si="114"/>
        <v>&lt;</v>
      </c>
      <c r="BD345" s="6" t="str">
        <f t="shared" si="115"/>
        <v>rg</v>
      </c>
      <c r="BE345" s="6" t="str">
        <f t="shared" si="123"/>
        <v>&lt;</v>
      </c>
      <c r="BF345" s="6" t="str">
        <f t="shared" si="124"/>
        <v>-</v>
      </c>
      <c r="BG345" s="4" t="str">
        <f>IFERROR(IF(AR345="--","",IF(HLOOKUP(SMALL($Q$4:$Y$4,9),$Q$4:$Y$501,ROW(AP345)-3,FALSE)=0,"",IF(HLOOKUP(SMALL($Q$4:$Y$4,9),$Q$4:$Y$501,ROW(AP345)-3,FALSE)="nee",VLOOKUP("De kwaliteitseis emissiearme grond (maximale concentratie) wordt overschreden.",H!$O$10:'H'!$P$59,2,FALSE),""))),"")</f>
        <v/>
      </c>
    </row>
    <row r="346" spans="1:59" x14ac:dyDescent="0.2">
      <c r="A346" s="4" t="str">
        <f>F!A346</f>
        <v>PFOS lineair</v>
      </c>
      <c r="B346" s="6">
        <f>IF(ISNUMBER(F!E346)=FALSE,"--",IF(F!E346=0,"--",F!E346))</f>
        <v>0.1</v>
      </c>
      <c r="C346" s="6" t="str">
        <f>IF(B346="--","",F!F346)</f>
        <v>&lt;</v>
      </c>
      <c r="D346" s="6">
        <f>IF(ISNUMBER(F!G346)=FALSE,"--",IF(F!G346=0,"--",F!G346))</f>
        <v>0.1</v>
      </c>
      <c r="E346" s="6" t="str">
        <f>IF(D346="--","",F!H346)</f>
        <v>&lt;</v>
      </c>
      <c r="F346" s="6">
        <f>IF(ISNUMBER(F!I346)=FALSE,"--",IF(F!I346=0,"--",F!I346))</f>
        <v>0.1</v>
      </c>
      <c r="G346" s="6" t="str">
        <f>IF(F346="--","",F!J346)</f>
        <v>&lt;</v>
      </c>
      <c r="H346" s="6"/>
      <c r="I346" s="16">
        <f>IF(F!Z346=0,-1,F!AV346)</f>
        <v>-1</v>
      </c>
      <c r="J346" s="6"/>
      <c r="K346" s="16">
        <f>IF(F!AC346=0,-1,F!AX346)</f>
        <v>-1</v>
      </c>
      <c r="L346" s="6"/>
      <c r="M346" s="16">
        <f>IF(F!AF346=0,-1,F!AZ346)</f>
        <v>-1</v>
      </c>
      <c r="N346" s="6"/>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6">
        <f t="shared" si="130"/>
        <v>-1</v>
      </c>
      <c r="R346" s="102"/>
      <c r="S346" s="102"/>
      <c r="T346" s="87">
        <f t="shared" si="125"/>
        <v>-1</v>
      </c>
      <c r="U346" s="102"/>
      <c r="V346" s="102"/>
      <c r="W346" s="6">
        <f t="shared" si="126"/>
        <v>-1</v>
      </c>
      <c r="X346" s="102"/>
      <c r="Y346" s="102"/>
      <c r="AA346" s="4">
        <f>IFERROR(IF(Q346="","",(IF(Q346&gt;2*VLOOKUP(F!$B346,E!$B$1:$AK$300,5,FALSE),1,0))),"")</f>
        <v>0</v>
      </c>
      <c r="AB346" s="4">
        <f>IFERROR(IF(T346="","",(IF(T346&gt;2*VLOOKUP(F!$B346,E!$B$1:$AK$300,5,FALSE),1,0))),"")</f>
        <v>0</v>
      </c>
      <c r="AC346" s="4">
        <f>IFERROR(IF(W346="","",(IF(W346&gt;2*VLOOKUP(F!$B346,E!$B$1:$AK$300,5,FALSE),1,0))),"")</f>
        <v>0</v>
      </c>
      <c r="AE346" s="4">
        <f>IFERROR(IF(Q346="","",(IF(Q346&gt;VLOOKUP(F!$B346,E!$B$1:$AK$300,6,FALSE)+VLOOKUP(F!$B346,E!$B$1:$AK$300,5,FALSE),1,0))),"")</f>
        <v>0</v>
      </c>
      <c r="AF346" s="4">
        <f>IFERROR(IF(T346="","",(IF(T346&gt;VLOOKUP(F!$B346,E!$B$1:$AK$300,6,FALSE)+VLOOKUP(F!$B346,E!$B$1:$AK$300,5,FALSE),1,0))),"")</f>
        <v>0</v>
      </c>
      <c r="AG346" s="4">
        <f>IFERROR(IF(W346="","",(IF(W346&gt;VLOOKUP(F!$B346,E!$B$1:$AK$300,6,FALSE)+VLOOKUP(F!$B346,E!$B$1:$AK$300,5,FALSE),1,0))),"")</f>
        <v>0</v>
      </c>
      <c r="AI346" s="6" t="str">
        <f t="shared" si="127"/>
        <v>0,10</v>
      </c>
      <c r="AJ346" s="6"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rg</v>
      </c>
      <c r="AK346" s="6" t="str">
        <f t="shared" si="128"/>
        <v>0,10</v>
      </c>
      <c r="AL346" s="6"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rg</v>
      </c>
      <c r="AM346" s="6" t="str">
        <f t="shared" si="129"/>
        <v>0,10</v>
      </c>
      <c r="AN346" s="6"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rg</v>
      </c>
      <c r="AP346" s="6" t="str">
        <f t="shared" si="116"/>
        <v>0,10</v>
      </c>
      <c r="AQ346" s="6" t="str">
        <f t="shared" si="117"/>
        <v>&lt;</v>
      </c>
      <c r="AR346" s="6" t="str">
        <f t="shared" si="118"/>
        <v>rg</v>
      </c>
      <c r="AS346" s="6" t="str">
        <f t="shared" si="119"/>
        <v>&lt;</v>
      </c>
      <c r="AT346" s="6" t="str">
        <f t="shared" si="120"/>
        <v/>
      </c>
      <c r="AU346" s="6" t="str">
        <f>IFERROR(IF(AR346="--","",IF(HLOOKUP(SMALL($Q$4:$Y$4,3),$Q$4:$Y$501,ROW(AP346)-3,FALSE)=0,"",IF(HLOOKUP(SMALL($Q$4:$Y$4,3),$Q$4:$Y$501,ROW(AP346)-3,FALSE)="nee",VLOOKUP("De kwaliteitseis emissiearme grond (maximale concentratie) wordt overschreden.",H!$O$10:'H'!$P$59,2,FALSE),""))),"")</f>
        <v/>
      </c>
      <c r="AV346" s="6" t="str">
        <f t="shared" si="110"/>
        <v>0,10</v>
      </c>
      <c r="AW346" s="6" t="str">
        <f t="shared" si="111"/>
        <v>&lt;</v>
      </c>
      <c r="AX346" s="6" t="str">
        <f t="shared" si="112"/>
        <v>rg</v>
      </c>
      <c r="AY346" s="6" t="str">
        <f t="shared" si="121"/>
        <v>&lt;</v>
      </c>
      <c r="AZ346" s="6" t="str">
        <f t="shared" si="122"/>
        <v/>
      </c>
      <c r="BA346" s="6" t="str">
        <f>IFERROR(IF(AR346="--","",IF(HLOOKUP(SMALL($Q$4:$Y$4,6),$Q$4:$Y$501,ROW(AP346)-3,FALSE)=0,"",IF(HLOOKUP(SMALL($Q$4:$Y$4,6),$Q$4:$Y$501,ROW(AP346)-3,FALSE)="nee",VLOOKUP("De kwaliteitseis emissiearme grond (maximale concentratie) wordt overschreden.",H!$O$10:'H'!$P$59,2,FALSE),""))),"")</f>
        <v/>
      </c>
      <c r="BB346" s="6" t="str">
        <f t="shared" si="113"/>
        <v>0,10</v>
      </c>
      <c r="BC346" s="6" t="str">
        <f t="shared" si="114"/>
        <v>&lt;</v>
      </c>
      <c r="BD346" s="6" t="str">
        <f t="shared" si="115"/>
        <v>rg</v>
      </c>
      <c r="BE346" s="6" t="str">
        <f t="shared" si="123"/>
        <v>&lt;</v>
      </c>
      <c r="BF346" s="6" t="str">
        <f t="shared" si="124"/>
        <v/>
      </c>
      <c r="BG346" s="4" t="str">
        <f>IFERROR(IF(AR346="--","",IF(HLOOKUP(SMALL($Q$4:$Y$4,9),$Q$4:$Y$501,ROW(AP346)-3,FALSE)=0,"",IF(HLOOKUP(SMALL($Q$4:$Y$4,9),$Q$4:$Y$501,ROW(AP346)-3,FALSE)="nee",VLOOKUP("De kwaliteitseis emissiearme grond (maximale concentratie) wordt overschreden.",H!$O$10:'H'!$P$59,2,FALSE),""))),"")</f>
        <v/>
      </c>
    </row>
    <row r="347" spans="1:59" x14ac:dyDescent="0.2">
      <c r="A347" s="4" t="str">
        <f>F!A347</f>
        <v>PFOS vertakt</v>
      </c>
      <c r="B347" s="6">
        <f>IF(ISNUMBER(F!E347)=FALSE,"--",IF(F!E347=0,"--",F!E347))</f>
        <v>0.1</v>
      </c>
      <c r="C347" s="6" t="str">
        <f>IF(B347="--","",F!F347)</f>
        <v>&lt;</v>
      </c>
      <c r="D347" s="6">
        <f>IF(ISNUMBER(F!G347)=FALSE,"--",IF(F!G347=0,"--",F!G347))</f>
        <v>0.1</v>
      </c>
      <c r="E347" s="6" t="str">
        <f>IF(D347="--","",F!H347)</f>
        <v>&lt;</v>
      </c>
      <c r="F347" s="6">
        <f>IF(ISNUMBER(F!I347)=FALSE,"--",IF(F!I347=0,"--",F!I347))</f>
        <v>0.1</v>
      </c>
      <c r="G347" s="6" t="str">
        <f>IF(F347="--","",F!J347)</f>
        <v>&lt;</v>
      </c>
      <c r="H347" s="6"/>
      <c r="I347" s="16">
        <f>IF(F!Z347=0,-1,F!AV347)</f>
        <v>-1</v>
      </c>
      <c r="J347" s="6"/>
      <c r="K347" s="16">
        <f>IF(F!AC347=0,-1,F!AX347)</f>
        <v>-1</v>
      </c>
      <c r="L347" s="6"/>
      <c r="M347" s="16">
        <f>IF(F!AF347=0,-1,F!AZ347)</f>
        <v>-1</v>
      </c>
      <c r="N347" s="6"/>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6">
        <f t="shared" si="130"/>
        <v>-1</v>
      </c>
      <c r="R347" s="102"/>
      <c r="S347" s="102"/>
      <c r="T347" s="87">
        <f t="shared" si="125"/>
        <v>-1</v>
      </c>
      <c r="U347" s="102"/>
      <c r="V347" s="102"/>
      <c r="W347" s="6">
        <f t="shared" si="126"/>
        <v>-1</v>
      </c>
      <c r="X347" s="102"/>
      <c r="Y347" s="102"/>
      <c r="AA347" s="4">
        <f>IFERROR(IF(Q347="","",(IF(Q347&gt;2*VLOOKUP(F!$B347,E!$B$1:$AK$300,5,FALSE),1,0))),"")</f>
        <v>0</v>
      </c>
      <c r="AB347" s="4">
        <f>IFERROR(IF(T347="","",(IF(T347&gt;2*VLOOKUP(F!$B347,E!$B$1:$AK$300,5,FALSE),1,0))),"")</f>
        <v>0</v>
      </c>
      <c r="AC347" s="4">
        <f>IFERROR(IF(W347="","",(IF(W347&gt;2*VLOOKUP(F!$B347,E!$B$1:$AK$300,5,FALSE),1,0))),"")</f>
        <v>0</v>
      </c>
      <c r="AE347" s="4">
        <f>IFERROR(IF(Q347="","",(IF(Q347&gt;VLOOKUP(F!$B347,E!$B$1:$AK$300,6,FALSE)+VLOOKUP(F!$B347,E!$B$1:$AK$300,5,FALSE),1,0))),"")</f>
        <v>0</v>
      </c>
      <c r="AF347" s="4">
        <f>IFERROR(IF(T347="","",(IF(T347&gt;VLOOKUP(F!$B347,E!$B$1:$AK$300,6,FALSE)+VLOOKUP(F!$B347,E!$B$1:$AK$300,5,FALSE),1,0))),"")</f>
        <v>0</v>
      </c>
      <c r="AG347" s="4">
        <f>IFERROR(IF(W347="","",(IF(W347&gt;VLOOKUP(F!$B347,E!$B$1:$AK$300,6,FALSE)+VLOOKUP(F!$B347,E!$B$1:$AK$300,5,FALSE),1,0))),"")</f>
        <v>0</v>
      </c>
      <c r="AI347" s="6" t="str">
        <f t="shared" si="127"/>
        <v>0,10</v>
      </c>
      <c r="AJ347" s="6"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rg</v>
      </c>
      <c r="AK347" s="6" t="str">
        <f t="shared" si="128"/>
        <v>0,10</v>
      </c>
      <c r="AL347" s="6"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rg</v>
      </c>
      <c r="AM347" s="6" t="str">
        <f t="shared" si="129"/>
        <v>0,10</v>
      </c>
      <c r="AN347" s="6"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rg</v>
      </c>
      <c r="AP347" s="6" t="str">
        <f t="shared" si="116"/>
        <v>0,10</v>
      </c>
      <c r="AQ347" s="6" t="str">
        <f t="shared" si="117"/>
        <v>&lt;</v>
      </c>
      <c r="AR347" s="6" t="str">
        <f t="shared" si="118"/>
        <v>rg</v>
      </c>
      <c r="AS347" s="6" t="str">
        <f t="shared" si="119"/>
        <v>&lt;</v>
      </c>
      <c r="AT347" s="6" t="str">
        <f t="shared" si="120"/>
        <v/>
      </c>
      <c r="AU347" s="6" t="str">
        <f>IFERROR(IF(AR347="--","",IF(HLOOKUP(SMALL($Q$4:$Y$4,3),$Q$4:$Y$501,ROW(AP347)-3,FALSE)=0,"",IF(HLOOKUP(SMALL($Q$4:$Y$4,3),$Q$4:$Y$501,ROW(AP347)-3,FALSE)="nee",VLOOKUP("De kwaliteitseis emissiearme grond (maximale concentratie) wordt overschreden.",H!$O$10:'H'!$P$59,2,FALSE),""))),"")</f>
        <v/>
      </c>
      <c r="AV347" s="6" t="str">
        <f t="shared" si="110"/>
        <v>0,10</v>
      </c>
      <c r="AW347" s="6" t="str">
        <f t="shared" si="111"/>
        <v>&lt;</v>
      </c>
      <c r="AX347" s="6" t="str">
        <f t="shared" si="112"/>
        <v>rg</v>
      </c>
      <c r="AY347" s="6" t="str">
        <f t="shared" si="121"/>
        <v>&lt;</v>
      </c>
      <c r="AZ347" s="6" t="str">
        <f t="shared" si="122"/>
        <v/>
      </c>
      <c r="BA347" s="6" t="str">
        <f>IFERROR(IF(AR347="--","",IF(HLOOKUP(SMALL($Q$4:$Y$4,6),$Q$4:$Y$501,ROW(AP347)-3,FALSE)=0,"",IF(HLOOKUP(SMALL($Q$4:$Y$4,6),$Q$4:$Y$501,ROW(AP347)-3,FALSE)="nee",VLOOKUP("De kwaliteitseis emissiearme grond (maximale concentratie) wordt overschreden.",H!$O$10:'H'!$P$59,2,FALSE),""))),"")</f>
        <v/>
      </c>
      <c r="BB347" s="6" t="str">
        <f t="shared" si="113"/>
        <v>0,10</v>
      </c>
      <c r="BC347" s="6" t="str">
        <f t="shared" si="114"/>
        <v>&lt;</v>
      </c>
      <c r="BD347" s="6" t="str">
        <f t="shared" si="115"/>
        <v>rg</v>
      </c>
      <c r="BE347" s="6" t="str">
        <f t="shared" si="123"/>
        <v>&lt;</v>
      </c>
      <c r="BF347" s="6" t="str">
        <f t="shared" si="124"/>
        <v/>
      </c>
      <c r="BG347" s="4" t="str">
        <f>IFERROR(IF(AR347="--","",IF(HLOOKUP(SMALL($Q$4:$Y$4,9),$Q$4:$Y$501,ROW(AP347)-3,FALSE)=0,"",IF(HLOOKUP(SMALL($Q$4:$Y$4,9),$Q$4:$Y$501,ROW(AP347)-3,FALSE)="nee",VLOOKUP("De kwaliteitseis emissiearme grond (maximale concentratie) wordt overschreden.",H!$O$10:'H'!$P$59,2,FALSE),""))),"")</f>
        <v/>
      </c>
    </row>
    <row r="348" spans="1:59" x14ac:dyDescent="0.2">
      <c r="A348" s="4" t="str">
        <f>F!A348</f>
        <v>PFOS totaal</v>
      </c>
      <c r="B348" s="6">
        <f>IF(ISNUMBER(F!E348)=FALSE,"--",IF(F!E348=0,"--",F!E348))</f>
        <v>0.1</v>
      </c>
      <c r="C348" s="6" t="str">
        <f>IF(B348="--","",F!F348)</f>
        <v>&lt;</v>
      </c>
      <c r="D348" s="6">
        <f>IF(ISNUMBER(F!G348)=FALSE,"--",IF(F!G348=0,"--",F!G348))</f>
        <v>0.1</v>
      </c>
      <c r="E348" s="6" t="str">
        <f>IF(D348="--","",F!H348)</f>
        <v>&lt;</v>
      </c>
      <c r="F348" s="6">
        <f>IF(ISNUMBER(F!I348)=FALSE,"--",IF(F!I348=0,"--",F!I348))</f>
        <v>0.1</v>
      </c>
      <c r="G348" s="6" t="str">
        <f>IF(F348="--","",F!J348)</f>
        <v>&lt;</v>
      </c>
      <c r="H348" s="6"/>
      <c r="I348" s="170">
        <f>IF(AND(I346=-1,I347=-1),-1,F!AV348)</f>
        <v>-1</v>
      </c>
      <c r="J348" s="6"/>
      <c r="K348" s="170">
        <f>IF(AND(K346=-1,K347=-1),-1,F!AX348)</f>
        <v>-1</v>
      </c>
      <c r="L348" s="6"/>
      <c r="M348" s="170">
        <f>IF(AND(M346=-1,M347=-1),-1,F!AZ348)</f>
        <v>-1</v>
      </c>
      <c r="N348" s="6"/>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6">
        <f t="shared" si="130"/>
        <v>-1</v>
      </c>
      <c r="R348" s="5" t="str">
        <f>IF($B348="--","",IF($P348="toetsen",toetsen(F!$B348,Q348),IF($P348="toetsen alleen IW",toetsen_alleen_IW(F!$B348,Q348),IF($P348="toetsen alleen LN",toetsen_alleen_LN(F!$B348,Q348),IF($P348="toetsen geen MV en SV",toetsen_geen_MV_en_SV(F!$B348,Q348),IF($P348="toetsen alleen MV en SV",toetsen_alleen_MV_en_SV(F!$B348,Q348),""))))))</f>
        <v>-</v>
      </c>
      <c r="S348" s="5" t="str">
        <f>IF($P348="toetsen",IF(OR(Q348="",VLOOKUP(F!$B348,E!$B$1:$AK$300,10,FALSE)=1000000000),"",IF(Q348&lt;=VLOOKUP(F!$B348,E!$B$1:$AK$300,10,FALSE),"ja","nee")),"")</f>
        <v>ja</v>
      </c>
      <c r="T348" s="87">
        <f t="shared" si="125"/>
        <v>-1</v>
      </c>
      <c r="U348" s="5" t="str">
        <f>IF($D348="--","",IF($P348="toetsen",toetsen(F!$B348,T348),IF($P348="toetsen alleen IW",toetsen_alleen_IW(F!$B348,T348),IF($P348="toetsen alleen LN",toetsen_alleen_LN(F!$B348,T348),IF($P348="toetsen geen MV en SV",toetsen_geen_MV_en_SV(F!$B348,T348),IF($P348="toetsen alleen MV en SV",toetsen_alleen_MV_en_SV(F!$B348,T348),""))))))</f>
        <v>-</v>
      </c>
      <c r="V348" s="5" t="str">
        <f>IF($P348="toetsen",IF(OR(T348="",VLOOKUP(F!$B348,E!$B$1:$AK$300,10,FALSE)=1000000000),"",IF(T348&lt;=VLOOKUP(F!$B348,E!$B$1:$AK$300,10,FALSE),"ja","nee")),"")</f>
        <v>ja</v>
      </c>
      <c r="W348" s="6">
        <f t="shared" si="126"/>
        <v>-1</v>
      </c>
      <c r="X348" s="5" t="str">
        <f>IF($F348="--","",IF($P348="toetsen",toetsen(F!$B348,W348),IF($P348="toetsen alleen IW",toetsen_alleen_IW(F!$B348,W348),IF($P348="toetsen alleen LN",toetsen_alleen_LN(F!$B348,W348),IF($P348="toetsen geen MV en SV",toetsen_geen_MV_en_SV(F!$B348,W348),IF($P348="toetsen alleen MV en SV",toetsen_alleen_MV_en_SV(F!$B348,W348),""))))))</f>
        <v>-</v>
      </c>
      <c r="Y348" s="5" t="str">
        <f>IF($P348="toetsen",IF(OR(W348="",VLOOKUP(F!$B348,E!$B$1:$AK$300,10,FALSE)=1000000000),"",IF(W348&lt;=VLOOKUP(F!$B348,E!$B$1:$AK$300,10,FALSE),"ja","nee")),"")</f>
        <v>ja</v>
      </c>
      <c r="AA348" s="4">
        <f>IFERROR(IF(Q348="","",(IF(Q348&gt;2*VLOOKUP(F!$B348,E!$B$1:$AK$300,5,FALSE),1,0))),"")</f>
        <v>0</v>
      </c>
      <c r="AB348" s="4">
        <f>IFERROR(IF(T348="","",(IF(T348&gt;2*VLOOKUP(F!$B348,E!$B$1:$AK$300,5,FALSE),1,0))),"")</f>
        <v>0</v>
      </c>
      <c r="AC348" s="4">
        <f>IFERROR(IF(W348="","",(IF(W348&gt;2*VLOOKUP(F!$B348,E!$B$1:$AK$300,5,FALSE),1,0))),"")</f>
        <v>0</v>
      </c>
      <c r="AE348" s="4">
        <f>IFERROR(IF(Q348="","",(IF(Q348&gt;VLOOKUP(F!$B348,E!$B$1:$AK$300,6,FALSE)+VLOOKUP(F!$B348,E!$B$1:$AK$300,5,FALSE),1,0))),"")</f>
        <v>0</v>
      </c>
      <c r="AF348" s="4">
        <f>IFERROR(IF(T348="","",(IF(T348&gt;VLOOKUP(F!$B348,E!$B$1:$AK$300,6,FALSE)+VLOOKUP(F!$B348,E!$B$1:$AK$300,5,FALSE),1,0))),"")</f>
        <v>0</v>
      </c>
      <c r="AG348" s="4">
        <f>IFERROR(IF(W348="","",(IF(W348&gt;VLOOKUP(F!$B348,E!$B$1:$AK$300,6,FALSE)+VLOOKUP(F!$B348,E!$B$1:$AK$300,5,FALSE),1,0))),"")</f>
        <v>0</v>
      </c>
      <c r="AI348" s="6" t="str">
        <f t="shared" si="127"/>
        <v>0,10</v>
      </c>
      <c r="AJ348" s="6"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rg</v>
      </c>
      <c r="AK348" s="6" t="str">
        <f t="shared" si="128"/>
        <v>0,10</v>
      </c>
      <c r="AL348" s="6"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rg</v>
      </c>
      <c r="AM348" s="6" t="str">
        <f t="shared" si="129"/>
        <v>0,10</v>
      </c>
      <c r="AN348" s="6"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rg</v>
      </c>
      <c r="AP348" s="6" t="str">
        <f t="shared" si="116"/>
        <v>0,10</v>
      </c>
      <c r="AQ348" s="6" t="str">
        <f t="shared" si="117"/>
        <v>&lt;</v>
      </c>
      <c r="AR348" s="6" t="str">
        <f t="shared" si="118"/>
        <v>rg</v>
      </c>
      <c r="AS348" s="6" t="str">
        <f t="shared" si="119"/>
        <v>&lt;</v>
      </c>
      <c r="AT348" s="6" t="str">
        <f t="shared" si="120"/>
        <v>-</v>
      </c>
      <c r="AU348" s="6" t="str">
        <f>IFERROR(IF(AR348="--","",IF(HLOOKUP(SMALL($Q$4:$Y$4,3),$Q$4:$Y$501,ROW(AP348)-3,FALSE)=0,"",IF(HLOOKUP(SMALL($Q$4:$Y$4,3),$Q$4:$Y$501,ROW(AP348)-3,FALSE)="nee",VLOOKUP("De kwaliteitseis emissiearme grond (maximale concentratie) wordt overschreden.",H!$O$10:'H'!$P$59,2,FALSE),""))),"")</f>
        <v/>
      </c>
      <c r="AV348" s="6" t="str">
        <f t="shared" si="110"/>
        <v>0,10</v>
      </c>
      <c r="AW348" s="6" t="str">
        <f t="shared" si="111"/>
        <v>&lt;</v>
      </c>
      <c r="AX348" s="6" t="str">
        <f t="shared" si="112"/>
        <v>rg</v>
      </c>
      <c r="AY348" s="6" t="str">
        <f t="shared" si="121"/>
        <v>&lt;</v>
      </c>
      <c r="AZ348" s="6" t="str">
        <f t="shared" si="122"/>
        <v>-</v>
      </c>
      <c r="BA348" s="6" t="str">
        <f>IFERROR(IF(AR348="--","",IF(HLOOKUP(SMALL($Q$4:$Y$4,6),$Q$4:$Y$501,ROW(AP348)-3,FALSE)=0,"",IF(HLOOKUP(SMALL($Q$4:$Y$4,6),$Q$4:$Y$501,ROW(AP348)-3,FALSE)="nee",VLOOKUP("De kwaliteitseis emissiearme grond (maximale concentratie) wordt overschreden.",H!$O$10:'H'!$P$59,2,FALSE),""))),"")</f>
        <v/>
      </c>
      <c r="BB348" s="6" t="str">
        <f t="shared" si="113"/>
        <v>0,10</v>
      </c>
      <c r="BC348" s="6" t="str">
        <f t="shared" si="114"/>
        <v>&lt;</v>
      </c>
      <c r="BD348" s="6" t="str">
        <f t="shared" si="115"/>
        <v>rg</v>
      </c>
      <c r="BE348" s="6" t="str">
        <f t="shared" si="123"/>
        <v>&lt;</v>
      </c>
      <c r="BF348" s="6" t="str">
        <f t="shared" si="124"/>
        <v>-</v>
      </c>
      <c r="BG348" s="4" t="str">
        <f>IFERROR(IF(AR348="--","",IF(HLOOKUP(SMALL($Q$4:$Y$4,9),$Q$4:$Y$501,ROW(AP348)-3,FALSE)=0,"",IF(HLOOKUP(SMALL($Q$4:$Y$4,9),$Q$4:$Y$501,ROW(AP348)-3,FALSE)="nee",VLOOKUP("De kwaliteitseis emissiearme grond (maximale concentratie) wordt overschreden.",H!$O$10:'H'!$P$59,2,FALSE),""))),"")</f>
        <v/>
      </c>
    </row>
    <row r="349" spans="1:59" x14ac:dyDescent="0.2">
      <c r="A349" s="4" t="str">
        <f>F!A349</f>
        <v>PFDS</v>
      </c>
      <c r="B349" s="6">
        <f>IF(ISNUMBER(F!E349)=FALSE,"--",IF(F!E349=0,"--",F!E349))</f>
        <v>0.1</v>
      </c>
      <c r="C349" s="6" t="str">
        <f>IF(B349="--","",F!F349)</f>
        <v>&lt;</v>
      </c>
      <c r="D349" s="6">
        <f>IF(ISNUMBER(F!G349)=FALSE,"--",IF(F!G349=0,"--",F!G349))</f>
        <v>0.1</v>
      </c>
      <c r="E349" s="6" t="str">
        <f>IF(D349="--","",F!H349)</f>
        <v>&lt;</v>
      </c>
      <c r="F349" s="6">
        <f>IF(ISNUMBER(F!I349)=FALSE,"--",IF(F!I349=0,"--",F!I349))</f>
        <v>0.1</v>
      </c>
      <c r="G349" s="6" t="str">
        <f>IF(F349="--","",F!J349)</f>
        <v>&lt;</v>
      </c>
      <c r="H349" s="6"/>
      <c r="I349" s="16">
        <f>IF(F!Z349=0,-1,F!AV349)</f>
        <v>-1</v>
      </c>
      <c r="J349" s="6"/>
      <c r="K349" s="16">
        <f>IF(F!AC349=0,-1,F!AX349)</f>
        <v>-1</v>
      </c>
      <c r="L349" s="6"/>
      <c r="M349" s="16">
        <f>IF(F!AF349=0,-1,F!AZ349)</f>
        <v>-1</v>
      </c>
      <c r="N349" s="6"/>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6">
        <f t="shared" si="130"/>
        <v>-1</v>
      </c>
      <c r="R349" s="5" t="str">
        <f>IF($B349="--","",IF($P349="toetsen",toetsen(F!$B349,Q349),IF($P349="toetsen alleen IW",toetsen_alleen_IW(F!$B349,Q349),IF($P349="toetsen alleen LN",toetsen_alleen_LN(F!$B349,Q349),IF($P349="toetsen geen MV en SV",toetsen_geen_MV_en_SV(F!$B349,Q349),IF($P349="toetsen alleen MV en SV",toetsen_alleen_MV_en_SV(F!$B349,Q349),""))))))</f>
        <v>-</v>
      </c>
      <c r="S349" s="5" t="str">
        <f>IF($P349="toetsen",IF(OR(Q349="",VLOOKUP(F!$B349,E!$B$1:$AK$300,10,FALSE)=1000000000),"",IF(Q349&lt;=VLOOKUP(F!$B349,E!$B$1:$AK$300,10,FALSE),"ja","nee")),"")</f>
        <v>ja</v>
      </c>
      <c r="T349" s="87">
        <f t="shared" si="125"/>
        <v>-1</v>
      </c>
      <c r="U349" s="5" t="str">
        <f>IF($D349="--","",IF($P349="toetsen",toetsen(F!$B349,T349),IF($P349="toetsen alleen IW",toetsen_alleen_IW(F!$B349,T349),IF($P349="toetsen alleen LN",toetsen_alleen_LN(F!$B349,T349),IF($P349="toetsen geen MV en SV",toetsen_geen_MV_en_SV(F!$B349,T349),IF($P349="toetsen alleen MV en SV",toetsen_alleen_MV_en_SV(F!$B349,T349),""))))))</f>
        <v>-</v>
      </c>
      <c r="V349" s="5" t="str">
        <f>IF($P349="toetsen",IF(OR(T349="",VLOOKUP(F!$B349,E!$B$1:$AK$300,10,FALSE)=1000000000),"",IF(T349&lt;=VLOOKUP(F!$B349,E!$B$1:$AK$300,10,FALSE),"ja","nee")),"")</f>
        <v>ja</v>
      </c>
      <c r="W349" s="6">
        <f t="shared" si="126"/>
        <v>-1</v>
      </c>
      <c r="X349" s="5" t="str">
        <f>IF($F349="--","",IF($P349="toetsen",toetsen(F!$B349,W349),IF($P349="toetsen alleen IW",toetsen_alleen_IW(F!$B349,W349),IF($P349="toetsen alleen LN",toetsen_alleen_LN(F!$B349,W349),IF($P349="toetsen geen MV en SV",toetsen_geen_MV_en_SV(F!$B349,W349),IF($P349="toetsen alleen MV en SV",toetsen_alleen_MV_en_SV(F!$B349,W349),""))))))</f>
        <v>-</v>
      </c>
      <c r="Y349" s="5" t="str">
        <f>IF($P349="toetsen",IF(OR(W349="",VLOOKUP(F!$B349,E!$B$1:$AK$300,10,FALSE)=1000000000),"",IF(W349&lt;=VLOOKUP(F!$B349,E!$B$1:$AK$300,10,FALSE),"ja","nee")),"")</f>
        <v>ja</v>
      </c>
      <c r="AA349" s="4">
        <f>IFERROR(IF(Q349="","",(IF(Q349&gt;2*VLOOKUP(F!$B349,E!$B$1:$AK$300,5,FALSE),1,0))),"")</f>
        <v>0</v>
      </c>
      <c r="AB349" s="4">
        <f>IFERROR(IF(T349="","",(IF(T349&gt;2*VLOOKUP(F!$B349,E!$B$1:$AK$300,5,FALSE),1,0))),"")</f>
        <v>0</v>
      </c>
      <c r="AC349" s="4">
        <f>IFERROR(IF(W349="","",(IF(W349&gt;2*VLOOKUP(F!$B349,E!$B$1:$AK$300,5,FALSE),1,0))),"")</f>
        <v>0</v>
      </c>
      <c r="AE349" s="4">
        <f>IFERROR(IF(Q349="","",(IF(Q349&gt;VLOOKUP(F!$B349,E!$B$1:$AK$300,6,FALSE)+VLOOKUP(F!$B349,E!$B$1:$AK$300,5,FALSE),1,0))),"")</f>
        <v>0</v>
      </c>
      <c r="AF349" s="4">
        <f>IFERROR(IF(T349="","",(IF(T349&gt;VLOOKUP(F!$B349,E!$B$1:$AK$300,6,FALSE)+VLOOKUP(F!$B349,E!$B$1:$AK$300,5,FALSE),1,0))),"")</f>
        <v>0</v>
      </c>
      <c r="AG349" s="4">
        <f>IFERROR(IF(W349="","",(IF(W349&gt;VLOOKUP(F!$B349,E!$B$1:$AK$300,6,FALSE)+VLOOKUP(F!$B349,E!$B$1:$AK$300,5,FALSE),1,0))),"")</f>
        <v>0</v>
      </c>
      <c r="AI349" s="6" t="str">
        <f t="shared" si="127"/>
        <v>0,10</v>
      </c>
      <c r="AJ349" s="6"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rg</v>
      </c>
      <c r="AK349" s="6" t="str">
        <f t="shared" si="128"/>
        <v>0,10</v>
      </c>
      <c r="AL349" s="6"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rg</v>
      </c>
      <c r="AM349" s="6" t="str">
        <f t="shared" si="129"/>
        <v>0,10</v>
      </c>
      <c r="AN349" s="6"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rg</v>
      </c>
      <c r="AP349" s="6" t="str">
        <f t="shared" si="116"/>
        <v>0,10</v>
      </c>
      <c r="AQ349" s="6" t="str">
        <f t="shared" si="117"/>
        <v>&lt;</v>
      </c>
      <c r="AR349" s="6" t="str">
        <f t="shared" si="118"/>
        <v>rg</v>
      </c>
      <c r="AS349" s="6" t="str">
        <f t="shared" si="119"/>
        <v>&lt;</v>
      </c>
      <c r="AT349" s="6" t="str">
        <f t="shared" si="120"/>
        <v>-</v>
      </c>
      <c r="AU349" s="6" t="str">
        <f>IFERROR(IF(AR349="--","",IF(HLOOKUP(SMALL($Q$4:$Y$4,3),$Q$4:$Y$501,ROW(AP349)-3,FALSE)=0,"",IF(HLOOKUP(SMALL($Q$4:$Y$4,3),$Q$4:$Y$501,ROW(AP349)-3,FALSE)="nee",VLOOKUP("De kwaliteitseis emissiearme grond (maximale concentratie) wordt overschreden.",H!$O$10:'H'!$P$59,2,FALSE),""))),"")</f>
        <v/>
      </c>
      <c r="AV349" s="6" t="str">
        <f t="shared" si="110"/>
        <v>0,10</v>
      </c>
      <c r="AW349" s="6" t="str">
        <f t="shared" si="111"/>
        <v>&lt;</v>
      </c>
      <c r="AX349" s="6" t="str">
        <f t="shared" si="112"/>
        <v>rg</v>
      </c>
      <c r="AY349" s="6" t="str">
        <f t="shared" si="121"/>
        <v>&lt;</v>
      </c>
      <c r="AZ349" s="6" t="str">
        <f t="shared" si="122"/>
        <v>-</v>
      </c>
      <c r="BA349" s="6" t="str">
        <f>IFERROR(IF(AR349="--","",IF(HLOOKUP(SMALL($Q$4:$Y$4,6),$Q$4:$Y$501,ROW(AP349)-3,FALSE)=0,"",IF(HLOOKUP(SMALL($Q$4:$Y$4,6),$Q$4:$Y$501,ROW(AP349)-3,FALSE)="nee",VLOOKUP("De kwaliteitseis emissiearme grond (maximale concentratie) wordt overschreden.",H!$O$10:'H'!$P$59,2,FALSE),""))),"")</f>
        <v/>
      </c>
      <c r="BB349" s="6" t="str">
        <f t="shared" si="113"/>
        <v>0,10</v>
      </c>
      <c r="BC349" s="6" t="str">
        <f t="shared" si="114"/>
        <v>&lt;</v>
      </c>
      <c r="BD349" s="6" t="str">
        <f t="shared" si="115"/>
        <v>rg</v>
      </c>
      <c r="BE349" s="6" t="str">
        <f t="shared" si="123"/>
        <v>&lt;</v>
      </c>
      <c r="BF349" s="6" t="str">
        <f t="shared" si="124"/>
        <v>-</v>
      </c>
      <c r="BG349" s="4" t="str">
        <f>IFERROR(IF(AR349="--","",IF(HLOOKUP(SMALL($Q$4:$Y$4,9),$Q$4:$Y$501,ROW(AP349)-3,FALSE)=0,"",IF(HLOOKUP(SMALL($Q$4:$Y$4,9),$Q$4:$Y$501,ROW(AP349)-3,FALSE)="nee",VLOOKUP("De kwaliteitseis emissiearme grond (maximale concentratie) wordt overschreden.",H!$O$10:'H'!$P$59,2,FALSE),""))),"")</f>
        <v/>
      </c>
    </row>
    <row r="350" spans="1:59" x14ac:dyDescent="0.2">
      <c r="A350" s="4" t="str">
        <f>F!A350</f>
        <v>4:2 FTS</v>
      </c>
      <c r="B350" s="6">
        <f>IF(ISNUMBER(F!E350)=FALSE,"--",IF(F!E350=0,"--",F!E350))</f>
        <v>0.1</v>
      </c>
      <c r="C350" s="6" t="str">
        <f>IF(B350="--","",F!F350)</f>
        <v>&lt;</v>
      </c>
      <c r="D350" s="6">
        <f>IF(ISNUMBER(F!G350)=FALSE,"--",IF(F!G350=0,"--",F!G350))</f>
        <v>0.1</v>
      </c>
      <c r="E350" s="6" t="str">
        <f>IF(D350="--","",F!H350)</f>
        <v>&lt;</v>
      </c>
      <c r="F350" s="6">
        <f>IF(ISNUMBER(F!I350)=FALSE,"--",IF(F!I350=0,"--",F!I350))</f>
        <v>0.1</v>
      </c>
      <c r="G350" s="6" t="str">
        <f>IF(F350="--","",F!J350)</f>
        <v>&lt;</v>
      </c>
      <c r="H350" s="6"/>
      <c r="I350" s="16">
        <f>IF(F!Z350=0,-1,F!AV350)</f>
        <v>-1</v>
      </c>
      <c r="J350" s="6"/>
      <c r="K350" s="16">
        <f>IF(F!AC350=0,-1,F!AX350)</f>
        <v>-1</v>
      </c>
      <c r="L350" s="6"/>
      <c r="M350" s="16">
        <f>IF(F!AF350=0,-1,F!AZ350)</f>
        <v>-1</v>
      </c>
      <c r="N350" s="6"/>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6">
        <f t="shared" si="130"/>
        <v>-1</v>
      </c>
      <c r="R350" s="5" t="str">
        <f>IF($B350="--","",IF($P350="toetsen",toetsen(F!$B350,Q350),IF($P350="toetsen alleen IW",toetsen_alleen_IW(F!$B350,Q350),IF($P350="toetsen alleen LN",toetsen_alleen_LN(F!$B350,Q350),IF($P350="toetsen geen MV en SV",toetsen_geen_MV_en_SV(F!$B350,Q350),IF($P350="toetsen alleen MV en SV",toetsen_alleen_MV_en_SV(F!$B350,Q350),""))))))</f>
        <v>-</v>
      </c>
      <c r="S350" s="5" t="str">
        <f>IF($P350="toetsen",IF(OR(Q350="",VLOOKUP(F!$B350,E!$B$1:$AK$300,10,FALSE)=1000000000),"",IF(Q350&lt;=VLOOKUP(F!$B350,E!$B$1:$AK$300,10,FALSE),"ja","nee")),"")</f>
        <v>ja</v>
      </c>
      <c r="T350" s="87">
        <f t="shared" si="125"/>
        <v>-1</v>
      </c>
      <c r="U350" s="5" t="str">
        <f>IF($D350="--","",IF($P350="toetsen",toetsen(F!$B350,T350),IF($P350="toetsen alleen IW",toetsen_alleen_IW(F!$B350,T350),IF($P350="toetsen alleen LN",toetsen_alleen_LN(F!$B350,T350),IF($P350="toetsen geen MV en SV",toetsen_geen_MV_en_SV(F!$B350,T350),IF($P350="toetsen alleen MV en SV",toetsen_alleen_MV_en_SV(F!$B350,T350),""))))))</f>
        <v>-</v>
      </c>
      <c r="V350" s="5" t="str">
        <f>IF($P350="toetsen",IF(OR(T350="",VLOOKUP(F!$B350,E!$B$1:$AK$300,10,FALSE)=1000000000),"",IF(T350&lt;=VLOOKUP(F!$B350,E!$B$1:$AK$300,10,FALSE),"ja","nee")),"")</f>
        <v>ja</v>
      </c>
      <c r="W350" s="6">
        <f t="shared" si="126"/>
        <v>-1</v>
      </c>
      <c r="X350" s="5" t="str">
        <f>IF($F350="--","",IF($P350="toetsen",toetsen(F!$B350,W350),IF($P350="toetsen alleen IW",toetsen_alleen_IW(F!$B350,W350),IF($P350="toetsen alleen LN",toetsen_alleen_LN(F!$B350,W350),IF($P350="toetsen geen MV en SV",toetsen_geen_MV_en_SV(F!$B350,W350),IF($P350="toetsen alleen MV en SV",toetsen_alleen_MV_en_SV(F!$B350,W350),""))))))</f>
        <v>-</v>
      </c>
      <c r="Y350" s="5" t="str">
        <f>IF($P350="toetsen",IF(OR(W350="",VLOOKUP(F!$B350,E!$B$1:$AK$300,10,FALSE)=1000000000),"",IF(W350&lt;=VLOOKUP(F!$B350,E!$B$1:$AK$300,10,FALSE),"ja","nee")),"")</f>
        <v>ja</v>
      </c>
      <c r="AA350" s="4">
        <f>IFERROR(IF(Q350="","",(IF(Q350&gt;2*VLOOKUP(F!$B350,E!$B$1:$AK$300,5,FALSE),1,0))),"")</f>
        <v>0</v>
      </c>
      <c r="AB350" s="4">
        <f>IFERROR(IF(T350="","",(IF(T350&gt;2*VLOOKUP(F!$B350,E!$B$1:$AK$300,5,FALSE),1,0))),"")</f>
        <v>0</v>
      </c>
      <c r="AC350" s="4">
        <f>IFERROR(IF(W350="","",(IF(W350&gt;2*VLOOKUP(F!$B350,E!$B$1:$AK$300,5,FALSE),1,0))),"")</f>
        <v>0</v>
      </c>
      <c r="AE350" s="4">
        <f>IFERROR(IF(Q350="","",(IF(Q350&gt;VLOOKUP(F!$B350,E!$B$1:$AK$300,6,FALSE)+VLOOKUP(F!$B350,E!$B$1:$AK$300,5,FALSE),1,0))),"")</f>
        <v>0</v>
      </c>
      <c r="AF350" s="4">
        <f>IFERROR(IF(T350="","",(IF(T350&gt;VLOOKUP(F!$B350,E!$B$1:$AK$300,6,FALSE)+VLOOKUP(F!$B350,E!$B$1:$AK$300,5,FALSE),1,0))),"")</f>
        <v>0</v>
      </c>
      <c r="AG350" s="4">
        <f>IFERROR(IF(W350="","",(IF(W350&gt;VLOOKUP(F!$B350,E!$B$1:$AK$300,6,FALSE)+VLOOKUP(F!$B350,E!$B$1:$AK$300,5,FALSE),1,0))),"")</f>
        <v>0</v>
      </c>
      <c r="AI350" s="6" t="str">
        <f t="shared" si="127"/>
        <v>0,10</v>
      </c>
      <c r="AJ350" s="6"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rg</v>
      </c>
      <c r="AK350" s="6" t="str">
        <f t="shared" si="128"/>
        <v>0,10</v>
      </c>
      <c r="AL350" s="6"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rg</v>
      </c>
      <c r="AM350" s="6" t="str">
        <f t="shared" si="129"/>
        <v>0,10</v>
      </c>
      <c r="AN350" s="6"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rg</v>
      </c>
      <c r="AP350" s="6" t="str">
        <f t="shared" si="116"/>
        <v>0,10</v>
      </c>
      <c r="AQ350" s="6" t="str">
        <f t="shared" si="117"/>
        <v>&lt;</v>
      </c>
      <c r="AR350" s="6" t="str">
        <f t="shared" si="118"/>
        <v>rg</v>
      </c>
      <c r="AS350" s="6" t="str">
        <f t="shared" si="119"/>
        <v>&lt;</v>
      </c>
      <c r="AT350" s="6" t="str">
        <f t="shared" si="120"/>
        <v>-</v>
      </c>
      <c r="AU350" s="6" t="str">
        <f>IFERROR(IF(AR350="--","",IF(HLOOKUP(SMALL($Q$4:$Y$4,3),$Q$4:$Y$501,ROW(AP350)-3,FALSE)=0,"",IF(HLOOKUP(SMALL($Q$4:$Y$4,3),$Q$4:$Y$501,ROW(AP350)-3,FALSE)="nee",VLOOKUP("De kwaliteitseis emissiearme grond (maximale concentratie) wordt overschreden.",H!$O$10:'H'!$P$59,2,FALSE),""))),"")</f>
        <v/>
      </c>
      <c r="AV350" s="6" t="str">
        <f t="shared" si="110"/>
        <v>0,10</v>
      </c>
      <c r="AW350" s="6" t="str">
        <f t="shared" si="111"/>
        <v>&lt;</v>
      </c>
      <c r="AX350" s="6" t="str">
        <f t="shared" si="112"/>
        <v>rg</v>
      </c>
      <c r="AY350" s="6" t="str">
        <f t="shared" si="121"/>
        <v>&lt;</v>
      </c>
      <c r="AZ350" s="6" t="str">
        <f t="shared" si="122"/>
        <v>-</v>
      </c>
      <c r="BA350" s="6" t="str">
        <f>IFERROR(IF(AR350="--","",IF(HLOOKUP(SMALL($Q$4:$Y$4,6),$Q$4:$Y$501,ROW(AP350)-3,FALSE)=0,"",IF(HLOOKUP(SMALL($Q$4:$Y$4,6),$Q$4:$Y$501,ROW(AP350)-3,FALSE)="nee",VLOOKUP("De kwaliteitseis emissiearme grond (maximale concentratie) wordt overschreden.",H!$O$10:'H'!$P$59,2,FALSE),""))),"")</f>
        <v/>
      </c>
      <c r="BB350" s="6" t="str">
        <f t="shared" si="113"/>
        <v>0,10</v>
      </c>
      <c r="BC350" s="6" t="str">
        <f t="shared" si="114"/>
        <v>&lt;</v>
      </c>
      <c r="BD350" s="6" t="str">
        <f t="shared" si="115"/>
        <v>rg</v>
      </c>
      <c r="BE350" s="6" t="str">
        <f t="shared" si="123"/>
        <v>&lt;</v>
      </c>
      <c r="BF350" s="6" t="str">
        <f t="shared" si="124"/>
        <v>-</v>
      </c>
      <c r="BG350" s="4" t="str">
        <f>IFERROR(IF(AR350="--","",IF(HLOOKUP(SMALL($Q$4:$Y$4,9),$Q$4:$Y$501,ROW(AP350)-3,FALSE)=0,"",IF(HLOOKUP(SMALL($Q$4:$Y$4,9),$Q$4:$Y$501,ROW(AP350)-3,FALSE)="nee",VLOOKUP("De kwaliteitseis emissiearme grond (maximale concentratie) wordt overschreden.",H!$O$10:'H'!$P$59,2,FALSE),""))),"")</f>
        <v/>
      </c>
    </row>
    <row r="351" spans="1:59" x14ac:dyDescent="0.2">
      <c r="A351" s="4" t="str">
        <f>F!A351</f>
        <v>6:2 FTS</v>
      </c>
      <c r="B351" s="6">
        <f>IF(ISNUMBER(F!E351)=FALSE,"--",IF(F!E351=0,"--",F!E351))</f>
        <v>0.1</v>
      </c>
      <c r="C351" s="6" t="str">
        <f>IF(B351="--","",F!F351)</f>
        <v>&lt;</v>
      </c>
      <c r="D351" s="6">
        <f>IF(ISNUMBER(F!G351)=FALSE,"--",IF(F!G351=0,"--",F!G351))</f>
        <v>0.1</v>
      </c>
      <c r="E351" s="6" t="str">
        <f>IF(D351="--","",F!H351)</f>
        <v>&lt;</v>
      </c>
      <c r="F351" s="6">
        <f>IF(ISNUMBER(F!I351)=FALSE,"--",IF(F!I351=0,"--",F!I351))</f>
        <v>0.1</v>
      </c>
      <c r="G351" s="6" t="str">
        <f>IF(F351="--","",F!J351)</f>
        <v>&lt;</v>
      </c>
      <c r="H351" s="6"/>
      <c r="I351" s="16">
        <f>IF(F!Z351=0,-1,F!AV351)</f>
        <v>-1</v>
      </c>
      <c r="J351" s="6"/>
      <c r="K351" s="16">
        <f>IF(F!AC351=0,-1,F!AX351)</f>
        <v>-1</v>
      </c>
      <c r="L351" s="6"/>
      <c r="M351" s="16">
        <f>IF(F!AF351=0,-1,F!AZ351)</f>
        <v>-1</v>
      </c>
      <c r="N351" s="6"/>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6">
        <f t="shared" si="130"/>
        <v>-1</v>
      </c>
      <c r="R351" s="5" t="str">
        <f>IF($B351="--","",IF($P351="toetsen",toetsen(F!$B351,Q351),IF($P351="toetsen alleen IW",toetsen_alleen_IW(F!$B351,Q351),IF($P351="toetsen alleen LN",toetsen_alleen_LN(F!$B351,Q351),IF($P351="toetsen geen MV en SV",toetsen_geen_MV_en_SV(F!$B351,Q351),IF($P351="toetsen alleen MV en SV",toetsen_alleen_MV_en_SV(F!$B351,Q351),""))))))</f>
        <v>-</v>
      </c>
      <c r="S351" s="5" t="str">
        <f>IF($P351="toetsen",IF(OR(Q351="",VLOOKUP(F!$B351,E!$B$1:$AK$300,10,FALSE)=1000000000),"",IF(Q351&lt;=VLOOKUP(F!$B351,E!$B$1:$AK$300,10,FALSE),"ja","nee")),"")</f>
        <v>ja</v>
      </c>
      <c r="T351" s="87">
        <f t="shared" si="125"/>
        <v>-1</v>
      </c>
      <c r="U351" s="5" t="str">
        <f>IF($D351="--","",IF($P351="toetsen",toetsen(F!$B351,T351),IF($P351="toetsen alleen IW",toetsen_alleen_IW(F!$B351,T351),IF($P351="toetsen alleen LN",toetsen_alleen_LN(F!$B351,T351),IF($P351="toetsen geen MV en SV",toetsen_geen_MV_en_SV(F!$B351,T351),IF($P351="toetsen alleen MV en SV",toetsen_alleen_MV_en_SV(F!$B351,T351),""))))))</f>
        <v>-</v>
      </c>
      <c r="V351" s="5" t="str">
        <f>IF($P351="toetsen",IF(OR(T351="",VLOOKUP(F!$B351,E!$B$1:$AK$300,10,FALSE)=1000000000),"",IF(T351&lt;=VLOOKUP(F!$B351,E!$B$1:$AK$300,10,FALSE),"ja","nee")),"")</f>
        <v>ja</v>
      </c>
      <c r="W351" s="6">
        <f t="shared" si="126"/>
        <v>-1</v>
      </c>
      <c r="X351" s="5" t="str">
        <f>IF($F351="--","",IF($P351="toetsen",toetsen(F!$B351,W351),IF($P351="toetsen alleen IW",toetsen_alleen_IW(F!$B351,W351),IF($P351="toetsen alleen LN",toetsen_alleen_LN(F!$B351,W351),IF($P351="toetsen geen MV en SV",toetsen_geen_MV_en_SV(F!$B351,W351),IF($P351="toetsen alleen MV en SV",toetsen_alleen_MV_en_SV(F!$B351,W351),""))))))</f>
        <v>-</v>
      </c>
      <c r="Y351" s="5" t="str">
        <f>IF($P351="toetsen",IF(OR(W351="",VLOOKUP(F!$B351,E!$B$1:$AK$300,10,FALSE)=1000000000),"",IF(W351&lt;=VLOOKUP(F!$B351,E!$B$1:$AK$300,10,FALSE),"ja","nee")),"")</f>
        <v>ja</v>
      </c>
      <c r="AA351" s="4">
        <f>IFERROR(IF(Q351="","",(IF(Q351&gt;2*VLOOKUP(F!$B351,E!$B$1:$AK$300,5,FALSE),1,0))),"")</f>
        <v>0</v>
      </c>
      <c r="AB351" s="4">
        <f>IFERROR(IF(T351="","",(IF(T351&gt;2*VLOOKUP(F!$B351,E!$B$1:$AK$300,5,FALSE),1,0))),"")</f>
        <v>0</v>
      </c>
      <c r="AC351" s="4">
        <f>IFERROR(IF(W351="","",(IF(W351&gt;2*VLOOKUP(F!$B351,E!$B$1:$AK$300,5,FALSE),1,0))),"")</f>
        <v>0</v>
      </c>
      <c r="AE351" s="4">
        <f>IFERROR(IF(Q351="","",(IF(Q351&gt;VLOOKUP(F!$B351,E!$B$1:$AK$300,6,FALSE)+VLOOKUP(F!$B351,E!$B$1:$AK$300,5,FALSE),1,0))),"")</f>
        <v>0</v>
      </c>
      <c r="AF351" s="4">
        <f>IFERROR(IF(T351="","",(IF(T351&gt;VLOOKUP(F!$B351,E!$B$1:$AK$300,6,FALSE)+VLOOKUP(F!$B351,E!$B$1:$AK$300,5,FALSE),1,0))),"")</f>
        <v>0</v>
      </c>
      <c r="AG351" s="4">
        <f>IFERROR(IF(W351="","",(IF(W351&gt;VLOOKUP(F!$B351,E!$B$1:$AK$300,6,FALSE)+VLOOKUP(F!$B351,E!$B$1:$AK$300,5,FALSE),1,0))),"")</f>
        <v>0</v>
      </c>
      <c r="AI351" s="6" t="str">
        <f t="shared" si="127"/>
        <v>0,10</v>
      </c>
      <c r="AJ351" s="6"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rg</v>
      </c>
      <c r="AK351" s="6" t="str">
        <f t="shared" si="128"/>
        <v>0,10</v>
      </c>
      <c r="AL351" s="6"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rg</v>
      </c>
      <c r="AM351" s="6" t="str">
        <f t="shared" si="129"/>
        <v>0,10</v>
      </c>
      <c r="AN351" s="6"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rg</v>
      </c>
      <c r="AP351" s="6" t="str">
        <f t="shared" si="116"/>
        <v>0,10</v>
      </c>
      <c r="AQ351" s="6" t="str">
        <f t="shared" si="117"/>
        <v>&lt;</v>
      </c>
      <c r="AR351" s="6" t="str">
        <f t="shared" si="118"/>
        <v>rg</v>
      </c>
      <c r="AS351" s="6" t="str">
        <f t="shared" si="119"/>
        <v>&lt;</v>
      </c>
      <c r="AT351" s="6" t="str">
        <f t="shared" si="120"/>
        <v>-</v>
      </c>
      <c r="AU351" s="6" t="str">
        <f>IFERROR(IF(AR351="--","",IF(HLOOKUP(SMALL($Q$4:$Y$4,3),$Q$4:$Y$501,ROW(AP351)-3,FALSE)=0,"",IF(HLOOKUP(SMALL($Q$4:$Y$4,3),$Q$4:$Y$501,ROW(AP351)-3,FALSE)="nee",VLOOKUP("De kwaliteitseis emissiearme grond (maximale concentratie) wordt overschreden.",H!$O$10:'H'!$P$59,2,FALSE),""))),"")</f>
        <v/>
      </c>
      <c r="AV351" s="6" t="str">
        <f t="shared" si="110"/>
        <v>0,10</v>
      </c>
      <c r="AW351" s="6" t="str">
        <f t="shared" si="111"/>
        <v>&lt;</v>
      </c>
      <c r="AX351" s="6" t="str">
        <f t="shared" si="112"/>
        <v>rg</v>
      </c>
      <c r="AY351" s="6" t="str">
        <f t="shared" si="121"/>
        <v>&lt;</v>
      </c>
      <c r="AZ351" s="6" t="str">
        <f t="shared" si="122"/>
        <v>-</v>
      </c>
      <c r="BA351" s="6" t="str">
        <f>IFERROR(IF(AR351="--","",IF(HLOOKUP(SMALL($Q$4:$Y$4,6),$Q$4:$Y$501,ROW(AP351)-3,FALSE)=0,"",IF(HLOOKUP(SMALL($Q$4:$Y$4,6),$Q$4:$Y$501,ROW(AP351)-3,FALSE)="nee",VLOOKUP("De kwaliteitseis emissiearme grond (maximale concentratie) wordt overschreden.",H!$O$10:'H'!$P$59,2,FALSE),""))),"")</f>
        <v/>
      </c>
      <c r="BB351" s="6" t="str">
        <f t="shared" si="113"/>
        <v>0,10</v>
      </c>
      <c r="BC351" s="6" t="str">
        <f t="shared" si="114"/>
        <v>&lt;</v>
      </c>
      <c r="BD351" s="6" t="str">
        <f t="shared" si="115"/>
        <v>rg</v>
      </c>
      <c r="BE351" s="6" t="str">
        <f t="shared" si="123"/>
        <v>&lt;</v>
      </c>
      <c r="BF351" s="6" t="str">
        <f t="shared" si="124"/>
        <v>-</v>
      </c>
      <c r="BG351" s="4" t="str">
        <f>IFERROR(IF(AR351="--","",IF(HLOOKUP(SMALL($Q$4:$Y$4,9),$Q$4:$Y$501,ROW(AP351)-3,FALSE)=0,"",IF(HLOOKUP(SMALL($Q$4:$Y$4,9),$Q$4:$Y$501,ROW(AP351)-3,FALSE)="nee",VLOOKUP("De kwaliteitseis emissiearme grond (maximale concentratie) wordt overschreden.",H!$O$10:'H'!$P$59,2,FALSE),""))),"")</f>
        <v/>
      </c>
    </row>
    <row r="352" spans="1:59" x14ac:dyDescent="0.2">
      <c r="A352" s="4" t="str">
        <f>F!A352</f>
        <v>8:2 FTS</v>
      </c>
      <c r="B352" s="6">
        <f>IF(ISNUMBER(F!E352)=FALSE,"--",IF(F!E352=0,"--",F!E352))</f>
        <v>0.1</v>
      </c>
      <c r="C352" s="6" t="str">
        <f>IF(B352="--","",F!F352)</f>
        <v>&lt;</v>
      </c>
      <c r="D352" s="6">
        <f>IF(ISNUMBER(F!G352)=FALSE,"--",IF(F!G352=0,"--",F!G352))</f>
        <v>0.1</v>
      </c>
      <c r="E352" s="6" t="str">
        <f>IF(D352="--","",F!H352)</f>
        <v>&lt;</v>
      </c>
      <c r="F352" s="6">
        <f>IF(ISNUMBER(F!I352)=FALSE,"--",IF(F!I352=0,"--",F!I352))</f>
        <v>0.1</v>
      </c>
      <c r="G352" s="6" t="str">
        <f>IF(F352="--","",F!J352)</f>
        <v>&lt;</v>
      </c>
      <c r="H352" s="6"/>
      <c r="I352" s="16">
        <f>IF(F!Z352=0,-1,F!AV352)</f>
        <v>-1</v>
      </c>
      <c r="J352" s="6"/>
      <c r="K352" s="16">
        <f>IF(F!AC352=0,-1,F!AX352)</f>
        <v>-1</v>
      </c>
      <c r="L352" s="6"/>
      <c r="M352" s="16">
        <f>IF(F!AF352=0,-1,F!AZ352)</f>
        <v>-1</v>
      </c>
      <c r="N352" s="6"/>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6">
        <f t="shared" si="130"/>
        <v>-1</v>
      </c>
      <c r="R352" s="5" t="str">
        <f>IF($B352="--","",IF($P352="toetsen",toetsen(F!$B352,Q352),IF($P352="toetsen alleen IW",toetsen_alleen_IW(F!$B352,Q352),IF($P352="toetsen alleen LN",toetsen_alleen_LN(F!$B352,Q352),IF($P352="toetsen geen MV en SV",toetsen_geen_MV_en_SV(F!$B352,Q352),IF($P352="toetsen alleen MV en SV",toetsen_alleen_MV_en_SV(F!$B352,Q352),""))))))</f>
        <v>-</v>
      </c>
      <c r="S352" s="5" t="str">
        <f>IF($P352="toetsen",IF(OR(Q352="",VLOOKUP(F!$B352,E!$B$1:$AK$300,10,FALSE)=1000000000),"",IF(Q352&lt;=VLOOKUP(F!$B352,E!$B$1:$AK$300,10,FALSE),"ja","nee")),"")</f>
        <v>ja</v>
      </c>
      <c r="T352" s="87">
        <f t="shared" si="125"/>
        <v>-1</v>
      </c>
      <c r="U352" s="5" t="str">
        <f>IF($D352="--","",IF($P352="toetsen",toetsen(F!$B352,T352),IF($P352="toetsen alleen IW",toetsen_alleen_IW(F!$B352,T352),IF($P352="toetsen alleen LN",toetsen_alleen_LN(F!$B352,T352),IF($P352="toetsen geen MV en SV",toetsen_geen_MV_en_SV(F!$B352,T352),IF($P352="toetsen alleen MV en SV",toetsen_alleen_MV_en_SV(F!$B352,T352),""))))))</f>
        <v>-</v>
      </c>
      <c r="V352" s="5" t="str">
        <f>IF($P352="toetsen",IF(OR(T352="",VLOOKUP(F!$B352,E!$B$1:$AK$300,10,FALSE)=1000000000),"",IF(T352&lt;=VLOOKUP(F!$B352,E!$B$1:$AK$300,10,FALSE),"ja","nee")),"")</f>
        <v>ja</v>
      </c>
      <c r="W352" s="6">
        <f t="shared" si="126"/>
        <v>-1</v>
      </c>
      <c r="X352" s="5" t="str">
        <f>IF($F352="--","",IF($P352="toetsen",toetsen(F!$B352,W352),IF($P352="toetsen alleen IW",toetsen_alleen_IW(F!$B352,W352),IF($P352="toetsen alleen LN",toetsen_alleen_LN(F!$B352,W352),IF($P352="toetsen geen MV en SV",toetsen_geen_MV_en_SV(F!$B352,W352),IF($P352="toetsen alleen MV en SV",toetsen_alleen_MV_en_SV(F!$B352,W352),""))))))</f>
        <v>-</v>
      </c>
      <c r="Y352" s="5" t="str">
        <f>IF($P352="toetsen",IF(OR(W352="",VLOOKUP(F!$B352,E!$B$1:$AK$300,10,FALSE)=1000000000),"",IF(W352&lt;=VLOOKUP(F!$B352,E!$B$1:$AK$300,10,FALSE),"ja","nee")),"")</f>
        <v>ja</v>
      </c>
      <c r="AA352" s="4">
        <f>IFERROR(IF(Q352="","",(IF(Q352&gt;2*VLOOKUP(F!$B352,E!$B$1:$AK$300,5,FALSE),1,0))),"")</f>
        <v>0</v>
      </c>
      <c r="AB352" s="4">
        <f>IFERROR(IF(T352="","",(IF(T352&gt;2*VLOOKUP(F!$B352,E!$B$1:$AK$300,5,FALSE),1,0))),"")</f>
        <v>0</v>
      </c>
      <c r="AC352" s="4">
        <f>IFERROR(IF(W352="","",(IF(W352&gt;2*VLOOKUP(F!$B352,E!$B$1:$AK$300,5,FALSE),1,0))),"")</f>
        <v>0</v>
      </c>
      <c r="AE352" s="4">
        <f>IFERROR(IF(Q352="","",(IF(Q352&gt;VLOOKUP(F!$B352,E!$B$1:$AK$300,6,FALSE)+VLOOKUP(F!$B352,E!$B$1:$AK$300,5,FALSE),1,0))),"")</f>
        <v>0</v>
      </c>
      <c r="AF352" s="4">
        <f>IFERROR(IF(T352="","",(IF(T352&gt;VLOOKUP(F!$B352,E!$B$1:$AK$300,6,FALSE)+VLOOKUP(F!$B352,E!$B$1:$AK$300,5,FALSE),1,0))),"")</f>
        <v>0</v>
      </c>
      <c r="AG352" s="4">
        <f>IFERROR(IF(W352="","",(IF(W352&gt;VLOOKUP(F!$B352,E!$B$1:$AK$300,6,FALSE)+VLOOKUP(F!$B352,E!$B$1:$AK$300,5,FALSE),1,0))),"")</f>
        <v>0</v>
      </c>
      <c r="AI352" s="6" t="str">
        <f t="shared" si="127"/>
        <v>0,10</v>
      </c>
      <c r="AJ352" s="6"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rg</v>
      </c>
      <c r="AK352" s="6" t="str">
        <f t="shared" si="128"/>
        <v>0,10</v>
      </c>
      <c r="AL352" s="6"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rg</v>
      </c>
      <c r="AM352" s="6" t="str">
        <f t="shared" si="129"/>
        <v>0,10</v>
      </c>
      <c r="AN352" s="6"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rg</v>
      </c>
      <c r="AP352" s="6" t="str">
        <f t="shared" si="116"/>
        <v>0,10</v>
      </c>
      <c r="AQ352" s="6" t="str">
        <f t="shared" si="117"/>
        <v>&lt;</v>
      </c>
      <c r="AR352" s="6" t="str">
        <f t="shared" si="118"/>
        <v>rg</v>
      </c>
      <c r="AS352" s="6" t="str">
        <f t="shared" si="119"/>
        <v>&lt;</v>
      </c>
      <c r="AT352" s="6" t="str">
        <f t="shared" si="120"/>
        <v>-</v>
      </c>
      <c r="AU352" s="6" t="str">
        <f>IFERROR(IF(AR352="--","",IF(HLOOKUP(SMALL($Q$4:$Y$4,3),$Q$4:$Y$501,ROW(AP352)-3,FALSE)=0,"",IF(HLOOKUP(SMALL($Q$4:$Y$4,3),$Q$4:$Y$501,ROW(AP352)-3,FALSE)="nee",VLOOKUP("De kwaliteitseis emissiearme grond (maximale concentratie) wordt overschreden.",H!$O$10:'H'!$P$59,2,FALSE),""))),"")</f>
        <v/>
      </c>
      <c r="AV352" s="6" t="str">
        <f t="shared" si="110"/>
        <v>0,10</v>
      </c>
      <c r="AW352" s="6" t="str">
        <f t="shared" si="111"/>
        <v>&lt;</v>
      </c>
      <c r="AX352" s="6" t="str">
        <f t="shared" si="112"/>
        <v>rg</v>
      </c>
      <c r="AY352" s="6" t="str">
        <f t="shared" si="121"/>
        <v>&lt;</v>
      </c>
      <c r="AZ352" s="6" t="str">
        <f t="shared" si="122"/>
        <v>-</v>
      </c>
      <c r="BA352" s="6" t="str">
        <f>IFERROR(IF(AR352="--","",IF(HLOOKUP(SMALL($Q$4:$Y$4,6),$Q$4:$Y$501,ROW(AP352)-3,FALSE)=0,"",IF(HLOOKUP(SMALL($Q$4:$Y$4,6),$Q$4:$Y$501,ROW(AP352)-3,FALSE)="nee",VLOOKUP("De kwaliteitseis emissiearme grond (maximale concentratie) wordt overschreden.",H!$O$10:'H'!$P$59,2,FALSE),""))),"")</f>
        <v/>
      </c>
      <c r="BB352" s="6" t="str">
        <f t="shared" si="113"/>
        <v>0,10</v>
      </c>
      <c r="BC352" s="6" t="str">
        <f t="shared" si="114"/>
        <v>&lt;</v>
      </c>
      <c r="BD352" s="6" t="str">
        <f t="shared" si="115"/>
        <v>rg</v>
      </c>
      <c r="BE352" s="6" t="str">
        <f t="shared" si="123"/>
        <v>&lt;</v>
      </c>
      <c r="BF352" s="6" t="str">
        <f t="shared" si="124"/>
        <v>-</v>
      </c>
      <c r="BG352" s="4" t="str">
        <f>IFERROR(IF(AR352="--","",IF(HLOOKUP(SMALL($Q$4:$Y$4,9),$Q$4:$Y$501,ROW(AP352)-3,FALSE)=0,"",IF(HLOOKUP(SMALL($Q$4:$Y$4,9),$Q$4:$Y$501,ROW(AP352)-3,FALSE)="nee",VLOOKUP("De kwaliteitseis emissiearme grond (maximale concentratie) wordt overschreden.",H!$O$10:'H'!$P$59,2,FALSE),""))),"")</f>
        <v/>
      </c>
    </row>
    <row r="353" spans="1:59" x14ac:dyDescent="0.2">
      <c r="A353" s="4" t="str">
        <f>F!A353</f>
        <v>10:2 FTS</v>
      </c>
      <c r="B353" s="6" t="str">
        <f>IF(ISNUMBER(F!E353)=FALSE,"--",IF(F!E353=0,"--",F!E353))</f>
        <v>--</v>
      </c>
      <c r="C353" s="6" t="str">
        <f>IF(B353="--","",F!F353)</f>
        <v/>
      </c>
      <c r="D353" s="6" t="str">
        <f>IF(ISNUMBER(F!G353)=FALSE,"--",IF(F!G353=0,"--",F!G353))</f>
        <v>--</v>
      </c>
      <c r="E353" s="6" t="str">
        <f>IF(D353="--","",F!H353)</f>
        <v/>
      </c>
      <c r="F353" s="6" t="str">
        <f>IF(ISNUMBER(F!I353)=FALSE,"--",IF(F!I353=0,"--",F!I353))</f>
        <v>--</v>
      </c>
      <c r="G353" s="6" t="str">
        <f>IF(F353="--","",F!J353)</f>
        <v/>
      </c>
      <c r="H353" s="6"/>
      <c r="I353" s="16" t="str">
        <f>IF(F!Z353=0,-1,F!AV353)</f>
        <v/>
      </c>
      <c r="J353" s="6"/>
      <c r="K353" s="16" t="str">
        <f>IF(F!AC353=0,-1,F!AX353)</f>
        <v/>
      </c>
      <c r="L353" s="6"/>
      <c r="M353" s="16" t="str">
        <f>IF(F!AF353=0,-1,F!AZ353)</f>
        <v/>
      </c>
      <c r="N353" s="6"/>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6" t="str">
        <f t="shared" si="130"/>
        <v/>
      </c>
      <c r="R353" s="5" t="str">
        <f>IF($B353="--","",IF($P353="toetsen",toetsen(F!$B353,Q353),IF($P353="toetsen alleen IW",toetsen_alleen_IW(F!$B353,Q353),IF($P353="toetsen alleen LN",toetsen_alleen_LN(F!$B353,Q353),IF($P353="toetsen geen MV en SV",toetsen_geen_MV_en_SV(F!$B353,Q353),IF($P353="toetsen alleen MV en SV",toetsen_alleen_MV_en_SV(F!$B353,Q353),""))))))</f>
        <v/>
      </c>
      <c r="S353" s="5" t="str">
        <f>IF($P353="toetsen",IF(OR(Q353="",VLOOKUP(F!$B353,E!$B$1:$AK$300,10,FALSE)=1000000000),"",IF(Q353&lt;=VLOOKUP(F!$B353,E!$B$1:$AK$300,10,FALSE),"ja","nee")),"")</f>
        <v/>
      </c>
      <c r="T353" s="87" t="str">
        <f t="shared" si="125"/>
        <v/>
      </c>
      <c r="U353" s="5" t="str">
        <f>IF($D353="--","",IF($P353="toetsen",toetsen(F!$B353,T353),IF($P353="toetsen alleen IW",toetsen_alleen_IW(F!$B353,T353),IF($P353="toetsen alleen LN",toetsen_alleen_LN(F!$B353,T353),IF($P353="toetsen geen MV en SV",toetsen_geen_MV_en_SV(F!$B353,T353),IF($P353="toetsen alleen MV en SV",toetsen_alleen_MV_en_SV(F!$B353,T353),""))))))</f>
        <v/>
      </c>
      <c r="V353" s="5" t="str">
        <f>IF($P353="toetsen",IF(OR(T353="",VLOOKUP(F!$B353,E!$B$1:$AK$300,10,FALSE)=1000000000),"",IF(T353&lt;=VLOOKUP(F!$B353,E!$B$1:$AK$300,10,FALSE),"ja","nee")),"")</f>
        <v/>
      </c>
      <c r="W353" s="6" t="str">
        <f t="shared" si="126"/>
        <v/>
      </c>
      <c r="X353" s="5" t="str">
        <f>IF($F353="--","",IF($P353="toetsen",toetsen(F!$B353,W353),IF($P353="toetsen alleen IW",toetsen_alleen_IW(F!$B353,W353),IF($P353="toetsen alleen LN",toetsen_alleen_LN(F!$B353,W353),IF($P353="toetsen geen MV en SV",toetsen_geen_MV_en_SV(F!$B353,W353),IF($P353="toetsen alleen MV en SV",toetsen_alleen_MV_en_SV(F!$B353,W353),""))))))</f>
        <v/>
      </c>
      <c r="Y353" s="5" t="str">
        <f>IF($P353="toetsen",IF(OR(W353="",VLOOKUP(F!$B353,E!$B$1:$AK$300,10,FALSE)=1000000000),"",IF(W353&lt;=VLOOKUP(F!$B353,E!$B$1:$AK$300,10,FALSE),"ja","nee")),"")</f>
        <v/>
      </c>
      <c r="AA353" s="4" t="str">
        <f>IFERROR(IF(Q353="","",(IF(Q353&gt;2*VLOOKUP(F!$B353,E!$B$1:$AK$300,5,FALSE),1,0))),"")</f>
        <v/>
      </c>
      <c r="AB353" s="4" t="str">
        <f>IFERROR(IF(T353="","",(IF(T353&gt;2*VLOOKUP(F!$B353,E!$B$1:$AK$300,5,FALSE),1,0))),"")</f>
        <v/>
      </c>
      <c r="AC353" s="4" t="str">
        <f>IFERROR(IF(W353="","",(IF(W353&gt;2*VLOOKUP(F!$B353,E!$B$1:$AK$300,5,FALSE),1,0))),"")</f>
        <v/>
      </c>
      <c r="AE353" s="4" t="str">
        <f>IFERROR(IF(Q353="","",(IF(Q353&gt;VLOOKUP(F!$B353,E!$B$1:$AK$300,6,FALSE)+VLOOKUP(F!$B353,E!$B$1:$AK$300,5,FALSE),1,0))),"")</f>
        <v/>
      </c>
      <c r="AF353" s="4" t="str">
        <f>IFERROR(IF(T353="","",(IF(T353&gt;VLOOKUP(F!$B353,E!$B$1:$AK$300,6,FALSE)+VLOOKUP(F!$B353,E!$B$1:$AK$300,5,FALSE),1,0))),"")</f>
        <v/>
      </c>
      <c r="AG353" s="4" t="str">
        <f>IFERROR(IF(W353="","",(IF(W353&gt;VLOOKUP(F!$B353,E!$B$1:$AK$300,6,FALSE)+VLOOKUP(F!$B353,E!$B$1:$AK$300,5,FALSE),1,0))),"")</f>
        <v/>
      </c>
      <c r="AI353" s="6" t="str">
        <f t="shared" si="127"/>
        <v>--</v>
      </c>
      <c r="AJ353" s="6"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6" t="str">
        <f t="shared" si="128"/>
        <v>--</v>
      </c>
      <c r="AL353" s="6"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v>
      </c>
      <c r="AM353" s="6" t="str">
        <f t="shared" si="129"/>
        <v>--</v>
      </c>
      <c r="AN353" s="6"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6" t="str">
        <f t="shared" si="116"/>
        <v>--</v>
      </c>
      <c r="AQ353" s="6" t="str">
        <f t="shared" si="117"/>
        <v/>
      </c>
      <c r="AR353" s="6" t="str">
        <f t="shared" si="118"/>
        <v>--</v>
      </c>
      <c r="AS353" s="6" t="str">
        <f t="shared" si="119"/>
        <v/>
      </c>
      <c r="AT353" s="6" t="str">
        <f t="shared" si="120"/>
        <v/>
      </c>
      <c r="AU353" s="6" t="str">
        <f>IFERROR(IF(AR353="--","",IF(HLOOKUP(SMALL($Q$4:$Y$4,3),$Q$4:$Y$501,ROW(AP353)-3,FALSE)=0,"",IF(HLOOKUP(SMALL($Q$4:$Y$4,3),$Q$4:$Y$501,ROW(AP353)-3,FALSE)="nee",VLOOKUP("De kwaliteitseis emissiearme grond (maximale concentratie) wordt overschreden.",H!$O$10:'H'!$P$59,2,FALSE),""))),"")</f>
        <v/>
      </c>
      <c r="AV353" s="6" t="str">
        <f t="shared" si="110"/>
        <v>--</v>
      </c>
      <c r="AW353" s="6" t="str">
        <f t="shared" si="111"/>
        <v/>
      </c>
      <c r="AX353" s="6" t="str">
        <f t="shared" si="112"/>
        <v>--</v>
      </c>
      <c r="AY353" s="6" t="str">
        <f t="shared" si="121"/>
        <v/>
      </c>
      <c r="AZ353" s="6" t="str">
        <f t="shared" si="122"/>
        <v/>
      </c>
      <c r="BA353" s="6" t="str">
        <f>IFERROR(IF(AR353="--","",IF(HLOOKUP(SMALL($Q$4:$Y$4,6),$Q$4:$Y$501,ROW(AP353)-3,FALSE)=0,"",IF(HLOOKUP(SMALL($Q$4:$Y$4,6),$Q$4:$Y$501,ROW(AP353)-3,FALSE)="nee",VLOOKUP("De kwaliteitseis emissiearme grond (maximale concentratie) wordt overschreden.",H!$O$10:'H'!$P$59,2,FALSE),""))),"")</f>
        <v/>
      </c>
      <c r="BB353" s="6" t="str">
        <f t="shared" si="113"/>
        <v>--</v>
      </c>
      <c r="BC353" s="6" t="str">
        <f t="shared" si="114"/>
        <v/>
      </c>
      <c r="BD353" s="6" t="str">
        <f t="shared" si="115"/>
        <v>--</v>
      </c>
      <c r="BE353" s="6" t="str">
        <f t="shared" si="123"/>
        <v/>
      </c>
      <c r="BF353" s="6" t="str">
        <f t="shared" si="124"/>
        <v/>
      </c>
      <c r="BG353" s="4" t="str">
        <f>IFERROR(IF(AR353="--","",IF(HLOOKUP(SMALL($Q$4:$Y$4,9),$Q$4:$Y$501,ROW(AP353)-3,FALSE)=0,"",IF(HLOOKUP(SMALL($Q$4:$Y$4,9),$Q$4:$Y$501,ROW(AP353)-3,FALSE)="nee",VLOOKUP("De kwaliteitseis emissiearme grond (maximale concentratie) wordt overschreden.",H!$O$10:'H'!$P$59,2,FALSE),""))),"")</f>
        <v/>
      </c>
    </row>
    <row r="354" spans="1:59" x14ac:dyDescent="0.2">
      <c r="A354" s="4" t="str">
        <f>F!A354</f>
        <v>N-MeFOSAA</v>
      </c>
      <c r="B354" s="6" t="str">
        <f>IF(ISNUMBER(F!E354)=FALSE,"--",IF(F!E354=0,"--",F!E354))</f>
        <v>--</v>
      </c>
      <c r="C354" s="6" t="str">
        <f>IF(B354="--","",F!F354)</f>
        <v/>
      </c>
      <c r="D354" s="6" t="str">
        <f>IF(ISNUMBER(F!G354)=FALSE,"--",IF(F!G354=0,"--",F!G354))</f>
        <v>--</v>
      </c>
      <c r="E354" s="6" t="str">
        <f>IF(D354="--","",F!H354)</f>
        <v/>
      </c>
      <c r="F354" s="6" t="str">
        <f>IF(ISNUMBER(F!I354)=FALSE,"--",IF(F!I354=0,"--",F!I354))</f>
        <v>--</v>
      </c>
      <c r="G354" s="6" t="str">
        <f>IF(F354="--","",F!J354)</f>
        <v/>
      </c>
      <c r="H354" s="6"/>
      <c r="I354" s="16" t="str">
        <f>IF(F!Z354=0,-1,F!AV354)</f>
        <v/>
      </c>
      <c r="J354" s="6"/>
      <c r="K354" s="16" t="str">
        <f>IF(F!AC354=0,-1,F!AX354)</f>
        <v/>
      </c>
      <c r="L354" s="6"/>
      <c r="M354" s="16" t="str">
        <f>IF(F!AF354=0,-1,F!AZ354)</f>
        <v/>
      </c>
      <c r="N354" s="6"/>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6" t="str">
        <f t="shared" si="130"/>
        <v/>
      </c>
      <c r="R354" s="5" t="str">
        <f>IF($B354="--","",IF($P354="toetsen",toetsen(F!$B354,Q354),IF($P354="toetsen alleen IW",toetsen_alleen_IW(F!$B354,Q354),IF($P354="toetsen alleen LN",toetsen_alleen_LN(F!$B354,Q354),IF($P354="toetsen geen MV en SV",toetsen_geen_MV_en_SV(F!$B354,Q354),IF($P354="toetsen alleen MV en SV",toetsen_alleen_MV_en_SV(F!$B354,Q354),""))))))</f>
        <v/>
      </c>
      <c r="S354" s="5" t="str">
        <f>IF($P354="toetsen",IF(OR(Q354="",VLOOKUP(F!$B354,E!$B$1:$AK$300,10,FALSE)=1000000000),"",IF(Q354&lt;=VLOOKUP(F!$B354,E!$B$1:$AK$300,10,FALSE),"ja","nee")),"")</f>
        <v/>
      </c>
      <c r="T354" s="87" t="str">
        <f t="shared" si="125"/>
        <v/>
      </c>
      <c r="U354" s="5" t="str">
        <f>IF($D354="--","",IF($P354="toetsen",toetsen(F!$B354,T354),IF($P354="toetsen alleen IW",toetsen_alleen_IW(F!$B354,T354),IF($P354="toetsen alleen LN",toetsen_alleen_LN(F!$B354,T354),IF($P354="toetsen geen MV en SV",toetsen_geen_MV_en_SV(F!$B354,T354),IF($P354="toetsen alleen MV en SV",toetsen_alleen_MV_en_SV(F!$B354,T354),""))))))</f>
        <v/>
      </c>
      <c r="V354" s="5" t="str">
        <f>IF($P354="toetsen",IF(OR(T354="",VLOOKUP(F!$B354,E!$B$1:$AK$300,10,FALSE)=1000000000),"",IF(T354&lt;=VLOOKUP(F!$B354,E!$B$1:$AK$300,10,FALSE),"ja","nee")),"")</f>
        <v/>
      </c>
      <c r="W354" s="6" t="str">
        <f t="shared" si="126"/>
        <v/>
      </c>
      <c r="X354" s="5" t="str">
        <f>IF($F354="--","",IF($P354="toetsen",toetsen(F!$B354,W354),IF($P354="toetsen alleen IW",toetsen_alleen_IW(F!$B354,W354),IF($P354="toetsen alleen LN",toetsen_alleen_LN(F!$B354,W354),IF($P354="toetsen geen MV en SV",toetsen_geen_MV_en_SV(F!$B354,W354),IF($P354="toetsen alleen MV en SV",toetsen_alleen_MV_en_SV(F!$B354,W354),""))))))</f>
        <v/>
      </c>
      <c r="Y354" s="5" t="str">
        <f>IF($P354="toetsen",IF(OR(W354="",VLOOKUP(F!$B354,E!$B$1:$AK$300,10,FALSE)=1000000000),"",IF(W354&lt;=VLOOKUP(F!$B354,E!$B$1:$AK$300,10,FALSE),"ja","nee")),"")</f>
        <v/>
      </c>
      <c r="AA354" s="4" t="str">
        <f>IFERROR(IF(Q354="","",(IF(Q354&gt;2*VLOOKUP(F!$B354,E!$B$1:$AK$300,5,FALSE),1,0))),"")</f>
        <v/>
      </c>
      <c r="AB354" s="4" t="str">
        <f>IFERROR(IF(T354="","",(IF(T354&gt;2*VLOOKUP(F!$B354,E!$B$1:$AK$300,5,FALSE),1,0))),"")</f>
        <v/>
      </c>
      <c r="AC354" s="4" t="str">
        <f>IFERROR(IF(W354="","",(IF(W354&gt;2*VLOOKUP(F!$B354,E!$B$1:$AK$300,5,FALSE),1,0))),"")</f>
        <v/>
      </c>
      <c r="AE354" s="4" t="str">
        <f>IFERROR(IF(Q354="","",(IF(Q354&gt;VLOOKUP(F!$B354,E!$B$1:$AK$300,6,FALSE)+VLOOKUP(F!$B354,E!$B$1:$AK$300,5,FALSE),1,0))),"")</f>
        <v/>
      </c>
      <c r="AF354" s="4" t="str">
        <f>IFERROR(IF(T354="","",(IF(T354&gt;VLOOKUP(F!$B354,E!$B$1:$AK$300,6,FALSE)+VLOOKUP(F!$B354,E!$B$1:$AK$300,5,FALSE),1,0))),"")</f>
        <v/>
      </c>
      <c r="AG354" s="4" t="str">
        <f>IFERROR(IF(W354="","",(IF(W354&gt;VLOOKUP(F!$B354,E!$B$1:$AK$300,6,FALSE)+VLOOKUP(F!$B354,E!$B$1:$AK$300,5,FALSE),1,0))),"")</f>
        <v/>
      </c>
      <c r="AI354" s="6" t="str">
        <f t="shared" si="127"/>
        <v>--</v>
      </c>
      <c r="AJ354" s="6"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6" t="str">
        <f t="shared" si="128"/>
        <v>--</v>
      </c>
      <c r="AL354" s="6"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v>
      </c>
      <c r="AM354" s="6" t="str">
        <f t="shared" si="129"/>
        <v>--</v>
      </c>
      <c r="AN354" s="6"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6" t="str">
        <f t="shared" si="116"/>
        <v>--</v>
      </c>
      <c r="AQ354" s="6" t="str">
        <f t="shared" si="117"/>
        <v/>
      </c>
      <c r="AR354" s="6" t="str">
        <f t="shared" si="118"/>
        <v>--</v>
      </c>
      <c r="AS354" s="6" t="str">
        <f t="shared" si="119"/>
        <v/>
      </c>
      <c r="AT354" s="6" t="str">
        <f t="shared" si="120"/>
        <v/>
      </c>
      <c r="AU354" s="6" t="str">
        <f>IFERROR(IF(AR354="--","",IF(HLOOKUP(SMALL($Q$4:$Y$4,3),$Q$4:$Y$501,ROW(AP354)-3,FALSE)=0,"",IF(HLOOKUP(SMALL($Q$4:$Y$4,3),$Q$4:$Y$501,ROW(AP354)-3,FALSE)="nee",VLOOKUP("De kwaliteitseis emissiearme grond (maximale concentratie) wordt overschreden.",H!$O$10:'H'!$P$59,2,FALSE),""))),"")</f>
        <v/>
      </c>
      <c r="AV354" s="6" t="str">
        <f t="shared" si="110"/>
        <v>--</v>
      </c>
      <c r="AW354" s="6" t="str">
        <f t="shared" si="111"/>
        <v/>
      </c>
      <c r="AX354" s="6" t="str">
        <f t="shared" si="112"/>
        <v>--</v>
      </c>
      <c r="AY354" s="6" t="str">
        <f t="shared" si="121"/>
        <v/>
      </c>
      <c r="AZ354" s="6" t="str">
        <f t="shared" si="122"/>
        <v/>
      </c>
      <c r="BA354" s="6" t="str">
        <f>IFERROR(IF(AR354="--","",IF(HLOOKUP(SMALL($Q$4:$Y$4,6),$Q$4:$Y$501,ROW(AP354)-3,FALSE)=0,"",IF(HLOOKUP(SMALL($Q$4:$Y$4,6),$Q$4:$Y$501,ROW(AP354)-3,FALSE)="nee",VLOOKUP("De kwaliteitseis emissiearme grond (maximale concentratie) wordt overschreden.",H!$O$10:'H'!$P$59,2,FALSE),""))),"")</f>
        <v/>
      </c>
      <c r="BB354" s="6" t="str">
        <f t="shared" si="113"/>
        <v>--</v>
      </c>
      <c r="BC354" s="6" t="str">
        <f t="shared" si="114"/>
        <v/>
      </c>
      <c r="BD354" s="6" t="str">
        <f t="shared" si="115"/>
        <v>--</v>
      </c>
      <c r="BE354" s="6" t="str">
        <f t="shared" si="123"/>
        <v/>
      </c>
      <c r="BF354" s="6" t="str">
        <f t="shared" si="124"/>
        <v/>
      </c>
      <c r="BG354" s="4" t="str">
        <f>IFERROR(IF(AR354="--","",IF(HLOOKUP(SMALL($Q$4:$Y$4,9),$Q$4:$Y$501,ROW(AP354)-3,FALSE)=0,"",IF(HLOOKUP(SMALL($Q$4:$Y$4,9),$Q$4:$Y$501,ROW(AP354)-3,FALSE)="nee",VLOOKUP("De kwaliteitseis emissiearme grond (maximale concentratie) wordt overschreden.",H!$O$10:'H'!$P$59,2,FALSE),""))),"")</f>
        <v/>
      </c>
    </row>
    <row r="355" spans="1:59" x14ac:dyDescent="0.2">
      <c r="A355" s="4" t="str">
        <f>F!A355</f>
        <v>N-EtFOSAA</v>
      </c>
      <c r="B355" s="6" t="str">
        <f>IF(ISNUMBER(F!E355)=FALSE,"--",IF(F!E355=0,"--",F!E355))</f>
        <v>--</v>
      </c>
      <c r="C355" s="6" t="str">
        <f>IF(B355="--","",F!F355)</f>
        <v/>
      </c>
      <c r="D355" s="6" t="str">
        <f>IF(ISNUMBER(F!G355)=FALSE,"--",IF(F!G355=0,"--",F!G355))</f>
        <v>--</v>
      </c>
      <c r="E355" s="6" t="str">
        <f>IF(D355="--","",F!H355)</f>
        <v/>
      </c>
      <c r="F355" s="6" t="str">
        <f>IF(ISNUMBER(F!I355)=FALSE,"--",IF(F!I355=0,"--",F!I355))</f>
        <v>--</v>
      </c>
      <c r="G355" s="6" t="str">
        <f>IF(F355="--","",F!J355)</f>
        <v/>
      </c>
      <c r="H355" s="6"/>
      <c r="I355" s="16" t="str">
        <f>IF(F!Z355=0,-1,F!AV355)</f>
        <v/>
      </c>
      <c r="J355" s="6"/>
      <c r="K355" s="16" t="str">
        <f>IF(F!AC355=0,-1,F!AX355)</f>
        <v/>
      </c>
      <c r="L355" s="6"/>
      <c r="M355" s="16" t="str">
        <f>IF(F!AF355=0,-1,F!AZ355)</f>
        <v/>
      </c>
      <c r="N355" s="6"/>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6" t="str">
        <f t="shared" si="130"/>
        <v/>
      </c>
      <c r="R355" s="5" t="str">
        <f>IF($B355="--","",IF($P355="toetsen",toetsen(F!$B355,Q355),IF($P355="toetsen alleen IW",toetsen_alleen_IW(F!$B355,Q355),IF($P355="toetsen alleen LN",toetsen_alleen_LN(F!$B355,Q355),IF($P355="toetsen geen MV en SV",toetsen_geen_MV_en_SV(F!$B355,Q355),IF($P355="toetsen alleen MV en SV",toetsen_alleen_MV_en_SV(F!$B355,Q355),""))))))</f>
        <v/>
      </c>
      <c r="S355" s="5" t="str">
        <f>IF($P355="toetsen",IF(OR(Q355="",VLOOKUP(F!$B355,E!$B$1:$AK$300,10,FALSE)=1000000000),"",IF(Q355&lt;=VLOOKUP(F!$B355,E!$B$1:$AK$300,10,FALSE),"ja","nee")),"")</f>
        <v/>
      </c>
      <c r="T355" s="87" t="str">
        <f t="shared" si="125"/>
        <v/>
      </c>
      <c r="U355" s="5" t="str">
        <f>IF($D355="--","",IF($P355="toetsen",toetsen(F!$B355,T355),IF($P355="toetsen alleen IW",toetsen_alleen_IW(F!$B355,T355),IF($P355="toetsen alleen LN",toetsen_alleen_LN(F!$B355,T355),IF($P355="toetsen geen MV en SV",toetsen_geen_MV_en_SV(F!$B355,T355),IF($P355="toetsen alleen MV en SV",toetsen_alleen_MV_en_SV(F!$B355,T355),""))))))</f>
        <v/>
      </c>
      <c r="V355" s="5" t="str">
        <f>IF($P355="toetsen",IF(OR(T355="",VLOOKUP(F!$B355,E!$B$1:$AK$300,10,FALSE)=1000000000),"",IF(T355&lt;=VLOOKUP(F!$B355,E!$B$1:$AK$300,10,FALSE),"ja","nee")),"")</f>
        <v/>
      </c>
      <c r="W355" s="6" t="str">
        <f t="shared" si="126"/>
        <v/>
      </c>
      <c r="X355" s="5" t="str">
        <f>IF($F355="--","",IF($P355="toetsen",toetsen(F!$B355,W355),IF($P355="toetsen alleen IW",toetsen_alleen_IW(F!$B355,W355),IF($P355="toetsen alleen LN",toetsen_alleen_LN(F!$B355,W355),IF($P355="toetsen geen MV en SV",toetsen_geen_MV_en_SV(F!$B355,W355),IF($P355="toetsen alleen MV en SV",toetsen_alleen_MV_en_SV(F!$B355,W355),""))))))</f>
        <v/>
      </c>
      <c r="Y355" s="5" t="str">
        <f>IF($P355="toetsen",IF(OR(W355="",VLOOKUP(F!$B355,E!$B$1:$AK$300,10,FALSE)=1000000000),"",IF(W355&lt;=VLOOKUP(F!$B355,E!$B$1:$AK$300,10,FALSE),"ja","nee")),"")</f>
        <v/>
      </c>
      <c r="AA355" s="4" t="str">
        <f>IFERROR(IF(Q355="","",(IF(Q355&gt;2*VLOOKUP(F!$B355,E!$B$1:$AK$300,5,FALSE),1,0))),"")</f>
        <v/>
      </c>
      <c r="AB355" s="4" t="str">
        <f>IFERROR(IF(T355="","",(IF(T355&gt;2*VLOOKUP(F!$B355,E!$B$1:$AK$300,5,FALSE),1,0))),"")</f>
        <v/>
      </c>
      <c r="AC355" s="4" t="str">
        <f>IFERROR(IF(W355="","",(IF(W355&gt;2*VLOOKUP(F!$B355,E!$B$1:$AK$300,5,FALSE),1,0))),"")</f>
        <v/>
      </c>
      <c r="AE355" s="4" t="str">
        <f>IFERROR(IF(Q355="","",(IF(Q355&gt;VLOOKUP(F!$B355,E!$B$1:$AK$300,6,FALSE)+VLOOKUP(F!$B355,E!$B$1:$AK$300,5,FALSE),1,0))),"")</f>
        <v/>
      </c>
      <c r="AF355" s="4" t="str">
        <f>IFERROR(IF(T355="","",(IF(T355&gt;VLOOKUP(F!$B355,E!$B$1:$AK$300,6,FALSE)+VLOOKUP(F!$B355,E!$B$1:$AK$300,5,FALSE),1,0))),"")</f>
        <v/>
      </c>
      <c r="AG355" s="4" t="str">
        <f>IFERROR(IF(W355="","",(IF(W355&gt;VLOOKUP(F!$B355,E!$B$1:$AK$300,6,FALSE)+VLOOKUP(F!$B355,E!$B$1:$AK$300,5,FALSE),1,0))),"")</f>
        <v/>
      </c>
      <c r="AI355" s="6" t="str">
        <f t="shared" si="127"/>
        <v>--</v>
      </c>
      <c r="AJ355" s="6"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6" t="str">
        <f t="shared" si="128"/>
        <v>--</v>
      </c>
      <c r="AL355" s="6"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v>
      </c>
      <c r="AM355" s="6" t="str">
        <f t="shared" si="129"/>
        <v>--</v>
      </c>
      <c r="AN355" s="6"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6" t="str">
        <f t="shared" si="116"/>
        <v>--</v>
      </c>
      <c r="AQ355" s="6" t="str">
        <f t="shared" si="117"/>
        <v/>
      </c>
      <c r="AR355" s="6" t="str">
        <f t="shared" si="118"/>
        <v>--</v>
      </c>
      <c r="AS355" s="6" t="str">
        <f t="shared" si="119"/>
        <v/>
      </c>
      <c r="AT355" s="6" t="str">
        <f t="shared" si="120"/>
        <v/>
      </c>
      <c r="AU355" s="6" t="str">
        <f>IFERROR(IF(AR355="--","",IF(HLOOKUP(SMALL($Q$4:$Y$4,3),$Q$4:$Y$501,ROW(AP355)-3,FALSE)=0,"",IF(HLOOKUP(SMALL($Q$4:$Y$4,3),$Q$4:$Y$501,ROW(AP355)-3,FALSE)="nee",VLOOKUP("De kwaliteitseis emissiearme grond (maximale concentratie) wordt overschreden.",H!$O$10:'H'!$P$59,2,FALSE),""))),"")</f>
        <v/>
      </c>
      <c r="AV355" s="6" t="str">
        <f t="shared" si="110"/>
        <v>--</v>
      </c>
      <c r="AW355" s="6" t="str">
        <f t="shared" si="111"/>
        <v/>
      </c>
      <c r="AX355" s="6" t="str">
        <f t="shared" si="112"/>
        <v>--</v>
      </c>
      <c r="AY355" s="6" t="str">
        <f t="shared" si="121"/>
        <v/>
      </c>
      <c r="AZ355" s="6" t="str">
        <f t="shared" si="122"/>
        <v/>
      </c>
      <c r="BA355" s="6" t="str">
        <f>IFERROR(IF(AR355="--","",IF(HLOOKUP(SMALL($Q$4:$Y$4,6),$Q$4:$Y$501,ROW(AP355)-3,FALSE)=0,"",IF(HLOOKUP(SMALL($Q$4:$Y$4,6),$Q$4:$Y$501,ROW(AP355)-3,FALSE)="nee",VLOOKUP("De kwaliteitseis emissiearme grond (maximale concentratie) wordt overschreden.",H!$O$10:'H'!$P$59,2,FALSE),""))),"")</f>
        <v/>
      </c>
      <c r="BB355" s="6" t="str">
        <f t="shared" si="113"/>
        <v>--</v>
      </c>
      <c r="BC355" s="6" t="str">
        <f t="shared" si="114"/>
        <v/>
      </c>
      <c r="BD355" s="6" t="str">
        <f t="shared" si="115"/>
        <v>--</v>
      </c>
      <c r="BE355" s="6" t="str">
        <f t="shared" si="123"/>
        <v/>
      </c>
      <c r="BF355" s="6" t="str">
        <f t="shared" si="124"/>
        <v/>
      </c>
      <c r="BG355" s="4" t="str">
        <f>IFERROR(IF(AR355="--","",IF(HLOOKUP(SMALL($Q$4:$Y$4,9),$Q$4:$Y$501,ROW(AP355)-3,FALSE)=0,"",IF(HLOOKUP(SMALL($Q$4:$Y$4,9),$Q$4:$Y$501,ROW(AP355)-3,FALSE)="nee",VLOOKUP("De kwaliteitseis emissiearme grond (maximale concentratie) wordt overschreden.",H!$O$10:'H'!$P$59,2,FALSE),""))),"")</f>
        <v/>
      </c>
    </row>
    <row r="356" spans="1:59" x14ac:dyDescent="0.2">
      <c r="A356" s="4" t="str">
        <f>F!A356</f>
        <v>PFOSA</v>
      </c>
      <c r="B356" s="6">
        <f>IF(ISNUMBER(F!E356)=FALSE,"--",IF(F!E356=0,"--",F!E356))</f>
        <v>0.1</v>
      </c>
      <c r="C356" s="6" t="str">
        <f>IF(B356="--","",F!F356)</f>
        <v>&lt;</v>
      </c>
      <c r="D356" s="6">
        <f>IF(ISNUMBER(F!G356)=FALSE,"--",IF(F!G356=0,"--",F!G356))</f>
        <v>0.1</v>
      </c>
      <c r="E356" s="6" t="str">
        <f>IF(D356="--","",F!H356)</f>
        <v>&lt;</v>
      </c>
      <c r="F356" s="6">
        <f>IF(ISNUMBER(F!I356)=FALSE,"--",IF(F!I356=0,"--",F!I356))</f>
        <v>0.1</v>
      </c>
      <c r="G356" s="6" t="str">
        <f>IF(F356="--","",F!J356)</f>
        <v>&lt;</v>
      </c>
      <c r="H356" s="6"/>
      <c r="I356" s="16">
        <f>IF(F!Z356=0,-1,F!AV356)</f>
        <v>-1</v>
      </c>
      <c r="J356" s="6"/>
      <c r="K356" s="16">
        <f>IF(F!AC356=0,-1,F!AX356)</f>
        <v>-1</v>
      </c>
      <c r="L356" s="6"/>
      <c r="M356" s="16">
        <f>IF(F!AF356=0,-1,F!AZ356)</f>
        <v>-1</v>
      </c>
      <c r="N356" s="6"/>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6">
        <f t="shared" si="130"/>
        <v>-1</v>
      </c>
      <c r="R356" s="5" t="str">
        <f>IF($B356="--","",IF($P356="toetsen",toetsen(F!$B356,Q356),IF($P356="toetsen alleen IW",toetsen_alleen_IW(F!$B356,Q356),IF($P356="toetsen alleen LN",toetsen_alleen_LN(F!$B356,Q356),IF($P356="toetsen geen MV en SV",toetsen_geen_MV_en_SV(F!$B356,Q356),IF($P356="toetsen alleen MV en SV",toetsen_alleen_MV_en_SV(F!$B356,Q356),""))))))</f>
        <v>-</v>
      </c>
      <c r="S356" s="5" t="str">
        <f>IF($P356="toetsen",IF(OR(Q356="",VLOOKUP(F!$B356,E!$B$1:$AK$300,10,FALSE)=1000000000),"",IF(Q356&lt;=VLOOKUP(F!$B356,E!$B$1:$AK$300,10,FALSE),"ja","nee")),"")</f>
        <v>ja</v>
      </c>
      <c r="T356" s="87">
        <f t="shared" si="125"/>
        <v>-1</v>
      </c>
      <c r="U356" s="5" t="str">
        <f>IF($D356="--","",IF($P356="toetsen",toetsen(F!$B356,T356),IF($P356="toetsen alleen IW",toetsen_alleen_IW(F!$B356,T356),IF($P356="toetsen alleen LN",toetsen_alleen_LN(F!$B356,T356),IF($P356="toetsen geen MV en SV",toetsen_geen_MV_en_SV(F!$B356,T356),IF($P356="toetsen alleen MV en SV",toetsen_alleen_MV_en_SV(F!$B356,T356),""))))))</f>
        <v>-</v>
      </c>
      <c r="V356" s="5" t="str">
        <f>IF($P356="toetsen",IF(OR(T356="",VLOOKUP(F!$B356,E!$B$1:$AK$300,10,FALSE)=1000000000),"",IF(T356&lt;=VLOOKUP(F!$B356,E!$B$1:$AK$300,10,FALSE),"ja","nee")),"")</f>
        <v>ja</v>
      </c>
      <c r="W356" s="6">
        <f t="shared" si="126"/>
        <v>-1</v>
      </c>
      <c r="X356" s="5" t="str">
        <f>IF($F356="--","",IF($P356="toetsen",toetsen(F!$B356,W356),IF($P356="toetsen alleen IW",toetsen_alleen_IW(F!$B356,W356),IF($P356="toetsen alleen LN",toetsen_alleen_LN(F!$B356,W356),IF($P356="toetsen geen MV en SV",toetsen_geen_MV_en_SV(F!$B356,W356),IF($P356="toetsen alleen MV en SV",toetsen_alleen_MV_en_SV(F!$B356,W356),""))))))</f>
        <v>-</v>
      </c>
      <c r="Y356" s="5" t="str">
        <f>IF($P356="toetsen",IF(OR(W356="",VLOOKUP(F!$B356,E!$B$1:$AK$300,10,FALSE)=1000000000),"",IF(W356&lt;=VLOOKUP(F!$B356,E!$B$1:$AK$300,10,FALSE),"ja","nee")),"")</f>
        <v>ja</v>
      </c>
      <c r="AA356" s="4">
        <f>IFERROR(IF(Q356="","",(IF(Q356&gt;2*VLOOKUP(F!$B356,E!$B$1:$AK$300,5,FALSE),1,0))),"")</f>
        <v>0</v>
      </c>
      <c r="AB356" s="4">
        <f>IFERROR(IF(T356="","",(IF(T356&gt;2*VLOOKUP(F!$B356,E!$B$1:$AK$300,5,FALSE),1,0))),"")</f>
        <v>0</v>
      </c>
      <c r="AC356" s="4">
        <f>IFERROR(IF(W356="","",(IF(W356&gt;2*VLOOKUP(F!$B356,E!$B$1:$AK$300,5,FALSE),1,0))),"")</f>
        <v>0</v>
      </c>
      <c r="AE356" s="4">
        <f>IFERROR(IF(Q356="","",(IF(Q356&gt;VLOOKUP(F!$B356,E!$B$1:$AK$300,6,FALSE)+VLOOKUP(F!$B356,E!$B$1:$AK$300,5,FALSE),1,0))),"")</f>
        <v>0</v>
      </c>
      <c r="AF356" s="4">
        <f>IFERROR(IF(T356="","",(IF(T356&gt;VLOOKUP(F!$B356,E!$B$1:$AK$300,6,FALSE)+VLOOKUP(F!$B356,E!$B$1:$AK$300,5,FALSE),1,0))),"")</f>
        <v>0</v>
      </c>
      <c r="AG356" s="4">
        <f>IFERROR(IF(W356="","",(IF(W356&gt;VLOOKUP(F!$B356,E!$B$1:$AK$300,6,FALSE)+VLOOKUP(F!$B356,E!$B$1:$AK$300,5,FALSE),1,0))),"")</f>
        <v>0</v>
      </c>
      <c r="AI356" s="6" t="str">
        <f t="shared" si="127"/>
        <v>0,10</v>
      </c>
      <c r="AJ356" s="6"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rg</v>
      </c>
      <c r="AK356" s="6" t="str">
        <f t="shared" si="128"/>
        <v>0,10</v>
      </c>
      <c r="AL356" s="6"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rg</v>
      </c>
      <c r="AM356" s="6" t="str">
        <f t="shared" si="129"/>
        <v>0,10</v>
      </c>
      <c r="AN356" s="6"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rg</v>
      </c>
      <c r="AP356" s="6" t="str">
        <f t="shared" si="116"/>
        <v>0,10</v>
      </c>
      <c r="AQ356" s="6" t="str">
        <f t="shared" si="117"/>
        <v>&lt;</v>
      </c>
      <c r="AR356" s="6" t="str">
        <f t="shared" si="118"/>
        <v>rg</v>
      </c>
      <c r="AS356" s="6" t="str">
        <f t="shared" si="119"/>
        <v>&lt;</v>
      </c>
      <c r="AT356" s="6" t="str">
        <f t="shared" si="120"/>
        <v>-</v>
      </c>
      <c r="AU356" s="6" t="str">
        <f>IFERROR(IF(AR356="--","",IF(HLOOKUP(SMALL($Q$4:$Y$4,3),$Q$4:$Y$501,ROW(AP356)-3,FALSE)=0,"",IF(HLOOKUP(SMALL($Q$4:$Y$4,3),$Q$4:$Y$501,ROW(AP356)-3,FALSE)="nee",VLOOKUP("De kwaliteitseis emissiearme grond (maximale concentratie) wordt overschreden.",H!$O$10:'H'!$P$59,2,FALSE),""))),"")</f>
        <v/>
      </c>
      <c r="AV356" s="6" t="str">
        <f t="shared" si="110"/>
        <v>0,10</v>
      </c>
      <c r="AW356" s="6" t="str">
        <f t="shared" si="111"/>
        <v>&lt;</v>
      </c>
      <c r="AX356" s="6" t="str">
        <f t="shared" si="112"/>
        <v>rg</v>
      </c>
      <c r="AY356" s="6" t="str">
        <f t="shared" si="121"/>
        <v>&lt;</v>
      </c>
      <c r="AZ356" s="6" t="str">
        <f t="shared" si="122"/>
        <v>-</v>
      </c>
      <c r="BA356" s="6" t="str">
        <f>IFERROR(IF(AR356="--","",IF(HLOOKUP(SMALL($Q$4:$Y$4,6),$Q$4:$Y$501,ROW(AP356)-3,FALSE)=0,"",IF(HLOOKUP(SMALL($Q$4:$Y$4,6),$Q$4:$Y$501,ROW(AP356)-3,FALSE)="nee",VLOOKUP("De kwaliteitseis emissiearme grond (maximale concentratie) wordt overschreden.",H!$O$10:'H'!$P$59,2,FALSE),""))),"")</f>
        <v/>
      </c>
      <c r="BB356" s="6" t="str">
        <f t="shared" si="113"/>
        <v>0,10</v>
      </c>
      <c r="BC356" s="6" t="str">
        <f t="shared" si="114"/>
        <v>&lt;</v>
      </c>
      <c r="BD356" s="6" t="str">
        <f t="shared" si="115"/>
        <v>rg</v>
      </c>
      <c r="BE356" s="6" t="str">
        <f t="shared" si="123"/>
        <v>&lt;</v>
      </c>
      <c r="BF356" s="6" t="str">
        <f t="shared" si="124"/>
        <v>-</v>
      </c>
      <c r="BG356" s="4" t="str">
        <f>IFERROR(IF(AR356="--","",IF(HLOOKUP(SMALL($Q$4:$Y$4,9),$Q$4:$Y$501,ROW(AP356)-3,FALSE)=0,"",IF(HLOOKUP(SMALL($Q$4:$Y$4,9),$Q$4:$Y$501,ROW(AP356)-3,FALSE)="nee",VLOOKUP("De kwaliteitseis emissiearme grond (maximale concentratie) wordt overschreden.",H!$O$10:'H'!$P$59,2,FALSE),""))),"")</f>
        <v/>
      </c>
    </row>
    <row r="357" spans="1:59" x14ac:dyDescent="0.2">
      <c r="A357" s="4" t="str">
        <f>F!A357</f>
        <v>N-MeFOSA</v>
      </c>
      <c r="B357" s="6" t="str">
        <f>IF(ISNUMBER(F!E357)=FALSE,"--",IF(F!E357=0,"--",F!E357))</f>
        <v>--</v>
      </c>
      <c r="C357" s="6" t="str">
        <f>IF(B357="--","",F!F357)</f>
        <v/>
      </c>
      <c r="D357" s="6" t="str">
        <f>IF(ISNUMBER(F!G357)=FALSE,"--",IF(F!G357=0,"--",F!G357))</f>
        <v>--</v>
      </c>
      <c r="E357" s="6" t="str">
        <f>IF(D357="--","",F!H357)</f>
        <v/>
      </c>
      <c r="F357" s="6" t="str">
        <f>IF(ISNUMBER(F!I357)=FALSE,"--",IF(F!I357=0,"--",F!I357))</f>
        <v>--</v>
      </c>
      <c r="G357" s="6" t="str">
        <f>IF(F357="--","",F!J357)</f>
        <v/>
      </c>
      <c r="H357" s="6"/>
      <c r="I357" s="16" t="str">
        <f>IF(F!Z357=0,-1,F!AV357)</f>
        <v/>
      </c>
      <c r="J357" s="6"/>
      <c r="K357" s="16" t="str">
        <f>IF(F!AC357=0,-1,F!AX357)</f>
        <v/>
      </c>
      <c r="L357" s="6"/>
      <c r="M357" s="16" t="str">
        <f>IF(F!AF357=0,-1,F!AZ357)</f>
        <v/>
      </c>
      <c r="N357" s="6"/>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6" t="str">
        <f t="shared" si="130"/>
        <v/>
      </c>
      <c r="R357" s="5" t="str">
        <f>IF($B357="--","",IF($P357="toetsen",toetsen(F!$B357,Q357),IF($P357="toetsen alleen IW",toetsen_alleen_IW(F!$B357,Q357),IF($P357="toetsen alleen LN",toetsen_alleen_LN(F!$B357,Q357),IF($P357="toetsen geen MV en SV",toetsen_geen_MV_en_SV(F!$B357,Q357),IF($P357="toetsen alleen MV en SV",toetsen_alleen_MV_en_SV(F!$B357,Q357),""))))))</f>
        <v/>
      </c>
      <c r="S357" s="5" t="str">
        <f>IF($P357="toetsen",IF(OR(Q357="",VLOOKUP(F!$B357,E!$B$1:$AK$300,10,FALSE)=1000000000),"",IF(Q357&lt;=VLOOKUP(F!$B357,E!$B$1:$AK$300,10,FALSE),"ja","nee")),"")</f>
        <v/>
      </c>
      <c r="T357" s="87" t="str">
        <f t="shared" si="125"/>
        <v/>
      </c>
      <c r="U357" s="5" t="str">
        <f>IF($D357="--","",IF($P357="toetsen",toetsen(F!$B357,T357),IF($P357="toetsen alleen IW",toetsen_alleen_IW(F!$B357,T357),IF($P357="toetsen alleen LN",toetsen_alleen_LN(F!$B357,T357),IF($P357="toetsen geen MV en SV",toetsen_geen_MV_en_SV(F!$B357,T357),IF($P357="toetsen alleen MV en SV",toetsen_alleen_MV_en_SV(F!$B357,T357),""))))))</f>
        <v/>
      </c>
      <c r="V357" s="5" t="str">
        <f>IF($P357="toetsen",IF(OR(T357="",VLOOKUP(F!$B357,E!$B$1:$AK$300,10,FALSE)=1000000000),"",IF(T357&lt;=VLOOKUP(F!$B357,E!$B$1:$AK$300,10,FALSE),"ja","nee")),"")</f>
        <v/>
      </c>
      <c r="W357" s="6" t="str">
        <f t="shared" si="126"/>
        <v/>
      </c>
      <c r="X357" s="5" t="str">
        <f>IF($F357="--","",IF($P357="toetsen",toetsen(F!$B357,W357),IF($P357="toetsen alleen IW",toetsen_alleen_IW(F!$B357,W357),IF($P357="toetsen alleen LN",toetsen_alleen_LN(F!$B357,W357),IF($P357="toetsen geen MV en SV",toetsen_geen_MV_en_SV(F!$B357,W357),IF($P357="toetsen alleen MV en SV",toetsen_alleen_MV_en_SV(F!$B357,W357),""))))))</f>
        <v/>
      </c>
      <c r="Y357" s="5" t="str">
        <f>IF($P357="toetsen",IF(OR(W357="",VLOOKUP(F!$B357,E!$B$1:$AK$300,10,FALSE)=1000000000),"",IF(W357&lt;=VLOOKUP(F!$B357,E!$B$1:$AK$300,10,FALSE),"ja","nee")),"")</f>
        <v/>
      </c>
      <c r="AA357" s="4" t="str">
        <f>IFERROR(IF(Q357="","",(IF(Q357&gt;2*VLOOKUP(F!$B357,E!$B$1:$AK$300,5,FALSE),1,0))),"")</f>
        <v/>
      </c>
      <c r="AB357" s="4" t="str">
        <f>IFERROR(IF(T357="","",(IF(T357&gt;2*VLOOKUP(F!$B357,E!$B$1:$AK$300,5,FALSE),1,0))),"")</f>
        <v/>
      </c>
      <c r="AC357" s="4" t="str">
        <f>IFERROR(IF(W357="","",(IF(W357&gt;2*VLOOKUP(F!$B357,E!$B$1:$AK$300,5,FALSE),1,0))),"")</f>
        <v/>
      </c>
      <c r="AE357" s="4" t="str">
        <f>IFERROR(IF(Q357="","",(IF(Q357&gt;VLOOKUP(F!$B357,E!$B$1:$AK$300,6,FALSE)+VLOOKUP(F!$B357,E!$B$1:$AK$300,5,FALSE),1,0))),"")</f>
        <v/>
      </c>
      <c r="AF357" s="4" t="str">
        <f>IFERROR(IF(T357="","",(IF(T357&gt;VLOOKUP(F!$B357,E!$B$1:$AK$300,6,FALSE)+VLOOKUP(F!$B357,E!$B$1:$AK$300,5,FALSE),1,0))),"")</f>
        <v/>
      </c>
      <c r="AG357" s="4" t="str">
        <f>IFERROR(IF(W357="","",(IF(W357&gt;VLOOKUP(F!$B357,E!$B$1:$AK$300,6,FALSE)+VLOOKUP(F!$B357,E!$B$1:$AK$300,5,FALSE),1,0))),"")</f>
        <v/>
      </c>
      <c r="AI357" s="6" t="str">
        <f t="shared" si="127"/>
        <v>--</v>
      </c>
      <c r="AJ357" s="6"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6" t="str">
        <f t="shared" si="128"/>
        <v>--</v>
      </c>
      <c r="AL357" s="6"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v>
      </c>
      <c r="AM357" s="6" t="str">
        <f t="shared" si="129"/>
        <v>--</v>
      </c>
      <c r="AN357" s="6"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6" t="str">
        <f t="shared" si="116"/>
        <v>--</v>
      </c>
      <c r="AQ357" s="6" t="str">
        <f t="shared" si="117"/>
        <v/>
      </c>
      <c r="AR357" s="6" t="str">
        <f t="shared" si="118"/>
        <v>--</v>
      </c>
      <c r="AS357" s="6" t="str">
        <f t="shared" si="119"/>
        <v/>
      </c>
      <c r="AT357" s="6" t="str">
        <f t="shared" si="120"/>
        <v/>
      </c>
      <c r="AU357" s="6" t="str">
        <f>IFERROR(IF(AR357="--","",IF(HLOOKUP(SMALL($Q$4:$Y$4,3),$Q$4:$Y$501,ROW(AP357)-3,FALSE)=0,"",IF(HLOOKUP(SMALL($Q$4:$Y$4,3),$Q$4:$Y$501,ROW(AP357)-3,FALSE)="nee",VLOOKUP("De kwaliteitseis emissiearme grond (maximale concentratie) wordt overschreden.",H!$O$10:'H'!$P$59,2,FALSE),""))),"")</f>
        <v/>
      </c>
      <c r="AV357" s="6" t="str">
        <f t="shared" si="110"/>
        <v>--</v>
      </c>
      <c r="AW357" s="6" t="str">
        <f t="shared" si="111"/>
        <v/>
      </c>
      <c r="AX357" s="6" t="str">
        <f t="shared" si="112"/>
        <v>--</v>
      </c>
      <c r="AY357" s="6" t="str">
        <f t="shared" si="121"/>
        <v/>
      </c>
      <c r="AZ357" s="6" t="str">
        <f t="shared" si="122"/>
        <v/>
      </c>
      <c r="BA357" s="6" t="str">
        <f>IFERROR(IF(AR357="--","",IF(HLOOKUP(SMALL($Q$4:$Y$4,6),$Q$4:$Y$501,ROW(AP357)-3,FALSE)=0,"",IF(HLOOKUP(SMALL($Q$4:$Y$4,6),$Q$4:$Y$501,ROW(AP357)-3,FALSE)="nee",VLOOKUP("De kwaliteitseis emissiearme grond (maximale concentratie) wordt overschreden.",H!$O$10:'H'!$P$59,2,FALSE),""))),"")</f>
        <v/>
      </c>
      <c r="BB357" s="6" t="str">
        <f t="shared" si="113"/>
        <v>--</v>
      </c>
      <c r="BC357" s="6" t="str">
        <f t="shared" si="114"/>
        <v/>
      </c>
      <c r="BD357" s="6" t="str">
        <f t="shared" si="115"/>
        <v>--</v>
      </c>
      <c r="BE357" s="6" t="str">
        <f t="shared" si="123"/>
        <v/>
      </c>
      <c r="BF357" s="6" t="str">
        <f t="shared" si="124"/>
        <v/>
      </c>
      <c r="BG357" s="4" t="str">
        <f>IFERROR(IF(AR357="--","",IF(HLOOKUP(SMALL($Q$4:$Y$4,9),$Q$4:$Y$501,ROW(AP357)-3,FALSE)=0,"",IF(HLOOKUP(SMALL($Q$4:$Y$4,9),$Q$4:$Y$501,ROW(AP357)-3,FALSE)="nee",VLOOKUP("De kwaliteitseis emissiearme grond (maximale concentratie) wordt overschreden.",H!$O$10:'H'!$P$59,2,FALSE),""))),"")</f>
        <v/>
      </c>
    </row>
    <row r="358" spans="1:59" x14ac:dyDescent="0.2">
      <c r="A358" s="4" t="str">
        <f>F!A358</f>
        <v>8:2 diPAP</v>
      </c>
      <c r="B358" s="6" t="str">
        <f>IF(ISNUMBER(F!E358)=FALSE,"--",IF(F!E358=0,"--",F!E358))</f>
        <v>--</v>
      </c>
      <c r="C358" s="6" t="str">
        <f>IF(B358="--","",F!F358)</f>
        <v/>
      </c>
      <c r="D358" s="6" t="str">
        <f>IF(ISNUMBER(F!G358)=FALSE,"--",IF(F!G358=0,"--",F!G358))</f>
        <v>--</v>
      </c>
      <c r="E358" s="6" t="str">
        <f>IF(D358="--","",F!H358)</f>
        <v/>
      </c>
      <c r="F358" s="6" t="str">
        <f>IF(ISNUMBER(F!I358)=FALSE,"--",IF(F!I358=0,"--",F!I358))</f>
        <v>--</v>
      </c>
      <c r="G358" s="6" t="str">
        <f>IF(F358="--","",F!J358)</f>
        <v/>
      </c>
      <c r="H358" s="6"/>
      <c r="I358" s="16" t="str">
        <f>IF(F!Z358=0,-1,F!AV358)</f>
        <v/>
      </c>
      <c r="J358" s="6"/>
      <c r="K358" s="16" t="str">
        <f>IF(F!AC358=0,-1,F!AX358)</f>
        <v/>
      </c>
      <c r="L358" s="6"/>
      <c r="M358" s="16" t="str">
        <f>IF(F!AF358=0,-1,F!AZ358)</f>
        <v/>
      </c>
      <c r="N358" s="6"/>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6" t="str">
        <f t="shared" si="130"/>
        <v/>
      </c>
      <c r="R358" s="5" t="str">
        <f>IF($B358="--","",IF($P358="toetsen",toetsen(F!$B358,Q358),IF($P358="toetsen alleen IW",toetsen_alleen_IW(F!$B358,Q358),IF($P358="toetsen alleen LN",toetsen_alleen_LN(F!$B358,Q358),IF($P358="toetsen geen MV en SV",toetsen_geen_MV_en_SV(F!$B358,Q358),IF($P358="toetsen alleen MV en SV",toetsen_alleen_MV_en_SV(F!$B358,Q358),""))))))</f>
        <v/>
      </c>
      <c r="S358" s="5" t="str">
        <f>IF($P358="toetsen",IF(OR(Q358="",VLOOKUP(F!$B358,E!$B$1:$AK$300,10,FALSE)=1000000000),"",IF(Q358&lt;=VLOOKUP(F!$B358,E!$B$1:$AK$300,10,FALSE),"ja","nee")),"")</f>
        <v/>
      </c>
      <c r="T358" s="87" t="str">
        <f t="shared" si="125"/>
        <v/>
      </c>
      <c r="U358" s="5" t="str">
        <f>IF($D358="--","",IF($P358="toetsen",toetsen(F!$B358,T358),IF($P358="toetsen alleen IW",toetsen_alleen_IW(F!$B358,T358),IF($P358="toetsen alleen LN",toetsen_alleen_LN(F!$B358,T358),IF($P358="toetsen geen MV en SV",toetsen_geen_MV_en_SV(F!$B358,T358),IF($P358="toetsen alleen MV en SV",toetsen_alleen_MV_en_SV(F!$B358,T358),""))))))</f>
        <v/>
      </c>
      <c r="V358" s="5" t="str">
        <f>IF($P358="toetsen",IF(OR(T358="",VLOOKUP(F!$B358,E!$B$1:$AK$300,10,FALSE)=1000000000),"",IF(T358&lt;=VLOOKUP(F!$B358,E!$B$1:$AK$300,10,FALSE),"ja","nee")),"")</f>
        <v/>
      </c>
      <c r="W358" s="6" t="str">
        <f t="shared" si="126"/>
        <v/>
      </c>
      <c r="X358" s="5" t="str">
        <f>IF($F358="--","",IF($P358="toetsen",toetsen(F!$B358,W358),IF($P358="toetsen alleen IW",toetsen_alleen_IW(F!$B358,W358),IF($P358="toetsen alleen LN",toetsen_alleen_LN(F!$B358,W358),IF($P358="toetsen geen MV en SV",toetsen_geen_MV_en_SV(F!$B358,W358),IF($P358="toetsen alleen MV en SV",toetsen_alleen_MV_en_SV(F!$B358,W358),""))))))</f>
        <v/>
      </c>
      <c r="Y358" s="5" t="str">
        <f>IF($P358="toetsen",IF(OR(W358="",VLOOKUP(F!$B358,E!$B$1:$AK$300,10,FALSE)=1000000000),"",IF(W358&lt;=VLOOKUP(F!$B358,E!$B$1:$AK$300,10,FALSE),"ja","nee")),"")</f>
        <v/>
      </c>
      <c r="AA358" s="4" t="str">
        <f>IFERROR(IF(Q358="","",(IF(Q358&gt;2*VLOOKUP(F!$B358,E!$B$1:$AK$300,5,FALSE),1,0))),"")</f>
        <v/>
      </c>
      <c r="AB358" s="4" t="str">
        <f>IFERROR(IF(T358="","",(IF(T358&gt;2*VLOOKUP(F!$B358,E!$B$1:$AK$300,5,FALSE),1,0))),"")</f>
        <v/>
      </c>
      <c r="AC358" s="4" t="str">
        <f>IFERROR(IF(W358="","",(IF(W358&gt;2*VLOOKUP(F!$B358,E!$B$1:$AK$300,5,FALSE),1,0))),"")</f>
        <v/>
      </c>
      <c r="AE358" s="4" t="str">
        <f>IFERROR(IF(Q358="","",(IF(Q358&gt;VLOOKUP(F!$B358,E!$B$1:$AK$300,6,FALSE)+VLOOKUP(F!$B358,E!$B$1:$AK$300,5,FALSE),1,0))),"")</f>
        <v/>
      </c>
      <c r="AF358" s="4" t="str">
        <f>IFERROR(IF(T358="","",(IF(T358&gt;VLOOKUP(F!$B358,E!$B$1:$AK$300,6,FALSE)+VLOOKUP(F!$B358,E!$B$1:$AK$300,5,FALSE),1,0))),"")</f>
        <v/>
      </c>
      <c r="AG358" s="4" t="str">
        <f>IFERROR(IF(W358="","",(IF(W358&gt;VLOOKUP(F!$B358,E!$B$1:$AK$300,6,FALSE)+VLOOKUP(F!$B358,E!$B$1:$AK$300,5,FALSE),1,0))),"")</f>
        <v/>
      </c>
      <c r="AI358" s="6" t="str">
        <f t="shared" si="127"/>
        <v>--</v>
      </c>
      <c r="AJ358" s="6"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6" t="str">
        <f t="shared" si="128"/>
        <v>--</v>
      </c>
      <c r="AL358" s="6"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v>
      </c>
      <c r="AM358" s="6" t="str">
        <f t="shared" si="129"/>
        <v>--</v>
      </c>
      <c r="AN358" s="6"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6" t="str">
        <f t="shared" si="116"/>
        <v>--</v>
      </c>
      <c r="AQ358" s="6" t="str">
        <f t="shared" si="117"/>
        <v/>
      </c>
      <c r="AR358" s="6" t="str">
        <f t="shared" si="118"/>
        <v>--</v>
      </c>
      <c r="AS358" s="6" t="str">
        <f t="shared" si="119"/>
        <v/>
      </c>
      <c r="AT358" s="6" t="str">
        <f t="shared" si="120"/>
        <v/>
      </c>
      <c r="AU358" s="6" t="str">
        <f>IFERROR(IF(AR358="--","",IF(HLOOKUP(SMALL($Q$4:$Y$4,3),$Q$4:$Y$501,ROW(AP358)-3,FALSE)=0,"",IF(HLOOKUP(SMALL($Q$4:$Y$4,3),$Q$4:$Y$501,ROW(AP358)-3,FALSE)="nee",VLOOKUP("De kwaliteitseis emissiearme grond (maximale concentratie) wordt overschreden.",H!$O$10:'H'!$P$59,2,FALSE),""))),"")</f>
        <v/>
      </c>
      <c r="AV358" s="6" t="str">
        <f t="shared" si="110"/>
        <v>--</v>
      </c>
      <c r="AW358" s="6" t="str">
        <f t="shared" si="111"/>
        <v/>
      </c>
      <c r="AX358" s="6" t="str">
        <f t="shared" si="112"/>
        <v>--</v>
      </c>
      <c r="AY358" s="6" t="str">
        <f t="shared" si="121"/>
        <v/>
      </c>
      <c r="AZ358" s="6" t="str">
        <f t="shared" si="122"/>
        <v/>
      </c>
      <c r="BA358" s="6" t="str">
        <f>IFERROR(IF(AR358="--","",IF(HLOOKUP(SMALL($Q$4:$Y$4,6),$Q$4:$Y$501,ROW(AP358)-3,FALSE)=0,"",IF(HLOOKUP(SMALL($Q$4:$Y$4,6),$Q$4:$Y$501,ROW(AP358)-3,FALSE)="nee",VLOOKUP("De kwaliteitseis emissiearme grond (maximale concentratie) wordt overschreden.",H!$O$10:'H'!$P$59,2,FALSE),""))),"")</f>
        <v/>
      </c>
      <c r="BB358" s="6" t="str">
        <f t="shared" si="113"/>
        <v>--</v>
      </c>
      <c r="BC358" s="6" t="str">
        <f t="shared" si="114"/>
        <v/>
      </c>
      <c r="BD358" s="6" t="str">
        <f t="shared" si="115"/>
        <v>--</v>
      </c>
      <c r="BE358" s="6" t="str">
        <f t="shared" si="123"/>
        <v/>
      </c>
      <c r="BF358" s="6" t="str">
        <f t="shared" si="124"/>
        <v/>
      </c>
      <c r="BG358" s="4" t="str">
        <f>IFERROR(IF(AR358="--","",IF(HLOOKUP(SMALL($Q$4:$Y$4,9),$Q$4:$Y$501,ROW(AP358)-3,FALSE)=0,"",IF(HLOOKUP(SMALL($Q$4:$Y$4,9),$Q$4:$Y$501,ROW(AP358)-3,FALSE)="nee",VLOOKUP("De kwaliteitseis emissiearme grond (maximale concentratie) wordt overschreden.",H!$O$10:'H'!$P$59,2,FALSE),""))),"")</f>
        <v/>
      </c>
    </row>
    <row r="359" spans="1:59" x14ac:dyDescent="0.2">
      <c r="A359" s="4" t="str">
        <f>F!A359</f>
        <v>HFPO-DA / FRD-903 (GenX)</v>
      </c>
      <c r="B359" s="6" t="str">
        <f>IF(ISNUMBER(F!E359)=FALSE,"--",IF(F!E359=0,"--",F!E359))</f>
        <v>--</v>
      </c>
      <c r="C359" s="6" t="str">
        <f>IF(B359="--","",F!F359)</f>
        <v/>
      </c>
      <c r="D359" s="6" t="str">
        <f>IF(ISNUMBER(F!G359)=FALSE,"--",IF(F!G359=0,"--",F!G359))</f>
        <v>--</v>
      </c>
      <c r="E359" s="6" t="str">
        <f>IF(D359="--","",F!H359)</f>
        <v/>
      </c>
      <c r="F359" s="6" t="str">
        <f>IF(ISNUMBER(F!I359)=FALSE,"--",IF(F!I359=0,"--",F!I359))</f>
        <v>--</v>
      </c>
      <c r="G359" s="6" t="str">
        <f>IF(F359="--","",F!J359)</f>
        <v/>
      </c>
      <c r="H359" s="6"/>
      <c r="I359" s="16" t="str">
        <f>IF(F!Z359=0,-1,F!AV359)</f>
        <v/>
      </c>
      <c r="J359" s="6"/>
      <c r="K359" s="16" t="str">
        <f>IF(F!AC359=0,-1,F!AX359)</f>
        <v/>
      </c>
      <c r="L359" s="6"/>
      <c r="M359" s="16" t="str">
        <f>IF(F!AF359=0,-1,F!AZ359)</f>
        <v/>
      </c>
      <c r="N359" s="6"/>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6" t="str">
        <f t="shared" si="130"/>
        <v/>
      </c>
      <c r="R359" s="5" t="str">
        <f>IF($B359="--","",IF($P359="toetsen",toetsen(F!$B359,Q359),IF($P359="toetsen alleen IW",toetsen_alleen_IW(F!$B359,Q359),IF($P359="toetsen alleen LN",toetsen_alleen_LN(F!$B359,Q359),IF($P359="toetsen geen MV en SV",toetsen_geen_MV_en_SV(F!$B359,Q359),IF($P359="toetsen alleen MV en SV",toetsen_alleen_MV_en_SV(F!$B359,Q359),""))))))</f>
        <v/>
      </c>
      <c r="S359" s="5" t="str">
        <f>IF($P359="toetsen",IF(OR(Q359="",VLOOKUP(F!$B359,E!$B$1:$AK$300,10,FALSE)=1000000000),"",IF(Q359&lt;=VLOOKUP(F!$B359,E!$B$1:$AK$300,10,FALSE),"ja","nee")),"")</f>
        <v/>
      </c>
      <c r="T359" s="87" t="str">
        <f t="shared" si="125"/>
        <v/>
      </c>
      <c r="U359" s="5" t="str">
        <f>IF($D359="--","",IF($P359="toetsen",toetsen(F!$B359,T359),IF($P359="toetsen alleen IW",toetsen_alleen_IW(F!$B359,T359),IF($P359="toetsen alleen LN",toetsen_alleen_LN(F!$B359,T359),IF($P359="toetsen geen MV en SV",toetsen_geen_MV_en_SV(F!$B359,T359),IF($P359="toetsen alleen MV en SV",toetsen_alleen_MV_en_SV(F!$B359,T359),""))))))</f>
        <v/>
      </c>
      <c r="V359" s="5" t="str">
        <f>IF($P359="toetsen",IF(OR(T359="",VLOOKUP(F!$B359,E!$B$1:$AK$300,10,FALSE)=1000000000),"",IF(T359&lt;=VLOOKUP(F!$B359,E!$B$1:$AK$300,10,FALSE),"ja","nee")),"")</f>
        <v/>
      </c>
      <c r="W359" s="6" t="str">
        <f t="shared" si="126"/>
        <v/>
      </c>
      <c r="X359" s="5" t="str">
        <f>IF($F359="--","",IF($P359="toetsen",toetsen(F!$B359,W359),IF($P359="toetsen alleen IW",toetsen_alleen_IW(F!$B359,W359),IF($P359="toetsen alleen LN",toetsen_alleen_LN(F!$B359,W359),IF($P359="toetsen geen MV en SV",toetsen_geen_MV_en_SV(F!$B359,W359),IF($P359="toetsen alleen MV en SV",toetsen_alleen_MV_en_SV(F!$B359,W359),""))))))</f>
        <v/>
      </c>
      <c r="Y359" s="5" t="str">
        <f>IF($P359="toetsen",IF(OR(W359="",VLOOKUP(F!$B359,E!$B$1:$AK$300,10,FALSE)=1000000000),"",IF(W359&lt;=VLOOKUP(F!$B359,E!$B$1:$AK$300,10,FALSE),"ja","nee")),"")</f>
        <v/>
      </c>
      <c r="AA359" s="4" t="str">
        <f>IFERROR(IF(Q359="","",(IF(Q359&gt;2*VLOOKUP(F!$B359,E!$B$1:$AK$300,5,FALSE),1,0))),"")</f>
        <v/>
      </c>
      <c r="AB359" s="4" t="str">
        <f>IFERROR(IF(T359="","",(IF(T359&gt;2*VLOOKUP(F!$B359,E!$B$1:$AK$300,5,FALSE),1,0))),"")</f>
        <v/>
      </c>
      <c r="AC359" s="4" t="str">
        <f>IFERROR(IF(W359="","",(IF(W359&gt;2*VLOOKUP(F!$B359,E!$B$1:$AK$300,5,FALSE),1,0))),"")</f>
        <v/>
      </c>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6" t="str">
        <f t="shared" si="127"/>
        <v>--</v>
      </c>
      <c r="AJ359" s="6"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6" t="str">
        <f t="shared" si="128"/>
        <v>--</v>
      </c>
      <c r="AL359" s="6"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6" t="str">
        <f t="shared" si="129"/>
        <v>--</v>
      </c>
      <c r="AN359" s="6"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6" t="str">
        <f t="shared" si="116"/>
        <v>--</v>
      </c>
      <c r="AQ359" s="6" t="str">
        <f t="shared" si="117"/>
        <v/>
      </c>
      <c r="AR359" s="6" t="str">
        <f t="shared" si="118"/>
        <v>--</v>
      </c>
      <c r="AS359" s="6" t="str">
        <f t="shared" si="119"/>
        <v/>
      </c>
      <c r="AT359" s="6" t="str">
        <f t="shared" si="120"/>
        <v/>
      </c>
      <c r="AU359" s="6" t="str">
        <f>IFERROR(IF(AR359="--","",IF(HLOOKUP(SMALL($Q$4:$Y$4,3),$Q$4:$Y$501,ROW(AP359)-3,FALSE)=0,"",IF(HLOOKUP(SMALL($Q$4:$Y$4,3),$Q$4:$Y$501,ROW(AP359)-3,FALSE)="nee",VLOOKUP("De kwaliteitseis emissiearme grond (maximale concentratie) wordt overschreden.",H!$O$10:'H'!$P$59,2,FALSE),""))),"")</f>
        <v/>
      </c>
      <c r="AV359" s="6" t="str">
        <f t="shared" si="110"/>
        <v>--</v>
      </c>
      <c r="AW359" s="6" t="str">
        <f t="shared" si="111"/>
        <v/>
      </c>
      <c r="AX359" s="6" t="str">
        <f t="shared" si="112"/>
        <v>--</v>
      </c>
      <c r="AY359" s="6" t="str">
        <f t="shared" si="121"/>
        <v/>
      </c>
      <c r="AZ359" s="6" t="str">
        <f t="shared" si="122"/>
        <v/>
      </c>
      <c r="BA359" s="6" t="str">
        <f>IFERROR(IF(AR359="--","",IF(HLOOKUP(SMALL($Q$4:$Y$4,6),$Q$4:$Y$501,ROW(AP359)-3,FALSE)=0,"",IF(HLOOKUP(SMALL($Q$4:$Y$4,6),$Q$4:$Y$501,ROW(AP359)-3,FALSE)="nee",VLOOKUP("De kwaliteitseis emissiearme grond (maximale concentratie) wordt overschreden.",H!$O$10:'H'!$P$59,2,FALSE),""))),"")</f>
        <v/>
      </c>
      <c r="BB359" s="6" t="str">
        <f t="shared" si="113"/>
        <v>--</v>
      </c>
      <c r="BC359" s="6" t="str">
        <f t="shared" si="114"/>
        <v/>
      </c>
      <c r="BD359" s="6" t="str">
        <f t="shared" si="115"/>
        <v>--</v>
      </c>
      <c r="BE359" s="6" t="str">
        <f t="shared" si="123"/>
        <v/>
      </c>
      <c r="BF359" s="6" t="str">
        <f t="shared" si="124"/>
        <v/>
      </c>
      <c r="BG359" s="4" t="str">
        <f>IFERROR(IF(AR359="--","",IF(HLOOKUP(SMALL($Q$4:$Y$4,9),$Q$4:$Y$501,ROW(AP359)-3,FALSE)=0,"",IF(HLOOKUP(SMALL($Q$4:$Y$4,9),$Q$4:$Y$501,ROW(AP359)-3,FALSE)="nee",VLOOKUP("De kwaliteitseis emissiearme grond (maximale concentratie) wordt overschreden.",H!$O$10:'H'!$P$59,2,FALSE),""))),"")</f>
        <v/>
      </c>
    </row>
    <row r="360" spans="1:59" x14ac:dyDescent="0.2">
      <c r="A360" s="4" t="str">
        <f>F!A360</f>
        <v>Som PFAS</v>
      </c>
      <c r="B360" s="6">
        <f>IF(ISNUMBER(F!E360)=FALSE,"--",IF(F!E360=0,"--",F!E360))</f>
        <v>2.1000000000000005</v>
      </c>
      <c r="C360" s="6" t="str">
        <f>IF(B360="--","",F!F360)</f>
        <v>&lt;</v>
      </c>
      <c r="D360" s="6">
        <f>IF(ISNUMBER(F!G360)=FALSE,"--",IF(F!G360=0,"--",F!G360))</f>
        <v>2.1000000000000005</v>
      </c>
      <c r="E360" s="6" t="str">
        <f>IF(D360="--","",F!H360)</f>
        <v>&lt;</v>
      </c>
      <c r="F360" s="6">
        <f>IF(ISNUMBER(F!I360)=FALSE,"--",IF(F!I360=0,"--",F!I360))</f>
        <v>2.1000000000000005</v>
      </c>
      <c r="G360" s="6" t="str">
        <f>IF(F360="--","",F!J360)</f>
        <v>&lt;</v>
      </c>
      <c r="H360" s="6"/>
      <c r="I360" s="16">
        <f>IF(F!Z360=0,-1,F!AV360)</f>
        <v>-1</v>
      </c>
      <c r="J360" s="6"/>
      <c r="K360" s="16">
        <f>IF(F!AC360=0,-1,F!AX360)</f>
        <v>-1</v>
      </c>
      <c r="L360" s="6"/>
      <c r="M360" s="16">
        <f>IF(F!AF360=0,-1,F!AZ360)</f>
        <v>-1</v>
      </c>
      <c r="N360" s="6"/>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6">
        <f t="shared" si="130"/>
        <v>-1</v>
      </c>
      <c r="R360" s="5" t="str">
        <f>IF($B360="--","",IF($P360="toetsen",toetsen(F!$B360,Q360),IF($P360="toetsen alleen IW",toetsen_alleen_IW(F!$B360,Q360),IF($P360="toetsen alleen LN",toetsen_alleen_LN(F!$B360,Q360),IF($P360="toetsen geen MV en SV",toetsen_geen_MV_en_SV(F!$B360,Q360),IF($P360="toetsen alleen MV en SV",toetsen_alleen_MV_en_SV(F!$B360,Q360),""))))))</f>
        <v/>
      </c>
      <c r="S360" s="5" t="str">
        <f>IF($P360="toetsen",IF(OR(Q360="",VLOOKUP(F!$B360,E!$B$1:$AK$300,10,FALSE)=1000000000),"",IF(Q360&lt;=VLOOKUP(F!$B360,E!$B$1:$AK$300,10,FALSE),"ja","nee")),"")</f>
        <v/>
      </c>
      <c r="T360" s="87">
        <f t="shared" si="125"/>
        <v>-1</v>
      </c>
      <c r="U360" s="5" t="str">
        <f>IF($D360="--","",IF($P360="toetsen",toetsen(F!$B360,T360),IF($P360="toetsen alleen IW",toetsen_alleen_IW(F!$B360,T360),IF($P360="toetsen alleen LN",toetsen_alleen_LN(F!$B360,T360),IF($P360="toetsen geen MV en SV",toetsen_geen_MV_en_SV(F!$B360,T360),IF($P360="toetsen alleen MV en SV",toetsen_alleen_MV_en_SV(F!$B360,T360),""))))))</f>
        <v/>
      </c>
      <c r="V360" s="5" t="str">
        <f>IF($P360="toetsen",IF(OR(T360="",VLOOKUP(F!$B360,E!$B$1:$AK$300,10,FALSE)=1000000000),"",IF(T360&lt;=VLOOKUP(F!$B360,E!$B$1:$AK$300,10,FALSE),"ja","nee")),"")</f>
        <v/>
      </c>
      <c r="W360" s="6">
        <f t="shared" si="126"/>
        <v>-1</v>
      </c>
      <c r="X360" s="5" t="str">
        <f>IF($F360="--","",IF($P360="toetsen",toetsen(F!$B360,W360),IF($P360="toetsen alleen IW",toetsen_alleen_IW(F!$B360,W360),IF($P360="toetsen alleen LN",toetsen_alleen_LN(F!$B360,W360),IF($P360="toetsen geen MV en SV",toetsen_geen_MV_en_SV(F!$B360,W360),IF($P360="toetsen alleen MV en SV",toetsen_alleen_MV_en_SV(F!$B360,W360),""))))))</f>
        <v/>
      </c>
      <c r="Y360" s="5" t="str">
        <f>IF($P360="toetsen",IF(OR(W360="",VLOOKUP(F!$B360,E!$B$1:$AK$300,10,FALSE)=1000000000),"",IF(W360&lt;=VLOOKUP(F!$B360,E!$B$1:$AK$300,10,FALSE),"ja","nee")),"")</f>
        <v/>
      </c>
      <c r="AA360" s="4">
        <f>IFERROR(IF(Q360="","",(IF(Q360&gt;2*VLOOKUP(F!$B360,E!$B$1:$AK$300,5,FALSE),1,0))),"")</f>
        <v>0</v>
      </c>
      <c r="AB360" s="4">
        <f>IFERROR(IF(T360="","",(IF(T360&gt;2*VLOOKUP(F!$B360,E!$B$1:$AK$300,5,FALSE),1,0))),"")</f>
        <v>0</v>
      </c>
      <c r="AC360" s="4">
        <f>IFERROR(IF(W360="","",(IF(W360&gt;2*VLOOKUP(F!$B360,E!$B$1:$AK$300,5,FALSE),1,0))),"")</f>
        <v>0</v>
      </c>
      <c r="AE360" s="4">
        <f>IFERROR(IF(Q360="","",(IF(Q360&gt;VLOOKUP(F!$B360,E!$B$1:$AK$300,6,FALSE)+VLOOKUP(F!$B360,E!$B$1:$AK$300,5,FALSE),1,0))),"")</f>
        <v>0</v>
      </c>
      <c r="AF360" s="4">
        <f>IFERROR(IF(T360="","",(IF(T360&gt;VLOOKUP(F!$B360,E!$B$1:$AK$300,6,FALSE)+VLOOKUP(F!$B360,E!$B$1:$AK$300,5,FALSE),1,0))),"")</f>
        <v>0</v>
      </c>
      <c r="AG360" s="4">
        <f>IFERROR(IF(W360="","",(IF(W360&gt;VLOOKUP(F!$B360,E!$B$1:$AK$300,6,FALSE)+VLOOKUP(F!$B360,E!$B$1:$AK$300,5,FALSE),1,0))),"")</f>
        <v>0</v>
      </c>
      <c r="AI360" s="6" t="str">
        <f t="shared" si="127"/>
        <v>2,1</v>
      </c>
      <c r="AJ360" s="6"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rg</v>
      </c>
      <c r="AK360" s="6" t="str">
        <f t="shared" si="128"/>
        <v>2,1</v>
      </c>
      <c r="AL360" s="6"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rg</v>
      </c>
      <c r="AM360" s="6" t="str">
        <f t="shared" si="129"/>
        <v>2,1</v>
      </c>
      <c r="AN360" s="6"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rg</v>
      </c>
      <c r="AP360" s="6" t="str">
        <f t="shared" si="116"/>
        <v>2,1</v>
      </c>
      <c r="AQ360" s="6" t="str">
        <f t="shared" si="117"/>
        <v>&lt;</v>
      </c>
      <c r="AR360" s="6" t="str">
        <f t="shared" si="118"/>
        <v>rg</v>
      </c>
      <c r="AS360" s="6" t="str">
        <f t="shared" si="119"/>
        <v>&lt;</v>
      </c>
      <c r="AT360" s="6" t="str">
        <f t="shared" si="120"/>
        <v/>
      </c>
      <c r="AU360" s="6" t="str">
        <f>IFERROR(IF(AR360="--","",IF(HLOOKUP(SMALL($Q$4:$Y$4,3),$Q$4:$Y$501,ROW(AP360)-3,FALSE)=0,"",IF(HLOOKUP(SMALL($Q$4:$Y$4,3),$Q$4:$Y$501,ROW(AP360)-3,FALSE)="nee",VLOOKUP("De kwaliteitseis emissiearme grond (maximale concentratie) wordt overschreden.",H!$O$10:'H'!$P$59,2,FALSE),""))),"")</f>
        <v/>
      </c>
      <c r="AV360" s="6" t="str">
        <f t="shared" si="110"/>
        <v>2,1</v>
      </c>
      <c r="AW360" s="6" t="str">
        <f t="shared" si="111"/>
        <v>&lt;</v>
      </c>
      <c r="AX360" s="6" t="str">
        <f t="shared" si="112"/>
        <v>rg</v>
      </c>
      <c r="AY360" s="6" t="str">
        <f t="shared" si="121"/>
        <v>&lt;</v>
      </c>
      <c r="AZ360" s="6" t="str">
        <f t="shared" si="122"/>
        <v/>
      </c>
      <c r="BA360" s="6" t="str">
        <f>IFERROR(IF(AR360="--","",IF(HLOOKUP(SMALL($Q$4:$Y$4,6),$Q$4:$Y$501,ROW(AP360)-3,FALSE)=0,"",IF(HLOOKUP(SMALL($Q$4:$Y$4,6),$Q$4:$Y$501,ROW(AP360)-3,FALSE)="nee",VLOOKUP("De kwaliteitseis emissiearme grond (maximale concentratie) wordt overschreden.",H!$O$10:'H'!$P$59,2,FALSE),""))),"")</f>
        <v/>
      </c>
      <c r="BB360" s="6" t="str">
        <f t="shared" si="113"/>
        <v>2,1</v>
      </c>
      <c r="BC360" s="6" t="str">
        <f t="shared" si="114"/>
        <v>&lt;</v>
      </c>
      <c r="BD360" s="6" t="str">
        <f t="shared" si="115"/>
        <v>rg</v>
      </c>
      <c r="BE360" s="6" t="str">
        <f t="shared" si="123"/>
        <v>&lt;</v>
      </c>
      <c r="BF360" s="6" t="str">
        <f t="shared" si="124"/>
        <v/>
      </c>
      <c r="BG360" s="4" t="str">
        <f>IFERROR(IF(AR360="--","",IF(HLOOKUP(SMALL($Q$4:$Y$4,9),$Q$4:$Y$501,ROW(AP360)-3,FALSE)=0,"",IF(HLOOKUP(SMALL($Q$4:$Y$4,9),$Q$4:$Y$501,ROW(AP360)-3,FALSE)="nee",VLOOKUP("De kwaliteitseis emissiearme grond (maximale concentratie) wordt overschreden.",H!$O$10:'H'!$P$59,2,FALSE),""))),"")</f>
        <v/>
      </c>
    </row>
    <row r="361" spans="1:59" x14ac:dyDescent="0.2">
      <c r="A361" s="4" t="str">
        <f>F!A361</f>
        <v>Som PFAS excl. PFOS/PFOA</v>
      </c>
      <c r="B361" s="6" t="str">
        <f>IF(ISNUMBER(F!E361)=FALSE,"--",IF(F!E361=0,"--",F!E361))</f>
        <v>--</v>
      </c>
      <c r="C361" s="6" t="str">
        <f>IF(B361="--","",F!F361)</f>
        <v/>
      </c>
      <c r="D361" s="6" t="str">
        <f>IF(ISNUMBER(F!G361)=FALSE,"--",IF(F!G361=0,"--",F!G361))</f>
        <v>--</v>
      </c>
      <c r="E361" s="6" t="str">
        <f>IF(D361="--","",F!H361)</f>
        <v/>
      </c>
      <c r="F361" s="6" t="str">
        <f>IF(ISNUMBER(F!I361)=FALSE,"--",IF(F!I361=0,"--",F!I361))</f>
        <v>--</v>
      </c>
      <c r="G361" s="6" t="str">
        <f>IF(F361="--","",F!J361)</f>
        <v/>
      </c>
      <c r="H361" s="6"/>
      <c r="I361" s="16" t="str">
        <f>IF(F!Z361=0,-1,F!AV361)</f>
        <v/>
      </c>
      <c r="J361" s="6"/>
      <c r="K361" s="16" t="str">
        <f>IF(F!AC361=0,-1,F!AX361)</f>
        <v/>
      </c>
      <c r="L361" s="6"/>
      <c r="M361" s="16" t="str">
        <f>IF(F!AF361=0,-1,F!AZ361)</f>
        <v/>
      </c>
      <c r="N361" s="6"/>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6" t="str">
        <f t="shared" si="130"/>
        <v/>
      </c>
      <c r="R361" s="5" t="str">
        <f>IF($B361="--","",IF($P361="toetsen",toetsen(F!$B361,Q361),IF($P361="toetsen alleen IW",toetsen_alleen_IW(F!$B361,Q361),IF($P361="toetsen alleen LN",toetsen_alleen_LN(F!$B361,Q361),IF($P361="toetsen geen MV en SV",toetsen_geen_MV_en_SV(F!$B361,Q361),IF($P361="toetsen alleen MV en SV",toetsen_alleen_MV_en_SV(F!$B361,Q361),""))))))</f>
        <v/>
      </c>
      <c r="S361" s="5" t="str">
        <f>IF($P361="toetsen",IF(OR(Q361="",VLOOKUP(F!$B361,E!$B$1:$AK$300,10,FALSE)=1000000000),"",IF(Q361&lt;=VLOOKUP(F!$B361,E!$B$1:$AK$300,10,FALSE),"ja","nee")),"")</f>
        <v/>
      </c>
      <c r="T361" s="87" t="str">
        <f t="shared" si="125"/>
        <v/>
      </c>
      <c r="U361" s="5" t="str">
        <f>IF($D361="--","",IF($P361="toetsen",toetsen(F!$B361,T361),IF($P361="toetsen alleen IW",toetsen_alleen_IW(F!$B361,T361),IF($P361="toetsen alleen LN",toetsen_alleen_LN(F!$B361,T361),IF($P361="toetsen geen MV en SV",toetsen_geen_MV_en_SV(F!$B361,T361),IF($P361="toetsen alleen MV en SV",toetsen_alleen_MV_en_SV(F!$B361,T361),""))))))</f>
        <v/>
      </c>
      <c r="V361" s="5" t="str">
        <f>IF($P361="toetsen",IF(OR(T361="",VLOOKUP(F!$B361,E!$B$1:$AK$300,10,FALSE)=1000000000),"",IF(T361&lt;=VLOOKUP(F!$B361,E!$B$1:$AK$300,10,FALSE),"ja","nee")),"")</f>
        <v/>
      </c>
      <c r="W361" s="6" t="str">
        <f t="shared" si="126"/>
        <v/>
      </c>
      <c r="X361" s="5" t="str">
        <f>IF($F361="--","",IF($P361="toetsen",toetsen(F!$B361,W361),IF($P361="toetsen alleen IW",toetsen_alleen_IW(F!$B361,W361),IF($P361="toetsen alleen LN",toetsen_alleen_LN(F!$B361,W361),IF($P361="toetsen geen MV en SV",toetsen_geen_MV_en_SV(F!$B361,W361),IF($P361="toetsen alleen MV en SV",toetsen_alleen_MV_en_SV(F!$B361,W361),""))))))</f>
        <v/>
      </c>
      <c r="Y361" s="5" t="str">
        <f>IF($P361="toetsen",IF(OR(W361="",VLOOKUP(F!$B361,E!$B$1:$AK$300,10,FALSE)=1000000000),"",IF(W361&lt;=VLOOKUP(F!$B361,E!$B$1:$AK$300,10,FALSE),"ja","nee")),"")</f>
        <v/>
      </c>
      <c r="AA361" s="4" t="str">
        <f>IFERROR(IF(Q361="","",(IF(Q361&gt;2*VLOOKUP(F!$B361,E!$B$1:$AK$300,5,FALSE),1,0))),"")</f>
        <v/>
      </c>
      <c r="AB361" s="4" t="str">
        <f>IFERROR(IF(T361="","",(IF(T361&gt;2*VLOOKUP(F!$B361,E!$B$1:$AK$300,5,FALSE),1,0))),"")</f>
        <v/>
      </c>
      <c r="AC361" s="4" t="str">
        <f>IFERROR(IF(W361="","",(IF(W361&gt;2*VLOOKUP(F!$B361,E!$B$1:$AK$300,5,FALSE),1,0))),"")</f>
        <v/>
      </c>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6" t="str">
        <f t="shared" si="127"/>
        <v>--</v>
      </c>
      <c r="AJ361" s="6"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6" t="str">
        <f t="shared" si="128"/>
        <v>--</v>
      </c>
      <c r="AL361" s="6"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6" t="str">
        <f t="shared" si="129"/>
        <v>--</v>
      </c>
      <c r="AN361" s="6"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6" t="str">
        <f t="shared" si="116"/>
        <v>--</v>
      </c>
      <c r="AQ361" s="6" t="str">
        <f t="shared" si="117"/>
        <v/>
      </c>
      <c r="AR361" s="6" t="str">
        <f t="shared" si="118"/>
        <v>--</v>
      </c>
      <c r="AS361" s="6" t="str">
        <f t="shared" si="119"/>
        <v/>
      </c>
      <c r="AT361" s="6" t="str">
        <f t="shared" si="120"/>
        <v/>
      </c>
      <c r="AU361" s="6" t="str">
        <f>IFERROR(IF(AR361="--","",IF(HLOOKUP(SMALL($Q$4:$Y$4,3),$Q$4:$Y$501,ROW(AP361)-3,FALSE)=0,"",IF(HLOOKUP(SMALL($Q$4:$Y$4,3),$Q$4:$Y$501,ROW(AP361)-3,FALSE)="nee",VLOOKUP("De kwaliteitseis emissiearme grond (maximale concentratie) wordt overschreden.",H!$O$10:'H'!$P$59,2,FALSE),""))),"")</f>
        <v/>
      </c>
      <c r="AV361" s="6" t="str">
        <f t="shared" si="110"/>
        <v>--</v>
      </c>
      <c r="AW361" s="6" t="str">
        <f t="shared" si="111"/>
        <v/>
      </c>
      <c r="AX361" s="6" t="str">
        <f t="shared" si="112"/>
        <v>--</v>
      </c>
      <c r="AY361" s="6" t="str">
        <f t="shared" si="121"/>
        <v/>
      </c>
      <c r="AZ361" s="6" t="str">
        <f t="shared" si="122"/>
        <v/>
      </c>
      <c r="BA361" s="6" t="str">
        <f>IFERROR(IF(AR361="--","",IF(HLOOKUP(SMALL($Q$4:$Y$4,6),$Q$4:$Y$501,ROW(AP361)-3,FALSE)=0,"",IF(HLOOKUP(SMALL($Q$4:$Y$4,6),$Q$4:$Y$501,ROW(AP361)-3,FALSE)="nee",VLOOKUP("De kwaliteitseis emissiearme grond (maximale concentratie) wordt overschreden.",H!$O$10:'H'!$P$59,2,FALSE),""))),"")</f>
        <v/>
      </c>
      <c r="BB361" s="6" t="str">
        <f t="shared" si="113"/>
        <v>--</v>
      </c>
      <c r="BC361" s="6" t="str">
        <f t="shared" si="114"/>
        <v/>
      </c>
      <c r="BD361" s="6" t="str">
        <f t="shared" si="115"/>
        <v>--</v>
      </c>
      <c r="BE361" s="6" t="str">
        <f t="shared" si="123"/>
        <v/>
      </c>
      <c r="BF361" s="6" t="str">
        <f t="shared" si="124"/>
        <v/>
      </c>
      <c r="BG361" s="4" t="str">
        <f>IFERROR(IF(AR361="--","",IF(HLOOKUP(SMALL($Q$4:$Y$4,9),$Q$4:$Y$501,ROW(AP361)-3,FALSE)=0,"",IF(HLOOKUP(SMALL($Q$4:$Y$4,9),$Q$4:$Y$501,ROW(AP361)-3,FALSE)="nee",VLOOKUP("De kwaliteitseis emissiearme grond (maximale concentratie) wordt overschreden.",H!$O$10:'H'!$P$59,2,FALSE),""))),"")</f>
        <v/>
      </c>
    </row>
    <row r="362" spans="1:59" x14ac:dyDescent="0.2">
      <c r="A362" s="4" t="str">
        <f>F!A362</f>
        <v>Asbest</v>
      </c>
      <c r="B362" s="6" t="str">
        <f>IF(ISNUMBER(F!E362)=FALSE,"--",IF(F!E362=0,"--",F!E362))</f>
        <v>--</v>
      </c>
      <c r="C362" s="6" t="str">
        <f>IF(B362="--","",F!F362)</f>
        <v/>
      </c>
      <c r="D362" s="6" t="str">
        <f>IF(ISNUMBER(F!G362)=FALSE,"--",IF(F!G362=0,"--",F!G362))</f>
        <v>--</v>
      </c>
      <c r="E362" s="6" t="str">
        <f>IF(D362="--","",F!H362)</f>
        <v/>
      </c>
      <c r="F362" s="6" t="str">
        <f>IF(ISNUMBER(F!I362)=FALSE,"--",IF(F!I362=0,"--",F!I362))</f>
        <v>--</v>
      </c>
      <c r="G362" s="6" t="str">
        <f>IF(F362="--","",F!J362)</f>
        <v/>
      </c>
      <c r="H362" s="6"/>
      <c r="I362" s="6" t="str">
        <f>IF(F!Z362=-1,-1,F!AV362)</f>
        <v/>
      </c>
      <c r="J362" s="6"/>
      <c r="K362" s="6">
        <f>IF(F!AC362=-1,-1,F!AX362)</f>
        <v>0</v>
      </c>
      <c r="L362" s="6"/>
      <c r="M362" s="6">
        <f>IF(F!AF362=-1,-1,F!AZ362)</f>
        <v>0</v>
      </c>
      <c r="N362" s="6"/>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6" t="str">
        <f t="shared" si="130"/>
        <v/>
      </c>
      <c r="R362" s="5" t="str">
        <f>IF($B362="--","",IF($P362="toetsen",toetsen(F!$B362,Q362),IF($P362="toetsen alleen IW",toetsen_alleen_IW(F!$B362,Q362),IF($P362="toetsen alleen LN",toetsen_alleen_LN(F!$B362,Q362),IF($P362="toetsen geen MV en SV",toetsen_geen_MV_en_SV(F!$B362,Q362),IF($P362="toetsen alleen MV en SV",toetsen_alleen_MV_en_SV(F!$B362,Q362),""))))))</f>
        <v/>
      </c>
      <c r="S362" s="5" t="str">
        <f>IF($P362="toetsen",IF(OR(Q362="",VLOOKUP(F!$B362,E!$B$1:$AK$300,10,FALSE)=1000000000),"",IF(Q362&lt;=VLOOKUP(F!$B362,E!$B$1:$AK$300,10,FALSE),"ja","nee")),"")</f>
        <v/>
      </c>
      <c r="T362" s="87">
        <f t="shared" si="125"/>
        <v>0</v>
      </c>
      <c r="U362" s="5" t="str">
        <f>IF($D362="--","",IF($P362="toetsen",toetsen(F!$B362,T362),IF($P362="toetsen alleen IW",toetsen_alleen_IW(F!$B362,T362),IF($P362="toetsen alleen LN",toetsen_alleen_LN(F!$B362,T362),IF($P362="toetsen geen MV en SV",toetsen_geen_MV_en_SV(F!$B362,T362),IF($P362="toetsen alleen MV en SV",toetsen_alleen_MV_en_SV(F!$B362,T362),""))))))</f>
        <v/>
      </c>
      <c r="V362" s="5" t="str">
        <f>IF($P362="toetsen",IF(OR(T362="",VLOOKUP(F!$B362,E!$B$1:$AK$300,10,FALSE)=1000000000),"",IF(T362&lt;=VLOOKUP(F!$B362,E!$B$1:$AK$300,10,FALSE),"ja","nee")),"")</f>
        <v/>
      </c>
      <c r="W362" s="6">
        <f t="shared" si="126"/>
        <v>0</v>
      </c>
      <c r="X362" s="5" t="str">
        <f>IF($F362="--","",IF($P362="toetsen",toetsen(F!$B362,W362),IF($P362="toetsen alleen IW",toetsen_alleen_IW(F!$B362,W362),IF($P362="toetsen alleen LN",toetsen_alleen_LN(F!$B362,W362),IF($P362="toetsen geen MV en SV",toetsen_geen_MV_en_SV(F!$B362,W362),IF($P362="toetsen alleen MV en SV",toetsen_alleen_MV_en_SV(F!$B362,W362),""))))))</f>
        <v/>
      </c>
      <c r="Y362" s="5" t="str">
        <f>IF($P362="toetsen",IF(OR(W362="",VLOOKUP(F!$B362,E!$B$1:$AK$300,10,FALSE)=1000000000),"",IF(W362&lt;=VLOOKUP(F!$B362,E!$B$1:$AK$300,10,FALSE),"ja","nee")),"")</f>
        <v/>
      </c>
      <c r="AA362" s="4" t="str">
        <f>IFERROR(IF(Q362="","",(IF(Q362&gt;2*VLOOKUP(F!$B362,E!$B$1:$AK$300,5,FALSE),1,0))),"")</f>
        <v/>
      </c>
      <c r="AB362" s="4">
        <f>IFERROR(IF(T362="","",(IF(T362&gt;2*VLOOKUP(F!$B362,E!$B$1:$AK$300,5,FALSE),1,0))),"")</f>
        <v>0</v>
      </c>
      <c r="AC362" s="4">
        <f>IFERROR(IF(W362="","",(IF(W362&gt;2*VLOOKUP(F!$B362,E!$B$1:$AK$300,5,FALSE),1,0))),"")</f>
        <v>0</v>
      </c>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6" t="str">
        <f t="shared" si="127"/>
        <v>--</v>
      </c>
      <c r="AJ362" s="6"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6" t="str">
        <f t="shared" si="128"/>
        <v>--</v>
      </c>
      <c r="AL362" s="6"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6" t="str">
        <f t="shared" si="129"/>
        <v>--</v>
      </c>
      <c r="AN362" s="6"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6" t="str">
        <f t="shared" si="116"/>
        <v>--</v>
      </c>
      <c r="AQ362" s="6" t="str">
        <f t="shared" si="117"/>
        <v/>
      </c>
      <c r="AR362" s="6" t="str">
        <f t="shared" si="118"/>
        <v>--</v>
      </c>
      <c r="AS362" s="6" t="str">
        <f t="shared" si="119"/>
        <v/>
      </c>
      <c r="AT362" s="6" t="str">
        <f t="shared" si="120"/>
        <v/>
      </c>
      <c r="AU362" s="6" t="str">
        <f>IFERROR(IF(AR362="--","",IF(HLOOKUP(SMALL($Q$4:$Y$4,3),$Q$4:$Y$501,ROW(AP362)-3,FALSE)=0,"",IF(HLOOKUP(SMALL($Q$4:$Y$4,3),$Q$4:$Y$501,ROW(AP362)-3,FALSE)="nee",VLOOKUP("De kwaliteitseis emissiearme grond (maximale concentratie) wordt overschreden.",H!$O$10:'H'!$P$59,2,FALSE),""))),"")</f>
        <v/>
      </c>
      <c r="AV362" s="6" t="str">
        <f t="shared" si="110"/>
        <v>--</v>
      </c>
      <c r="AW362" s="6" t="str">
        <f t="shared" si="111"/>
        <v/>
      </c>
      <c r="AX362" s="6" t="str">
        <f t="shared" si="112"/>
        <v>--</v>
      </c>
      <c r="AY362" s="6" t="str">
        <f t="shared" si="121"/>
        <v/>
      </c>
      <c r="AZ362" s="6" t="str">
        <f t="shared" si="122"/>
        <v/>
      </c>
      <c r="BA362" s="6" t="str">
        <f>IFERROR(IF(AR362="--","",IF(HLOOKUP(SMALL($Q$4:$Y$4,6),$Q$4:$Y$501,ROW(AP362)-3,FALSE)=0,"",IF(HLOOKUP(SMALL($Q$4:$Y$4,6),$Q$4:$Y$501,ROW(AP362)-3,FALSE)="nee",VLOOKUP("De kwaliteitseis emissiearme grond (maximale concentratie) wordt overschreden.",H!$O$10:'H'!$P$59,2,FALSE),""))),"")</f>
        <v/>
      </c>
      <c r="BB362" s="6" t="str">
        <f t="shared" si="113"/>
        <v>--</v>
      </c>
      <c r="BC362" s="6" t="str">
        <f t="shared" si="114"/>
        <v/>
      </c>
      <c r="BD362" s="6" t="str">
        <f t="shared" si="115"/>
        <v>--</v>
      </c>
      <c r="BE362" s="6" t="str">
        <f t="shared" si="123"/>
        <v/>
      </c>
      <c r="BF362" s="6"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6" t="str">
        <f>IF(ISNUMBER(F!E363)=FALSE,"--",IF(F!E363=0,"--",F!E363))</f>
        <v>--</v>
      </c>
      <c r="C363" s="6" t="str">
        <f>IF(B363="--","",F!F363)</f>
        <v/>
      </c>
      <c r="D363" s="6" t="str">
        <f>IF(ISNUMBER(F!G363)=FALSE,"--",IF(F!G363=0,"--",F!G363))</f>
        <v>--</v>
      </c>
      <c r="E363" s="6" t="str">
        <f>IF(D363="--","",F!H363)</f>
        <v/>
      </c>
      <c r="F363" s="6" t="str">
        <f>IF(ISNUMBER(F!I363)=FALSE,"--",IF(F!I363=0,"--",F!I363))</f>
        <v>--</v>
      </c>
      <c r="G363" s="6" t="str">
        <f>IF(F363="--","",F!J363)</f>
        <v/>
      </c>
      <c r="I363" s="6" t="str">
        <f>IF(F!Z363=-1,-1,F!AV363)</f>
        <v/>
      </c>
      <c r="K363" s="6" t="str">
        <f>IF(F!AC363=-1,-1,F!AX363)</f>
        <v/>
      </c>
      <c r="M363" s="6"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6" t="str">
        <f t="shared" si="130"/>
        <v/>
      </c>
      <c r="R363" s="5" t="str">
        <f>IF($B363="--","",IF($P363="toetsen",toetsen(F!$B363,Q363),IF($P363="toetsen alleen IW",toetsen_alleen_IW(F!$B363,Q363),IF($P363="toetsen alleen LN",toetsen_alleen_LN(F!$B363,Q363),IF($P363="toetsen geen MV en SV",toetsen_geen_MV_en_SV(F!$B363,Q363),IF($P363="toetsen alleen MV en SV",toetsen_alleen_MV_en_SV(F!$B363,Q363),""))))))</f>
        <v/>
      </c>
      <c r="S363" s="5" t="str">
        <f>IF($P363="toetsen",IF(OR(Q363="",VLOOKUP(F!$B363,E!$B$1:$AK$300,10,FALSE)=1000000000),"",IF(Q363&lt;=VLOOKUP(F!$B363,E!$B$1:$AK$300,10,FALSE),"ja","nee")),"")</f>
        <v/>
      </c>
      <c r="T363" s="87" t="str">
        <f t="shared" si="125"/>
        <v/>
      </c>
      <c r="U363" s="5" t="str">
        <f>IF($D363="--","",IF($P363="toetsen",toetsen(F!$B363,T363),IF($P363="toetsen alleen IW",toetsen_alleen_IW(F!$B363,T363),IF($P363="toetsen alleen LN",toetsen_alleen_LN(F!$B363,T363),IF($P363="toetsen geen MV en SV",toetsen_geen_MV_en_SV(F!$B363,T363),IF($P363="toetsen alleen MV en SV",toetsen_alleen_MV_en_SV(F!$B363,T363),""))))))</f>
        <v/>
      </c>
      <c r="V363" s="5" t="str">
        <f>IF($P363="toetsen",IF(OR(T363="",VLOOKUP(F!$B363,E!$B$1:$AK$300,10,FALSE)=1000000000),"",IF(T363&lt;=VLOOKUP(F!$B363,E!$B$1:$AK$300,10,FALSE),"ja","nee")),"")</f>
        <v/>
      </c>
      <c r="W363" s="6" t="str">
        <f t="shared" si="126"/>
        <v/>
      </c>
      <c r="X363" s="5" t="str">
        <f>IF($F363="--","",IF($P363="toetsen",toetsen(F!$B363,W363),IF($P363="toetsen alleen IW",toetsen_alleen_IW(F!$B363,W363),IF($P363="toetsen alleen LN",toetsen_alleen_LN(F!$B363,W363),IF($P363="toetsen geen MV en SV",toetsen_geen_MV_en_SV(F!$B363,W363),IF($P363="toetsen alleen MV en SV",toetsen_alleen_MV_en_SV(F!$B363,W363),""))))))</f>
        <v/>
      </c>
      <c r="Y363" s="5" t="str">
        <f>IF($P363="toetsen",IF(OR(W363="",VLOOKUP(F!$B363,E!$B$1:$AK$300,10,FALSE)=1000000000),"",IF(W363&lt;=VLOOKUP(F!$B363,E!$B$1:$AK$300,10,FALSE),"ja","nee")),"")</f>
        <v/>
      </c>
      <c r="AA363" s="4"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6" t="str">
        <f t="shared" si="127"/>
        <v>--</v>
      </c>
      <c r="AJ363" s="6"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6" t="str">
        <f t="shared" si="128"/>
        <v>--</v>
      </c>
      <c r="AL363" s="6"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6" t="str">
        <f t="shared" si="129"/>
        <v>--</v>
      </c>
      <c r="AN363" s="6"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6" t="str">
        <f t="shared" si="116"/>
        <v>--</v>
      </c>
      <c r="AQ363" s="6" t="str">
        <f t="shared" si="117"/>
        <v/>
      </c>
      <c r="AR363" s="6" t="str">
        <f t="shared" si="118"/>
        <v>--</v>
      </c>
      <c r="AS363" s="6" t="str">
        <f t="shared" si="119"/>
        <v/>
      </c>
      <c r="AT363" s="6" t="str">
        <f t="shared" si="120"/>
        <v/>
      </c>
      <c r="AU363" s="6" t="str">
        <f>IFERROR(IF(AR363="--","",IF(HLOOKUP(SMALL($Q$4:$Y$4,3),$Q$4:$Y$501,ROW(AP363)-3,FALSE)=0,"",IF(HLOOKUP(SMALL($Q$4:$Y$4,3),$Q$4:$Y$501,ROW(AP363)-3,FALSE)="nee",VLOOKUP("De kwaliteitseis emissiearme grond (maximale concentratie) wordt overschreden.",H!$O$10:'H'!$P$59,2,FALSE),""))),"")</f>
        <v/>
      </c>
      <c r="AV363" s="6" t="str">
        <f t="shared" si="110"/>
        <v>--</v>
      </c>
      <c r="AW363" s="6" t="str">
        <f t="shared" si="111"/>
        <v/>
      </c>
      <c r="AX363" s="6" t="str">
        <f t="shared" si="112"/>
        <v>--</v>
      </c>
      <c r="AY363" s="6" t="str">
        <f t="shared" si="121"/>
        <v/>
      </c>
      <c r="AZ363" s="6" t="str">
        <f t="shared" si="122"/>
        <v/>
      </c>
      <c r="BA363" s="6" t="str">
        <f>IFERROR(IF(AR363="--","",IF(HLOOKUP(SMALL($Q$4:$Y$4,6),$Q$4:$Y$501,ROW(AP363)-3,FALSE)=0,"",IF(HLOOKUP(SMALL($Q$4:$Y$4,6),$Q$4:$Y$501,ROW(AP363)-3,FALSE)="nee",VLOOKUP("De kwaliteitseis emissiearme grond (maximale concentratie) wordt overschreden.",H!$O$10:'H'!$P$59,2,FALSE),""))),"")</f>
        <v/>
      </c>
      <c r="BB363" s="6" t="str">
        <f t="shared" si="113"/>
        <v>--</v>
      </c>
      <c r="BC363" s="6" t="str">
        <f t="shared" si="114"/>
        <v/>
      </c>
      <c r="BD363" s="6" t="str">
        <f t="shared" si="115"/>
        <v>--</v>
      </c>
      <c r="BE363" s="6" t="str">
        <f t="shared" si="123"/>
        <v/>
      </c>
      <c r="BF363" s="6"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6" t="str">
        <f>IF(ISNUMBER(F!E364)=FALSE,"--",IF(F!E364=0,"--",F!E364))</f>
        <v>--</v>
      </c>
      <c r="C364" s="6" t="str">
        <f>IF(B364="--","",F!F364)</f>
        <v/>
      </c>
      <c r="D364" s="6" t="str">
        <f>IF(ISNUMBER(F!G364)=FALSE,"--",IF(F!G364=0,"--",F!G364))</f>
        <v>--</v>
      </c>
      <c r="E364" s="6" t="str">
        <f>IF(D364="--","",F!H364)</f>
        <v/>
      </c>
      <c r="F364" s="6" t="str">
        <f>IF(ISNUMBER(F!I364)=FALSE,"--",IF(F!I364=0,"--",F!I364))</f>
        <v>--</v>
      </c>
      <c r="G364" s="6" t="str">
        <f>IF(F364="--","",F!J364)</f>
        <v/>
      </c>
      <c r="I364" s="6" t="str">
        <f>IF(F!Z364=-1,-1,F!AV364)</f>
        <v/>
      </c>
      <c r="K364" s="6" t="str">
        <f>IF(F!AC364=-1,-1,F!AX364)</f>
        <v/>
      </c>
      <c r="M364" s="6"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6" t="str">
        <f t="shared" si="130"/>
        <v/>
      </c>
      <c r="R364" s="5" t="str">
        <f>IF($B364="--","",IF($P364="toetsen",toetsen(F!$B364,Q364),IF($P364="toetsen alleen IW",toetsen_alleen_IW(F!$B364,Q364),IF($P364="toetsen alleen LN",toetsen_alleen_LN(F!$B364,Q364),IF($P364="toetsen geen MV en SV",toetsen_geen_MV_en_SV(F!$B364,Q364),IF($P364="toetsen alleen MV en SV",toetsen_alleen_MV_en_SV(F!$B364,Q364),""))))))</f>
        <v/>
      </c>
      <c r="S364" s="5" t="str">
        <f>IF($P364="toetsen",IF(OR(Q364="",VLOOKUP(F!$B364,E!$B$1:$AK$300,10,FALSE)=1000000000),"",IF(Q364&lt;=VLOOKUP(F!$B364,E!$B$1:$AK$300,10,FALSE),"ja","nee")),"")</f>
        <v/>
      </c>
      <c r="T364" s="87" t="str">
        <f t="shared" si="125"/>
        <v/>
      </c>
      <c r="U364" s="5" t="str">
        <f>IF($D364="--","",IF($P364="toetsen",toetsen(F!$B364,T364),IF($P364="toetsen alleen IW",toetsen_alleen_IW(F!$B364,T364),IF($P364="toetsen alleen LN",toetsen_alleen_LN(F!$B364,T364),IF($P364="toetsen geen MV en SV",toetsen_geen_MV_en_SV(F!$B364,T364),IF($P364="toetsen alleen MV en SV",toetsen_alleen_MV_en_SV(F!$B364,T364),""))))))</f>
        <v/>
      </c>
      <c r="V364" s="5" t="str">
        <f>IF($P364="toetsen",IF(OR(T364="",VLOOKUP(F!$B364,E!$B$1:$AK$300,10,FALSE)=1000000000),"",IF(T364&lt;=VLOOKUP(F!$B364,E!$B$1:$AK$300,10,FALSE),"ja","nee")),"")</f>
        <v/>
      </c>
      <c r="W364" s="6" t="str">
        <f t="shared" si="126"/>
        <v/>
      </c>
      <c r="X364" s="5" t="str">
        <f>IF($F364="--","",IF($P364="toetsen",toetsen(F!$B364,W364),IF($P364="toetsen alleen IW",toetsen_alleen_IW(F!$B364,W364),IF($P364="toetsen alleen LN",toetsen_alleen_LN(F!$B364,W364),IF($P364="toetsen geen MV en SV",toetsen_geen_MV_en_SV(F!$B364,W364),IF($P364="toetsen alleen MV en SV",toetsen_alleen_MV_en_SV(F!$B364,W364),""))))))</f>
        <v/>
      </c>
      <c r="Y364" s="5" t="str">
        <f>IF($P364="toetsen",IF(OR(W364="",VLOOKUP(F!$B364,E!$B$1:$AK$300,10,FALSE)=1000000000),"",IF(W364&lt;=VLOOKUP(F!$B364,E!$B$1:$AK$300,10,FALSE),"ja","nee")),"")</f>
        <v/>
      </c>
      <c r="AA364" s="4"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6" t="str">
        <f t="shared" si="127"/>
        <v>--</v>
      </c>
      <c r="AJ364" s="6"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6" t="str">
        <f t="shared" si="128"/>
        <v>--</v>
      </c>
      <c r="AL364" s="6"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6" t="str">
        <f t="shared" si="129"/>
        <v>--</v>
      </c>
      <c r="AN364" s="6"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6" t="str">
        <f t="shared" si="116"/>
        <v>--</v>
      </c>
      <c r="AQ364" s="6" t="str">
        <f t="shared" si="117"/>
        <v/>
      </c>
      <c r="AR364" s="6" t="str">
        <f t="shared" si="118"/>
        <v>--</v>
      </c>
      <c r="AS364" s="6" t="str">
        <f t="shared" si="119"/>
        <v/>
      </c>
      <c r="AT364" s="6" t="str">
        <f t="shared" si="120"/>
        <v/>
      </c>
      <c r="AU364" s="6" t="str">
        <f>IFERROR(IF(AR364="--","",IF(HLOOKUP(SMALL($Q$4:$Y$4,3),$Q$4:$Y$501,ROW(AP364)-3,FALSE)=0,"",IF(HLOOKUP(SMALL($Q$4:$Y$4,3),$Q$4:$Y$501,ROW(AP364)-3,FALSE)="nee",VLOOKUP("De kwaliteitseis emissiearme grond (maximale concentratie) wordt overschreden.",H!$O$10:'H'!$P$59,2,FALSE),""))),"")</f>
        <v/>
      </c>
      <c r="AV364" s="6" t="str">
        <f t="shared" si="110"/>
        <v>--</v>
      </c>
      <c r="AW364" s="6" t="str">
        <f t="shared" si="111"/>
        <v/>
      </c>
      <c r="AX364" s="6" t="str">
        <f t="shared" si="112"/>
        <v>--</v>
      </c>
      <c r="AY364" s="6" t="str">
        <f t="shared" si="121"/>
        <v/>
      </c>
      <c r="AZ364" s="6" t="str">
        <f t="shared" si="122"/>
        <v/>
      </c>
      <c r="BA364" s="6" t="str">
        <f>IFERROR(IF(AR364="--","",IF(HLOOKUP(SMALL($Q$4:$Y$4,6),$Q$4:$Y$501,ROW(AP364)-3,FALSE)=0,"",IF(HLOOKUP(SMALL($Q$4:$Y$4,6),$Q$4:$Y$501,ROW(AP364)-3,FALSE)="nee",VLOOKUP("De kwaliteitseis emissiearme grond (maximale concentratie) wordt overschreden.",H!$O$10:'H'!$P$59,2,FALSE),""))),"")</f>
        <v/>
      </c>
      <c r="BB364" s="6" t="str">
        <f t="shared" si="113"/>
        <v>--</v>
      </c>
      <c r="BC364" s="6" t="str">
        <f t="shared" si="114"/>
        <v/>
      </c>
      <c r="BD364" s="6" t="str">
        <f t="shared" si="115"/>
        <v>--</v>
      </c>
      <c r="BE364" s="6" t="str">
        <f t="shared" si="123"/>
        <v/>
      </c>
      <c r="BF364" s="6"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6" t="str">
        <f>IF(ISNUMBER(F!E365)=FALSE,"--",IF(F!E365=0,"--",F!E365))</f>
        <v>--</v>
      </c>
      <c r="C365" s="6" t="str">
        <f>IF(B365="--","",F!F365)</f>
        <v/>
      </c>
      <c r="D365" s="6" t="str">
        <f>IF(ISNUMBER(F!G365)=FALSE,"--",IF(F!G365=0,"--",F!G365))</f>
        <v>--</v>
      </c>
      <c r="E365" s="6" t="str">
        <f>IF(D365="--","",F!H365)</f>
        <v/>
      </c>
      <c r="F365" s="6" t="str">
        <f>IF(ISNUMBER(F!I365)=FALSE,"--",IF(F!I365=0,"--",F!I365))</f>
        <v>--</v>
      </c>
      <c r="G365" s="6" t="str">
        <f>IF(F365="--","",F!J365)</f>
        <v/>
      </c>
      <c r="I365" s="6" t="str">
        <f>IF(F!Z365=-1,-1,F!AV365)</f>
        <v/>
      </c>
      <c r="K365" s="6" t="str">
        <f>IF(F!AC365=-1,-1,F!AX365)</f>
        <v/>
      </c>
      <c r="M365" s="6" t="str">
        <f>IF(F!AF365=-1,-1,F!AZ365)</f>
        <v/>
      </c>
      <c r="O365" s="6"/>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6" t="str">
        <f t="shared" si="130"/>
        <v/>
      </c>
      <c r="R365" s="5" t="str">
        <f>IF($B365="--","",IF($P365="toetsen",toetsen(F!$B365,Q365),IF($P365="toetsen alleen IW",toetsen_alleen_IW(F!$B365,Q365),IF($P365="toetsen alleen LN",toetsen_alleen_LN(F!$B365,Q365),IF($P365="toetsen geen MV en SV",toetsen_geen_MV_en_SV(F!$B365,Q365),IF($P365="toetsen alleen MV en SV",toetsen_alleen_MV_en_SV(F!$B365,Q365),""))))))</f>
        <v/>
      </c>
      <c r="S365" s="5" t="str">
        <f>IF($P365="toetsen",IF(OR(Q365="",VLOOKUP(F!$B365,E!$B$1:$AK$300,10,FALSE)=1000000000),"",IF(Q365&lt;=VLOOKUP(F!$B365,E!$B$1:$AK$300,10,FALSE),"ja","nee")),"")</f>
        <v/>
      </c>
      <c r="T365" s="87" t="str">
        <f t="shared" si="125"/>
        <v/>
      </c>
      <c r="U365" s="5" t="str">
        <f>IF($D365="--","",IF($P365="toetsen",toetsen(F!$B365,T365),IF($P365="toetsen alleen IW",toetsen_alleen_IW(F!$B365,T365),IF($P365="toetsen alleen LN",toetsen_alleen_LN(F!$B365,T365),IF($P365="toetsen geen MV en SV",toetsen_geen_MV_en_SV(F!$B365,T365),IF($P365="toetsen alleen MV en SV",toetsen_alleen_MV_en_SV(F!$B365,T365),""))))))</f>
        <v/>
      </c>
      <c r="V365" s="5" t="str">
        <f>IF($P365="toetsen",IF(OR(T365="",VLOOKUP(F!$B365,E!$B$1:$AK$300,10,FALSE)=1000000000),"",IF(T365&lt;=VLOOKUP(F!$B365,E!$B$1:$AK$300,10,FALSE),"ja","nee")),"")</f>
        <v/>
      </c>
      <c r="W365" s="6" t="str">
        <f t="shared" si="126"/>
        <v/>
      </c>
      <c r="X365" s="5" t="str">
        <f>IF($F365="--","",IF($P365="toetsen",toetsen(F!$B365,W365),IF($P365="toetsen alleen IW",toetsen_alleen_IW(F!$B365,W365),IF($P365="toetsen alleen LN",toetsen_alleen_LN(F!$B365,W365),IF($P365="toetsen geen MV en SV",toetsen_geen_MV_en_SV(F!$B365,W365),IF($P365="toetsen alleen MV en SV",toetsen_alleen_MV_en_SV(F!$B365,W365),""))))))</f>
        <v/>
      </c>
      <c r="Y365" s="5" t="str">
        <f>IF($P365="toetsen",IF(OR(W365="",VLOOKUP(F!$B365,E!$B$1:$AK$300,10,FALSE)=1000000000),"",IF(W365&lt;=VLOOKUP(F!$B365,E!$B$1:$AK$300,10,FALSE),"ja","nee")),"")</f>
        <v/>
      </c>
      <c r="AA365" s="4"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6" t="str">
        <f t="shared" si="127"/>
        <v>--</v>
      </c>
      <c r="AJ365" s="6"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6" t="str">
        <f t="shared" si="128"/>
        <v>--</v>
      </c>
      <c r="AL365" s="6"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6" t="str">
        <f t="shared" si="129"/>
        <v>--</v>
      </c>
      <c r="AN365" s="6"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6" t="str">
        <f t="shared" si="116"/>
        <v>--</v>
      </c>
      <c r="AQ365" s="6" t="str">
        <f t="shared" si="117"/>
        <v/>
      </c>
      <c r="AR365" s="6" t="str">
        <f t="shared" si="118"/>
        <v>--</v>
      </c>
      <c r="AS365" s="6" t="str">
        <f t="shared" si="119"/>
        <v/>
      </c>
      <c r="AT365" s="6" t="str">
        <f t="shared" si="120"/>
        <v/>
      </c>
      <c r="AU365" s="6" t="str">
        <f>IFERROR(IF(AR365="--","",IF(HLOOKUP(SMALL($Q$4:$Y$4,3),$Q$4:$Y$501,ROW(AP365)-3,FALSE)=0,"",IF(HLOOKUP(SMALL($Q$4:$Y$4,3),$Q$4:$Y$501,ROW(AP365)-3,FALSE)="nee",VLOOKUP("De kwaliteitseis emissiearme grond (maximale concentratie) wordt overschreden.",H!$O$10:'H'!$P$59,2,FALSE),""))),"")</f>
        <v/>
      </c>
      <c r="AV365" s="6" t="str">
        <f t="shared" si="110"/>
        <v>--</v>
      </c>
      <c r="AW365" s="6" t="str">
        <f t="shared" si="111"/>
        <v/>
      </c>
      <c r="AX365" s="6" t="str">
        <f t="shared" si="112"/>
        <v>--</v>
      </c>
      <c r="AY365" s="6" t="str">
        <f t="shared" si="121"/>
        <v/>
      </c>
      <c r="AZ365" s="6" t="str">
        <f t="shared" si="122"/>
        <v/>
      </c>
      <c r="BA365" s="6" t="str">
        <f>IFERROR(IF(AR365="--","",IF(HLOOKUP(SMALL($Q$4:$Y$4,6),$Q$4:$Y$501,ROW(AP365)-3,FALSE)=0,"",IF(HLOOKUP(SMALL($Q$4:$Y$4,6),$Q$4:$Y$501,ROW(AP365)-3,FALSE)="nee",VLOOKUP("De kwaliteitseis emissiearme grond (maximale concentratie) wordt overschreden.",H!$O$10:'H'!$P$59,2,FALSE),""))),"")</f>
        <v/>
      </c>
      <c r="BB365" s="6" t="str">
        <f t="shared" si="113"/>
        <v>--</v>
      </c>
      <c r="BC365" s="6" t="str">
        <f t="shared" si="114"/>
        <v/>
      </c>
      <c r="BD365" s="6" t="str">
        <f t="shared" si="115"/>
        <v>--</v>
      </c>
      <c r="BE365" s="6" t="str">
        <f t="shared" si="123"/>
        <v/>
      </c>
      <c r="BF365" s="6"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6" t="str">
        <f>IF(ISNUMBER(F!E366)=FALSE,"--",IF(F!E366=0,"--",F!E366))</f>
        <v>--</v>
      </c>
      <c r="C366" s="6" t="str">
        <f>IF(B366="--","",F!F366)</f>
        <v/>
      </c>
      <c r="D366" s="6" t="str">
        <f>IF(ISNUMBER(F!G366)=FALSE,"--",IF(F!G366=0,"--",F!G366))</f>
        <v>--</v>
      </c>
      <c r="E366" s="6" t="str">
        <f>IF(D366="--","",F!H366)</f>
        <v/>
      </c>
      <c r="F366" s="6" t="str">
        <f>IF(ISNUMBER(F!I366)=FALSE,"--",IF(F!I366=0,"--",F!I366))</f>
        <v>--</v>
      </c>
      <c r="G366" s="6" t="str">
        <f>IF(F366="--","",F!J366)</f>
        <v/>
      </c>
      <c r="I366" s="6" t="str">
        <f>IF(F!Z366=-1,-1,F!AV366)</f>
        <v/>
      </c>
      <c r="K366" s="6" t="str">
        <f>IF(F!AC366=-1,-1,F!AX366)</f>
        <v/>
      </c>
      <c r="M366" s="6" t="str">
        <f>IF(F!AF366=-1,-1,F!AZ366)</f>
        <v/>
      </c>
      <c r="O366" s="6"/>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6" t="str">
        <f t="shared" si="130"/>
        <v/>
      </c>
      <c r="R366" s="5" t="str">
        <f>IF($B366="--","",IF($P366="toetsen",toetsen(F!$B366,Q366),IF($P366="toetsen alleen IW",toetsen_alleen_IW(F!$B366,Q366),IF($P366="toetsen alleen LN",toetsen_alleen_LN(F!$B366,Q366),IF($P366="toetsen geen MV en SV",toetsen_geen_MV_en_SV(F!$B366,Q366),IF($P366="toetsen alleen MV en SV",toetsen_alleen_MV_en_SV(F!$B366,Q366),""))))))</f>
        <v/>
      </c>
      <c r="S366" s="5" t="str">
        <f>IF($P366="toetsen",IF(OR(Q366="",VLOOKUP(F!$B366,E!$B$1:$AK$300,10,FALSE)=1000000000),"",IF(Q366&lt;=VLOOKUP(F!$B366,E!$B$1:$AK$300,10,FALSE),"ja","nee")),"")</f>
        <v/>
      </c>
      <c r="T366" s="87" t="str">
        <f t="shared" si="125"/>
        <v/>
      </c>
      <c r="U366" s="5" t="str">
        <f>IF($D366="--","",IF($P366="toetsen",toetsen(F!$B366,T366),IF($P366="toetsen alleen IW",toetsen_alleen_IW(F!$B366,T366),IF($P366="toetsen alleen LN",toetsen_alleen_LN(F!$B366,T366),IF($P366="toetsen geen MV en SV",toetsen_geen_MV_en_SV(F!$B366,T366),IF($P366="toetsen alleen MV en SV",toetsen_alleen_MV_en_SV(F!$B366,T366),""))))))</f>
        <v/>
      </c>
      <c r="V366" s="5" t="str">
        <f>IF($P366="toetsen",IF(OR(T366="",VLOOKUP(F!$B366,E!$B$1:$AK$300,10,FALSE)=1000000000),"",IF(T366&lt;=VLOOKUP(F!$B366,E!$B$1:$AK$300,10,FALSE),"ja","nee")),"")</f>
        <v/>
      </c>
      <c r="W366" s="6" t="str">
        <f t="shared" si="126"/>
        <v/>
      </c>
      <c r="X366" s="5" t="str">
        <f>IF($F366="--","",IF($P366="toetsen",toetsen(F!$B366,W366),IF($P366="toetsen alleen IW",toetsen_alleen_IW(F!$B366,W366),IF($P366="toetsen alleen LN",toetsen_alleen_LN(F!$B366,W366),IF($P366="toetsen geen MV en SV",toetsen_geen_MV_en_SV(F!$B366,W366),IF($P366="toetsen alleen MV en SV",toetsen_alleen_MV_en_SV(F!$B366,W366),""))))))</f>
        <v/>
      </c>
      <c r="Y366" s="5" t="str">
        <f>IF($P366="toetsen",IF(OR(W366="",VLOOKUP(F!$B366,E!$B$1:$AK$300,10,FALSE)=1000000000),"",IF(W366&lt;=VLOOKUP(F!$B366,E!$B$1:$AK$300,10,FALSE),"ja","nee")),"")</f>
        <v/>
      </c>
      <c r="AA366" s="4"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6" t="str">
        <f t="shared" si="127"/>
        <v>--</v>
      </c>
      <c r="AJ366" s="6"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6" t="str">
        <f t="shared" si="128"/>
        <v>--</v>
      </c>
      <c r="AL366" s="6"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6" t="str">
        <f t="shared" si="129"/>
        <v>--</v>
      </c>
      <c r="AN366" s="6"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6" t="str">
        <f t="shared" si="116"/>
        <v>--</v>
      </c>
      <c r="AQ366" s="6" t="str">
        <f t="shared" si="117"/>
        <v/>
      </c>
      <c r="AR366" s="6" t="str">
        <f t="shared" si="118"/>
        <v>--</v>
      </c>
      <c r="AS366" s="6" t="str">
        <f t="shared" si="119"/>
        <v/>
      </c>
      <c r="AT366" s="6" t="str">
        <f t="shared" si="120"/>
        <v/>
      </c>
      <c r="AU366" s="6" t="str">
        <f>IFERROR(IF(AR366="--","",IF(HLOOKUP(SMALL($Q$4:$Y$4,3),$Q$4:$Y$501,ROW(AP366)-3,FALSE)=0,"",IF(HLOOKUP(SMALL($Q$4:$Y$4,3),$Q$4:$Y$501,ROW(AP366)-3,FALSE)="nee",VLOOKUP("De kwaliteitseis emissiearme grond (maximale concentratie) wordt overschreden.",H!$O$10:'H'!$P$59,2,FALSE),""))),"")</f>
        <v/>
      </c>
      <c r="AV366" s="6" t="str">
        <f t="shared" si="110"/>
        <v>--</v>
      </c>
      <c r="AW366" s="6" t="str">
        <f t="shared" si="111"/>
        <v/>
      </c>
      <c r="AX366" s="6" t="str">
        <f t="shared" si="112"/>
        <v>--</v>
      </c>
      <c r="AY366" s="6" t="str">
        <f t="shared" si="121"/>
        <v/>
      </c>
      <c r="AZ366" s="6" t="str">
        <f t="shared" si="122"/>
        <v/>
      </c>
      <c r="BA366" s="6" t="str">
        <f>IFERROR(IF(AR366="--","",IF(HLOOKUP(SMALL($Q$4:$Y$4,6),$Q$4:$Y$501,ROW(AP366)-3,FALSE)=0,"",IF(HLOOKUP(SMALL($Q$4:$Y$4,6),$Q$4:$Y$501,ROW(AP366)-3,FALSE)="nee",VLOOKUP("De kwaliteitseis emissiearme grond (maximale concentratie) wordt overschreden.",H!$O$10:'H'!$P$59,2,FALSE),""))),"")</f>
        <v/>
      </c>
      <c r="BB366" s="6" t="str">
        <f t="shared" si="113"/>
        <v>--</v>
      </c>
      <c r="BC366" s="6" t="str">
        <f t="shared" si="114"/>
        <v/>
      </c>
      <c r="BD366" s="6" t="str">
        <f t="shared" si="115"/>
        <v>--</v>
      </c>
      <c r="BE366" s="6" t="str">
        <f t="shared" si="123"/>
        <v/>
      </c>
      <c r="BF366" s="6"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6" t="str">
        <f>IF(ISNUMBER(F!E367)=FALSE,"--",IF(F!E367=0,"--",F!E367))</f>
        <v>--</v>
      </c>
      <c r="C367" s="6" t="str">
        <f>IF(B367="--","",F!F367)</f>
        <v/>
      </c>
      <c r="D367" s="6" t="str">
        <f>IF(ISNUMBER(F!G367)=FALSE,"--",IF(F!G367=0,"--",F!G367))</f>
        <v>--</v>
      </c>
      <c r="E367" s="6" t="str">
        <f>IF(D367="--","",F!H367)</f>
        <v/>
      </c>
      <c r="F367" s="6" t="str">
        <f>IF(ISNUMBER(F!I367)=FALSE,"--",IF(F!I367=0,"--",F!I367))</f>
        <v>--</v>
      </c>
      <c r="G367" s="6" t="str">
        <f>IF(F367="--","",F!J367)</f>
        <v/>
      </c>
      <c r="H367" s="6"/>
      <c r="I367" s="6" t="str">
        <f>IF(F!Z367=-1,-1,F!AV367)</f>
        <v/>
      </c>
      <c r="J367" s="6"/>
      <c r="K367" s="6" t="str">
        <f>IF(F!AC367=-1,-1,F!AX367)</f>
        <v/>
      </c>
      <c r="L367" s="6"/>
      <c r="M367" s="6" t="str">
        <f>IF(F!AF367=-1,-1,F!AZ367)</f>
        <v/>
      </c>
      <c r="N367" s="6"/>
      <c r="O367" s="6"/>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6" t="str">
        <f t="shared" si="130"/>
        <v/>
      </c>
      <c r="R367" s="5" t="str">
        <f>IF($B367="--","",IF($P367="toetsen",toetsen(F!$B367,Q367),IF($P367="toetsen alleen IW",toetsen_alleen_IW(F!$B367,Q367),IF($P367="toetsen alleen LN",toetsen_alleen_LN(F!$B367,Q367),IF($P367="toetsen geen MV en SV",toetsen_geen_MV_en_SV(F!$B367,Q367),IF($P367="toetsen alleen MV en SV",toetsen_alleen_MV_en_SV(F!$B367,Q367),""))))))</f>
        <v/>
      </c>
      <c r="S367" s="5" t="str">
        <f>IF($P367="toetsen",IF(OR(Q367="",VLOOKUP(F!$B367,E!$B$1:$AK$300,10,FALSE)=1000000000),"",IF(Q367&lt;=VLOOKUP(F!$B367,E!$B$1:$AK$300,10,FALSE),"ja","nee")),"")</f>
        <v/>
      </c>
      <c r="T367" s="87" t="str">
        <f t="shared" si="125"/>
        <v/>
      </c>
      <c r="U367" s="5" t="str">
        <f>IF($D367="--","",IF($P367="toetsen",toetsen(F!$B367,T367),IF($P367="toetsen alleen IW",toetsen_alleen_IW(F!$B367,T367),IF($P367="toetsen alleen LN",toetsen_alleen_LN(F!$B367,T367),IF($P367="toetsen geen MV en SV",toetsen_geen_MV_en_SV(F!$B367,T367),IF($P367="toetsen alleen MV en SV",toetsen_alleen_MV_en_SV(F!$B367,T367),""))))))</f>
        <v/>
      </c>
      <c r="V367" s="5" t="str">
        <f>IF($P367="toetsen",IF(OR(T367="",VLOOKUP(F!$B367,E!$B$1:$AK$300,10,FALSE)=1000000000),"",IF(T367&lt;=VLOOKUP(F!$B367,E!$B$1:$AK$300,10,FALSE),"ja","nee")),"")</f>
        <v/>
      </c>
      <c r="W367" s="6" t="str">
        <f t="shared" si="126"/>
        <v/>
      </c>
      <c r="X367" s="5" t="str">
        <f>IF($F367="--","",IF($P367="toetsen",toetsen(F!$B367,W367),IF($P367="toetsen alleen IW",toetsen_alleen_IW(F!$B367,W367),IF($P367="toetsen alleen LN",toetsen_alleen_LN(F!$B367,W367),IF($P367="toetsen geen MV en SV",toetsen_geen_MV_en_SV(F!$B367,W367),IF($P367="toetsen alleen MV en SV",toetsen_alleen_MV_en_SV(F!$B367,W367),""))))))</f>
        <v/>
      </c>
      <c r="Y367" s="5" t="str">
        <f>IF($P367="toetsen",IF(OR(W367="",VLOOKUP(F!$B367,E!$B$1:$AK$300,10,FALSE)=1000000000),"",IF(W367&lt;=VLOOKUP(F!$B367,E!$B$1:$AK$300,10,FALSE),"ja","nee")),"")</f>
        <v/>
      </c>
      <c r="AA367" s="4"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6" t="str">
        <f t="shared" si="127"/>
        <v>--</v>
      </c>
      <c r="AJ367" s="6"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6" t="str">
        <f t="shared" si="128"/>
        <v>--</v>
      </c>
      <c r="AL367" s="6"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6" t="str">
        <f t="shared" si="129"/>
        <v>--</v>
      </c>
      <c r="AN367" s="6"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6" t="str">
        <f t="shared" si="116"/>
        <v>--</v>
      </c>
      <c r="AQ367" s="6" t="str">
        <f t="shared" si="117"/>
        <v/>
      </c>
      <c r="AR367" s="6" t="str">
        <f t="shared" si="118"/>
        <v>--</v>
      </c>
      <c r="AS367" s="6" t="str">
        <f t="shared" si="119"/>
        <v/>
      </c>
      <c r="AT367" s="6" t="str">
        <f t="shared" si="120"/>
        <v/>
      </c>
      <c r="AU367" s="6" t="str">
        <f>IFERROR(IF(AR367="--","",IF(HLOOKUP(SMALL($Q$4:$Y$4,3),$Q$4:$Y$501,ROW(AP367)-3,FALSE)=0,"",IF(HLOOKUP(SMALL($Q$4:$Y$4,3),$Q$4:$Y$501,ROW(AP367)-3,FALSE)="nee",VLOOKUP("De kwaliteitseis emissiearme grond (maximale concentratie) wordt overschreden.",H!$O$10:'H'!$P$59,2,FALSE),""))),"")</f>
        <v/>
      </c>
      <c r="AV367" s="6" t="str">
        <f t="shared" si="110"/>
        <v>--</v>
      </c>
      <c r="AW367" s="6" t="str">
        <f t="shared" si="111"/>
        <v/>
      </c>
      <c r="AX367" s="6" t="str">
        <f t="shared" si="112"/>
        <v>--</v>
      </c>
      <c r="AY367" s="6" t="str">
        <f t="shared" si="121"/>
        <v/>
      </c>
      <c r="AZ367" s="6" t="str">
        <f t="shared" si="122"/>
        <v/>
      </c>
      <c r="BA367" s="6" t="str">
        <f>IFERROR(IF(AR367="--","",IF(HLOOKUP(SMALL($Q$4:$Y$4,6),$Q$4:$Y$501,ROW(AP367)-3,FALSE)=0,"",IF(HLOOKUP(SMALL($Q$4:$Y$4,6),$Q$4:$Y$501,ROW(AP367)-3,FALSE)="nee",VLOOKUP("De kwaliteitseis emissiearme grond (maximale concentratie) wordt overschreden.",H!$O$10:'H'!$P$59,2,FALSE),""))),"")</f>
        <v/>
      </c>
      <c r="BB367" s="6" t="str">
        <f t="shared" si="113"/>
        <v>--</v>
      </c>
      <c r="BC367" s="6" t="str">
        <f t="shared" si="114"/>
        <v/>
      </c>
      <c r="BD367" s="6" t="str">
        <f t="shared" si="115"/>
        <v>--</v>
      </c>
      <c r="BE367" s="6" t="str">
        <f t="shared" si="123"/>
        <v/>
      </c>
      <c r="BF367" s="6"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6" t="str">
        <f>IF(ISNUMBER(F!E368)=FALSE,"--",IF(F!E368=0,"--",F!E368))</f>
        <v>--</v>
      </c>
      <c r="C368" s="6" t="str">
        <f>IF(B368="--","",F!F368)</f>
        <v/>
      </c>
      <c r="D368" s="6" t="str">
        <f>IF(ISNUMBER(F!G368)=FALSE,"--",IF(F!G368=0,"--",F!G368))</f>
        <v>--</v>
      </c>
      <c r="E368" s="6" t="str">
        <f>IF(D368="--","",F!H368)</f>
        <v/>
      </c>
      <c r="F368" s="6" t="str">
        <f>IF(ISNUMBER(F!I368)=FALSE,"--",IF(F!I368=0,"--",F!I368))</f>
        <v>--</v>
      </c>
      <c r="G368" s="6" t="str">
        <f>IF(F368="--","",F!J368)</f>
        <v/>
      </c>
      <c r="I368" s="6" t="str">
        <f>IF(F!Z368=-1,-1,F!AV368)</f>
        <v/>
      </c>
      <c r="K368" s="6">
        <f>IF(F!AC368=-1,-1,F!AX368)</f>
        <v>0</v>
      </c>
      <c r="M368" s="6" t="str">
        <f>IF(F!AF368=-1,-1,F!AZ368)</f>
        <v/>
      </c>
      <c r="O368" s="6"/>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6" t="str">
        <f t="shared" si="130"/>
        <v/>
      </c>
      <c r="R368" s="5" t="str">
        <f>IF($B368="--","",IF($P368="toetsen",toetsen(F!$B368,Q368),IF($P368="toetsen alleen IW",toetsen_alleen_IW(F!$B368,Q368),IF($P368="toetsen alleen LN",toetsen_alleen_LN(F!$B368,Q368),IF($P368="toetsen geen MV en SV",toetsen_geen_MV_en_SV(F!$B368,Q368),IF($P368="toetsen alleen MV en SV",toetsen_alleen_MV_en_SV(F!$B368,Q368),""))))))</f>
        <v/>
      </c>
      <c r="S368" s="5" t="str">
        <f>IF($P368="toetsen",IF(OR(Q368="",VLOOKUP(F!$B368,E!$B$1:$AK$300,10,FALSE)=1000000000),"",IF(Q368&lt;=VLOOKUP(F!$B368,E!$B$1:$AK$300,10,FALSE),"ja","nee")),"")</f>
        <v/>
      </c>
      <c r="T368" s="87">
        <f t="shared" si="125"/>
        <v>0</v>
      </c>
      <c r="U368" s="5" t="str">
        <f>IF($D368="--","",IF($P368="toetsen",toetsen(F!$B368,T368),IF($P368="toetsen alleen IW",toetsen_alleen_IW(F!$B368,T368),IF($P368="toetsen alleen LN",toetsen_alleen_LN(F!$B368,T368),IF($P368="toetsen geen MV en SV",toetsen_geen_MV_en_SV(F!$B368,T368),IF($P368="toetsen alleen MV en SV",toetsen_alleen_MV_en_SV(F!$B368,T368),""))))))</f>
        <v/>
      </c>
      <c r="V368" s="5" t="str">
        <f>IF($P368="toetsen",IF(OR(T368="",VLOOKUP(F!$B368,E!$B$1:$AK$300,10,FALSE)=1000000000),"",IF(T368&lt;=VLOOKUP(F!$B368,E!$B$1:$AK$300,10,FALSE),"ja","nee")),"")</f>
        <v/>
      </c>
      <c r="W368" s="6" t="str">
        <f t="shared" si="126"/>
        <v/>
      </c>
      <c r="X368" s="5" t="str">
        <f>IF($F368="--","",IF($P368="toetsen",toetsen(F!$B368,W368),IF($P368="toetsen alleen IW",toetsen_alleen_IW(F!$B368,W368),IF($P368="toetsen alleen LN",toetsen_alleen_LN(F!$B368,W368),IF($P368="toetsen geen MV en SV",toetsen_geen_MV_en_SV(F!$B368,W368),IF($P368="toetsen alleen MV en SV",toetsen_alleen_MV_en_SV(F!$B368,W368),""))))))</f>
        <v/>
      </c>
      <c r="Y368" s="5" t="str">
        <f>IF($P368="toetsen",IF(OR(W368="",VLOOKUP(F!$B368,E!$B$1:$AK$300,10,FALSE)=1000000000),"",IF(W368&lt;=VLOOKUP(F!$B368,E!$B$1:$AK$300,10,FALSE),"ja","nee")),"")</f>
        <v/>
      </c>
      <c r="AA368" s="4"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6" t="str">
        <f t="shared" si="127"/>
        <v>--</v>
      </c>
      <c r="AJ368" s="6"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6" t="str">
        <f t="shared" si="128"/>
        <v>--</v>
      </c>
      <c r="AL368" s="6"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6" t="str">
        <f t="shared" si="129"/>
        <v>--</v>
      </c>
      <c r="AN368" s="6"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6" t="str">
        <f t="shared" si="116"/>
        <v>--</v>
      </c>
      <c r="AQ368" s="6" t="str">
        <f t="shared" si="117"/>
        <v/>
      </c>
      <c r="AR368" s="6" t="str">
        <f t="shared" si="118"/>
        <v>--</v>
      </c>
      <c r="AS368" s="6" t="str">
        <f t="shared" si="119"/>
        <v/>
      </c>
      <c r="AT368" s="6" t="str">
        <f t="shared" si="120"/>
        <v/>
      </c>
      <c r="AU368" s="6" t="str">
        <f>IFERROR(IF(AR368="--","",IF(HLOOKUP(SMALL($Q$4:$Y$4,3),$Q$4:$Y$501,ROW(AP368)-3,FALSE)=0,"",IF(HLOOKUP(SMALL($Q$4:$Y$4,3),$Q$4:$Y$501,ROW(AP368)-3,FALSE)="nee",VLOOKUP("De kwaliteitseis emissiearme grond (maximale concentratie) wordt overschreden.",H!$O$10:'H'!$P$59,2,FALSE),""))),"")</f>
        <v/>
      </c>
      <c r="AV368" s="6" t="str">
        <f t="shared" si="110"/>
        <v>--</v>
      </c>
      <c r="AW368" s="6" t="str">
        <f t="shared" si="111"/>
        <v/>
      </c>
      <c r="AX368" s="6" t="str">
        <f t="shared" si="112"/>
        <v>--</v>
      </c>
      <c r="AY368" s="6" t="str">
        <f t="shared" si="121"/>
        <v/>
      </c>
      <c r="AZ368" s="6" t="str">
        <f t="shared" si="122"/>
        <v/>
      </c>
      <c r="BA368" s="6" t="str">
        <f>IFERROR(IF(AR368="--","",IF(HLOOKUP(SMALL($Q$4:$Y$4,6),$Q$4:$Y$501,ROW(AP368)-3,FALSE)=0,"",IF(HLOOKUP(SMALL($Q$4:$Y$4,6),$Q$4:$Y$501,ROW(AP368)-3,FALSE)="nee",VLOOKUP("De kwaliteitseis emissiearme grond (maximale concentratie) wordt overschreden.",H!$O$10:'H'!$P$59,2,FALSE),""))),"")</f>
        <v/>
      </c>
      <c r="BB368" s="6" t="str">
        <f t="shared" si="113"/>
        <v>--</v>
      </c>
      <c r="BC368" s="6" t="str">
        <f t="shared" si="114"/>
        <v/>
      </c>
      <c r="BD368" s="6" t="str">
        <f t="shared" si="115"/>
        <v>--</v>
      </c>
      <c r="BE368" s="6" t="str">
        <f t="shared" si="123"/>
        <v/>
      </c>
      <c r="BF368" s="6"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6"/>
    </row>
    <row r="370" spans="1:54" x14ac:dyDescent="0.2">
      <c r="A370" s="4" t="s">
        <v>819</v>
      </c>
      <c r="O370" s="6"/>
      <c r="AI370" s="6" t="str">
        <f>H!B42</f>
        <v>landbouw / natuur</v>
      </c>
      <c r="AK370" s="6" t="str">
        <f>H!D42</f>
        <v>landbouw / natuur</v>
      </c>
      <c r="AM370" s="6" t="str">
        <f>H!F42</f>
        <v>landbouw / natuur</v>
      </c>
      <c r="AP370" s="6" t="str">
        <f t="shared" si="116"/>
        <v>landbouw / natuur</v>
      </c>
      <c r="AR370" s="6"/>
      <c r="AV370" s="6" t="str">
        <f t="shared" si="110"/>
        <v>landbouw / natuur</v>
      </c>
      <c r="BB370" s="6" t="str">
        <f t="shared" si="113"/>
        <v>landbouw / natuur</v>
      </c>
    </row>
    <row r="371" spans="1:54" x14ac:dyDescent="0.2">
      <c r="A371" s="4" t="s">
        <v>818</v>
      </c>
      <c r="O371" s="6"/>
      <c r="AI371" s="6" t="str">
        <f>H!B43</f>
        <v>landbouw / natuur</v>
      </c>
      <c r="AK371" s="6" t="str">
        <f>H!D43</f>
        <v>landbouw / natuur</v>
      </c>
      <c r="AM371" s="6" t="str">
        <f>H!F43</f>
        <v>landbouw / natuur</v>
      </c>
      <c r="AP371" s="6" t="str">
        <f t="shared" si="116"/>
        <v>landbouw / natuur</v>
      </c>
      <c r="AR371" s="6"/>
      <c r="AV371" s="6" t="str">
        <f t="shared" si="110"/>
        <v>landbouw / natuur</v>
      </c>
      <c r="BB371" s="6" t="str">
        <f t="shared" si="113"/>
        <v>landbouw / natuur</v>
      </c>
    </row>
    <row r="372" spans="1:54" x14ac:dyDescent="0.2">
      <c r="A372" s="4" t="s">
        <v>2142</v>
      </c>
      <c r="O372" s="6"/>
      <c r="AI372" s="6" t="str">
        <f>H!B44</f>
        <v>landbouw / natuur</v>
      </c>
      <c r="AK372" s="6" t="str">
        <f>H!D44</f>
        <v>landbouw / natuur</v>
      </c>
      <c r="AM372" s="6" t="str">
        <f>H!F44</f>
        <v>landbouw / natuur</v>
      </c>
      <c r="AP372" s="6" t="str">
        <f t="shared" si="116"/>
        <v>landbouw / natuur</v>
      </c>
      <c r="AR372" s="6"/>
      <c r="AV372" s="6" t="str">
        <f t="shared" si="110"/>
        <v>landbouw / natuur</v>
      </c>
      <c r="BB372" s="6" t="str">
        <f t="shared" si="113"/>
        <v>landbouw / natuur</v>
      </c>
    </row>
    <row r="373" spans="1:54" x14ac:dyDescent="0.2">
      <c r="A373" s="4" t="s">
        <v>221</v>
      </c>
      <c r="O373" s="6"/>
      <c r="AI373" s="6" t="str">
        <f>H!B45</f>
        <v>ja</v>
      </c>
      <c r="AK373" s="6" t="str">
        <f>H!D45</f>
        <v>ja</v>
      </c>
      <c r="AM373" s="6" t="str">
        <f>H!F45</f>
        <v>ja</v>
      </c>
      <c r="AP373" s="6" t="str">
        <f t="shared" si="116"/>
        <v>ja</v>
      </c>
      <c r="AV373" s="6" t="str">
        <f t="shared" si="110"/>
        <v>ja</v>
      </c>
      <c r="BB373" s="6" t="str">
        <f t="shared" si="113"/>
        <v>ja</v>
      </c>
    </row>
    <row r="374" spans="1:54" x14ac:dyDescent="0.2">
      <c r="O374" s="6"/>
    </row>
    <row r="375" spans="1:54" x14ac:dyDescent="0.2">
      <c r="O375" s="6"/>
    </row>
    <row r="376" spans="1:54" x14ac:dyDescent="0.2">
      <c r="O376" s="6"/>
    </row>
    <row r="377" spans="1:54" x14ac:dyDescent="0.2">
      <c r="O377" s="6"/>
    </row>
    <row r="378" spans="1:54" x14ac:dyDescent="0.2">
      <c r="O378" s="6"/>
    </row>
    <row r="379" spans="1:54" x14ac:dyDescent="0.2">
      <c r="O379" s="6"/>
      <c r="P379" s="5"/>
      <c r="Q379" s="33"/>
      <c r="R379" s="33"/>
      <c r="S379" s="6"/>
      <c r="T379" s="6"/>
      <c r="U379" s="4"/>
      <c r="W379" s="5"/>
      <c r="X379" s="4"/>
      <c r="Z379" s="5"/>
      <c r="AA379" s="5"/>
      <c r="AB379" s="5"/>
      <c r="AH379" s="6"/>
      <c r="AI379" s="5"/>
      <c r="AJ379" s="5"/>
      <c r="AK379" s="4"/>
      <c r="AL379" s="4"/>
      <c r="AM379" s="4"/>
      <c r="AN379" s="4"/>
      <c r="AO379" s="5"/>
      <c r="AP379" s="6"/>
      <c r="AQ379" s="6"/>
      <c r="AR379" s="6"/>
      <c r="AS379" s="6"/>
    </row>
    <row r="380" spans="1:54" x14ac:dyDescent="0.2">
      <c r="O380" s="6"/>
      <c r="P380" s="5"/>
      <c r="Q380" s="33"/>
      <c r="R380" s="33"/>
      <c r="S380" s="6"/>
      <c r="T380" s="6"/>
      <c r="U380" s="4"/>
      <c r="W380" s="5"/>
      <c r="X380" s="4"/>
      <c r="Z380" s="5"/>
      <c r="AA380" s="5"/>
      <c r="AB380" s="5"/>
      <c r="AH380" s="6"/>
      <c r="AI380" s="5"/>
      <c r="AJ380" s="5"/>
      <c r="AK380" s="4"/>
      <c r="AL380" s="4"/>
      <c r="AM380" s="4"/>
      <c r="AN380" s="4"/>
      <c r="AO380" s="5"/>
      <c r="AP380" s="6"/>
      <c r="AQ380" s="6"/>
      <c r="AR380" s="6"/>
      <c r="AS380" s="6"/>
    </row>
    <row r="381" spans="1:54" x14ac:dyDescent="0.2">
      <c r="O381" s="6"/>
      <c r="P381" s="5"/>
      <c r="Q381" s="5"/>
      <c r="R381" s="33"/>
      <c r="S381" s="33"/>
      <c r="T381" s="6"/>
      <c r="U381" s="4"/>
      <c r="V381" s="4"/>
      <c r="W381" s="5"/>
      <c r="Y381" s="4"/>
      <c r="Z381" s="5"/>
      <c r="AA381" s="5"/>
      <c r="AB381" s="5"/>
      <c r="AC381" s="5"/>
      <c r="AD381" s="5"/>
      <c r="AE381" s="5"/>
      <c r="AF381" s="5"/>
      <c r="AG381" s="5"/>
      <c r="AI381" s="5"/>
      <c r="AJ381" s="5"/>
      <c r="AK381" s="5"/>
      <c r="AL381" s="5"/>
      <c r="AM381" s="4"/>
      <c r="AN381" s="4"/>
      <c r="AP381" s="6"/>
      <c r="AQ381" s="6"/>
      <c r="AR381" s="6"/>
      <c r="AS381" s="6"/>
      <c r="AT381" s="6"/>
      <c r="AU381" s="6"/>
      <c r="AV381" s="6"/>
    </row>
    <row r="382" spans="1:54" x14ac:dyDescent="0.2">
      <c r="O382" s="6"/>
      <c r="P382" s="5"/>
      <c r="Q382" s="5"/>
      <c r="R382" s="33"/>
      <c r="S382" s="33"/>
      <c r="T382" s="6"/>
      <c r="U382" s="4"/>
      <c r="V382" s="4"/>
      <c r="W382" s="5"/>
      <c r="Y382" s="4"/>
      <c r="Z382" s="5"/>
      <c r="AA382" s="5"/>
      <c r="AB382" s="5"/>
      <c r="AC382" s="5"/>
      <c r="AD382" s="5"/>
      <c r="AE382" s="5"/>
      <c r="AF382" s="5"/>
      <c r="AG382" s="5"/>
      <c r="AI382" s="5"/>
      <c r="AJ382" s="5"/>
      <c r="AK382" s="5"/>
      <c r="AL382" s="5"/>
      <c r="AM382" s="4"/>
      <c r="AN382" s="4"/>
      <c r="AP382" s="6"/>
      <c r="AQ382" s="6"/>
      <c r="AR382" s="6"/>
      <c r="AS382" s="6"/>
      <c r="AT382" s="6"/>
      <c r="AU382" s="6"/>
      <c r="AV382" s="6"/>
    </row>
    <row r="383" spans="1:54" x14ac:dyDescent="0.2">
      <c r="O383" s="6"/>
      <c r="P383" s="5"/>
      <c r="Q383" s="5"/>
      <c r="R383" s="33"/>
      <c r="S383" s="33"/>
      <c r="T383" s="6"/>
      <c r="U383" s="4"/>
      <c r="V383" s="4"/>
      <c r="W383" s="5"/>
      <c r="Y383" s="4"/>
      <c r="Z383" s="5"/>
      <c r="AA383" s="5"/>
      <c r="AB383" s="5"/>
      <c r="AC383" s="5"/>
      <c r="AD383" s="5"/>
      <c r="AE383" s="5"/>
      <c r="AF383" s="5"/>
      <c r="AG383" s="5"/>
      <c r="AI383" s="5"/>
      <c r="AJ383" s="5"/>
      <c r="AK383" s="5"/>
      <c r="AL383" s="5"/>
      <c r="AM383" s="4"/>
      <c r="AN383" s="4"/>
      <c r="AP383" s="6"/>
      <c r="AQ383" s="6"/>
      <c r="AR383" s="6"/>
      <c r="AS383" s="6"/>
      <c r="AT383" s="6"/>
      <c r="AU383" s="6"/>
      <c r="AV383" s="6"/>
    </row>
    <row r="384" spans="1:54" x14ac:dyDescent="0.2">
      <c r="O384" s="6"/>
      <c r="P384" s="5"/>
      <c r="Q384" s="5"/>
      <c r="R384" s="33"/>
      <c r="S384" s="33"/>
      <c r="T384" s="6"/>
      <c r="U384" s="4"/>
      <c r="V384" s="4"/>
      <c r="W384" s="5"/>
      <c r="Y384" s="4"/>
      <c r="Z384" s="5"/>
      <c r="AA384" s="5"/>
      <c r="AB384" s="5"/>
      <c r="AC384" s="5"/>
      <c r="AD384" s="5"/>
      <c r="AE384" s="5"/>
      <c r="AF384" s="5"/>
      <c r="AG384" s="5"/>
      <c r="AI384" s="5"/>
      <c r="AJ384" s="5"/>
      <c r="AK384" s="5"/>
      <c r="AL384" s="5"/>
      <c r="AM384" s="4"/>
      <c r="AN384" s="4"/>
      <c r="AP384" s="6"/>
      <c r="AQ384" s="6"/>
      <c r="AR384" s="6"/>
      <c r="AS384" s="6"/>
      <c r="AT384" s="6"/>
      <c r="AU384" s="6"/>
      <c r="AV384" s="6"/>
    </row>
    <row r="385" spans="15:48" x14ac:dyDescent="0.2">
      <c r="O385" s="6"/>
      <c r="P385" s="5"/>
      <c r="Q385" s="5"/>
      <c r="R385" s="33"/>
      <c r="S385" s="33"/>
      <c r="T385" s="6"/>
      <c r="U385" s="4"/>
      <c r="V385" s="4"/>
      <c r="W385" s="5"/>
      <c r="Y385" s="4"/>
      <c r="Z385" s="5"/>
      <c r="AA385" s="5"/>
      <c r="AB385" s="5"/>
      <c r="AC385" s="5"/>
      <c r="AD385" s="5"/>
      <c r="AE385" s="5"/>
      <c r="AF385" s="5"/>
      <c r="AG385" s="5"/>
      <c r="AI385" s="5"/>
      <c r="AJ385" s="5"/>
      <c r="AK385" s="5"/>
      <c r="AL385" s="5"/>
      <c r="AM385" s="4"/>
      <c r="AN385" s="4"/>
      <c r="AP385" s="6"/>
      <c r="AQ385" s="6"/>
      <c r="AR385" s="6"/>
      <c r="AS385" s="6"/>
      <c r="AT385" s="6"/>
      <c r="AU385" s="6"/>
      <c r="AV385" s="6"/>
    </row>
    <row r="386" spans="15:48" x14ac:dyDescent="0.2">
      <c r="O386" s="6"/>
      <c r="P386" s="33"/>
      <c r="Q386" s="33"/>
      <c r="R386" s="33"/>
      <c r="S386" s="33"/>
      <c r="T386" s="6"/>
      <c r="U386" s="4"/>
      <c r="V386" s="4"/>
      <c r="W386" s="5"/>
      <c r="Y386" s="4"/>
      <c r="Z386" s="5"/>
      <c r="AA386" s="5"/>
      <c r="AB386" s="5"/>
      <c r="AC386" s="5"/>
      <c r="AD386" s="5"/>
      <c r="AE386" s="5"/>
      <c r="AF386" s="5"/>
      <c r="AG386" s="5"/>
      <c r="AI386" s="5"/>
      <c r="AJ386" s="5"/>
      <c r="AK386" s="5"/>
      <c r="AL386" s="5"/>
      <c r="AM386" s="4"/>
      <c r="AN386" s="4"/>
      <c r="AP386" s="6"/>
      <c r="AQ386" s="6"/>
      <c r="AR386" s="6"/>
      <c r="AS386" s="6"/>
      <c r="AT386" s="6"/>
      <c r="AU386" s="6"/>
      <c r="AV386" s="6"/>
    </row>
    <row r="387" spans="15:48" x14ac:dyDescent="0.2">
      <c r="O387" s="6"/>
      <c r="P387" s="33"/>
      <c r="Q387" s="33"/>
      <c r="R387" s="33"/>
      <c r="S387" s="6"/>
      <c r="U387" s="4"/>
      <c r="W387" s="5"/>
      <c r="X387" s="4"/>
      <c r="Z387" s="5"/>
      <c r="AA387" s="5"/>
      <c r="AC387" s="6"/>
      <c r="AD387" s="6"/>
      <c r="AE387" s="6"/>
      <c r="AF387" s="6"/>
      <c r="AG387" s="6"/>
      <c r="AH387" s="6"/>
      <c r="AI387" s="4"/>
      <c r="AJ387" s="4"/>
      <c r="AK387" s="4"/>
      <c r="AL387" s="4"/>
      <c r="AM387" s="5"/>
      <c r="AN387" s="5"/>
      <c r="AO387" s="5"/>
      <c r="AP387" s="6"/>
    </row>
    <row r="388" spans="15:48" x14ac:dyDescent="0.2">
      <c r="O388" s="6"/>
      <c r="P388" s="33"/>
      <c r="Q388" s="6"/>
      <c r="R388" s="4"/>
      <c r="S388" s="4"/>
      <c r="T388" s="5"/>
      <c r="V388" s="4"/>
      <c r="W388" s="5"/>
      <c r="Y388" s="4"/>
      <c r="Z388" s="5"/>
      <c r="AA388" s="6"/>
      <c r="AB388" s="6"/>
      <c r="AI388" s="5"/>
      <c r="AJ388" s="5"/>
      <c r="AK388" s="5"/>
      <c r="AL388" s="5"/>
      <c r="AM388" s="4"/>
      <c r="AN388" s="4"/>
      <c r="AO388" s="6"/>
    </row>
    <row r="389" spans="15:48" x14ac:dyDescent="0.2">
      <c r="O389" s="6"/>
      <c r="P389" s="33"/>
      <c r="Q389" s="6"/>
      <c r="R389" s="4"/>
      <c r="S389" s="4"/>
      <c r="T389" s="5"/>
      <c r="V389" s="4"/>
      <c r="W389" s="5"/>
      <c r="Y389" s="4"/>
      <c r="Z389" s="5"/>
      <c r="AA389" s="6"/>
      <c r="AB389" s="6"/>
      <c r="AI389" s="5"/>
      <c r="AJ389" s="5"/>
      <c r="AK389" s="5"/>
      <c r="AL389" s="5"/>
      <c r="AM389" s="4"/>
      <c r="AN389" s="4"/>
      <c r="AO389" s="6"/>
    </row>
    <row r="390" spans="15:48" x14ac:dyDescent="0.2">
      <c r="O390" s="6"/>
      <c r="P390" s="33"/>
      <c r="Q390" s="6"/>
      <c r="R390" s="4"/>
      <c r="S390" s="4"/>
      <c r="T390" s="5"/>
      <c r="V390" s="4"/>
      <c r="W390" s="5"/>
      <c r="Y390" s="4"/>
      <c r="Z390" s="5"/>
      <c r="AA390" s="6"/>
      <c r="AB390" s="6"/>
      <c r="AI390" s="5"/>
      <c r="AJ390" s="5"/>
      <c r="AK390" s="5"/>
      <c r="AL390" s="5"/>
      <c r="AM390" s="4"/>
      <c r="AN390" s="4"/>
      <c r="AO390" s="6"/>
    </row>
    <row r="391" spans="15:48" x14ac:dyDescent="0.2">
      <c r="O391" s="6"/>
      <c r="P391" s="6"/>
      <c r="Q391" s="6"/>
      <c r="R391" s="4"/>
      <c r="T391" s="5"/>
      <c r="U391" s="4"/>
      <c r="W391" s="5"/>
      <c r="X391" s="4"/>
      <c r="Z391" s="5"/>
      <c r="AA391" s="6"/>
      <c r="AI391" s="5"/>
      <c r="AJ391" s="5"/>
      <c r="AK391" s="4"/>
      <c r="AL391" s="4"/>
      <c r="AO391" s="6"/>
    </row>
    <row r="392" spans="15:48" x14ac:dyDescent="0.2">
      <c r="O392" s="6"/>
      <c r="P392" s="6"/>
      <c r="Q392" s="6"/>
      <c r="R392" s="4"/>
      <c r="T392" s="5"/>
      <c r="U392" s="4"/>
      <c r="W392" s="5"/>
      <c r="X392" s="4"/>
      <c r="Z392" s="5"/>
      <c r="AA392" s="6"/>
      <c r="AI392" s="5"/>
      <c r="AJ392" s="5"/>
      <c r="AK392" s="4"/>
      <c r="AL392" s="4"/>
      <c r="AO392" s="6"/>
    </row>
    <row r="393" spans="15:48" x14ac:dyDescent="0.2">
      <c r="O393" s="6"/>
    </row>
    <row r="394" spans="15:48" x14ac:dyDescent="0.2">
      <c r="O394" s="6"/>
      <c r="R394" s="4"/>
      <c r="S394" s="4"/>
      <c r="U394" s="4"/>
      <c r="V394" s="4"/>
      <c r="X394" s="4"/>
      <c r="Y394" s="4"/>
      <c r="AI394" s="4"/>
      <c r="AJ394" s="4"/>
      <c r="AK394" s="4"/>
      <c r="AL394" s="4"/>
      <c r="AM394" s="4"/>
      <c r="AN394" s="4"/>
    </row>
    <row r="395" spans="15:48" x14ac:dyDescent="0.2">
      <c r="O395" s="6"/>
      <c r="R395" s="4"/>
      <c r="S395" s="4"/>
      <c r="U395" s="4"/>
      <c r="V395" s="4"/>
      <c r="X395" s="4"/>
      <c r="Y395" s="4"/>
      <c r="AI395" s="4"/>
      <c r="AJ395" s="4"/>
      <c r="AK395" s="4"/>
      <c r="AL395" s="4"/>
      <c r="AM395" s="4"/>
      <c r="AN395" s="4"/>
    </row>
    <row r="396" spans="15:48" x14ac:dyDescent="0.2">
      <c r="O396" s="6"/>
      <c r="R396" s="4"/>
      <c r="S396" s="4"/>
      <c r="U396" s="4"/>
      <c r="V396" s="4"/>
      <c r="X396" s="4"/>
      <c r="Y396" s="4"/>
      <c r="AI396" s="4"/>
      <c r="AJ396" s="4"/>
      <c r="AK396" s="4"/>
      <c r="AL396" s="4"/>
      <c r="AM396" s="4"/>
      <c r="AN396" s="4"/>
    </row>
    <row r="397" spans="15:48" x14ac:dyDescent="0.2">
      <c r="O397" s="6"/>
      <c r="R397" s="4"/>
      <c r="S397" s="4"/>
      <c r="U397" s="4"/>
      <c r="V397" s="4"/>
      <c r="X397" s="4"/>
      <c r="Y397" s="4"/>
      <c r="AI397" s="4"/>
      <c r="AJ397" s="4"/>
      <c r="AK397" s="4"/>
      <c r="AL397" s="4"/>
      <c r="AM397" s="4"/>
      <c r="AN397" s="4"/>
    </row>
    <row r="398" spans="15:48" x14ac:dyDescent="0.2">
      <c r="O398" s="6"/>
      <c r="R398" s="4"/>
      <c r="S398" s="4"/>
      <c r="U398" s="4"/>
      <c r="V398" s="4"/>
      <c r="X398" s="4"/>
      <c r="Y398" s="4"/>
      <c r="AI398" s="4"/>
      <c r="AJ398" s="4"/>
      <c r="AK398" s="4"/>
      <c r="AL398" s="4"/>
      <c r="AM398" s="4"/>
      <c r="AN398" s="4"/>
    </row>
    <row r="399" spans="15:48" x14ac:dyDescent="0.2">
      <c r="O399" s="6"/>
      <c r="R399" s="4"/>
      <c r="S399" s="4"/>
      <c r="U399" s="4"/>
      <c r="V399" s="4"/>
      <c r="X399" s="4"/>
      <c r="Y399" s="4"/>
      <c r="AI399" s="4"/>
      <c r="AJ399" s="4"/>
      <c r="AK399" s="4"/>
      <c r="AL399" s="4"/>
      <c r="AM399" s="4"/>
      <c r="AN399" s="4"/>
    </row>
    <row r="400" spans="15:48" x14ac:dyDescent="0.2">
      <c r="R400" s="4"/>
      <c r="S400" s="4"/>
      <c r="U400" s="4"/>
      <c r="V400" s="4"/>
      <c r="X400" s="4"/>
      <c r="Y400" s="4"/>
      <c r="AI400" s="4"/>
      <c r="AJ400" s="4"/>
      <c r="AK400" s="4"/>
      <c r="AL400" s="4"/>
      <c r="AM400" s="4"/>
      <c r="AN400" s="4"/>
    </row>
    <row r="401" spans="18:40" x14ac:dyDescent="0.2">
      <c r="R401" s="4"/>
      <c r="S401" s="4"/>
      <c r="U401" s="4"/>
      <c r="V401" s="4"/>
      <c r="X401" s="4"/>
      <c r="Y401" s="4"/>
      <c r="AI401" s="4"/>
      <c r="AJ401" s="4"/>
      <c r="AK401" s="4"/>
      <c r="AL401" s="4"/>
      <c r="AM401" s="4"/>
      <c r="AN401" s="4"/>
    </row>
    <row r="402" spans="18:40" x14ac:dyDescent="0.2">
      <c r="R402" s="4"/>
      <c r="S402" s="4"/>
      <c r="U402" s="4"/>
      <c r="V402" s="4"/>
      <c r="X402" s="4"/>
      <c r="Y402" s="4"/>
      <c r="AI402" s="4"/>
      <c r="AJ402" s="4"/>
      <c r="AK402" s="4"/>
      <c r="AL402" s="4"/>
      <c r="AM402" s="4"/>
      <c r="AN402" s="4"/>
    </row>
    <row r="403" spans="18:40" x14ac:dyDescent="0.2">
      <c r="R403" s="4"/>
      <c r="S403" s="4"/>
      <c r="U403" s="4"/>
      <c r="V403" s="4"/>
      <c r="X403" s="4"/>
      <c r="Y403" s="4"/>
      <c r="AI403" s="4"/>
      <c r="AJ403" s="4"/>
      <c r="AK403" s="4"/>
      <c r="AL403" s="4"/>
      <c r="AM403" s="4"/>
      <c r="AN403" s="4"/>
    </row>
    <row r="404" spans="18:40" x14ac:dyDescent="0.2">
      <c r="R404" s="4"/>
      <c r="S404" s="4"/>
      <c r="U404" s="4"/>
      <c r="V404" s="4"/>
      <c r="X404" s="4"/>
      <c r="Y404" s="4"/>
      <c r="AI404" s="4"/>
      <c r="AJ404" s="4"/>
      <c r="AK404" s="4"/>
      <c r="AL404" s="4"/>
      <c r="AM404" s="4"/>
      <c r="AN404" s="4"/>
    </row>
    <row r="405" spans="18:40" x14ac:dyDescent="0.2">
      <c r="R405" s="4"/>
      <c r="S405" s="4"/>
      <c r="U405" s="4"/>
      <c r="V405" s="4"/>
      <c r="X405" s="4"/>
      <c r="Y405" s="4"/>
      <c r="AI405" s="4"/>
      <c r="AJ405" s="4"/>
      <c r="AK405" s="4"/>
      <c r="AL405" s="4"/>
      <c r="AM405" s="4"/>
      <c r="AN405" s="4"/>
    </row>
    <row r="406" spans="18:40" x14ac:dyDescent="0.2">
      <c r="R406" s="4"/>
      <c r="S406" s="4"/>
      <c r="U406" s="4"/>
      <c r="V406" s="4"/>
      <c r="X406" s="4"/>
      <c r="Y406" s="4"/>
      <c r="AI406" s="4"/>
      <c r="AJ406" s="4"/>
      <c r="AK406" s="4"/>
      <c r="AL406" s="4"/>
      <c r="AM406" s="4"/>
      <c r="AN406" s="4"/>
    </row>
    <row r="408" spans="18:40" x14ac:dyDescent="0.2">
      <c r="R408" s="4"/>
      <c r="S408" s="4"/>
      <c r="U408" s="4"/>
      <c r="V408" s="4"/>
      <c r="X408" s="4"/>
      <c r="Y408" s="4"/>
      <c r="AI408" s="4"/>
      <c r="AJ408" s="4"/>
      <c r="AK408" s="4"/>
      <c r="AL408" s="4"/>
      <c r="AM408" s="4"/>
      <c r="AN408" s="4"/>
    </row>
    <row r="409" spans="18:40" x14ac:dyDescent="0.2">
      <c r="R409" s="4"/>
      <c r="S409" s="4"/>
      <c r="U409" s="4"/>
      <c r="V409" s="4"/>
      <c r="X409" s="4"/>
      <c r="Y409" s="4"/>
      <c r="AI409" s="4"/>
      <c r="AJ409" s="4"/>
      <c r="AK409" s="4"/>
      <c r="AL409" s="4"/>
      <c r="AM409" s="4"/>
      <c r="AN409" s="4"/>
    </row>
    <row r="410" spans="18:40" x14ac:dyDescent="0.2">
      <c r="R410" s="4"/>
      <c r="S410" s="4"/>
      <c r="U410" s="4"/>
      <c r="V410" s="4"/>
      <c r="X410" s="4"/>
      <c r="Y410" s="4"/>
      <c r="AI410" s="4"/>
      <c r="AJ410" s="4"/>
      <c r="AK410" s="4"/>
      <c r="AL410" s="4"/>
      <c r="AM410" s="4"/>
      <c r="AN410" s="4"/>
    </row>
    <row r="411" spans="18:40" x14ac:dyDescent="0.2">
      <c r="R411" s="4"/>
      <c r="S411" s="4"/>
      <c r="U411" s="4"/>
      <c r="V411" s="4"/>
      <c r="X411" s="4"/>
      <c r="Y411" s="4"/>
      <c r="AI411" s="4"/>
      <c r="AJ411" s="4"/>
      <c r="AK411" s="4"/>
      <c r="AL411" s="4"/>
      <c r="AM411" s="4"/>
      <c r="AN411" s="4"/>
    </row>
    <row r="412" spans="18:40" x14ac:dyDescent="0.2">
      <c r="R412" s="4"/>
      <c r="S412" s="4"/>
      <c r="U412" s="4"/>
      <c r="V412" s="4"/>
      <c r="X412" s="4"/>
      <c r="Y412" s="4"/>
      <c r="AI412" s="4"/>
      <c r="AJ412" s="4"/>
      <c r="AK412" s="4"/>
      <c r="AL412" s="4"/>
      <c r="AM412" s="4"/>
      <c r="AN412" s="4"/>
    </row>
    <row r="413" spans="18:40" x14ac:dyDescent="0.2">
      <c r="R413" s="4"/>
      <c r="S413" s="4"/>
      <c r="U413" s="4"/>
      <c r="V413" s="4"/>
      <c r="X413" s="4"/>
      <c r="Y413" s="4"/>
      <c r="AI413" s="4"/>
      <c r="AJ413" s="4"/>
      <c r="AK413" s="4"/>
      <c r="AL413" s="4"/>
      <c r="AM413" s="4"/>
      <c r="AN413" s="4"/>
    </row>
    <row r="414" spans="18:40" x14ac:dyDescent="0.2">
      <c r="R414" s="4"/>
      <c r="S414" s="4"/>
      <c r="U414" s="4"/>
      <c r="V414" s="4"/>
      <c r="X414" s="4"/>
      <c r="Y414" s="4"/>
      <c r="AI414" s="4"/>
      <c r="AJ414" s="4"/>
      <c r="AK414" s="4"/>
      <c r="AL414" s="4"/>
      <c r="AM414" s="4"/>
      <c r="AN414" s="4"/>
    </row>
    <row r="415" spans="18:40" x14ac:dyDescent="0.2">
      <c r="R415" s="4"/>
      <c r="S415" s="4"/>
      <c r="U415" s="4"/>
      <c r="V415" s="4"/>
      <c r="X415" s="4"/>
      <c r="Y415" s="4"/>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election activeCell="B5" sqref="B5"/>
    </sheetView>
  </sheetViews>
  <sheetFormatPr defaultColWidth="8.85546875" defaultRowHeight="11.25" x14ac:dyDescent="0.2"/>
  <cols>
    <col min="1" max="1" width="38.42578125" style="4" customWidth="1"/>
    <col min="2" max="2" width="15.7109375" style="6" customWidth="1"/>
    <col min="3" max="3" width="4.7109375" style="4" customWidth="1"/>
    <col min="4" max="4" width="15.7109375" style="6" customWidth="1"/>
    <col min="5" max="5" width="4.7109375" style="4" customWidth="1"/>
    <col min="6" max="6" width="15.7109375" style="6" customWidth="1"/>
    <col min="7" max="7" width="8.85546875" style="4"/>
    <col min="8" max="8" width="9" style="4" bestFit="1" customWidth="1"/>
    <col min="9" max="9" width="8.85546875" style="4"/>
    <col min="10" max="10" width="9" style="4" bestFit="1" customWidth="1"/>
    <col min="11" max="12" width="8.85546875" style="4"/>
    <col min="13" max="14" width="8.85546875" style="5"/>
    <col min="15" max="15" width="75.140625" style="4" customWidth="1"/>
    <col min="16" max="18" width="8.85546875" style="4"/>
    <col min="19" max="19" width="12" style="5" customWidth="1"/>
    <col min="20" max="16384" width="8.85546875" style="4"/>
  </cols>
  <sheetData>
    <row r="2" spans="1:32" x14ac:dyDescent="0.2">
      <c r="A2" s="4" t="s">
        <v>2057</v>
      </c>
      <c r="B2" s="33" t="str">
        <f>IF(OR(gemeentecode="GM9999",E!A2&lt;&gt;""),"Generiek",Invoer!S4)</f>
        <v>Haarlemmermeer</v>
      </c>
      <c r="N2" s="106" t="s">
        <v>908</v>
      </c>
      <c r="O2" s="104"/>
      <c r="P2" s="104"/>
      <c r="Q2" s="104"/>
      <c r="R2" s="104"/>
      <c r="S2" s="105"/>
      <c r="T2" s="104"/>
      <c r="U2" s="104"/>
      <c r="V2" s="104"/>
      <c r="W2" s="104"/>
      <c r="X2" s="104"/>
      <c r="Y2" s="104"/>
      <c r="Z2" s="104"/>
      <c r="AA2" s="104"/>
      <c r="AB2" s="104"/>
      <c r="AC2" s="104"/>
      <c r="AD2" s="104"/>
    </row>
    <row r="3" spans="1:32" x14ac:dyDescent="0.2">
      <c r="A3" s="4" t="s">
        <v>2058</v>
      </c>
      <c r="B3" s="33" t="str">
        <f>IF(OR(gemeentecode="GM9999",Invoer!$T$6=TRUE,E!A2&lt;&gt;""),"Toetsing: generiek",CONCATENATE("Toetsing: gemeente ",B2))</f>
        <v>Toetsing: gemeente Haarlemmermeer</v>
      </c>
      <c r="N3" s="105"/>
      <c r="O3" s="104"/>
      <c r="P3" s="104"/>
      <c r="Q3" s="104"/>
      <c r="R3" s="104"/>
      <c r="S3" s="105"/>
      <c r="T3" s="104"/>
      <c r="U3" s="104"/>
      <c r="V3" s="104"/>
      <c r="W3" s="104"/>
      <c r="X3" s="104"/>
      <c r="Y3" s="104"/>
      <c r="Z3" s="104"/>
      <c r="AA3" s="104"/>
      <c r="AB3" s="104"/>
      <c r="AC3" s="104"/>
      <c r="AD3" s="104"/>
    </row>
    <row r="4" spans="1:32" x14ac:dyDescent="0.2">
      <c r="A4" s="4" t="s">
        <v>2152</v>
      </c>
      <c r="B4" s="33" t="str">
        <f>IF(B2="Generiek","(generiek beleid)",CONCATENATE("(waarden geldend in de gemeente ",B2,")"))</f>
        <v>(waarden geldend in de gemeente Haarlemmermeer)</v>
      </c>
      <c r="N4" s="105" t="s">
        <v>45</v>
      </c>
      <c r="O4" s="104" t="s">
        <v>2131</v>
      </c>
      <c r="P4" s="104"/>
      <c r="Q4" s="104"/>
      <c r="R4" s="104"/>
      <c r="S4" s="105"/>
      <c r="T4" s="104"/>
      <c r="U4" s="104"/>
      <c r="V4" s="104"/>
      <c r="W4" s="104"/>
      <c r="X4" s="104"/>
      <c r="Y4" s="104"/>
      <c r="Z4" s="104"/>
      <c r="AA4" s="104"/>
      <c r="AB4" s="104"/>
      <c r="AC4" s="104"/>
      <c r="AD4" s="104"/>
    </row>
    <row r="5" spans="1:32" x14ac:dyDescent="0.2">
      <c r="N5" s="105" t="s">
        <v>46</v>
      </c>
      <c r="O5" s="104" t="s">
        <v>2130</v>
      </c>
      <c r="P5" s="104"/>
      <c r="Q5" s="104"/>
      <c r="R5" s="104"/>
      <c r="S5" s="105"/>
      <c r="T5" s="104"/>
      <c r="U5" s="104"/>
      <c r="V5" s="104"/>
      <c r="W5" s="104"/>
      <c r="X5" s="104"/>
      <c r="Y5" s="104"/>
      <c r="Z5" s="104"/>
      <c r="AA5" s="104"/>
      <c r="AB5" s="104"/>
      <c r="AC5" s="104"/>
      <c r="AD5" s="104"/>
    </row>
    <row r="6" spans="1:32" x14ac:dyDescent="0.2">
      <c r="A6" s="4" t="s">
        <v>2078</v>
      </c>
      <c r="B6" s="100" t="str">
        <f>Invoer!C18</f>
        <v>MM04</v>
      </c>
      <c r="D6" s="100" t="str">
        <f>Invoer!E18</f>
        <v>MM05</v>
      </c>
      <c r="F6" s="100" t="str">
        <f>Invoer!G18</f>
        <v>MM06</v>
      </c>
      <c r="N6" s="105" t="s">
        <v>47</v>
      </c>
      <c r="O6" s="104" t="s">
        <v>2129</v>
      </c>
      <c r="P6" s="104"/>
      <c r="Q6" s="104"/>
      <c r="R6" s="104"/>
      <c r="S6" s="105"/>
      <c r="T6" s="104"/>
      <c r="U6" s="104"/>
      <c r="V6" s="104"/>
      <c r="W6" s="104"/>
      <c r="X6" s="104"/>
      <c r="Y6" s="104"/>
      <c r="Z6" s="104"/>
      <c r="AA6" s="104"/>
      <c r="AB6" s="104"/>
      <c r="AC6" s="104"/>
      <c r="AD6" s="104"/>
    </row>
    <row r="7" spans="1:32" x14ac:dyDescent="0.2">
      <c r="N7" s="105" t="s">
        <v>48</v>
      </c>
      <c r="O7" s="104" t="s">
        <v>2128</v>
      </c>
      <c r="P7" s="104"/>
      <c r="Q7" s="104"/>
      <c r="R7" s="104"/>
      <c r="S7" s="105"/>
      <c r="T7" s="104"/>
      <c r="U7" s="104"/>
      <c r="V7" s="104"/>
      <c r="W7" s="104"/>
      <c r="X7" s="104"/>
      <c r="Y7" s="104"/>
      <c r="Z7" s="104"/>
      <c r="AA7" s="104"/>
      <c r="AB7" s="104"/>
      <c r="AC7" s="104"/>
      <c r="AD7" s="104"/>
    </row>
    <row r="8" spans="1:32" x14ac:dyDescent="0.2">
      <c r="A8" s="4" t="s">
        <v>265</v>
      </c>
      <c r="B8" s="6">
        <f>COUNTA(G!R12:R326,G!R362:R368)-COUNTBLANK(G!R12:R326)-COUNTBLANK(G!R362:R368)</f>
        <v>12</v>
      </c>
      <c r="D8" s="6">
        <f>COUNTA(G!U12:U326,G!U362:U368)-COUNTBLANK(G!U12:U326)-COUNTBLANK(G!U362:U368)</f>
        <v>12</v>
      </c>
      <c r="F8" s="6">
        <f>COUNTA(G!X12:X326,G!X362:X368)-COUNTBLANK(G!X12:X326)-COUNTBLANK(G!X362:X368)</f>
        <v>12</v>
      </c>
      <c r="N8" s="105" t="s">
        <v>817</v>
      </c>
      <c r="O8" s="104" t="s">
        <v>2127</v>
      </c>
      <c r="P8" s="104"/>
      <c r="Q8" s="104"/>
      <c r="R8" s="104" t="s">
        <v>2134</v>
      </c>
      <c r="S8" s="105"/>
      <c r="T8" s="104"/>
      <c r="U8" s="106"/>
      <c r="V8" s="106"/>
      <c r="W8" s="106"/>
      <c r="X8" s="106"/>
      <c r="Y8" s="104"/>
      <c r="Z8" s="104"/>
      <c r="AA8" s="104"/>
      <c r="AB8" s="105"/>
      <c r="AC8" s="105"/>
      <c r="AD8" s="106"/>
      <c r="AE8" s="33"/>
      <c r="AF8" s="33"/>
    </row>
    <row r="9" spans="1:32" x14ac:dyDescent="0.2">
      <c r="A9" s="4" t="s">
        <v>2092</v>
      </c>
      <c r="B9" s="6">
        <f>IF(B8&lt;2,0,(IF(B8&lt;7,1,(IF(B8&lt;16,2,(IF(B8&lt;27,3,(IF(B8&lt;37,4,5)))))))))</f>
        <v>2</v>
      </c>
      <c r="D9" s="6">
        <f>IF(D8&lt;2,0,(IF(D8&lt;7,1,(IF(D8&lt;16,2,(IF(D8&lt;27,3,(IF(D8&lt;37,4,5)))))))))</f>
        <v>2</v>
      </c>
      <c r="F9" s="6">
        <f>IF(F8&lt;2,0,(IF(F8&lt;7,1,(IF(F8&lt;16,2,(IF(F8&lt;27,3,(IF(F8&lt;37,4,5)))))))))</f>
        <v>2</v>
      </c>
      <c r="N9" s="105"/>
      <c r="O9" s="104"/>
      <c r="P9" s="104"/>
      <c r="Q9" s="104"/>
      <c r="R9" s="104"/>
      <c r="S9" s="105"/>
      <c r="T9" s="104"/>
      <c r="U9" s="104"/>
      <c r="V9" s="104"/>
      <c r="W9" s="104"/>
      <c r="X9" s="104"/>
      <c r="Y9" s="104"/>
      <c r="Z9" s="104"/>
      <c r="AA9" s="104"/>
      <c r="AB9" s="104"/>
      <c r="AC9" s="104"/>
      <c r="AD9" s="104"/>
    </row>
    <row r="10" spans="1:32" x14ac:dyDescent="0.2">
      <c r="A10" s="4" t="s">
        <v>2090</v>
      </c>
      <c r="B10" s="6">
        <f>IF(B8&lt;7,0,(IF(B8&lt;16,2,(IF(B8&lt;27,3,(IF(B8&lt;37,4,5)))))))</f>
        <v>2</v>
      </c>
      <c r="D10" s="6">
        <f>IF(D8&lt;7,0,(IF(D8&lt;16,2,(IF(D8&lt;27,3,(IF(D8&lt;37,4,5)))))))</f>
        <v>2</v>
      </c>
      <c r="F10" s="6">
        <f>IF(F8&lt;7,0,(IF(F8&lt;16,2,(IF(F8&lt;27,3,(IF(F8&lt;37,4,5)))))))</f>
        <v>2</v>
      </c>
      <c r="M10" s="103"/>
      <c r="N10" s="105" t="str">
        <f>IF(O10="","","(1)")</f>
        <v>(1)</v>
      </c>
      <c r="O10" s="104" t="str">
        <f>IFERROR(VLOOKUP(SMALL($R$11:$R$60,1),$R$11:$T$60,3,FALSE),"")</f>
        <v>Omgerekend naar standaardbodem (organische stof = 10 gew.%ds en lutum = 25 gew.%ds).</v>
      </c>
      <c r="P10" s="104" t="str">
        <f>N10</f>
        <v>(1)</v>
      </c>
      <c r="Q10" s="104"/>
      <c r="R10" s="104"/>
      <c r="S10" s="105" t="s">
        <v>2135</v>
      </c>
      <c r="T10" s="104" t="s">
        <v>2136</v>
      </c>
      <c r="U10" s="104"/>
      <c r="V10" s="104"/>
      <c r="W10" s="104"/>
      <c r="X10" s="104"/>
      <c r="Y10" s="104"/>
      <c r="Z10" s="104"/>
      <c r="AA10" s="104"/>
      <c r="AB10" s="104"/>
      <c r="AC10" s="104"/>
      <c r="AD10" s="104"/>
    </row>
    <row r="11" spans="1:32" x14ac:dyDescent="0.2">
      <c r="A11" s="4" t="s">
        <v>58</v>
      </c>
      <c r="B11" s="6" t="str">
        <f>IF(COUNT(F!E14,F!E16,F!E21:'F'!E23,F!E26:'F'!E28,F!E32:'F'!E42,F!E49:'F'!E57,F!E248)-COUNTIF((F!E14),0)-COUNTIF((F!E16),0)-COUNTIF((F!E21:'F'!E23),0)-COUNTIF((F!E26:'F'!E28),0)-COUNTIF((F!E32:'F'!E42),0)-COUNTIF((F!E49:'F'!E57),0)-COUNTIF((F!E248),0)=29,"ja","nee")</f>
        <v>ja</v>
      </c>
      <c r="C11" s="6"/>
      <c r="D11" s="6" t="str">
        <f>IF(COUNT(F!G14,F!G16,F!G21:'F'!G23,F!G26:'F'!G28,F!G32:'F'!G42,F!G49:'F'!G57,F!G248)-COUNTIF((F!G14),0)-COUNTIF((F!G16),0)-COUNTIF((F!G21:'F'!G23),0)-COUNTIF((F!G26:'F'!G28),0)-COUNTIF((F!G32:'F'!G42),0)-COUNTIF((F!G49:'F'!G57),0)-COUNTIF((F!G248),0)=29,"ja","nee")</f>
        <v>ja</v>
      </c>
      <c r="E11" s="6"/>
      <c r="F11" s="6" t="str">
        <f>IF(COUNT(F!I14,F!I16,F!I21:'F'!I23,F!I26:'F'!I28,F!I32:'F'!I42,F!I49:'F'!I57,F!I248)-COUNTIF((F!I14),0)-COUNTIF((F!I16),0)-COUNTIF((F!I21:'F'!I23),0)-COUNTIF((F!I26:'F'!I28),0)-COUNTIF((F!I32:'F'!I42),0)-COUNTIF((F!I49:'F'!I57),0)-COUNTIF((F!I248),0)=29,"ja","nee")</f>
        <v>ja</v>
      </c>
      <c r="G11" s="6"/>
      <c r="H11" s="6"/>
      <c r="I11" s="6"/>
      <c r="J11" s="6"/>
      <c r="N11" s="105" t="str">
        <f>IF(O11="","","(2)")</f>
        <v>(2)</v>
      </c>
      <c r="O11" s="104" t="str">
        <f>IFERROR(VLOOKUP(SMALL($R$11:$R$60,2),$R$11:$T$60,3,FALSE),"")</f>
        <v>Indeling in kwaliteitsklassen ten behoeve van hergebruik van de grond.</v>
      </c>
      <c r="P11" s="104" t="str">
        <f t="shared" ref="P11:P59" si="0">N11</f>
        <v>(2)</v>
      </c>
      <c r="Q11" s="104"/>
      <c r="R11" s="104">
        <f>IF(S11="ja",1,"")</f>
        <v>1</v>
      </c>
      <c r="S11" s="105" t="s">
        <v>2144</v>
      </c>
      <c r="T11" s="104" t="s">
        <v>177</v>
      </c>
      <c r="U11" s="104"/>
      <c r="V11" s="104"/>
      <c r="W11" s="104"/>
      <c r="X11" s="104"/>
      <c r="Y11" s="104"/>
      <c r="Z11" s="104"/>
      <c r="AA11" s="104"/>
      <c r="AB11" s="104"/>
      <c r="AC11" s="104"/>
      <c r="AD11" s="104"/>
    </row>
    <row r="12" spans="1:32" x14ac:dyDescent="0.2">
      <c r="A12" s="4" t="s">
        <v>2079</v>
      </c>
      <c r="B12" s="6">
        <f>COUNTIF((G!R12:'G'!R326),"●●●●")+COUNTIF((G!R362:'G'!R368),"●●●●")</f>
        <v>0</v>
      </c>
      <c r="D12" s="6">
        <f>COUNTIF((G!U12:'G'!U326),"●●●●")+COUNTIF((G!U362:'G'!U368),"●●●●")</f>
        <v>0</v>
      </c>
      <c r="F12" s="6">
        <f>COUNTIF((G!X12:'G'!X326),"●●●●")+COUNTIF((G!X362:'G'!X368),"●●●●")</f>
        <v>0</v>
      </c>
      <c r="K12" s="6"/>
      <c r="N12" s="105" t="str">
        <f>IF(O12="","","(3)")</f>
        <v/>
      </c>
      <c r="O12" s="104" t="str">
        <f>IFERROR(VLOOKUP(SMALL($R$11:$R$60,3),$R$11:$T$60,3,FALSE),"")</f>
        <v/>
      </c>
      <c r="P12" s="104" t="str">
        <f t="shared" si="0"/>
        <v/>
      </c>
      <c r="Q12" s="104"/>
      <c r="R12" s="104">
        <f>IF(S12="ja",2,"")</f>
        <v>2</v>
      </c>
      <c r="S12" s="105" t="str">
        <f>IF(OR(AND($B$40="--",$D$40="--",$F$40="--",$B$43="--",$D$43="--",$F$43="--"),Invoer!$T$30=FALSE),"nee","ja")</f>
        <v>ja</v>
      </c>
      <c r="T12" s="104" t="s">
        <v>2412</v>
      </c>
      <c r="U12" s="104"/>
      <c r="V12" s="104"/>
      <c r="W12" s="104"/>
      <c r="X12" s="104"/>
      <c r="Y12" s="104"/>
      <c r="Z12" s="104"/>
      <c r="AA12" s="104"/>
      <c r="AB12" s="104"/>
      <c r="AC12" s="104"/>
      <c r="AD12" s="104"/>
    </row>
    <row r="13" spans="1:32" x14ac:dyDescent="0.2">
      <c r="A13" s="4" t="s">
        <v>2080</v>
      </c>
      <c r="B13" s="6">
        <f>COUNTIF((G!R12:'G'!R326),"●●●")+COUNTIF((G!R362:'G'!R368),"●●●")</f>
        <v>0</v>
      </c>
      <c r="D13" s="6">
        <f>COUNTIF((G!U12:'G'!U326),"●●●")+COUNTIF((G!U362:'G'!U368),"●●●")</f>
        <v>0</v>
      </c>
      <c r="F13" s="6">
        <f>COUNTIF((G!X12:'G'!X326),"●●●")+COUNTIF((G!X362:'G'!X368),"●●●")</f>
        <v>0</v>
      </c>
      <c r="N13" s="105" t="str">
        <f>IF(O13="","","(4)")</f>
        <v/>
      </c>
      <c r="O13" s="104" t="str">
        <f>IFERROR(VLOOKUP(SMALL($R$11:$R$60,4),$R$11:$T$60,3,FALSE),"")</f>
        <v/>
      </c>
      <c r="P13" s="104" t="str">
        <f t="shared" si="0"/>
        <v/>
      </c>
      <c r="Q13" s="104"/>
      <c r="R13" s="104" t="str">
        <f>IF(S13="ja",3,"")</f>
        <v/>
      </c>
      <c r="S13" s="105" t="str">
        <f>IF(OR(AND($B$41="--",$D$41="--",$F$41="--",$B$43="--",$D$43="--",$F$43="--"),Invoer!$S$30=FALSE),"nee","ja")</f>
        <v>nee</v>
      </c>
      <c r="T13" s="104" t="s">
        <v>2413</v>
      </c>
      <c r="U13" s="104"/>
      <c r="V13" s="104"/>
      <c r="W13" s="104"/>
      <c r="X13" s="104"/>
      <c r="Y13" s="104"/>
      <c r="Z13" s="104"/>
      <c r="AA13" s="104"/>
      <c r="AB13" s="104"/>
      <c r="AC13" s="104"/>
      <c r="AD13" s="104"/>
    </row>
    <row r="14" spans="1:32" x14ac:dyDescent="0.2">
      <c r="A14" s="4" t="s">
        <v>2081</v>
      </c>
      <c r="B14" s="6">
        <f>COUNTIF((G!R12:'G'!R326),"●●")+COUNTIF((G!R362:'G'!R368),"●●")</f>
        <v>0</v>
      </c>
      <c r="D14" s="6">
        <f>COUNTIF((G!U12:'G'!U326),"●●")+COUNTIF((G!U362:'G'!U368),"●●")</f>
        <v>0</v>
      </c>
      <c r="F14" s="6">
        <f>COUNTIF((G!X12:'G'!X326),"●●")+COUNTIF((G!X362:'G'!X368),"●●")</f>
        <v>0</v>
      </c>
      <c r="N14" s="105" t="str">
        <f>IF(O14="","","(5)")</f>
        <v/>
      </c>
      <c r="O14" s="104" t="str">
        <f>IFERROR(VLOOKUP(SMALL($R$11:$R$60,5),$R$11:$T$60,3,FALSE),"")</f>
        <v/>
      </c>
      <c r="P14" s="104" t="str">
        <f t="shared" si="0"/>
        <v/>
      </c>
      <c r="Q14" s="104"/>
      <c r="R14" s="104" t="str">
        <f>IF(S14="ja",4,"")</f>
        <v/>
      </c>
      <c r="S14" s="105" t="str">
        <f>IF(B19+D19+F19&gt;0,"ja","nee")</f>
        <v>nee</v>
      </c>
      <c r="T14" s="106" t="s">
        <v>2149</v>
      </c>
      <c r="U14" s="104"/>
      <c r="V14" s="104"/>
      <c r="W14" s="104"/>
      <c r="X14" s="104"/>
      <c r="Y14" s="104"/>
      <c r="Z14" s="104"/>
      <c r="AA14" s="104"/>
      <c r="AB14" s="104"/>
      <c r="AC14" s="104"/>
      <c r="AD14" s="104"/>
    </row>
    <row r="15" spans="1:32" x14ac:dyDescent="0.2">
      <c r="A15" s="4" t="s">
        <v>2082</v>
      </c>
      <c r="B15" s="6">
        <f>COUNTIF((G!R12:'G'!R326),"●")+COUNTIF((G!R362:'G'!R368),"●")</f>
        <v>0</v>
      </c>
      <c r="D15" s="6">
        <f>COUNTIF((G!U12:'G'!U326),"●")+COUNTIF((G!U362:'G'!U368),"●")</f>
        <v>0</v>
      </c>
      <c r="F15" s="6">
        <f>COUNTIF((G!X12:'G'!X326),"●")+COUNTIF((G!X362:'G'!X368),"●")</f>
        <v>0</v>
      </c>
      <c r="N15" s="105" t="str">
        <f>IF(O15="","","(6)")</f>
        <v/>
      </c>
      <c r="O15" s="104" t="str">
        <f>IFERROR(VLOOKUP(SMALL($R$11:$R$60,6),$R$11:$T$60,3,FALSE),"")</f>
        <v/>
      </c>
      <c r="P15" s="104" t="str">
        <f t="shared" si="0"/>
        <v/>
      </c>
      <c r="Q15" s="104"/>
      <c r="R15" s="104" t="str">
        <f>IF(S15="ja",5,"")</f>
        <v/>
      </c>
      <c r="S15" s="105"/>
      <c r="T15" s="104"/>
      <c r="U15" s="104"/>
      <c r="V15" s="104"/>
      <c r="W15" s="104"/>
      <c r="X15" s="104"/>
      <c r="Y15" s="104"/>
      <c r="Z15" s="104"/>
      <c r="AA15" s="104"/>
      <c r="AB15" s="104"/>
      <c r="AC15" s="104"/>
      <c r="AD15" s="104"/>
    </row>
    <row r="16" spans="1:32" x14ac:dyDescent="0.2">
      <c r="A16" s="4" t="s">
        <v>2083</v>
      </c>
      <c r="B16" s="6">
        <f>COUNTIF((G!R12:'G'!R326),"●●")+COUNTIF((G!R362:'G'!R368),"●●")-COUNTIF(G!R28,"●●")</f>
        <v>0</v>
      </c>
      <c r="D16" s="6">
        <f>COUNTIF((G!U12:'G'!U326),"●●")+COUNTIF((G!U362:'G'!U368),"●●")-COUNTIF(G!U28,"●●")</f>
        <v>0</v>
      </c>
      <c r="F16" s="6">
        <f>COUNTIF((G!X12:'G'!X326),"●●")+COUNTIF((G!X362:'G'!X368),"●●")-COUNTIF(G!X28,"●●")</f>
        <v>0</v>
      </c>
      <c r="N16" s="105" t="str">
        <f>IF(O16="","","(7)")</f>
        <v/>
      </c>
      <c r="O16" s="104" t="str">
        <f>IFERROR(VLOOKUP(SMALL($R$11:$R$60,7),$R$11:$T$60,3,FALSE),"")</f>
        <v/>
      </c>
      <c r="P16" s="104" t="str">
        <f t="shared" si="0"/>
        <v/>
      </c>
      <c r="Q16" s="104"/>
      <c r="R16" s="104" t="str">
        <f>IF(S16="ja",6,"")</f>
        <v/>
      </c>
      <c r="S16" s="105"/>
      <c r="T16" s="104"/>
      <c r="U16" s="104"/>
      <c r="V16" s="104"/>
      <c r="W16" s="104"/>
      <c r="X16" s="104"/>
      <c r="Y16" s="104"/>
      <c r="Z16" s="104"/>
      <c r="AA16" s="104"/>
      <c r="AB16" s="104"/>
      <c r="AC16" s="104"/>
      <c r="AD16" s="104"/>
    </row>
    <row r="17" spans="1:30" x14ac:dyDescent="0.2">
      <c r="A17" s="4" t="s">
        <v>2084</v>
      </c>
      <c r="B17" s="6">
        <f>SUM(G!AA12:AA326,G!AA362:AA368)</f>
        <v>0</v>
      </c>
      <c r="D17" s="6">
        <f>SUM(G!AB12:AB326,G!AB362:AB368)</f>
        <v>0</v>
      </c>
      <c r="F17" s="6">
        <f>SUM(G!AC12:AC326,G!AC362:AC368)</f>
        <v>0</v>
      </c>
      <c r="N17" s="105" t="str">
        <f>IF(O17="","","(8)")</f>
        <v/>
      </c>
      <c r="O17" s="104" t="str">
        <f>IFERROR(VLOOKUP(SMALL($R$11:$R$60,8),$R$11:$T$60,3,FALSE),"")</f>
        <v/>
      </c>
      <c r="P17" s="104" t="str">
        <f t="shared" si="0"/>
        <v/>
      </c>
      <c r="Q17" s="104"/>
      <c r="R17" s="104" t="str">
        <f>IF(S17="ja",7,"")</f>
        <v/>
      </c>
      <c r="S17" s="105"/>
      <c r="T17" s="104"/>
      <c r="U17" s="104"/>
      <c r="V17" s="104"/>
      <c r="W17" s="104"/>
      <c r="X17" s="104"/>
      <c r="Y17" s="104"/>
      <c r="Z17" s="104"/>
      <c r="AA17" s="104"/>
      <c r="AB17" s="104"/>
      <c r="AC17" s="104"/>
      <c r="AD17" s="104"/>
    </row>
    <row r="18" spans="1:30" x14ac:dyDescent="0.2">
      <c r="A18" s="4" t="s">
        <v>2088</v>
      </c>
      <c r="B18" s="6">
        <f>SUM(G!AE12:AE326,G!AE362:AE368)</f>
        <v>0</v>
      </c>
      <c r="D18" s="6">
        <f>SUM(G!AF12:AF326,G!AF362:AF368)</f>
        <v>0</v>
      </c>
      <c r="F18" s="6">
        <f>SUM(G!AG12:AG326,G!AG362:AG368)</f>
        <v>0</v>
      </c>
      <c r="N18" s="105" t="str">
        <f>IF(O18="","","(9)")</f>
        <v/>
      </c>
      <c r="O18" s="104" t="str">
        <f>IFERROR(VLOOKUP(SMALL($R$11:$R$60,9),$R$11:$T$60,3,FALSE),"")</f>
        <v/>
      </c>
      <c r="P18" s="104" t="str">
        <f t="shared" si="0"/>
        <v/>
      </c>
      <c r="Q18" s="104"/>
      <c r="R18" s="104" t="str">
        <f>IF(S18="ja",8,"")</f>
        <v/>
      </c>
      <c r="S18" s="105"/>
      <c r="T18" s="104"/>
      <c r="U18" s="104"/>
      <c r="V18" s="104"/>
      <c r="W18" s="104"/>
      <c r="X18" s="104"/>
      <c r="Y18" s="104"/>
      <c r="Z18" s="104"/>
      <c r="AA18" s="104"/>
      <c r="AB18" s="104"/>
      <c r="AC18" s="104"/>
      <c r="AD18" s="104"/>
    </row>
    <row r="19" spans="1:30" x14ac:dyDescent="0.2">
      <c r="A19" s="4" t="s">
        <v>2140</v>
      </c>
      <c r="B19" s="6">
        <f>COUNTIF(G!S12:'G'!S368,"nee")</f>
        <v>0</v>
      </c>
      <c r="D19" s="6">
        <f>COUNTIF(G!V12:'G'!V368,"nee")</f>
        <v>0</v>
      </c>
      <c r="F19" s="6">
        <f>COUNTIF(G!Y12:'G'!Y368,"nee")</f>
        <v>0</v>
      </c>
      <c r="N19" s="105" t="str">
        <f>IF(O19="","","(10)")</f>
        <v/>
      </c>
      <c r="O19" s="104" t="str">
        <f>IFERROR(VLOOKUP(SMALL($R$11:$R$60,10),$R$11:$T$60,3,FALSE),"")</f>
        <v/>
      </c>
      <c r="P19" s="104" t="str">
        <f t="shared" si="0"/>
        <v/>
      </c>
      <c r="Q19" s="104"/>
      <c r="R19" s="104" t="str">
        <f>IF(S19="ja",9,"")</f>
        <v/>
      </c>
      <c r="S19" s="105"/>
      <c r="T19" s="104"/>
      <c r="U19" s="104"/>
      <c r="V19" s="104"/>
      <c r="W19" s="104"/>
      <c r="X19" s="104"/>
      <c r="Y19" s="104"/>
      <c r="Z19" s="104"/>
      <c r="AA19" s="104"/>
      <c r="AB19" s="104"/>
      <c r="AC19" s="104"/>
      <c r="AD19" s="104"/>
    </row>
    <row r="20" spans="1:30" x14ac:dyDescent="0.2">
      <c r="A20" s="4" t="s">
        <v>2086</v>
      </c>
      <c r="B20" s="6" t="str">
        <f>IF(G!Q28&lt;=2*VLOOKUP(F!$B28,E!$B$1:$AK$300,5,FALSE),"ja","nee")</f>
        <v>ja</v>
      </c>
      <c r="D20" s="6" t="str">
        <f>IF(G!T28&lt;=2*VLOOKUP(F!$B28,E!$B$1:$AK$300,5,FALSE),"ja","nee")</f>
        <v>ja</v>
      </c>
      <c r="F20" s="6" t="str">
        <f>IF(G!W28&lt;=2*VLOOKUP(F!$B28,E!$B$1:$AK$300,5,FALSE),"ja","nee")</f>
        <v>ja</v>
      </c>
      <c r="N20" s="105" t="str">
        <f>IF(O20="","","(11)")</f>
        <v/>
      </c>
      <c r="O20" s="104" t="str">
        <f>IFERROR(VLOOKUP(SMALL($R$11:$R$60,11),$R$11:$T$60,3,FALSE),"")</f>
        <v/>
      </c>
      <c r="P20" s="104" t="str">
        <f t="shared" si="0"/>
        <v/>
      </c>
      <c r="Q20" s="104"/>
      <c r="R20" s="104" t="str">
        <f>IF(S20="ja",10,"")</f>
        <v/>
      </c>
      <c r="S20" s="105"/>
      <c r="T20" s="104"/>
      <c r="U20" s="104"/>
      <c r="V20" s="104"/>
      <c r="W20" s="104"/>
      <c r="X20" s="104"/>
      <c r="Y20" s="104"/>
      <c r="Z20" s="104"/>
      <c r="AA20" s="104"/>
      <c r="AB20" s="104"/>
      <c r="AC20" s="104"/>
      <c r="AD20" s="104"/>
    </row>
    <row r="21" spans="1:30" x14ac:dyDescent="0.2">
      <c r="A21" s="4" t="s">
        <v>2091</v>
      </c>
      <c r="B21" s="6" t="str">
        <f>IF(AND(B13=0,B16=0,B17=0,B15&lt;=B9,B20="ja"),"ja","nee")</f>
        <v>ja</v>
      </c>
      <c r="D21" s="6" t="str">
        <f>IF(AND(D13=0,D16=0,D17=0,D15&lt;=D9,D20="ja"),"ja","nee")</f>
        <v>ja</v>
      </c>
      <c r="F21" s="6" t="str">
        <f>IF(AND(F13=0,F16=0,F17=0,F15&lt;=F9,F20="ja"),"ja","nee")</f>
        <v>ja</v>
      </c>
      <c r="N21" s="105" t="str">
        <f>IF(O21="","","(12)")</f>
        <v/>
      </c>
      <c r="O21" s="104" t="str">
        <f>IFERROR(VLOOKUP(SMALL($R$11:$R$60,12),$R$11:$T$60,3,FALSE),"")</f>
        <v/>
      </c>
      <c r="P21" s="104" t="str">
        <f t="shared" si="0"/>
        <v/>
      </c>
      <c r="Q21" s="104"/>
      <c r="R21" s="104" t="str">
        <f>IF(S21="ja",11,"")</f>
        <v/>
      </c>
      <c r="S21" s="105"/>
      <c r="T21" s="104"/>
      <c r="U21" s="104"/>
      <c r="V21" s="104"/>
      <c r="W21" s="104"/>
      <c r="X21" s="104"/>
      <c r="Y21" s="104"/>
      <c r="Z21" s="104"/>
      <c r="AA21" s="104"/>
      <c r="AB21" s="104"/>
      <c r="AC21" s="104"/>
      <c r="AD21" s="104"/>
    </row>
    <row r="22" spans="1:30" x14ac:dyDescent="0.2">
      <c r="A22" s="4" t="s">
        <v>2087</v>
      </c>
      <c r="B22" s="6" t="str">
        <f>IF(AND(B14&lt;=B10,B18=0,B13=0),"ja","nee")</f>
        <v>ja</v>
      </c>
      <c r="D22" s="6" t="str">
        <f>IF(AND(D14&lt;=D10,D18=0,D13=0),"ja","nee")</f>
        <v>ja</v>
      </c>
      <c r="F22" s="6" t="str">
        <f>IF(AND(F14&lt;=F10,F18=0,F13=0),"ja","nee")</f>
        <v>ja</v>
      </c>
      <c r="N22" s="105" t="str">
        <f>IF(O22="","","(13)")</f>
        <v/>
      </c>
      <c r="O22" s="104" t="str">
        <f>IFERROR(VLOOKUP(SMALL($R$11:$R$60,13),$R$11:$T$60,3,FALSE),"")</f>
        <v/>
      </c>
      <c r="P22" s="104" t="str">
        <f t="shared" si="0"/>
        <v/>
      </c>
      <c r="Q22" s="104"/>
      <c r="R22" s="104" t="str">
        <f>IF(S22="ja",12,"")</f>
        <v/>
      </c>
      <c r="S22" s="105"/>
      <c r="T22" s="104"/>
      <c r="U22" s="104"/>
      <c r="V22" s="104"/>
      <c r="W22" s="104"/>
      <c r="X22" s="104"/>
      <c r="Y22" s="104"/>
      <c r="Z22" s="104"/>
      <c r="AA22" s="104"/>
      <c r="AB22" s="104"/>
      <c r="AC22" s="104"/>
      <c r="AD22" s="104"/>
    </row>
    <row r="23" spans="1:30" x14ac:dyDescent="0.2">
      <c r="A23" s="4" t="s">
        <v>2093</v>
      </c>
      <c r="B23" s="6" t="str">
        <f>IF(B12&gt;=1,"ja","nee")</f>
        <v>nee</v>
      </c>
      <c r="D23" s="6" t="str">
        <f>IF(D12&gt;=1,"ja","nee")</f>
        <v>nee</v>
      </c>
      <c r="F23" s="6" t="str">
        <f>IF(F12&gt;=1,"ja","nee")</f>
        <v>nee</v>
      </c>
      <c r="N23" s="105" t="str">
        <f>IF(O23="","","(14)")</f>
        <v/>
      </c>
      <c r="O23" s="104" t="str">
        <f>IFERROR(VLOOKUP(SMALL($R$11:$R$60,14),$R$11:$T$60,3,FALSE),"")</f>
        <v/>
      </c>
      <c r="P23" s="104" t="str">
        <f t="shared" si="0"/>
        <v/>
      </c>
      <c r="Q23" s="104"/>
      <c r="R23" s="104" t="str">
        <f>IF(S23="ja",13,"")</f>
        <v/>
      </c>
      <c r="S23" s="105"/>
      <c r="T23" s="104"/>
      <c r="U23" s="104"/>
      <c r="V23" s="104"/>
      <c r="W23" s="104"/>
      <c r="X23" s="104"/>
      <c r="Y23" s="104"/>
      <c r="Z23" s="104"/>
      <c r="AA23" s="104"/>
      <c r="AB23" s="104"/>
      <c r="AC23" s="104"/>
      <c r="AD23" s="104"/>
    </row>
    <row r="24" spans="1:30" x14ac:dyDescent="0.2">
      <c r="A24" s="4" t="s">
        <v>2094</v>
      </c>
      <c r="B24" s="6" t="str">
        <f>IF(AND(B23="nee",B13&gt;=1),"ja","nee")</f>
        <v>nee</v>
      </c>
      <c r="D24" s="6" t="str">
        <f>IF(AND(D23="nee",D13&gt;=1),"ja","nee")</f>
        <v>nee</v>
      </c>
      <c r="F24" s="6" t="str">
        <f>IF(AND(F23="nee",F13&gt;=1),"ja","nee")</f>
        <v>nee</v>
      </c>
      <c r="N24" s="105" t="str">
        <f>IF(O24="","","(15)")</f>
        <v/>
      </c>
      <c r="O24" s="104" t="str">
        <f>IFERROR(VLOOKUP(SMALL($R$11:$R$60,15),$R$11:$T$60,3,FALSE),"")</f>
        <v/>
      </c>
      <c r="P24" s="104" t="str">
        <f t="shared" si="0"/>
        <v/>
      </c>
      <c r="Q24" s="104"/>
      <c r="R24" s="104" t="str">
        <f>IF(S24="ja",14,"")</f>
        <v/>
      </c>
      <c r="S24" s="105"/>
      <c r="T24" s="104"/>
      <c r="U24" s="104"/>
      <c r="V24" s="104"/>
      <c r="W24" s="104"/>
      <c r="X24" s="104"/>
      <c r="Y24" s="104"/>
      <c r="Z24" s="104"/>
      <c r="AA24" s="104"/>
      <c r="AB24" s="104"/>
      <c r="AC24" s="104"/>
      <c r="AD24" s="104"/>
    </row>
    <row r="25" spans="1:30" x14ac:dyDescent="0.2">
      <c r="A25" s="4" t="s">
        <v>2098</v>
      </c>
      <c r="B25" s="6" t="str">
        <f>IF(AND(B23="nee",B24="nee",B16&gt;=1),"ja",IF(AND(B23="nee",G!R28="●●",B21="nee"),"ja","nee"))</f>
        <v>nee</v>
      </c>
      <c r="D25" s="6" t="str">
        <f>IF(AND(D23="nee",D16&gt;=1),"ja",IF(AND(D23="nee",G!U28="●●",D21="nee"),"ja","nee"))</f>
        <v>nee</v>
      </c>
      <c r="F25" s="6" t="str">
        <f>IF(AND(F23="nee",F16&gt;=1),"ja",IF(AND(F23="nee",G!X28="●●",F21="nee"),"ja","nee"))</f>
        <v>nee</v>
      </c>
      <c r="J25" s="4" t="str">
        <f>LOOKUP("(3)",N10:N20)</f>
        <v/>
      </c>
      <c r="N25" s="105" t="str">
        <f>IF(O25="","","(16)")</f>
        <v/>
      </c>
      <c r="O25" s="104" t="str">
        <f>IFERROR(VLOOKUP(SMALL($R$11:$R$60,16),$R$11:$T$60,3,FALSE),"")</f>
        <v/>
      </c>
      <c r="P25" s="104" t="str">
        <f t="shared" si="0"/>
        <v/>
      </c>
      <c r="Q25" s="104"/>
      <c r="R25" s="104" t="str">
        <f>IF(S25="ja",15,"")</f>
        <v/>
      </c>
      <c r="S25" s="105"/>
      <c r="T25" s="104"/>
      <c r="U25" s="104"/>
      <c r="V25" s="104"/>
      <c r="W25" s="104"/>
      <c r="X25" s="104"/>
      <c r="Y25" s="104"/>
      <c r="Z25" s="104"/>
      <c r="AA25" s="104"/>
      <c r="AB25" s="104"/>
      <c r="AC25" s="104"/>
      <c r="AD25" s="104"/>
    </row>
    <row r="26" spans="1:30" x14ac:dyDescent="0.2">
      <c r="A26" s="4" t="s">
        <v>2099</v>
      </c>
      <c r="B26" s="6" t="str">
        <f>IF(AND(B23="nee",B24="nee",B16&gt;=1,B22="nee"),"ja",IF(AND(B23="nee",G!R28="●●",B21="nee",B22="nee"),"ja","nee"))</f>
        <v>nee</v>
      </c>
      <c r="D26" s="6" t="str">
        <f>IF(AND(D23="nee",D24="nee",D16&gt;=1,D22="nee"),"ja",IF(AND(D23="nee",G!U28="●●",D21="nee",D22="nee"),"ja","nee"))</f>
        <v>nee</v>
      </c>
      <c r="F26" s="6" t="str">
        <f>IF(AND(F23="nee",F24="nee",F16&gt;=1,F22="nee"),"ja",IF(AND(F23="nee",G!X28="●●",F21="nee",F22="nee"),"ja","nee"))</f>
        <v>nee</v>
      </c>
      <c r="N26" s="105" t="str">
        <f>IF(O26="","","(17)")</f>
        <v/>
      </c>
      <c r="O26" s="104" t="str">
        <f>IFERROR(VLOOKUP(SMALL($R$11:$R$60,17),$R$11:$T$60,3,FALSE),"")</f>
        <v/>
      </c>
      <c r="P26" s="104" t="str">
        <f t="shared" si="0"/>
        <v/>
      </c>
      <c r="Q26" s="104"/>
      <c r="R26" s="104" t="str">
        <f>IF(S26="ja",16,"")</f>
        <v/>
      </c>
      <c r="S26" s="105"/>
      <c r="T26" s="104"/>
      <c r="U26" s="104"/>
      <c r="V26" s="104"/>
      <c r="W26" s="104"/>
      <c r="X26" s="104"/>
      <c r="Y26" s="104"/>
      <c r="Z26" s="104"/>
      <c r="AA26" s="104"/>
      <c r="AB26" s="104"/>
      <c r="AC26" s="104"/>
      <c r="AD26" s="104"/>
    </row>
    <row r="27" spans="1:30" x14ac:dyDescent="0.2">
      <c r="A27" s="4" t="s">
        <v>2097</v>
      </c>
      <c r="B27" s="6" t="str">
        <f>IF(AND(B23="nee",B24="nee",B25="nee",B21="nee",B15&gt;=1),"ja","nee")</f>
        <v>nee</v>
      </c>
      <c r="D27" s="6" t="str">
        <f>IF(AND(D23="nee",D24="nee",D25="nee",D21="nee",D15&gt;=1),"ja","nee")</f>
        <v>nee</v>
      </c>
      <c r="F27" s="6" t="str">
        <f>IF(AND(F23="nee",F24="nee",F25="nee",F21="nee",F15&gt;=1),"ja","nee")</f>
        <v>nee</v>
      </c>
      <c r="N27" s="105" t="str">
        <f>IF(O27="","","(18)")</f>
        <v/>
      </c>
      <c r="O27" s="104" t="str">
        <f>IFERROR(VLOOKUP(SMALL($R$11:$R$60,18),$R$11:$T$60,3,FALSE),"")</f>
        <v/>
      </c>
      <c r="P27" s="104" t="str">
        <f t="shared" si="0"/>
        <v/>
      </c>
      <c r="Q27" s="104"/>
      <c r="R27" s="104" t="str">
        <f>IF(S27="ja",17,"")</f>
        <v/>
      </c>
      <c r="S27" s="105"/>
      <c r="T27" s="104"/>
      <c r="U27" s="104"/>
      <c r="V27" s="104"/>
      <c r="W27" s="104"/>
      <c r="X27" s="104"/>
      <c r="Y27" s="104"/>
      <c r="Z27" s="104"/>
      <c r="AA27" s="104"/>
      <c r="AB27" s="104"/>
      <c r="AC27" s="104"/>
      <c r="AD27" s="104"/>
    </row>
    <row r="28" spans="1:30" x14ac:dyDescent="0.2">
      <c r="A28" s="4" t="s">
        <v>2096</v>
      </c>
      <c r="B28" s="6" t="str">
        <f>IF(AND(B23="nee",B24="nee",B26="nee",B21="nee",B15&gt;=1),"ja","nee")</f>
        <v>nee</v>
      </c>
      <c r="D28" s="6" t="str">
        <f>IF(AND(D23="nee",D24="nee",D26="nee",D21="nee",D15&gt;=1),"ja","nee")</f>
        <v>nee</v>
      </c>
      <c r="F28" s="6" t="str">
        <f>IF(AND(F23="nee",F24="nee",F26="nee",F21="nee",F15&gt;=1),"ja","nee")</f>
        <v>nee</v>
      </c>
      <c r="N28" s="105" t="str">
        <f>IF(O28="","","(19)")</f>
        <v/>
      </c>
      <c r="O28" s="104" t="str">
        <f>IFERROR(VLOOKUP(SMALL($R$11:$R$60,19),$R$11:$T$60,3,FALSE),"")</f>
        <v/>
      </c>
      <c r="P28" s="104" t="str">
        <f t="shared" si="0"/>
        <v/>
      </c>
      <c r="Q28" s="104"/>
      <c r="R28" s="104" t="str">
        <f>IF(S28="ja",18,"")</f>
        <v/>
      </c>
      <c r="S28" s="105"/>
      <c r="T28" s="104"/>
      <c r="U28" s="104"/>
      <c r="V28" s="104"/>
      <c r="W28" s="104"/>
      <c r="X28" s="104"/>
      <c r="Y28" s="104"/>
      <c r="Z28" s="104"/>
      <c r="AA28" s="104"/>
      <c r="AB28" s="104"/>
      <c r="AC28" s="104"/>
      <c r="AD28" s="104"/>
    </row>
    <row r="29" spans="1:30" x14ac:dyDescent="0.2">
      <c r="A29" s="4" t="s">
        <v>2095</v>
      </c>
      <c r="B29" s="6" t="str">
        <f>IF(AND(B23="nee",B24="nee",B25="nee",B27="nee"),"ja","nee")</f>
        <v>ja</v>
      </c>
      <c r="D29" s="6" t="str">
        <f>IF(AND(D23="nee",D24="nee",D25="nee",D27="nee"),"ja","nee")</f>
        <v>ja</v>
      </c>
      <c r="F29" s="6" t="str">
        <f>IF(AND(F23="nee",F24="nee",F25="nee",F27="nee"),"ja","nee")</f>
        <v>ja</v>
      </c>
      <c r="N29" s="105" t="str">
        <f>IF(O29="","","(20)")</f>
        <v/>
      </c>
      <c r="O29" s="104" t="str">
        <f>IFERROR(VLOOKUP(SMALL($R$11:$R$60,20),$R$11:$T$60,3,FALSE),"")</f>
        <v/>
      </c>
      <c r="P29" s="104" t="str">
        <f t="shared" si="0"/>
        <v/>
      </c>
      <c r="Q29" s="104"/>
      <c r="R29" s="104" t="str">
        <f>IF(S29="ja",19,"")</f>
        <v/>
      </c>
      <c r="S29" s="105"/>
      <c r="T29" s="104"/>
      <c r="U29" s="104"/>
      <c r="V29" s="104"/>
      <c r="W29" s="104"/>
      <c r="X29" s="104"/>
      <c r="Y29" s="104"/>
      <c r="Z29" s="104"/>
      <c r="AA29" s="104"/>
      <c r="AB29" s="104"/>
      <c r="AC29" s="104"/>
      <c r="AD29" s="104"/>
    </row>
    <row r="30" spans="1:30" x14ac:dyDescent="0.2">
      <c r="A30" s="4" t="s">
        <v>266</v>
      </c>
      <c r="B30" s="6" t="str">
        <f>IF(35-COUNTIF(G!AI327:AI361,"--")=0,"nee","ja")</f>
        <v>ja</v>
      </c>
      <c r="D30" s="6" t="str">
        <f>IF(35-COUNTIF(G!AK327:AK361,"--")=0,"nee","ja")</f>
        <v>ja</v>
      </c>
      <c r="F30" s="6" t="str">
        <f>IF(35-COUNTIF(G!AM327:AM361,"--")=0,"nee","ja")</f>
        <v>ja</v>
      </c>
      <c r="N30" s="105" t="str">
        <f>IF(O30="","","(21)")</f>
        <v/>
      </c>
      <c r="O30" s="104" t="str">
        <f>IFERROR(VLOOKUP(SMALL($R$11:$R$60,21),$R$11:$T$60,3,FALSE),"")</f>
        <v/>
      </c>
      <c r="P30" s="104" t="str">
        <f t="shared" si="0"/>
        <v/>
      </c>
      <c r="Q30" s="104"/>
      <c r="R30" s="104" t="str">
        <f>IF(S30="ja",21,"")</f>
        <v/>
      </c>
      <c r="S30" s="105"/>
      <c r="T30" s="104"/>
      <c r="U30" s="104"/>
      <c r="V30" s="104"/>
      <c r="W30" s="104"/>
      <c r="X30" s="104"/>
      <c r="Y30" s="104"/>
      <c r="Z30" s="104"/>
      <c r="AA30" s="104"/>
      <c r="AB30" s="104"/>
      <c r="AC30" s="104"/>
      <c r="AD30" s="104"/>
    </row>
    <row r="31" spans="1:30" x14ac:dyDescent="0.2">
      <c r="A31" s="4" t="s">
        <v>2105</v>
      </c>
      <c r="B31" s="6">
        <f>COUNTIF((G!R327:'G'!R361),"●●●●")</f>
        <v>0</v>
      </c>
      <c r="D31" s="6">
        <f>COUNTIF((G!U327:'G'!U361),"●●●●")</f>
        <v>0</v>
      </c>
      <c r="F31" s="6">
        <f>COUNTIF((G!X327:'G'!X361),"●●●●")</f>
        <v>0</v>
      </c>
      <c r="N31" s="105" t="str">
        <f>IF(O31="","","(22)")</f>
        <v/>
      </c>
      <c r="O31" s="104" t="str">
        <f>IFERROR(VLOOKUP(SMALL($R$11:$R$60,22),$R$11:$T$60,3,FALSE),"")</f>
        <v/>
      </c>
      <c r="P31" s="104" t="str">
        <f t="shared" si="0"/>
        <v/>
      </c>
      <c r="Q31" s="104"/>
      <c r="R31" s="104" t="str">
        <f>IF(S31="ja",22,"")</f>
        <v/>
      </c>
      <c r="S31" s="105"/>
      <c r="T31" s="104"/>
      <c r="U31" s="104"/>
      <c r="V31" s="104"/>
      <c r="W31" s="104"/>
      <c r="X31" s="104"/>
      <c r="Y31" s="104"/>
      <c r="Z31" s="104"/>
      <c r="AA31" s="104"/>
      <c r="AB31" s="104"/>
      <c r="AC31" s="104"/>
      <c r="AD31" s="104"/>
    </row>
    <row r="32" spans="1:30" x14ac:dyDescent="0.2">
      <c r="A32" s="4" t="s">
        <v>2106</v>
      </c>
      <c r="B32" s="6">
        <f>COUNTIF((G!R327:'G'!R361),"●●●")</f>
        <v>0</v>
      </c>
      <c r="D32" s="6">
        <f>COUNTIF((G!U327:'G'!U361),"●●●")</f>
        <v>0</v>
      </c>
      <c r="F32" s="6">
        <f>COUNTIF((G!X327:'G'!X361),"●●●")</f>
        <v>0</v>
      </c>
      <c r="N32" s="105" t="str">
        <f>IF(O32="","","(23)")</f>
        <v/>
      </c>
      <c r="O32" s="104" t="str">
        <f>IFERROR(VLOOKUP(SMALL($R$11:$R$60,23),$R$11:$T$60,3,FALSE),"")</f>
        <v/>
      </c>
      <c r="P32" s="104" t="str">
        <f t="shared" si="0"/>
        <v/>
      </c>
      <c r="Q32" s="104"/>
      <c r="R32" s="104" t="str">
        <f>IF(S32="ja",23,"")</f>
        <v/>
      </c>
      <c r="S32" s="105"/>
      <c r="T32" s="104"/>
      <c r="U32" s="104"/>
      <c r="V32" s="104"/>
      <c r="W32" s="104"/>
      <c r="X32" s="104"/>
      <c r="Y32" s="104"/>
      <c r="Z32" s="104"/>
      <c r="AA32" s="104"/>
      <c r="AB32" s="104"/>
      <c r="AC32" s="104"/>
      <c r="AD32" s="104"/>
    </row>
    <row r="33" spans="1:30" x14ac:dyDescent="0.2">
      <c r="A33" s="4" t="s">
        <v>2107</v>
      </c>
      <c r="B33" s="6">
        <f>COUNTIF((G!R327:'G'!R361),"●●")</f>
        <v>0</v>
      </c>
      <c r="D33" s="6">
        <f>COUNTIF((G!U327:'G'!U361),"●●")</f>
        <v>0</v>
      </c>
      <c r="F33" s="6">
        <f>COUNTIF((G!X327:'G'!X361),"●●")</f>
        <v>0</v>
      </c>
      <c r="N33" s="105" t="str">
        <f>IF(O33="","","(24)")</f>
        <v/>
      </c>
      <c r="O33" s="104" t="str">
        <f>IFERROR(VLOOKUP(SMALL($R$11:$R$60,24),$R$11:$T$60,3,FALSE),"")</f>
        <v/>
      </c>
      <c r="P33" s="104" t="str">
        <f t="shared" si="0"/>
        <v/>
      </c>
      <c r="Q33" s="104"/>
      <c r="R33" s="104" t="str">
        <f>IF(S33="ja",24,"")</f>
        <v/>
      </c>
      <c r="S33" s="105"/>
      <c r="T33" s="104"/>
      <c r="U33" s="104"/>
      <c r="V33" s="104"/>
      <c r="W33" s="104"/>
      <c r="X33" s="104"/>
      <c r="Y33" s="104"/>
      <c r="Z33" s="104"/>
      <c r="AA33" s="104"/>
      <c r="AB33" s="104"/>
      <c r="AC33" s="104"/>
      <c r="AD33" s="104"/>
    </row>
    <row r="34" spans="1:30" x14ac:dyDescent="0.2">
      <c r="A34" s="4" t="s">
        <v>2108</v>
      </c>
      <c r="B34" s="6">
        <f>COUNTIF((G!R327:'G'!R361),"●")</f>
        <v>0</v>
      </c>
      <c r="D34" s="6">
        <f>COUNTIF((G!U327:'G'!U361),"●")</f>
        <v>0</v>
      </c>
      <c r="F34" s="6">
        <f>COUNTIF((G!X327:'G'!X361),"●")</f>
        <v>0</v>
      </c>
      <c r="N34" s="105" t="str">
        <f>IF(O34="","","(25)")</f>
        <v/>
      </c>
      <c r="O34" s="104" t="str">
        <f>IFERROR(VLOOKUP(SMALL($R$11:$R$60,25),$R$11:$T$60,3,FALSE),"")</f>
        <v/>
      </c>
      <c r="P34" s="104" t="str">
        <f t="shared" si="0"/>
        <v/>
      </c>
      <c r="Q34" s="104"/>
      <c r="R34" s="104" t="str">
        <f>IF(S34="ja",25,"")</f>
        <v/>
      </c>
      <c r="S34" s="105"/>
      <c r="T34" s="104"/>
      <c r="U34" s="104"/>
      <c r="V34" s="104"/>
      <c r="W34" s="104"/>
      <c r="X34" s="104"/>
      <c r="Y34" s="104"/>
      <c r="Z34" s="104"/>
      <c r="AA34" s="104"/>
      <c r="AB34" s="104"/>
      <c r="AC34" s="104"/>
      <c r="AD34" s="104"/>
    </row>
    <row r="35" spans="1:30" x14ac:dyDescent="0.2">
      <c r="A35" s="4" t="s">
        <v>2104</v>
      </c>
      <c r="B35" s="6" t="str">
        <f>IF(B30="ja",IF(B31&gt;=1,"ja","nee"),"n.v.t.")</f>
        <v>nee</v>
      </c>
      <c r="D35" s="6" t="str">
        <f>IF(D30="ja",IF(D31&gt;=1,"ja","nee"),"n.v.t.")</f>
        <v>nee</v>
      </c>
      <c r="F35" s="6" t="str">
        <f>IF(F30="ja",IF(F31&gt;=1,"ja","nee"),"n.v.t.")</f>
        <v>nee</v>
      </c>
      <c r="N35" s="105" t="str">
        <f>IF(O35="","","(26)")</f>
        <v/>
      </c>
      <c r="O35" s="104" t="str">
        <f>IFERROR(VLOOKUP(SMALL($R$11:$R$60,26),$R$11:$T$60,3,FALSE),"")</f>
        <v/>
      </c>
      <c r="P35" s="104" t="str">
        <f t="shared" si="0"/>
        <v/>
      </c>
      <c r="Q35" s="104"/>
      <c r="R35" s="104" t="str">
        <f>IF(S35="ja",26,"")</f>
        <v/>
      </c>
      <c r="S35" s="105"/>
      <c r="T35" s="104"/>
      <c r="U35" s="104"/>
      <c r="V35" s="104"/>
      <c r="W35" s="104"/>
      <c r="X35" s="104"/>
      <c r="Y35" s="104"/>
      <c r="Z35" s="104"/>
      <c r="AA35" s="104"/>
      <c r="AB35" s="104"/>
      <c r="AC35" s="104"/>
      <c r="AD35" s="104"/>
    </row>
    <row r="36" spans="1:30" x14ac:dyDescent="0.2">
      <c r="A36" s="4" t="s">
        <v>2109</v>
      </c>
      <c r="B36" s="6" t="str">
        <f>IF(B30="ja",IF(AND(B35="nee",B32&gt;=1),"ja","nee"),"n.v.t.")</f>
        <v>nee</v>
      </c>
      <c r="D36" s="6" t="str">
        <f>IF(D30="ja",IF(AND(D35="nee",D32&gt;=1),"ja","nee"),"n.v.t.")</f>
        <v>nee</v>
      </c>
      <c r="F36" s="6" t="str">
        <f>IF(F30="ja",IF(AND(F35="nee",F32&gt;=1),"ja","nee"),"n.v.t.")</f>
        <v>nee</v>
      </c>
      <c r="N36" s="105" t="str">
        <f>IF(O36="","","(27)")</f>
        <v/>
      </c>
      <c r="O36" s="104" t="str">
        <f>IFERROR(VLOOKUP(SMALL($R$11:$R$60,27),$R$11:$T$60,3,FALSE),"")</f>
        <v/>
      </c>
      <c r="P36" s="104" t="str">
        <f t="shared" si="0"/>
        <v/>
      </c>
      <c r="Q36" s="104"/>
      <c r="R36" s="104" t="str">
        <f>IF(S36="ja",27,"")</f>
        <v/>
      </c>
      <c r="S36" s="105"/>
      <c r="T36" s="104"/>
      <c r="U36" s="104"/>
      <c r="V36" s="104"/>
      <c r="W36" s="104"/>
      <c r="X36" s="104"/>
      <c r="Y36" s="104"/>
      <c r="Z36" s="104"/>
      <c r="AA36" s="104"/>
      <c r="AB36" s="104"/>
      <c r="AC36" s="104"/>
      <c r="AD36" s="104"/>
    </row>
    <row r="37" spans="1:30" x14ac:dyDescent="0.2">
      <c r="A37" s="4" t="s">
        <v>2110</v>
      </c>
      <c r="B37" s="6" t="str">
        <f>IF(B30="ja",IF(AND(B35="nee",B36="nee",B33&gt;=1),"ja","nee"),"n.v.t.")</f>
        <v>nee</v>
      </c>
      <c r="D37" s="6" t="str">
        <f>IF(D30="ja",IF(AND(D35="nee",D36="nee",D33&gt;=1),"ja","nee"),"n.v.t.")</f>
        <v>nee</v>
      </c>
      <c r="F37" s="6" t="str">
        <f>IF(F30="ja",IF(AND(F35="nee",F36="nee",F33&gt;=1),"ja","nee"),"n.v.t.")</f>
        <v>nee</v>
      </c>
      <c r="N37" s="105" t="str">
        <f>IF(O37="","","(28)")</f>
        <v/>
      </c>
      <c r="O37" s="104" t="str">
        <f>IFERROR(VLOOKUP(SMALL($R$11:$R$60,28),$R$11:$T$60,3,FALSE),"")</f>
        <v/>
      </c>
      <c r="P37" s="104" t="str">
        <f t="shared" si="0"/>
        <v/>
      </c>
      <c r="Q37" s="104"/>
      <c r="R37" s="104" t="str">
        <f>IF(S37="ja",28,"")</f>
        <v/>
      </c>
      <c r="S37" s="105"/>
      <c r="T37" s="104"/>
      <c r="U37" s="104"/>
      <c r="V37" s="104"/>
      <c r="W37" s="104"/>
      <c r="X37" s="104"/>
      <c r="Y37" s="104"/>
      <c r="Z37" s="104"/>
      <c r="AA37" s="104"/>
      <c r="AB37" s="104"/>
      <c r="AC37" s="104"/>
      <c r="AD37" s="104"/>
    </row>
    <row r="38" spans="1:30" x14ac:dyDescent="0.2">
      <c r="A38" s="4" t="s">
        <v>2111</v>
      </c>
      <c r="B38" s="6" t="str">
        <f>IF(B30="ja",IF(AND(B35="nee",B36="nee",B37="nee",B34&gt;=1),"ja","nee"),"n.v.t.")</f>
        <v>nee</v>
      </c>
      <c r="D38" s="6" t="str">
        <f>IF(D30="ja",IF(AND(D35="nee",D36="nee",D37="nee",D34&gt;=1),"ja","nee"),"n.v.t.")</f>
        <v>nee</v>
      </c>
      <c r="F38" s="6" t="str">
        <f>IF(F30="ja",IF(AND(F35="nee",F36="nee",F37="nee",F34&gt;=1),"ja","nee"),"n.v.t.")</f>
        <v>nee</v>
      </c>
      <c r="N38" s="105" t="str">
        <f>IF(O38="","","(29)")</f>
        <v/>
      </c>
      <c r="O38" s="104" t="str">
        <f>IFERROR(VLOOKUP(SMALL($R$11:$R$60,29),$R$11:$T$60,3,FALSE),"")</f>
        <v/>
      </c>
      <c r="P38" s="104" t="str">
        <f t="shared" si="0"/>
        <v/>
      </c>
      <c r="Q38" s="104"/>
      <c r="R38" s="104" t="str">
        <f t="shared" ref="R38" si="1">IF(S38="ja",20,"")</f>
        <v/>
      </c>
      <c r="S38" s="105"/>
      <c r="T38" s="104"/>
      <c r="U38" s="104"/>
      <c r="V38" s="104"/>
      <c r="W38" s="104"/>
      <c r="X38" s="104"/>
      <c r="Y38" s="104"/>
      <c r="Z38" s="104"/>
      <c r="AA38" s="104"/>
      <c r="AB38" s="104"/>
      <c r="AC38" s="104"/>
      <c r="AD38" s="104"/>
    </row>
    <row r="39" spans="1:30" x14ac:dyDescent="0.2">
      <c r="A39" s="4" t="s">
        <v>2112</v>
      </c>
      <c r="B39" s="6" t="str">
        <f>IF(B30="ja",IF(AND(B35="nee",B36="nee",B37="nee",B38="nee"),"ja","nee"),"n.v.t.")</f>
        <v>ja</v>
      </c>
      <c r="D39" s="6" t="str">
        <f>IF(D30="ja",IF(AND(D35="nee",D36="nee",D37="nee",D38="nee"),"ja","nee"),"n.v.t.")</f>
        <v>ja</v>
      </c>
      <c r="F39" s="6" t="str">
        <f>IF(F30="ja",IF(AND(F35="nee",F36="nee",F37="nee",F38="nee"),"ja","nee"),"n.v.t.")</f>
        <v>ja</v>
      </c>
      <c r="N39" s="105" t="str">
        <f>IF(O39="","","(30)")</f>
        <v/>
      </c>
      <c r="O39" s="104" t="str">
        <f>IFERROR(VLOOKUP(SMALL($R$11:$R$60,30),$R$11:$T$60,3,FALSE),"")</f>
        <v/>
      </c>
      <c r="P39" s="104" t="str">
        <f t="shared" si="0"/>
        <v/>
      </c>
      <c r="Q39" s="104"/>
      <c r="R39" s="104" t="str">
        <f>IF(S39="ja",29,"")</f>
        <v/>
      </c>
      <c r="S39" s="105"/>
      <c r="T39" s="104"/>
      <c r="U39" s="104"/>
      <c r="V39" s="104"/>
      <c r="W39" s="104"/>
      <c r="X39" s="104"/>
      <c r="Y39" s="104"/>
      <c r="Z39" s="104"/>
      <c r="AA39" s="104"/>
      <c r="AB39" s="104"/>
      <c r="AC39" s="104"/>
      <c r="AD39" s="104"/>
    </row>
    <row r="40" spans="1:30" x14ac:dyDescent="0.2">
      <c r="A40" s="4" t="s">
        <v>2113</v>
      </c>
      <c r="B40" s="6" t="str">
        <f>IF(B23="ja","sterk verontreinigd",IF(B11="nee","geen indeling mogelijk",IF(B24="ja","matig verontreinigd",IF(B25="ja","industrie",IF(B27="ja","wonen","landbouw / natuur")))))</f>
        <v>landbouw / natuur</v>
      </c>
      <c r="D40" s="6" t="str">
        <f>IF(D23="ja","sterk verontreinigd",IF(D11="nee","geen indeling mogelijk",IF(D24="ja","matig verontreinigd",IF(D25="ja","industrie",IF(D27="ja","wonen","landbouw / natuur")))))</f>
        <v>landbouw / natuur</v>
      </c>
      <c r="F40" s="6" t="str">
        <f>IF(F23="ja","sterk verontreinigd",IF(F11="nee","geen indeling mogelijk",IF(F24="ja","matig verontreinigd",IF(F25="ja","industrie",IF(F27="ja","wonen","landbouw / natuur")))))</f>
        <v>landbouw / natuur</v>
      </c>
      <c r="N40" s="105" t="str">
        <f>IF(O40="","","(31)")</f>
        <v/>
      </c>
      <c r="O40" s="104" t="str">
        <f>IFERROR(VLOOKUP(SMALL($R$11:$R$60,31),$R$11:$T$60,3,FALSE),"")</f>
        <v/>
      </c>
      <c r="P40" s="104" t="str">
        <f t="shared" si="0"/>
        <v/>
      </c>
      <c r="Q40" s="104"/>
      <c r="R40" s="104" t="str">
        <f>IF(S40="ja",30,"")</f>
        <v/>
      </c>
      <c r="S40" s="105"/>
      <c r="T40" s="104"/>
      <c r="U40" s="104"/>
      <c r="V40" s="104"/>
      <c r="W40" s="104"/>
      <c r="X40" s="104"/>
      <c r="Y40" s="104"/>
      <c r="Z40" s="104"/>
      <c r="AA40" s="104"/>
      <c r="AB40" s="104"/>
      <c r="AC40" s="104"/>
      <c r="AD40" s="104"/>
    </row>
    <row r="41" spans="1:30" x14ac:dyDescent="0.2">
      <c r="A41" s="4" t="s">
        <v>2114</v>
      </c>
      <c r="B41" s="6" t="str">
        <f>IF(B23="ja","sterk verontreinigd",IF(B11="nee","geen indeling mogelijk",IF(B24="ja","matig verontreinigd",IF(B26="ja","industrie",IF(B28="ja","wonen","landbouw / natuur")))))</f>
        <v>landbouw / natuur</v>
      </c>
      <c r="D41" s="6" t="str">
        <f>IF(D23="ja","sterk verontreinigd",IF(D11="nee","geen indeling mogelijk",IF(D24="ja","matig verontreinigd",IF(D26="ja","industrie",IF(D28="ja","wonen","landbouw / natuur")))))</f>
        <v>landbouw / natuur</v>
      </c>
      <c r="F41" s="6" t="str">
        <f>IF(F23="ja","sterk verontreinigd",IF(F11="nee","geen indeling mogelijk",IF(F24="ja","matig verontreinigd",IF(F26="ja","industrie",IF(F28="ja","wonen","landbouw / natuur")))))</f>
        <v>landbouw / natuur</v>
      </c>
      <c r="N41" s="105" t="str">
        <f>IF(O41="","","(32)")</f>
        <v/>
      </c>
      <c r="O41" s="104" t="str">
        <f>IFERROR(VLOOKUP(SMALL($R$11:$R$60,32),$R$11:$T$60,3,FALSE),"")</f>
        <v/>
      </c>
      <c r="P41" s="104" t="str">
        <f t="shared" si="0"/>
        <v/>
      </c>
      <c r="Q41" s="104"/>
      <c r="R41" s="104" t="str">
        <f>IF(S41="ja",31,"")</f>
        <v/>
      </c>
      <c r="S41" s="105"/>
      <c r="T41" s="104"/>
      <c r="U41" s="104"/>
      <c r="V41" s="104"/>
      <c r="W41" s="104"/>
      <c r="X41" s="104"/>
      <c r="Y41" s="104"/>
      <c r="Z41" s="104"/>
      <c r="AA41" s="104"/>
      <c r="AB41" s="104"/>
      <c r="AC41" s="104"/>
      <c r="AD41" s="104"/>
    </row>
    <row r="42" spans="1:30" x14ac:dyDescent="0.2">
      <c r="A42" s="4" t="s">
        <v>2117</v>
      </c>
      <c r="B42" s="6" t="str">
        <f>IF(Invoer!S30=TRUE,B41,B40)</f>
        <v>landbouw / natuur</v>
      </c>
      <c r="D42" s="6" t="str">
        <f>IF(Invoer!U30=TRUE,D41,D40)</f>
        <v>landbouw / natuur</v>
      </c>
      <c r="F42" s="6" t="str">
        <f>IF(Invoer!W30=TRUE,F41,F40)</f>
        <v>landbouw / natuur</v>
      </c>
      <c r="N42" s="105" t="str">
        <f>IF(O42="","","(33)")</f>
        <v/>
      </c>
      <c r="O42" s="104" t="str">
        <f>IFERROR(VLOOKUP(SMALL($R$11:$R$60,33),$R$11:$T$60,3,FALSE),"")</f>
        <v/>
      </c>
      <c r="P42" s="104" t="str">
        <f t="shared" si="0"/>
        <v/>
      </c>
      <c r="Q42" s="104"/>
      <c r="R42" s="104" t="str">
        <f>IF(S42="ja",32,"")</f>
        <v/>
      </c>
      <c r="S42" s="105"/>
      <c r="T42" s="104"/>
      <c r="U42" s="104"/>
      <c r="V42" s="104"/>
      <c r="W42" s="104"/>
      <c r="X42" s="104"/>
      <c r="Y42" s="104"/>
      <c r="Z42" s="104"/>
      <c r="AA42" s="104"/>
      <c r="AB42" s="104"/>
      <c r="AC42" s="104"/>
      <c r="AD42" s="104"/>
    </row>
    <row r="43" spans="1:30" x14ac:dyDescent="0.2">
      <c r="A43" s="4" t="s">
        <v>2118</v>
      </c>
      <c r="B43" s="6" t="str">
        <f>IF(B35="ja","sterk verontreinigd",IF(B30="nee","--",IF(B36="ja","matig verontreinigd",IF(B37="ja","industrie",IF(B38="ja","wonen","landbouw / natuur")))))</f>
        <v>landbouw / natuur</v>
      </c>
      <c r="D43" s="6" t="str">
        <f>IF(D35="ja","sterk verontreinigd",IF(D30="nee","--",IF(D36="ja","matig verontreinigd",IF(D37="ja","industrie",IF(D38="ja","wonen","landbouw / natuur")))))</f>
        <v>landbouw / natuur</v>
      </c>
      <c r="F43" s="6" t="str">
        <f>IF(F35="ja","sterk verontreinigd",IF(F30="nee","--",IF(F36="ja","matig verontreinigd",IF(F37="ja","industrie",IF(F38="ja","wonen","landbouw / natuur")))))</f>
        <v>landbouw / natuur</v>
      </c>
      <c r="N43" s="105" t="str">
        <f>IF(O43="","","(34)")</f>
        <v/>
      </c>
      <c r="O43" s="104" t="str">
        <f>IFERROR(VLOOKUP(SMALL($R$11:$R$60,34),$R$11:$T$60,3,FALSE),"")</f>
        <v/>
      </c>
      <c r="P43" s="104" t="str">
        <f t="shared" si="0"/>
        <v/>
      </c>
      <c r="Q43" s="104"/>
      <c r="R43" s="104" t="str">
        <f>IF(S43="ja",33,"")</f>
        <v/>
      </c>
      <c r="S43" s="105"/>
      <c r="T43" s="104"/>
      <c r="U43" s="104"/>
      <c r="V43" s="104"/>
      <c r="W43" s="104"/>
      <c r="X43" s="104"/>
      <c r="Y43" s="104"/>
      <c r="Z43" s="104"/>
      <c r="AA43" s="104"/>
      <c r="AB43" s="104"/>
      <c r="AC43" s="104"/>
      <c r="AD43" s="104"/>
    </row>
    <row r="44" spans="1:30" x14ac:dyDescent="0.2">
      <c r="A44" s="4" t="s">
        <v>2141</v>
      </c>
      <c r="B44" s="6"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landbouw / natuur</v>
      </c>
      <c r="D44" s="6"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landbouw / natuur</v>
      </c>
      <c r="F44" s="6"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landbouw / natuur</v>
      </c>
      <c r="N44" s="105" t="str">
        <f>IF(O44="","","(35)")</f>
        <v/>
      </c>
      <c r="O44" s="104" t="str">
        <f>IFERROR(VLOOKUP(SMALL($R$11:$R$60,35),$R$11:$T$60,3,FALSE),"")</f>
        <v/>
      </c>
      <c r="P44" s="104" t="str">
        <f t="shared" si="0"/>
        <v/>
      </c>
      <c r="Q44" s="104"/>
      <c r="R44" s="104" t="str">
        <f>IF(S44="ja",34,"")</f>
        <v/>
      </c>
      <c r="S44" s="105"/>
      <c r="T44" s="104"/>
      <c r="U44" s="104"/>
      <c r="V44" s="104"/>
      <c r="W44" s="104"/>
      <c r="X44" s="104"/>
      <c r="Y44" s="104"/>
      <c r="Z44" s="104"/>
      <c r="AA44" s="104"/>
      <c r="AB44" s="104"/>
      <c r="AC44" s="104"/>
      <c r="AD44" s="104"/>
    </row>
    <row r="45" spans="1:30" x14ac:dyDescent="0.2">
      <c r="A45" s="4" t="s">
        <v>2139</v>
      </c>
      <c r="B45" s="6" t="str">
        <f>IF(OR(B23="ja",B24="ja",B35="ja",B36="ja"),"nee",IF(B11="ja",IF(B19=0,"ja","afhankelijk van emissie"),"geen indeling mogelijk"))</f>
        <v>ja</v>
      </c>
      <c r="D45" s="6" t="str">
        <f>IF(OR(D23="ja",D24="ja",D35="ja",D36="ja"),"nee",IF(D11="ja",IF(D19=0,"ja","afhankelijk van emissie"),"geen indeling mogelijk"))</f>
        <v>ja</v>
      </c>
      <c r="F45" s="6" t="str">
        <f>IF(OR(F23="ja",F24="ja",F35="ja",F36="ja"),"nee",IF(F11="ja",IF(F19=0,"ja","afhankelijk van emissie"),"geen indeling mogelijk"))</f>
        <v>ja</v>
      </c>
      <c r="N45" s="105" t="str">
        <f>IF(O45="","","(36)")</f>
        <v/>
      </c>
      <c r="O45" s="104" t="str">
        <f>IFERROR(VLOOKUP(SMALL($R$11:$R$60,36),$R$11:$T$60,3,FALSE),"")</f>
        <v/>
      </c>
      <c r="P45" s="104" t="str">
        <f t="shared" si="0"/>
        <v/>
      </c>
      <c r="Q45" s="104"/>
      <c r="R45" s="104" t="str">
        <f>IF(S45="ja",35,"")</f>
        <v/>
      </c>
      <c r="S45" s="105"/>
      <c r="T45" s="104"/>
      <c r="U45" s="104"/>
      <c r="V45" s="104"/>
      <c r="W45" s="104"/>
      <c r="X45" s="104"/>
      <c r="Y45" s="104"/>
      <c r="Z45" s="104"/>
      <c r="AA45" s="104"/>
      <c r="AB45" s="104"/>
      <c r="AC45" s="104"/>
      <c r="AD45" s="104"/>
    </row>
    <row r="46" spans="1:30" x14ac:dyDescent="0.2">
      <c r="N46" s="105" t="str">
        <f>IF(O46="","","(37)")</f>
        <v/>
      </c>
      <c r="O46" s="104" t="str">
        <f>IFERROR(VLOOKUP(SMALL($R$11:$R$60,37),$R$11:$T$60,3,FALSE),"")</f>
        <v/>
      </c>
      <c r="P46" s="104" t="str">
        <f t="shared" si="0"/>
        <v/>
      </c>
      <c r="Q46" s="104"/>
      <c r="R46" s="104" t="str">
        <f>IF(S46="ja",36,"")</f>
        <v/>
      </c>
      <c r="S46" s="105"/>
      <c r="T46" s="104"/>
      <c r="U46" s="104"/>
      <c r="V46" s="104"/>
      <c r="W46" s="104"/>
      <c r="X46" s="104"/>
      <c r="Y46" s="104"/>
      <c r="Z46" s="104"/>
      <c r="AA46" s="104"/>
      <c r="AB46" s="104"/>
      <c r="AC46" s="104"/>
      <c r="AD46" s="104"/>
    </row>
    <row r="47" spans="1:30" x14ac:dyDescent="0.2">
      <c r="N47" s="105" t="str">
        <f>IF(O47="","","(38)")</f>
        <v/>
      </c>
      <c r="O47" s="104" t="str">
        <f>IFERROR(VLOOKUP(SMALL($R$11:$R$60,38),$R$11:$T$60,3,FALSE),"")</f>
        <v/>
      </c>
      <c r="P47" s="104" t="str">
        <f t="shared" si="0"/>
        <v/>
      </c>
      <c r="Q47" s="104"/>
      <c r="R47" s="104" t="str">
        <f>IF(S47="ja",37,"")</f>
        <v/>
      </c>
      <c r="S47" s="105"/>
      <c r="T47" s="104"/>
      <c r="U47" s="104"/>
      <c r="V47" s="104"/>
      <c r="W47" s="104"/>
      <c r="X47" s="104"/>
      <c r="Y47" s="104"/>
      <c r="Z47" s="104"/>
      <c r="AA47" s="104"/>
      <c r="AB47" s="104"/>
      <c r="AC47" s="104"/>
      <c r="AD47" s="104"/>
    </row>
    <row r="48" spans="1:30" x14ac:dyDescent="0.2">
      <c r="N48" s="105" t="str">
        <f>IF(O48="","","(39)")</f>
        <v/>
      </c>
      <c r="O48" s="104" t="str">
        <f>IFERROR(VLOOKUP(SMALL($R$11:$R$60,39),$R$11:$T$60,3,FALSE),"")</f>
        <v/>
      </c>
      <c r="P48" s="104" t="str">
        <f t="shared" si="0"/>
        <v/>
      </c>
      <c r="Q48" s="104"/>
      <c r="R48" s="104" t="str">
        <f>IF(S48="ja",38,"")</f>
        <v/>
      </c>
      <c r="S48" s="105"/>
      <c r="T48" s="104"/>
      <c r="U48" s="104"/>
      <c r="V48" s="104"/>
      <c r="W48" s="104"/>
      <c r="X48" s="104"/>
      <c r="Y48" s="104"/>
      <c r="Z48" s="104"/>
      <c r="AA48" s="104"/>
      <c r="AB48" s="104"/>
      <c r="AC48" s="104"/>
      <c r="AD48" s="104"/>
    </row>
    <row r="49" spans="1:30" x14ac:dyDescent="0.2">
      <c r="N49" s="105" t="str">
        <f>IF(O49="","","(40)")</f>
        <v/>
      </c>
      <c r="O49" s="104" t="str">
        <f>IFERROR(VLOOKUP(SMALL($R$11:$R$60,40),$R$11:$T$60,3,FALSE),"")</f>
        <v/>
      </c>
      <c r="P49" s="104" t="str">
        <f t="shared" si="0"/>
        <v/>
      </c>
      <c r="Q49" s="104"/>
      <c r="R49" s="104" t="str">
        <f>IF(S49="ja",39,"")</f>
        <v/>
      </c>
      <c r="S49" s="105"/>
      <c r="T49" s="104"/>
      <c r="U49" s="104"/>
      <c r="V49" s="104"/>
      <c r="W49" s="104"/>
      <c r="X49" s="104"/>
      <c r="Y49" s="104"/>
      <c r="Z49" s="104"/>
      <c r="AA49" s="104"/>
      <c r="AB49" s="104"/>
      <c r="AC49" s="104"/>
      <c r="AD49" s="104"/>
    </row>
    <row r="50" spans="1:30" x14ac:dyDescent="0.2">
      <c r="N50" s="105" t="str">
        <f>IF(O50="","","(41)")</f>
        <v/>
      </c>
      <c r="O50" s="104" t="str">
        <f>IFERROR(VLOOKUP(SMALL($R$11:$R$60,41),$R$11:$T$60,3,FALSE),"")</f>
        <v/>
      </c>
      <c r="P50" s="104" t="str">
        <f t="shared" si="0"/>
        <v/>
      </c>
      <c r="Q50" s="104"/>
      <c r="R50" s="104" t="str">
        <f>IF(S50="ja",40,"")</f>
        <v/>
      </c>
      <c r="S50" s="105"/>
      <c r="T50" s="104"/>
      <c r="U50" s="104"/>
      <c r="V50" s="104"/>
      <c r="W50" s="104"/>
      <c r="X50" s="104"/>
      <c r="Y50" s="104"/>
      <c r="Z50" s="104"/>
      <c r="AA50" s="104"/>
      <c r="AB50" s="104"/>
      <c r="AC50" s="104"/>
      <c r="AD50" s="104"/>
    </row>
    <row r="51" spans="1:30" x14ac:dyDescent="0.2">
      <c r="N51" s="105" t="str">
        <f>IF(O51="","","(42)")</f>
        <v/>
      </c>
      <c r="O51" s="104" t="str">
        <f>IFERROR(VLOOKUP(SMALL($R$11:$R$60,42),$R$11:$T$60,3,FALSE),"")</f>
        <v/>
      </c>
      <c r="P51" s="104" t="str">
        <f t="shared" si="0"/>
        <v/>
      </c>
      <c r="Q51" s="104"/>
      <c r="R51" s="104" t="str">
        <f>IF(S51="ja",41,"")</f>
        <v/>
      </c>
      <c r="S51" s="105"/>
      <c r="T51" s="104"/>
      <c r="U51" s="104"/>
      <c r="V51" s="104"/>
      <c r="W51" s="104"/>
      <c r="X51" s="104"/>
      <c r="Y51" s="104"/>
      <c r="Z51" s="104"/>
      <c r="AA51" s="104"/>
      <c r="AB51" s="104"/>
      <c r="AC51" s="104"/>
      <c r="AD51" s="104"/>
    </row>
    <row r="52" spans="1:30" x14ac:dyDescent="0.2">
      <c r="N52" s="105" t="str">
        <f>IF(O52="","","(43)")</f>
        <v/>
      </c>
      <c r="O52" s="104" t="str">
        <f>IFERROR(VLOOKUP(SMALL($R$11:$R$60,43),$R$11:$T$60,3,FALSE),"")</f>
        <v/>
      </c>
      <c r="P52" s="104" t="str">
        <f t="shared" si="0"/>
        <v/>
      </c>
      <c r="Q52" s="104"/>
      <c r="R52" s="104" t="str">
        <f>IF(S52="ja",42,"")</f>
        <v/>
      </c>
      <c r="S52" s="105"/>
      <c r="T52" s="104"/>
      <c r="U52" s="104"/>
      <c r="V52" s="104"/>
      <c r="W52" s="104"/>
      <c r="X52" s="104"/>
      <c r="Y52" s="104"/>
      <c r="Z52" s="104"/>
      <c r="AA52" s="104"/>
      <c r="AB52" s="104"/>
      <c r="AC52" s="104"/>
      <c r="AD52" s="104"/>
    </row>
    <row r="53" spans="1:30" x14ac:dyDescent="0.2">
      <c r="N53" s="105" t="str">
        <f>IF(O53="","","(44)")</f>
        <v/>
      </c>
      <c r="O53" s="104" t="str">
        <f>IFERROR(VLOOKUP(SMALL($R$11:$R$60,44),$R$11:$T$60,3,FALSE),"")</f>
        <v/>
      </c>
      <c r="P53" s="104" t="str">
        <f t="shared" si="0"/>
        <v/>
      </c>
      <c r="Q53" s="104"/>
      <c r="R53" s="104" t="str">
        <f>IF(S53="ja",43,"")</f>
        <v/>
      </c>
      <c r="S53" s="105"/>
      <c r="T53" s="104"/>
      <c r="U53" s="104"/>
      <c r="V53" s="104"/>
      <c r="W53" s="104"/>
      <c r="X53" s="104"/>
      <c r="Y53" s="104"/>
      <c r="Z53" s="104"/>
      <c r="AA53" s="104"/>
      <c r="AB53" s="104"/>
      <c r="AC53" s="104"/>
      <c r="AD53" s="104"/>
    </row>
    <row r="54" spans="1:30" x14ac:dyDescent="0.2">
      <c r="N54" s="105" t="str">
        <f>IF(O54="","","(45)")</f>
        <v/>
      </c>
      <c r="O54" s="104" t="str">
        <f>IFERROR(VLOOKUP(SMALL($R$11:$R$60,45),$R$11:$T$60,3,FALSE),"")</f>
        <v/>
      </c>
      <c r="P54" s="104" t="str">
        <f t="shared" si="0"/>
        <v/>
      </c>
      <c r="Q54" s="104"/>
      <c r="R54" s="104" t="str">
        <f>IF(S54="ja",44,"")</f>
        <v/>
      </c>
      <c r="S54" s="105"/>
      <c r="T54" s="104"/>
      <c r="U54" s="104"/>
      <c r="V54" s="104"/>
      <c r="W54" s="104"/>
      <c r="X54" s="104"/>
      <c r="Y54" s="104"/>
      <c r="Z54" s="104"/>
      <c r="AA54" s="104"/>
      <c r="AB54" s="104"/>
      <c r="AC54" s="104"/>
      <c r="AD54" s="104"/>
    </row>
    <row r="55" spans="1:30" x14ac:dyDescent="0.2">
      <c r="N55" s="105" t="str">
        <f>IF(O55="","","(46)")</f>
        <v/>
      </c>
      <c r="O55" s="104" t="str">
        <f>IFERROR(VLOOKUP(SMALL($R$11:$R$60,46),$R$11:$T$60,3,FALSE),"")</f>
        <v/>
      </c>
      <c r="P55" s="104" t="str">
        <f t="shared" si="0"/>
        <v/>
      </c>
      <c r="Q55" s="104"/>
      <c r="R55" s="104" t="str">
        <f>IF(S55="ja",45,"")</f>
        <v/>
      </c>
      <c r="S55" s="105"/>
      <c r="T55" s="104"/>
      <c r="U55" s="104"/>
      <c r="V55" s="104"/>
      <c r="W55" s="104"/>
      <c r="X55" s="104"/>
      <c r="Y55" s="104"/>
      <c r="Z55" s="104"/>
      <c r="AA55" s="104"/>
      <c r="AB55" s="104"/>
      <c r="AC55" s="104"/>
      <c r="AD55" s="104"/>
    </row>
    <row r="56" spans="1:30" x14ac:dyDescent="0.2">
      <c r="N56" s="105" t="str">
        <f>IF(O56="","","(47)")</f>
        <v/>
      </c>
      <c r="O56" s="104" t="str">
        <f>IFERROR(VLOOKUP(SMALL($R$11:$R$60,47),$R$11:$T$60,3,FALSE),"")</f>
        <v/>
      </c>
      <c r="P56" s="104" t="str">
        <f t="shared" si="0"/>
        <v/>
      </c>
      <c r="Q56" s="104"/>
      <c r="R56" s="104" t="str">
        <f>IF(S56="ja",46,"")</f>
        <v/>
      </c>
      <c r="S56" s="105"/>
      <c r="T56" s="104"/>
      <c r="U56" s="104"/>
      <c r="V56" s="104"/>
      <c r="W56" s="104"/>
      <c r="X56" s="104"/>
      <c r="Y56" s="104"/>
      <c r="Z56" s="104"/>
      <c r="AA56" s="104"/>
      <c r="AB56" s="104"/>
      <c r="AC56" s="104"/>
      <c r="AD56" s="104"/>
    </row>
    <row r="57" spans="1:30" x14ac:dyDescent="0.2">
      <c r="N57" s="105" t="str">
        <f>IF(O57="","","(48)")</f>
        <v/>
      </c>
      <c r="O57" s="104" t="str">
        <f>IFERROR(VLOOKUP(SMALL($R$11:$R$60,48),$R$11:$T$60,3,FALSE),"")</f>
        <v/>
      </c>
      <c r="P57" s="104" t="str">
        <f t="shared" si="0"/>
        <v/>
      </c>
      <c r="Q57" s="104"/>
      <c r="R57" s="104" t="str">
        <f>IF(S57="ja",47,"")</f>
        <v/>
      </c>
      <c r="S57" s="105"/>
      <c r="T57" s="104"/>
      <c r="U57" s="104"/>
      <c r="V57" s="104"/>
      <c r="W57" s="104"/>
      <c r="X57" s="104"/>
      <c r="Y57" s="104"/>
      <c r="Z57" s="104"/>
      <c r="AA57" s="104"/>
      <c r="AB57" s="104"/>
      <c r="AC57" s="104"/>
      <c r="AD57" s="104"/>
    </row>
    <row r="58" spans="1:30" x14ac:dyDescent="0.2">
      <c r="A58" s="4" t="s">
        <v>2100</v>
      </c>
      <c r="N58" s="105" t="str">
        <f>IF(O58="","","(49)")</f>
        <v/>
      </c>
      <c r="O58" s="104" t="str">
        <f>IFERROR(VLOOKUP(SMALL($R$11:$R$60,49),$R$11:$T$60,3,FALSE),"")</f>
        <v/>
      </c>
      <c r="P58" s="104" t="str">
        <f t="shared" si="0"/>
        <v/>
      </c>
      <c r="Q58" s="104"/>
      <c r="R58" s="104" t="str">
        <f>IF(S58="ja",48,"")</f>
        <v/>
      </c>
      <c r="S58" s="105"/>
      <c r="T58" s="104"/>
      <c r="U58" s="104"/>
      <c r="V58" s="104"/>
      <c r="W58" s="104"/>
      <c r="X58" s="104"/>
      <c r="Y58" s="104"/>
      <c r="Z58" s="104"/>
      <c r="AA58" s="104"/>
      <c r="AB58" s="104"/>
      <c r="AC58" s="104"/>
      <c r="AD58" s="104"/>
    </row>
    <row r="59" spans="1:30" x14ac:dyDescent="0.2">
      <c r="A59" s="74" t="s">
        <v>2102</v>
      </c>
      <c r="N59" s="105" t="str">
        <f>IF(O59="","","(50)")</f>
        <v/>
      </c>
      <c r="O59" s="104" t="str">
        <f>IFERROR(VLOOKUP(SMALL($R$11:$R$60,50),$R$11:$T$60,3,FALSE),"")</f>
        <v/>
      </c>
      <c r="P59" s="104" t="str">
        <f t="shared" si="0"/>
        <v/>
      </c>
      <c r="Q59" s="104"/>
      <c r="R59" s="104" t="str">
        <f>IF(S59="ja",49,"")</f>
        <v/>
      </c>
      <c r="S59" s="105"/>
      <c r="T59" s="104"/>
      <c r="U59" s="104"/>
      <c r="V59" s="104"/>
      <c r="W59" s="104"/>
      <c r="X59" s="104"/>
      <c r="Y59" s="104"/>
      <c r="Z59" s="104"/>
      <c r="AA59" s="104"/>
      <c r="AB59" s="104"/>
      <c r="AC59" s="104"/>
      <c r="AD59" s="104"/>
    </row>
    <row r="60" spans="1:30" x14ac:dyDescent="0.2">
      <c r="A60" s="74" t="s">
        <v>2101</v>
      </c>
      <c r="R60" s="4" t="str">
        <f>IF(S60="ja",50,"")</f>
        <v/>
      </c>
    </row>
    <row r="61" spans="1:30" x14ac:dyDescent="0.2">
      <c r="A61" s="74" t="s">
        <v>2103</v>
      </c>
    </row>
    <row r="77" spans="5:10" x14ac:dyDescent="0.2">
      <c r="E77" s="6"/>
      <c r="G77" s="6"/>
      <c r="H77" s="6"/>
      <c r="I77" s="6"/>
      <c r="J77" s="6"/>
    </row>
    <row r="78" spans="5:10" x14ac:dyDescent="0.2">
      <c r="E78" s="6"/>
      <c r="G78" s="6"/>
      <c r="H78" s="6"/>
      <c r="I78" s="6"/>
      <c r="J78" s="6"/>
    </row>
    <row r="79" spans="5:10" x14ac:dyDescent="0.2">
      <c r="E79" s="6"/>
      <c r="G79" s="6"/>
      <c r="H79" s="6"/>
      <c r="I79" s="6"/>
      <c r="J79" s="6"/>
    </row>
    <row r="80" spans="5:10" x14ac:dyDescent="0.2">
      <c r="E80" s="6"/>
      <c r="G80" s="6"/>
      <c r="H80" s="6"/>
      <c r="I80" s="6"/>
      <c r="J80" s="6"/>
    </row>
    <row r="81" spans="1:18" x14ac:dyDescent="0.2">
      <c r="A81" s="6"/>
      <c r="C81" s="6"/>
      <c r="E81" s="6"/>
      <c r="G81" s="6"/>
      <c r="H81" s="6"/>
      <c r="I81" s="6"/>
      <c r="J81" s="6"/>
    </row>
    <row r="82" spans="1:18" x14ac:dyDescent="0.2">
      <c r="E82" s="6"/>
      <c r="G82" s="6"/>
      <c r="H82" s="6"/>
      <c r="I82" s="6"/>
      <c r="J82" s="6"/>
      <c r="R82" s="6"/>
    </row>
    <row r="83" spans="1:18" x14ac:dyDescent="0.2">
      <c r="E83" s="6"/>
      <c r="G83" s="6"/>
      <c r="H83" s="6"/>
      <c r="I83" s="6"/>
      <c r="J83" s="6"/>
      <c r="R83" s="6"/>
    </row>
    <row r="84" spans="1:18" x14ac:dyDescent="0.2">
      <c r="E84" s="6"/>
      <c r="G84" s="6"/>
      <c r="H84" s="6"/>
      <c r="I84" s="6"/>
      <c r="J84" s="6"/>
      <c r="R84" s="6"/>
    </row>
    <row r="85" spans="1:18" x14ac:dyDescent="0.2">
      <c r="E85" s="6"/>
      <c r="G85" s="6"/>
      <c r="H85" s="6"/>
      <c r="I85" s="6"/>
      <c r="J85" s="6"/>
      <c r="R85" s="6"/>
    </row>
    <row r="86" spans="1:18" x14ac:dyDescent="0.2">
      <c r="E86" s="6"/>
      <c r="G86" s="6"/>
      <c r="H86" s="6"/>
      <c r="I86" s="6"/>
      <c r="J86" s="6"/>
      <c r="R86" s="6"/>
    </row>
    <row r="87" spans="1:18" x14ac:dyDescent="0.2">
      <c r="E87" s="6"/>
      <c r="G87" s="6"/>
      <c r="H87" s="6"/>
      <c r="I87" s="6"/>
      <c r="J87" s="6"/>
      <c r="R87" s="6"/>
    </row>
    <row r="88" spans="1:18" x14ac:dyDescent="0.2">
      <c r="E88" s="6"/>
      <c r="G88" s="6"/>
      <c r="H88" s="6"/>
      <c r="I88" s="6"/>
      <c r="J88" s="6"/>
      <c r="R88" s="6"/>
    </row>
    <row r="89" spans="1:18" x14ac:dyDescent="0.2">
      <c r="E89" s="6"/>
      <c r="G89" s="6"/>
      <c r="H89" s="6"/>
      <c r="I89" s="6"/>
      <c r="J89" s="6"/>
      <c r="R89" s="6"/>
    </row>
    <row r="90" spans="1:18" x14ac:dyDescent="0.2">
      <c r="E90" s="6"/>
      <c r="G90" s="6"/>
      <c r="H90" s="6"/>
      <c r="I90" s="6"/>
      <c r="J90" s="6"/>
      <c r="R90" s="6"/>
    </row>
    <row r="91" spans="1:18" x14ac:dyDescent="0.2">
      <c r="E91" s="6"/>
      <c r="G91" s="6"/>
      <c r="H91" s="6"/>
      <c r="I91" s="6"/>
      <c r="J91" s="6"/>
      <c r="R91" s="6"/>
    </row>
    <row r="92" spans="1:18" x14ac:dyDescent="0.2">
      <c r="E92" s="6"/>
      <c r="G92" s="6"/>
      <c r="H92" s="6"/>
      <c r="I92" s="6"/>
      <c r="J92" s="6"/>
      <c r="R92" s="6"/>
    </row>
    <row r="93" spans="1:18" x14ac:dyDescent="0.2">
      <c r="E93" s="6"/>
      <c r="G93" s="6"/>
      <c r="H93" s="6"/>
      <c r="I93" s="6"/>
      <c r="J93" s="6"/>
      <c r="R93" s="6"/>
    </row>
    <row r="94" spans="1:18" x14ac:dyDescent="0.2">
      <c r="E94" s="6"/>
      <c r="G94" s="6"/>
      <c r="H94" s="6"/>
      <c r="I94" s="6"/>
      <c r="J94" s="6"/>
      <c r="R94" s="6"/>
    </row>
    <row r="95" spans="1:18" x14ac:dyDescent="0.2">
      <c r="E95" s="6"/>
      <c r="G95" s="6"/>
      <c r="H95" s="6"/>
      <c r="I95" s="6"/>
      <c r="J95" s="6"/>
      <c r="R95" s="6"/>
    </row>
    <row r="96" spans="1:18" x14ac:dyDescent="0.2">
      <c r="E96" s="6"/>
      <c r="G96" s="6"/>
      <c r="H96" s="6"/>
      <c r="I96" s="6"/>
      <c r="J96" s="6"/>
      <c r="R96" s="6"/>
    </row>
    <row r="97" spans="5:18" x14ac:dyDescent="0.2">
      <c r="E97" s="6"/>
      <c r="G97" s="6"/>
      <c r="H97" s="6"/>
      <c r="I97" s="6"/>
      <c r="J97" s="6"/>
      <c r="R97" s="6"/>
    </row>
    <row r="98" spans="5:18" x14ac:dyDescent="0.2">
      <c r="E98" s="6"/>
      <c r="G98" s="6"/>
      <c r="H98" s="6"/>
      <c r="I98" s="6"/>
      <c r="J98" s="6"/>
      <c r="R98" s="6"/>
    </row>
    <row r="99" spans="5:18" x14ac:dyDescent="0.2">
      <c r="E99" s="6"/>
      <c r="G99" s="6"/>
      <c r="H99" s="6"/>
      <c r="I99" s="6"/>
      <c r="J99" s="6"/>
      <c r="R99" s="6"/>
    </row>
    <row r="100" spans="5:18" x14ac:dyDescent="0.2">
      <c r="E100" s="6"/>
      <c r="G100" s="6"/>
      <c r="H100" s="6"/>
      <c r="I100" s="6"/>
      <c r="J100" s="6"/>
      <c r="R100" s="6"/>
    </row>
    <row r="101" spans="5:18" x14ac:dyDescent="0.2">
      <c r="E101" s="6"/>
      <c r="G101" s="6"/>
      <c r="H101" s="6"/>
      <c r="I101" s="6"/>
      <c r="J101" s="6"/>
      <c r="R101" s="6"/>
    </row>
    <row r="102" spans="5:18" x14ac:dyDescent="0.2">
      <c r="E102" s="6"/>
      <c r="G102" s="6"/>
      <c r="H102" s="6"/>
      <c r="I102" s="6"/>
      <c r="J102" s="6"/>
      <c r="R102" s="6"/>
    </row>
    <row r="103" spans="5:18" x14ac:dyDescent="0.2">
      <c r="E103" s="6"/>
      <c r="G103" s="6"/>
      <c r="H103" s="6"/>
      <c r="I103" s="6"/>
      <c r="J103" s="6"/>
      <c r="R103" s="6"/>
    </row>
    <row r="104" spans="5:18" x14ac:dyDescent="0.2">
      <c r="E104" s="6"/>
      <c r="G104" s="6"/>
      <c r="H104" s="6"/>
      <c r="I104" s="6"/>
      <c r="J104" s="6"/>
      <c r="R104" s="6"/>
    </row>
    <row r="105" spans="5:18" x14ac:dyDescent="0.2">
      <c r="E105" s="6"/>
      <c r="G105" s="6"/>
      <c r="H105" s="6"/>
      <c r="I105" s="6"/>
      <c r="J105" s="6"/>
      <c r="R105" s="6"/>
    </row>
    <row r="106" spans="5:18" x14ac:dyDescent="0.2">
      <c r="E106" s="6"/>
      <c r="G106" s="6"/>
      <c r="H106" s="6"/>
      <c r="I106" s="6"/>
      <c r="J106" s="6"/>
    </row>
    <row r="107" spans="5:18" x14ac:dyDescent="0.2">
      <c r="E107" s="6"/>
      <c r="G107" s="6"/>
      <c r="H107" s="6"/>
      <c r="I107" s="6"/>
      <c r="J107" s="6"/>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95" customWidth="1"/>
    <col min="2" max="2" width="13.140625" style="95" customWidth="1"/>
    <col min="3" max="3" width="20.42578125" style="95" customWidth="1"/>
    <col min="4" max="4" width="10.28515625" style="95" customWidth="1"/>
    <col min="5" max="5" width="10.42578125" style="95" customWidth="1"/>
    <col min="6" max="6" width="13.140625" style="95" customWidth="1"/>
    <col min="7" max="16384" width="8.85546875" style="95"/>
  </cols>
  <sheetData>
    <row r="1" spans="1:6" x14ac:dyDescent="0.2">
      <c r="A1" s="95" t="s">
        <v>576</v>
      </c>
      <c r="B1" s="95" t="s">
        <v>943</v>
      </c>
      <c r="C1" s="95" t="s">
        <v>577</v>
      </c>
      <c r="D1" s="95" t="s">
        <v>578</v>
      </c>
      <c r="E1" s="95" t="s">
        <v>944</v>
      </c>
      <c r="F1" s="95" t="s">
        <v>579</v>
      </c>
    </row>
    <row r="2" spans="1:6" x14ac:dyDescent="0.2">
      <c r="A2" s="95" t="s">
        <v>2398</v>
      </c>
      <c r="B2" s="95" t="s">
        <v>2399</v>
      </c>
      <c r="C2" s="95" t="s">
        <v>2400</v>
      </c>
      <c r="D2" s="95" t="s">
        <v>2401</v>
      </c>
      <c r="E2" s="95" t="s">
        <v>2402</v>
      </c>
      <c r="F2" s="95" t="s">
        <v>2400</v>
      </c>
    </row>
    <row r="3" spans="1:6" x14ac:dyDescent="0.2">
      <c r="A3" s="95" t="s">
        <v>1789</v>
      </c>
      <c r="B3" s="95" t="s">
        <v>1790</v>
      </c>
      <c r="C3" s="95" t="s">
        <v>1791</v>
      </c>
      <c r="D3" s="95" t="s">
        <v>1007</v>
      </c>
      <c r="E3" s="95" t="s">
        <v>1008</v>
      </c>
      <c r="F3" s="95" t="s">
        <v>1009</v>
      </c>
    </row>
    <row r="4" spans="1:6" x14ac:dyDescent="0.2">
      <c r="A4" s="95" t="s">
        <v>1273</v>
      </c>
      <c r="B4" s="95" t="s">
        <v>1274</v>
      </c>
      <c r="C4" s="95" t="s">
        <v>1275</v>
      </c>
      <c r="D4" s="95" t="s">
        <v>1276</v>
      </c>
      <c r="E4" s="95" t="s">
        <v>1277</v>
      </c>
      <c r="F4" s="95" t="s">
        <v>1278</v>
      </c>
    </row>
    <row r="5" spans="1:6" x14ac:dyDescent="0.2">
      <c r="A5" s="95" t="s">
        <v>1085</v>
      </c>
      <c r="B5" s="95" t="s">
        <v>1086</v>
      </c>
      <c r="C5" s="95" t="s">
        <v>1087</v>
      </c>
      <c r="D5" s="95" t="s">
        <v>1088</v>
      </c>
      <c r="E5" s="95" t="s">
        <v>1089</v>
      </c>
      <c r="F5" s="95" t="s">
        <v>1090</v>
      </c>
    </row>
    <row r="6" spans="1:6" x14ac:dyDescent="0.2">
      <c r="A6" s="95" t="s">
        <v>965</v>
      </c>
      <c r="B6" s="95" t="s">
        <v>966</v>
      </c>
      <c r="C6" s="95" t="s">
        <v>967</v>
      </c>
      <c r="D6" s="95" t="s">
        <v>968</v>
      </c>
      <c r="E6" s="95" t="s">
        <v>969</v>
      </c>
      <c r="F6" s="95" t="s">
        <v>970</v>
      </c>
    </row>
    <row r="7" spans="1:6" x14ac:dyDescent="0.2">
      <c r="A7" s="95" t="s">
        <v>1381</v>
      </c>
      <c r="B7" s="95" t="s">
        <v>1382</v>
      </c>
      <c r="C7" s="95" t="s">
        <v>1383</v>
      </c>
      <c r="D7" s="95" t="s">
        <v>1384</v>
      </c>
      <c r="E7" s="95" t="s">
        <v>1385</v>
      </c>
      <c r="F7" s="95" t="s">
        <v>1386</v>
      </c>
    </row>
    <row r="8" spans="1:6" x14ac:dyDescent="0.2">
      <c r="A8" s="95" t="s">
        <v>1474</v>
      </c>
      <c r="B8" s="95" t="s">
        <v>1475</v>
      </c>
      <c r="C8" s="95" t="s">
        <v>1476</v>
      </c>
      <c r="D8" s="95" t="s">
        <v>1384</v>
      </c>
      <c r="E8" s="95" t="s">
        <v>1385</v>
      </c>
      <c r="F8" s="95" t="s">
        <v>1386</v>
      </c>
    </row>
    <row r="9" spans="1:6" x14ac:dyDescent="0.2">
      <c r="A9" s="95" t="s">
        <v>1279</v>
      </c>
      <c r="B9" s="95" t="s">
        <v>1280</v>
      </c>
      <c r="C9" s="95" t="s">
        <v>1281</v>
      </c>
      <c r="D9" s="95" t="s">
        <v>1276</v>
      </c>
      <c r="E9" s="95" t="s">
        <v>1277</v>
      </c>
      <c r="F9" s="95" t="s">
        <v>1278</v>
      </c>
    </row>
    <row r="10" spans="1:6" x14ac:dyDescent="0.2">
      <c r="A10" s="95" t="s">
        <v>1022</v>
      </c>
      <c r="B10" s="95" t="s">
        <v>1023</v>
      </c>
      <c r="C10" s="95" t="s">
        <v>1024</v>
      </c>
      <c r="D10" s="95" t="s">
        <v>1025</v>
      </c>
      <c r="E10" s="95" t="s">
        <v>1026</v>
      </c>
      <c r="F10" s="95" t="s">
        <v>1027</v>
      </c>
    </row>
    <row r="11" spans="1:6" x14ac:dyDescent="0.2">
      <c r="A11" s="95" t="s">
        <v>950</v>
      </c>
      <c r="B11" s="95" t="s">
        <v>951</v>
      </c>
      <c r="C11" s="95" t="s">
        <v>952</v>
      </c>
      <c r="D11" s="95" t="s">
        <v>953</v>
      </c>
      <c r="E11" s="95" t="s">
        <v>954</v>
      </c>
      <c r="F11" s="95" t="s">
        <v>955</v>
      </c>
    </row>
    <row r="12" spans="1:6" x14ac:dyDescent="0.2">
      <c r="A12" s="95" t="s">
        <v>1387</v>
      </c>
      <c r="B12" s="95" t="s">
        <v>1388</v>
      </c>
      <c r="C12" s="95" t="s">
        <v>1389</v>
      </c>
      <c r="D12" s="95" t="s">
        <v>1384</v>
      </c>
      <c r="E12" s="95" t="s">
        <v>1385</v>
      </c>
      <c r="F12" s="95" t="s">
        <v>1386</v>
      </c>
    </row>
    <row r="13" spans="1:6" x14ac:dyDescent="0.2">
      <c r="A13" s="95" t="s">
        <v>1837</v>
      </c>
      <c r="B13" s="95" t="s">
        <v>1838</v>
      </c>
      <c r="C13" s="95" t="s">
        <v>1839</v>
      </c>
      <c r="D13" s="95" t="s">
        <v>1546</v>
      </c>
      <c r="E13" s="95" t="s">
        <v>1547</v>
      </c>
      <c r="F13" s="95" t="s">
        <v>1548</v>
      </c>
    </row>
    <row r="14" spans="1:6" x14ac:dyDescent="0.2">
      <c r="A14" s="95" t="s">
        <v>1966</v>
      </c>
      <c r="B14" s="95" t="s">
        <v>1967</v>
      </c>
      <c r="C14" s="95" t="s">
        <v>1968</v>
      </c>
      <c r="D14" s="95" t="s">
        <v>1546</v>
      </c>
      <c r="E14" s="95" t="s">
        <v>1547</v>
      </c>
      <c r="F14" s="95" t="s">
        <v>1548</v>
      </c>
    </row>
    <row r="15" spans="1:6" x14ac:dyDescent="0.2">
      <c r="A15" s="95" t="s">
        <v>971</v>
      </c>
      <c r="B15" s="95" t="s">
        <v>972</v>
      </c>
      <c r="C15" s="95" t="s">
        <v>973</v>
      </c>
      <c r="D15" s="95" t="s">
        <v>968</v>
      </c>
      <c r="E15" s="95" t="s">
        <v>969</v>
      </c>
      <c r="F15" s="95" t="s">
        <v>970</v>
      </c>
    </row>
    <row r="16" spans="1:6" x14ac:dyDescent="0.2">
      <c r="A16" s="95" t="s">
        <v>1211</v>
      </c>
      <c r="B16" s="95" t="s">
        <v>1212</v>
      </c>
      <c r="C16" s="95" t="s">
        <v>1213</v>
      </c>
      <c r="D16" s="95" t="s">
        <v>1214</v>
      </c>
      <c r="E16" s="95" t="s">
        <v>1215</v>
      </c>
      <c r="F16" s="95" t="s">
        <v>1216</v>
      </c>
    </row>
    <row r="17" spans="1:6" x14ac:dyDescent="0.2">
      <c r="A17" s="95" t="s">
        <v>1282</v>
      </c>
      <c r="B17" s="95" t="s">
        <v>1283</v>
      </c>
      <c r="C17" s="95" t="s">
        <v>1284</v>
      </c>
      <c r="D17" s="95" t="s">
        <v>1276</v>
      </c>
      <c r="E17" s="95" t="s">
        <v>1277</v>
      </c>
      <c r="F17" s="95" t="s">
        <v>1278</v>
      </c>
    </row>
    <row r="18" spans="1:6" x14ac:dyDescent="0.2">
      <c r="A18" s="95" t="s">
        <v>1285</v>
      </c>
      <c r="B18" s="95" t="s">
        <v>1286</v>
      </c>
      <c r="C18" s="95" t="s">
        <v>1287</v>
      </c>
      <c r="D18" s="95" t="s">
        <v>1276</v>
      </c>
      <c r="E18" s="95" t="s">
        <v>1277</v>
      </c>
      <c r="F18" s="95" t="s">
        <v>1278</v>
      </c>
    </row>
    <row r="19" spans="1:6" x14ac:dyDescent="0.2">
      <c r="A19" s="95" t="s">
        <v>1091</v>
      </c>
      <c r="B19" s="95" t="s">
        <v>1092</v>
      </c>
      <c r="C19" s="95" t="s">
        <v>1093</v>
      </c>
      <c r="D19" s="95" t="s">
        <v>1088</v>
      </c>
      <c r="E19" s="95" t="s">
        <v>1089</v>
      </c>
      <c r="F19" s="95" t="s">
        <v>1090</v>
      </c>
    </row>
    <row r="20" spans="1:6" x14ac:dyDescent="0.2">
      <c r="A20" s="95" t="s">
        <v>1094</v>
      </c>
      <c r="B20" s="95" t="s">
        <v>1095</v>
      </c>
      <c r="C20" s="95" t="s">
        <v>1096</v>
      </c>
      <c r="D20" s="95" t="s">
        <v>1088</v>
      </c>
      <c r="E20" s="95" t="s">
        <v>1089</v>
      </c>
      <c r="F20" s="95" t="s">
        <v>1090</v>
      </c>
    </row>
    <row r="21" spans="1:6" x14ac:dyDescent="0.2">
      <c r="A21" s="95" t="s">
        <v>1004</v>
      </c>
      <c r="B21" s="95" t="s">
        <v>1005</v>
      </c>
      <c r="C21" s="95" t="s">
        <v>1006</v>
      </c>
      <c r="D21" s="95" t="s">
        <v>1007</v>
      </c>
      <c r="E21" s="95" t="s">
        <v>1008</v>
      </c>
      <c r="F21" s="95" t="s">
        <v>1009</v>
      </c>
    </row>
    <row r="22" spans="1:6" x14ac:dyDescent="0.2">
      <c r="A22" s="95" t="s">
        <v>1543</v>
      </c>
      <c r="B22" s="95" t="s">
        <v>1544</v>
      </c>
      <c r="C22" s="95" t="s">
        <v>1545</v>
      </c>
      <c r="D22" s="95" t="s">
        <v>1546</v>
      </c>
      <c r="E22" s="95" t="s">
        <v>1547</v>
      </c>
      <c r="F22" s="95" t="s">
        <v>1548</v>
      </c>
    </row>
    <row r="23" spans="1:6" x14ac:dyDescent="0.2">
      <c r="A23" s="95" t="s">
        <v>1549</v>
      </c>
      <c r="B23" s="95" t="s">
        <v>1550</v>
      </c>
      <c r="C23" s="95" t="s">
        <v>1551</v>
      </c>
      <c r="D23" s="95" t="s">
        <v>1546</v>
      </c>
      <c r="E23" s="95" t="s">
        <v>1547</v>
      </c>
      <c r="F23" s="95" t="s">
        <v>1548</v>
      </c>
    </row>
    <row r="24" spans="1:6" x14ac:dyDescent="0.2">
      <c r="A24" s="95" t="s">
        <v>1217</v>
      </c>
      <c r="B24" s="95" t="s">
        <v>1218</v>
      </c>
      <c r="C24" s="95" t="s">
        <v>1219</v>
      </c>
      <c r="D24" s="95" t="s">
        <v>1214</v>
      </c>
      <c r="E24" s="95" t="s">
        <v>1215</v>
      </c>
      <c r="F24" s="95" t="s">
        <v>1216</v>
      </c>
    </row>
    <row r="25" spans="1:6" x14ac:dyDescent="0.2">
      <c r="A25" s="95" t="s">
        <v>1390</v>
      </c>
      <c r="B25" s="95" t="s">
        <v>1391</v>
      </c>
      <c r="C25" s="95" t="s">
        <v>1392</v>
      </c>
      <c r="D25" s="95" t="s">
        <v>1384</v>
      </c>
      <c r="E25" s="95" t="s">
        <v>1385</v>
      </c>
      <c r="F25" s="95" t="s">
        <v>1386</v>
      </c>
    </row>
    <row r="26" spans="1:6" x14ac:dyDescent="0.2">
      <c r="A26" s="95" t="s">
        <v>1097</v>
      </c>
      <c r="B26" s="95" t="s">
        <v>1098</v>
      </c>
      <c r="C26" s="95" t="s">
        <v>1099</v>
      </c>
      <c r="D26" s="95" t="s">
        <v>1088</v>
      </c>
      <c r="E26" s="95" t="s">
        <v>1089</v>
      </c>
      <c r="F26" s="95" t="s">
        <v>1090</v>
      </c>
    </row>
    <row r="27" spans="1:6" x14ac:dyDescent="0.2">
      <c r="A27" s="95" t="s">
        <v>1675</v>
      </c>
      <c r="B27" s="95" t="s">
        <v>1676</v>
      </c>
      <c r="C27" s="95" t="s">
        <v>1677</v>
      </c>
      <c r="D27" s="95" t="s">
        <v>1672</v>
      </c>
      <c r="E27" s="95" t="s">
        <v>1673</v>
      </c>
      <c r="F27" s="95" t="s">
        <v>1674</v>
      </c>
    </row>
    <row r="28" spans="1:6" x14ac:dyDescent="0.2">
      <c r="A28" s="95" t="s">
        <v>1960</v>
      </c>
      <c r="B28" s="95" t="s">
        <v>1961</v>
      </c>
      <c r="C28" s="95" t="s">
        <v>1962</v>
      </c>
      <c r="D28" s="95" t="s">
        <v>1672</v>
      </c>
      <c r="E28" s="95" t="s">
        <v>1673</v>
      </c>
      <c r="F28" s="95" t="s">
        <v>1674</v>
      </c>
    </row>
    <row r="29" spans="1:6" x14ac:dyDescent="0.2">
      <c r="A29" s="95" t="s">
        <v>1678</v>
      </c>
      <c r="B29" s="95" t="s">
        <v>1679</v>
      </c>
      <c r="C29" s="95" t="s">
        <v>1680</v>
      </c>
      <c r="D29" s="95" t="s">
        <v>1672</v>
      </c>
      <c r="E29" s="95" t="s">
        <v>1673</v>
      </c>
      <c r="F29" s="95" t="s">
        <v>1674</v>
      </c>
    </row>
    <row r="30" spans="1:6" x14ac:dyDescent="0.2">
      <c r="A30" s="95" t="s">
        <v>1945</v>
      </c>
      <c r="B30" s="95" t="s">
        <v>1946</v>
      </c>
      <c r="C30" s="95" t="s">
        <v>1947</v>
      </c>
      <c r="D30" s="95" t="s">
        <v>1088</v>
      </c>
      <c r="E30" s="95" t="s">
        <v>1089</v>
      </c>
      <c r="F30" s="95" t="s">
        <v>1090</v>
      </c>
    </row>
    <row r="31" spans="1:6" x14ac:dyDescent="0.2">
      <c r="A31" s="95" t="s">
        <v>1840</v>
      </c>
      <c r="B31" s="95" t="s">
        <v>1841</v>
      </c>
      <c r="C31" s="95" t="s">
        <v>1842</v>
      </c>
      <c r="D31" s="95" t="s">
        <v>1546</v>
      </c>
      <c r="E31" s="95" t="s">
        <v>1547</v>
      </c>
      <c r="F31" s="95" t="s">
        <v>1548</v>
      </c>
    </row>
    <row r="32" spans="1:6" x14ac:dyDescent="0.2">
      <c r="A32" s="95" t="s">
        <v>1681</v>
      </c>
      <c r="B32" s="95" t="s">
        <v>1682</v>
      </c>
      <c r="C32" s="95" t="s">
        <v>1683</v>
      </c>
      <c r="D32" s="95" t="s">
        <v>1672</v>
      </c>
      <c r="E32" s="95" t="s">
        <v>1673</v>
      </c>
      <c r="F32" s="95" t="s">
        <v>1674</v>
      </c>
    </row>
    <row r="33" spans="1:6" x14ac:dyDescent="0.2">
      <c r="A33" s="95" t="s">
        <v>1288</v>
      </c>
      <c r="B33" s="95" t="s">
        <v>1289</v>
      </c>
      <c r="C33" s="95" t="s">
        <v>1290</v>
      </c>
      <c r="D33" s="95" t="s">
        <v>1276</v>
      </c>
      <c r="E33" s="95" t="s">
        <v>1277</v>
      </c>
      <c r="F33" s="95" t="s">
        <v>1278</v>
      </c>
    </row>
    <row r="34" spans="1:6" x14ac:dyDescent="0.2">
      <c r="A34" s="95" t="s">
        <v>1552</v>
      </c>
      <c r="B34" s="95" t="s">
        <v>1553</v>
      </c>
      <c r="C34" s="95" t="s">
        <v>1554</v>
      </c>
      <c r="D34" s="95" t="s">
        <v>1546</v>
      </c>
      <c r="E34" s="95" t="s">
        <v>1547</v>
      </c>
      <c r="F34" s="95" t="s">
        <v>1548</v>
      </c>
    </row>
    <row r="35" spans="1:6" x14ac:dyDescent="0.2">
      <c r="A35" s="95" t="s">
        <v>1882</v>
      </c>
      <c r="B35" s="95" t="s">
        <v>1883</v>
      </c>
      <c r="C35" s="95" t="s">
        <v>1884</v>
      </c>
      <c r="D35" s="95" t="s">
        <v>1088</v>
      </c>
      <c r="E35" s="95" t="s">
        <v>1089</v>
      </c>
      <c r="F35" s="95" t="s">
        <v>1090</v>
      </c>
    </row>
    <row r="36" spans="1:6" x14ac:dyDescent="0.2">
      <c r="A36" s="95" t="s">
        <v>1834</v>
      </c>
      <c r="B36" s="95" t="s">
        <v>1835</v>
      </c>
      <c r="C36" s="95" t="s">
        <v>1836</v>
      </c>
      <c r="D36" s="95" t="s">
        <v>1546</v>
      </c>
      <c r="E36" s="95" t="s">
        <v>1547</v>
      </c>
      <c r="F36" s="95" t="s">
        <v>1548</v>
      </c>
    </row>
    <row r="37" spans="1:6" x14ac:dyDescent="0.2">
      <c r="A37" s="95" t="s">
        <v>1555</v>
      </c>
      <c r="B37" s="95" t="s">
        <v>1556</v>
      </c>
      <c r="C37" s="95" t="s">
        <v>1557</v>
      </c>
      <c r="D37" s="95" t="s">
        <v>1546</v>
      </c>
      <c r="E37" s="95" t="s">
        <v>1547</v>
      </c>
      <c r="F37" s="95" t="s">
        <v>1548</v>
      </c>
    </row>
    <row r="38" spans="1:6" x14ac:dyDescent="0.2">
      <c r="A38" s="95" t="s">
        <v>1100</v>
      </c>
      <c r="B38" s="95" t="s">
        <v>1101</v>
      </c>
      <c r="C38" s="95" t="s">
        <v>1102</v>
      </c>
      <c r="D38" s="95" t="s">
        <v>1088</v>
      </c>
      <c r="E38" s="95" t="s">
        <v>1089</v>
      </c>
      <c r="F38" s="95" t="s">
        <v>1090</v>
      </c>
    </row>
    <row r="39" spans="1:6" x14ac:dyDescent="0.2">
      <c r="A39" s="95" t="s">
        <v>1291</v>
      </c>
      <c r="B39" s="95" t="s">
        <v>1292</v>
      </c>
      <c r="C39" s="95" t="s">
        <v>1293</v>
      </c>
      <c r="D39" s="95" t="s">
        <v>1276</v>
      </c>
      <c r="E39" s="95" t="s">
        <v>1277</v>
      </c>
      <c r="F39" s="95" t="s">
        <v>1278</v>
      </c>
    </row>
    <row r="40" spans="1:6" x14ac:dyDescent="0.2">
      <c r="A40" s="95" t="s">
        <v>1843</v>
      </c>
      <c r="B40" s="95" t="s">
        <v>1844</v>
      </c>
      <c r="C40" s="95" t="s">
        <v>1845</v>
      </c>
      <c r="D40" s="95" t="s">
        <v>1546</v>
      </c>
      <c r="E40" s="95" t="s">
        <v>1547</v>
      </c>
      <c r="F40" s="95" t="s">
        <v>1548</v>
      </c>
    </row>
    <row r="41" spans="1:6" x14ac:dyDescent="0.2">
      <c r="A41" s="95" t="s">
        <v>1294</v>
      </c>
      <c r="B41" s="95" t="s">
        <v>1295</v>
      </c>
      <c r="C41" s="95" t="s">
        <v>1296</v>
      </c>
      <c r="D41" s="95" t="s">
        <v>1276</v>
      </c>
      <c r="E41" s="95" t="s">
        <v>1277</v>
      </c>
      <c r="F41" s="95" t="s">
        <v>1278</v>
      </c>
    </row>
    <row r="42" spans="1:6" x14ac:dyDescent="0.2">
      <c r="A42" s="95" t="s">
        <v>1297</v>
      </c>
      <c r="B42" s="95" t="s">
        <v>1298</v>
      </c>
      <c r="C42" s="95" t="s">
        <v>1299</v>
      </c>
      <c r="D42" s="95" t="s">
        <v>1276</v>
      </c>
      <c r="E42" s="95" t="s">
        <v>1277</v>
      </c>
      <c r="F42" s="95" t="s">
        <v>1278</v>
      </c>
    </row>
    <row r="43" spans="1:6" x14ac:dyDescent="0.2">
      <c r="A43" s="95" t="s">
        <v>1912</v>
      </c>
      <c r="B43" s="95" t="s">
        <v>1913</v>
      </c>
      <c r="C43" s="95" t="s">
        <v>1914</v>
      </c>
      <c r="D43" s="95" t="s">
        <v>1384</v>
      </c>
      <c r="E43" s="95" t="s">
        <v>1385</v>
      </c>
      <c r="F43" s="95" t="s">
        <v>1386</v>
      </c>
    </row>
    <row r="44" spans="1:6" x14ac:dyDescent="0.2">
      <c r="A44" s="95" t="s">
        <v>1558</v>
      </c>
      <c r="B44" s="95" t="s">
        <v>1559</v>
      </c>
      <c r="C44" s="95" t="s">
        <v>1560</v>
      </c>
      <c r="D44" s="95" t="s">
        <v>1546</v>
      </c>
      <c r="E44" s="95" t="s">
        <v>1547</v>
      </c>
      <c r="F44" s="95" t="s">
        <v>1548</v>
      </c>
    </row>
    <row r="45" spans="1:6" x14ac:dyDescent="0.2">
      <c r="A45" s="95" t="s">
        <v>1792</v>
      </c>
      <c r="B45" s="95" t="s">
        <v>1793</v>
      </c>
      <c r="C45" s="95" t="s">
        <v>1794</v>
      </c>
      <c r="D45" s="95" t="s">
        <v>1007</v>
      </c>
      <c r="E45" s="95" t="s">
        <v>1008</v>
      </c>
      <c r="F45" s="95" t="s">
        <v>1009</v>
      </c>
    </row>
    <row r="46" spans="1:6" x14ac:dyDescent="0.2">
      <c r="A46" s="95" t="s">
        <v>1028</v>
      </c>
      <c r="B46" s="95" t="s">
        <v>1029</v>
      </c>
      <c r="C46" s="95" t="s">
        <v>1030</v>
      </c>
      <c r="D46" s="95" t="s">
        <v>1025</v>
      </c>
      <c r="E46" s="95" t="s">
        <v>1026</v>
      </c>
      <c r="F46" s="95" t="s">
        <v>1027</v>
      </c>
    </row>
    <row r="47" spans="1:6" x14ac:dyDescent="0.2">
      <c r="A47" s="95" t="s">
        <v>1501</v>
      </c>
      <c r="B47" s="95" t="s">
        <v>1502</v>
      </c>
      <c r="C47" s="95" t="s">
        <v>1503</v>
      </c>
      <c r="D47" s="95" t="s">
        <v>1504</v>
      </c>
      <c r="E47" s="95" t="s">
        <v>1505</v>
      </c>
      <c r="F47" s="95" t="s">
        <v>1506</v>
      </c>
    </row>
    <row r="48" spans="1:6" x14ac:dyDescent="0.2">
      <c r="A48" s="95" t="s">
        <v>1561</v>
      </c>
      <c r="B48" s="95" t="s">
        <v>1562</v>
      </c>
      <c r="C48" s="95" t="s">
        <v>1563</v>
      </c>
      <c r="D48" s="95" t="s">
        <v>1546</v>
      </c>
      <c r="E48" s="95" t="s">
        <v>1547</v>
      </c>
      <c r="F48" s="95" t="s">
        <v>1548</v>
      </c>
    </row>
    <row r="49" spans="1:6" x14ac:dyDescent="0.2">
      <c r="A49" s="95" t="s">
        <v>1564</v>
      </c>
      <c r="B49" s="95" t="s">
        <v>1565</v>
      </c>
      <c r="C49" s="95" t="s">
        <v>1566</v>
      </c>
      <c r="D49" s="95" t="s">
        <v>1546</v>
      </c>
      <c r="E49" s="95" t="s">
        <v>1547</v>
      </c>
      <c r="F49" s="95" t="s">
        <v>1548</v>
      </c>
    </row>
    <row r="50" spans="1:6" x14ac:dyDescent="0.2">
      <c r="A50" s="95" t="s">
        <v>1885</v>
      </c>
      <c r="B50" s="95" t="s">
        <v>1886</v>
      </c>
      <c r="C50" s="95" t="s">
        <v>1887</v>
      </c>
      <c r="D50" s="95" t="s">
        <v>1088</v>
      </c>
      <c r="E50" s="95" t="s">
        <v>1089</v>
      </c>
      <c r="F50" s="95" t="s">
        <v>1090</v>
      </c>
    </row>
    <row r="51" spans="1:6" x14ac:dyDescent="0.2">
      <c r="A51" s="95" t="s">
        <v>1103</v>
      </c>
      <c r="B51" s="95" t="s">
        <v>1104</v>
      </c>
      <c r="C51" s="95" t="s">
        <v>1105</v>
      </c>
      <c r="D51" s="95" t="s">
        <v>1088</v>
      </c>
      <c r="E51" s="95" t="s">
        <v>1089</v>
      </c>
      <c r="F51" s="95" t="s">
        <v>1090</v>
      </c>
    </row>
    <row r="52" spans="1:6" x14ac:dyDescent="0.2">
      <c r="A52" s="95" t="s">
        <v>1684</v>
      </c>
      <c r="B52" s="95" t="s">
        <v>1685</v>
      </c>
      <c r="C52" s="95" t="s">
        <v>1686</v>
      </c>
      <c r="D52" s="95" t="s">
        <v>1672</v>
      </c>
      <c r="E52" s="95" t="s">
        <v>1673</v>
      </c>
      <c r="F52" s="95" t="s">
        <v>1674</v>
      </c>
    </row>
    <row r="53" spans="1:6" x14ac:dyDescent="0.2">
      <c r="A53" s="95" t="s">
        <v>1223</v>
      </c>
      <c r="B53" s="95" t="s">
        <v>1224</v>
      </c>
      <c r="C53" s="95" t="s">
        <v>1225</v>
      </c>
      <c r="D53" s="95" t="s">
        <v>1214</v>
      </c>
      <c r="E53" s="95" t="s">
        <v>1215</v>
      </c>
      <c r="F53" s="95" t="s">
        <v>1216</v>
      </c>
    </row>
    <row r="54" spans="1:6" x14ac:dyDescent="0.2">
      <c r="A54" s="95" t="s">
        <v>1226</v>
      </c>
      <c r="B54" s="95" t="s">
        <v>1227</v>
      </c>
      <c r="C54" s="95" t="s">
        <v>1228</v>
      </c>
      <c r="D54" s="95" t="s">
        <v>1214</v>
      </c>
      <c r="E54" s="95" t="s">
        <v>1215</v>
      </c>
      <c r="F54" s="95" t="s">
        <v>1216</v>
      </c>
    </row>
    <row r="55" spans="1:6" x14ac:dyDescent="0.2">
      <c r="A55" s="95" t="s">
        <v>1106</v>
      </c>
      <c r="B55" s="95" t="s">
        <v>1107</v>
      </c>
      <c r="C55" s="95" t="s">
        <v>1108</v>
      </c>
      <c r="D55" s="95" t="s">
        <v>1088</v>
      </c>
      <c r="E55" s="95" t="s">
        <v>1089</v>
      </c>
      <c r="F55" s="95" t="s">
        <v>1090</v>
      </c>
    </row>
    <row r="56" spans="1:6" x14ac:dyDescent="0.2">
      <c r="A56" s="95" t="s">
        <v>1396</v>
      </c>
      <c r="B56" s="95" t="s">
        <v>1397</v>
      </c>
      <c r="C56" s="95" t="s">
        <v>1398</v>
      </c>
      <c r="D56" s="95" t="s">
        <v>1384</v>
      </c>
      <c r="E56" s="95" t="s">
        <v>1385</v>
      </c>
      <c r="F56" s="95" t="s">
        <v>1386</v>
      </c>
    </row>
    <row r="57" spans="1:6" x14ac:dyDescent="0.2">
      <c r="A57" s="95" t="s">
        <v>1300</v>
      </c>
      <c r="B57" s="95" t="s">
        <v>1301</v>
      </c>
      <c r="C57" s="95" t="s">
        <v>1302</v>
      </c>
      <c r="D57" s="95" t="s">
        <v>1276</v>
      </c>
      <c r="E57" s="95" t="s">
        <v>1277</v>
      </c>
      <c r="F57" s="95" t="s">
        <v>1278</v>
      </c>
    </row>
    <row r="58" spans="1:6" x14ac:dyDescent="0.2">
      <c r="A58" s="95" t="s">
        <v>1010</v>
      </c>
      <c r="B58" s="95" t="s">
        <v>1011</v>
      </c>
      <c r="C58" s="95" t="s">
        <v>1012</v>
      </c>
      <c r="D58" s="95" t="s">
        <v>1007</v>
      </c>
      <c r="E58" s="95" t="s">
        <v>1008</v>
      </c>
      <c r="F58" s="95" t="s">
        <v>1009</v>
      </c>
    </row>
    <row r="59" spans="1:6" x14ac:dyDescent="0.2">
      <c r="A59" s="95" t="s">
        <v>1816</v>
      </c>
      <c r="B59" s="95" t="s">
        <v>1817</v>
      </c>
      <c r="C59" s="95" t="s">
        <v>1818</v>
      </c>
      <c r="D59" s="95" t="s">
        <v>1546</v>
      </c>
      <c r="E59" s="95" t="s">
        <v>1547</v>
      </c>
      <c r="F59" s="95" t="s">
        <v>1548</v>
      </c>
    </row>
    <row r="60" spans="1:6" x14ac:dyDescent="0.2">
      <c r="A60" s="95" t="s">
        <v>1109</v>
      </c>
      <c r="B60" s="95" t="s">
        <v>1110</v>
      </c>
      <c r="C60" s="95" t="s">
        <v>1111</v>
      </c>
      <c r="D60" s="95" t="s">
        <v>1088</v>
      </c>
      <c r="E60" s="95" t="s">
        <v>1089</v>
      </c>
      <c r="F60" s="95" t="s">
        <v>1090</v>
      </c>
    </row>
    <row r="61" spans="1:6" x14ac:dyDescent="0.2">
      <c r="A61" s="95" t="s">
        <v>1031</v>
      </c>
      <c r="B61" s="95" t="s">
        <v>1032</v>
      </c>
      <c r="C61" s="95" t="s">
        <v>1033</v>
      </c>
      <c r="D61" s="95" t="s">
        <v>1025</v>
      </c>
      <c r="E61" s="95" t="s">
        <v>1026</v>
      </c>
      <c r="F61" s="95" t="s">
        <v>1027</v>
      </c>
    </row>
    <row r="62" spans="1:6" x14ac:dyDescent="0.2">
      <c r="A62" s="95" t="s">
        <v>1894</v>
      </c>
      <c r="B62" s="95" t="s">
        <v>1895</v>
      </c>
      <c r="C62" s="95" t="s">
        <v>1896</v>
      </c>
      <c r="D62" s="95" t="s">
        <v>968</v>
      </c>
      <c r="E62" s="95" t="s">
        <v>969</v>
      </c>
      <c r="F62" s="95" t="s">
        <v>970</v>
      </c>
    </row>
    <row r="63" spans="1:6" x14ac:dyDescent="0.2">
      <c r="A63" s="95" t="s">
        <v>1220</v>
      </c>
      <c r="B63" s="95" t="s">
        <v>1221</v>
      </c>
      <c r="C63" s="95" t="s">
        <v>1222</v>
      </c>
      <c r="D63" s="95" t="s">
        <v>1214</v>
      </c>
      <c r="E63" s="95" t="s">
        <v>1215</v>
      </c>
      <c r="F63" s="95" t="s">
        <v>1216</v>
      </c>
    </row>
    <row r="64" spans="1:6" x14ac:dyDescent="0.2">
      <c r="A64" s="95" t="s">
        <v>1939</v>
      </c>
      <c r="B64" s="95" t="s">
        <v>1940</v>
      </c>
      <c r="C64" s="95" t="s">
        <v>1941</v>
      </c>
      <c r="D64" s="95" t="s">
        <v>968</v>
      </c>
      <c r="E64" s="95" t="s">
        <v>969</v>
      </c>
      <c r="F64" s="95" t="s">
        <v>970</v>
      </c>
    </row>
    <row r="65" spans="1:6" x14ac:dyDescent="0.2">
      <c r="A65" s="95" t="s">
        <v>1537</v>
      </c>
      <c r="B65" s="95" t="s">
        <v>1538</v>
      </c>
      <c r="C65" s="95" t="s">
        <v>1539</v>
      </c>
      <c r="D65" s="95" t="s">
        <v>1214</v>
      </c>
      <c r="E65" s="95" t="s">
        <v>1215</v>
      </c>
      <c r="F65" s="95" t="s">
        <v>1216</v>
      </c>
    </row>
    <row r="66" spans="1:6" x14ac:dyDescent="0.2">
      <c r="A66" s="95" t="s">
        <v>1795</v>
      </c>
      <c r="B66" s="95" t="s">
        <v>1796</v>
      </c>
      <c r="C66" s="95" t="s">
        <v>1797</v>
      </c>
      <c r="D66" s="95" t="s">
        <v>1007</v>
      </c>
      <c r="E66" s="95" t="s">
        <v>1008</v>
      </c>
      <c r="F66" s="95" t="s">
        <v>1009</v>
      </c>
    </row>
    <row r="67" spans="1:6" x14ac:dyDescent="0.2">
      <c r="A67" s="95" t="s">
        <v>1399</v>
      </c>
      <c r="B67" s="95" t="s">
        <v>1400</v>
      </c>
      <c r="C67" s="95" t="s">
        <v>1401</v>
      </c>
      <c r="D67" s="95" t="s">
        <v>1384</v>
      </c>
      <c r="E67" s="95" t="s">
        <v>1385</v>
      </c>
      <c r="F67" s="95" t="s">
        <v>1386</v>
      </c>
    </row>
    <row r="68" spans="1:6" x14ac:dyDescent="0.2">
      <c r="A68" s="95" t="s">
        <v>1327</v>
      </c>
      <c r="B68" s="95" t="s">
        <v>1328</v>
      </c>
      <c r="C68" s="95" t="s">
        <v>1329</v>
      </c>
      <c r="D68" s="95" t="s">
        <v>1276</v>
      </c>
      <c r="E68" s="95" t="s">
        <v>1277</v>
      </c>
      <c r="F68" s="95" t="s">
        <v>1278</v>
      </c>
    </row>
    <row r="69" spans="1:6" x14ac:dyDescent="0.2">
      <c r="A69" s="95" t="s">
        <v>1567</v>
      </c>
      <c r="B69" s="95" t="s">
        <v>1568</v>
      </c>
      <c r="C69" s="95" t="s">
        <v>1569</v>
      </c>
      <c r="D69" s="95" t="s">
        <v>1546</v>
      </c>
      <c r="E69" s="95" t="s">
        <v>1547</v>
      </c>
      <c r="F69" s="95" t="s">
        <v>1548</v>
      </c>
    </row>
    <row r="70" spans="1:6" x14ac:dyDescent="0.2">
      <c r="A70" s="95" t="s">
        <v>1034</v>
      </c>
      <c r="B70" s="95" t="s">
        <v>1035</v>
      </c>
      <c r="C70" s="95" t="s">
        <v>1036</v>
      </c>
      <c r="D70" s="95" t="s">
        <v>1025</v>
      </c>
      <c r="E70" s="95" t="s">
        <v>1026</v>
      </c>
      <c r="F70" s="95" t="s">
        <v>1027</v>
      </c>
    </row>
    <row r="71" spans="1:6" x14ac:dyDescent="0.2">
      <c r="A71" s="95" t="s">
        <v>1303</v>
      </c>
      <c r="B71" s="95" t="s">
        <v>1304</v>
      </c>
      <c r="C71" s="95" t="s">
        <v>1305</v>
      </c>
      <c r="D71" s="95" t="s">
        <v>1276</v>
      </c>
      <c r="E71" s="95" t="s">
        <v>1277</v>
      </c>
      <c r="F71" s="95" t="s">
        <v>1278</v>
      </c>
    </row>
    <row r="72" spans="1:6" x14ac:dyDescent="0.2">
      <c r="A72" s="95" t="s">
        <v>1993</v>
      </c>
      <c r="B72" s="95" t="s">
        <v>1994</v>
      </c>
      <c r="C72" s="95" t="s">
        <v>1995</v>
      </c>
      <c r="D72" s="95" t="s">
        <v>1276</v>
      </c>
      <c r="E72" s="95" t="s">
        <v>1277</v>
      </c>
      <c r="F72" s="95" t="s">
        <v>1278</v>
      </c>
    </row>
    <row r="73" spans="1:6" x14ac:dyDescent="0.2">
      <c r="A73" s="95" t="s">
        <v>1873</v>
      </c>
      <c r="B73" s="95" t="s">
        <v>1874</v>
      </c>
      <c r="C73" s="95" t="s">
        <v>1875</v>
      </c>
      <c r="D73" s="95" t="s">
        <v>1025</v>
      </c>
      <c r="E73" s="95" t="s">
        <v>1026</v>
      </c>
      <c r="F73" s="95" t="s">
        <v>1027</v>
      </c>
    </row>
    <row r="74" spans="1:6" x14ac:dyDescent="0.2">
      <c r="A74" s="95" t="s">
        <v>1112</v>
      </c>
      <c r="B74" s="95" t="s">
        <v>1113</v>
      </c>
      <c r="C74" s="95" t="s">
        <v>1114</v>
      </c>
      <c r="D74" s="95" t="s">
        <v>1088</v>
      </c>
      <c r="E74" s="95" t="s">
        <v>1089</v>
      </c>
      <c r="F74" s="95" t="s">
        <v>1090</v>
      </c>
    </row>
    <row r="75" spans="1:6" x14ac:dyDescent="0.2">
      <c r="A75" s="95" t="s">
        <v>1115</v>
      </c>
      <c r="B75" s="95" t="s">
        <v>1116</v>
      </c>
      <c r="C75" s="95" t="s">
        <v>1117</v>
      </c>
      <c r="D75" s="95" t="s">
        <v>1088</v>
      </c>
      <c r="E75" s="95" t="s">
        <v>1089</v>
      </c>
      <c r="F75" s="95" t="s">
        <v>1090</v>
      </c>
    </row>
    <row r="76" spans="1:6" x14ac:dyDescent="0.2">
      <c r="A76" s="95" t="s">
        <v>1573</v>
      </c>
      <c r="B76" s="95" t="s">
        <v>1574</v>
      </c>
      <c r="C76" s="95" t="s">
        <v>1575</v>
      </c>
      <c r="D76" s="95" t="s">
        <v>1546</v>
      </c>
      <c r="E76" s="95" t="s">
        <v>1547</v>
      </c>
      <c r="F76" s="95" t="s">
        <v>1548</v>
      </c>
    </row>
    <row r="77" spans="1:6" x14ac:dyDescent="0.2">
      <c r="A77" s="95" t="s">
        <v>1402</v>
      </c>
      <c r="B77" s="95" t="s">
        <v>1403</v>
      </c>
      <c r="C77" s="95" t="s">
        <v>1404</v>
      </c>
      <c r="D77" s="95" t="s">
        <v>1384</v>
      </c>
      <c r="E77" s="95" t="s">
        <v>1385</v>
      </c>
      <c r="F77" s="95" t="s">
        <v>1386</v>
      </c>
    </row>
    <row r="78" spans="1:6" x14ac:dyDescent="0.2">
      <c r="A78" s="95" t="s">
        <v>1393</v>
      </c>
      <c r="B78" s="95" t="s">
        <v>1394</v>
      </c>
      <c r="C78" s="95" t="s">
        <v>1395</v>
      </c>
      <c r="D78" s="95" t="s">
        <v>1276</v>
      </c>
      <c r="E78" s="95" t="s">
        <v>1277</v>
      </c>
      <c r="F78" s="95" t="s">
        <v>1278</v>
      </c>
    </row>
    <row r="79" spans="1:6" x14ac:dyDescent="0.2">
      <c r="A79" s="95" t="s">
        <v>1831</v>
      </c>
      <c r="B79" s="95" t="s">
        <v>1832</v>
      </c>
      <c r="C79" s="95" t="s">
        <v>1833</v>
      </c>
      <c r="D79" s="95" t="s">
        <v>1546</v>
      </c>
      <c r="E79" s="95" t="s">
        <v>1547</v>
      </c>
      <c r="F79" s="95" t="s">
        <v>1548</v>
      </c>
    </row>
    <row r="80" spans="1:6" x14ac:dyDescent="0.2">
      <c r="A80" s="95" t="s">
        <v>1208</v>
      </c>
      <c r="B80" s="95" t="s">
        <v>1209</v>
      </c>
      <c r="C80" s="95" t="s">
        <v>1210</v>
      </c>
      <c r="D80" s="95" t="s">
        <v>953</v>
      </c>
      <c r="E80" s="95" t="s">
        <v>954</v>
      </c>
      <c r="F80" s="95" t="s">
        <v>955</v>
      </c>
    </row>
    <row r="81" spans="1:6" x14ac:dyDescent="0.2">
      <c r="A81" s="95" t="s">
        <v>1118</v>
      </c>
      <c r="B81" s="95" t="s">
        <v>1119</v>
      </c>
      <c r="C81" s="95" t="s">
        <v>1120</v>
      </c>
      <c r="D81" s="95" t="s">
        <v>1088</v>
      </c>
      <c r="E81" s="95" t="s">
        <v>1089</v>
      </c>
      <c r="F81" s="95" t="s">
        <v>1090</v>
      </c>
    </row>
    <row r="82" spans="1:6" x14ac:dyDescent="0.2">
      <c r="A82" s="95" t="s">
        <v>1121</v>
      </c>
      <c r="B82" s="95" t="s">
        <v>1122</v>
      </c>
      <c r="C82" s="95" t="s">
        <v>1123</v>
      </c>
      <c r="D82" s="95" t="s">
        <v>1088</v>
      </c>
      <c r="E82" s="95" t="s">
        <v>1089</v>
      </c>
      <c r="F82" s="95" t="s">
        <v>1090</v>
      </c>
    </row>
    <row r="83" spans="1:6" x14ac:dyDescent="0.2">
      <c r="A83" s="95" t="s">
        <v>1825</v>
      </c>
      <c r="B83" s="95" t="s">
        <v>1826</v>
      </c>
      <c r="C83" s="95" t="s">
        <v>1827</v>
      </c>
      <c r="D83" s="95" t="s">
        <v>1672</v>
      </c>
      <c r="E83" s="95" t="s">
        <v>1673</v>
      </c>
      <c r="F83" s="95" t="s">
        <v>1674</v>
      </c>
    </row>
    <row r="84" spans="1:6" x14ac:dyDescent="0.2">
      <c r="A84" s="95" t="s">
        <v>1306</v>
      </c>
      <c r="B84" s="95" t="s">
        <v>1307</v>
      </c>
      <c r="C84" s="95" t="s">
        <v>1308</v>
      </c>
      <c r="D84" s="95" t="s">
        <v>1276</v>
      </c>
      <c r="E84" s="95" t="s">
        <v>1277</v>
      </c>
      <c r="F84" s="95" t="s">
        <v>1278</v>
      </c>
    </row>
    <row r="85" spans="1:6" x14ac:dyDescent="0.2">
      <c r="A85" s="95" t="s">
        <v>1124</v>
      </c>
      <c r="B85" s="95" t="s">
        <v>1125</v>
      </c>
      <c r="C85" s="95" t="s">
        <v>1126</v>
      </c>
      <c r="D85" s="95" t="s">
        <v>1088</v>
      </c>
      <c r="E85" s="95" t="s">
        <v>1089</v>
      </c>
      <c r="F85" s="95" t="s">
        <v>1090</v>
      </c>
    </row>
    <row r="86" spans="1:6" x14ac:dyDescent="0.2">
      <c r="A86" s="95" t="s">
        <v>1229</v>
      </c>
      <c r="B86" s="95" t="s">
        <v>1230</v>
      </c>
      <c r="C86" s="95" t="s">
        <v>1231</v>
      </c>
      <c r="D86" s="95" t="s">
        <v>1214</v>
      </c>
      <c r="E86" s="95" t="s">
        <v>1215</v>
      </c>
      <c r="F86" s="95" t="s">
        <v>1216</v>
      </c>
    </row>
    <row r="87" spans="1:6" x14ac:dyDescent="0.2">
      <c r="A87" s="95" t="s">
        <v>1990</v>
      </c>
      <c r="B87" s="95" t="s">
        <v>1991</v>
      </c>
      <c r="C87" s="95" t="s">
        <v>1992</v>
      </c>
      <c r="D87" s="95" t="s">
        <v>948</v>
      </c>
      <c r="E87" s="95" t="s">
        <v>949</v>
      </c>
      <c r="F87" s="95" t="s">
        <v>947</v>
      </c>
    </row>
    <row r="88" spans="1:6" x14ac:dyDescent="0.2">
      <c r="A88" s="95" t="s">
        <v>1576</v>
      </c>
      <c r="B88" s="95" t="s">
        <v>1577</v>
      </c>
      <c r="C88" s="95" t="s">
        <v>1578</v>
      </c>
      <c r="D88" s="95" t="s">
        <v>1546</v>
      </c>
      <c r="E88" s="95" t="s">
        <v>1547</v>
      </c>
      <c r="F88" s="95" t="s">
        <v>1548</v>
      </c>
    </row>
    <row r="89" spans="1:6" x14ac:dyDescent="0.2">
      <c r="A89" s="95" t="s">
        <v>1915</v>
      </c>
      <c r="B89" s="95" t="s">
        <v>1916</v>
      </c>
      <c r="C89" s="95" t="s">
        <v>1917</v>
      </c>
      <c r="D89" s="95" t="s">
        <v>1672</v>
      </c>
      <c r="E89" s="95" t="s">
        <v>1673</v>
      </c>
      <c r="F89" s="95" t="s">
        <v>1674</v>
      </c>
    </row>
    <row r="90" spans="1:6" x14ac:dyDescent="0.2">
      <c r="A90" s="95" t="s">
        <v>1579</v>
      </c>
      <c r="B90" s="95" t="s">
        <v>1580</v>
      </c>
      <c r="C90" s="95" t="s">
        <v>1581</v>
      </c>
      <c r="D90" s="95" t="s">
        <v>1546</v>
      </c>
      <c r="E90" s="95" t="s">
        <v>1547</v>
      </c>
      <c r="F90" s="95" t="s">
        <v>1548</v>
      </c>
    </row>
    <row r="91" spans="1:6" x14ac:dyDescent="0.2">
      <c r="A91" s="95" t="s">
        <v>1127</v>
      </c>
      <c r="B91" s="95" t="s">
        <v>1128</v>
      </c>
      <c r="C91" s="95" t="s">
        <v>1129</v>
      </c>
      <c r="D91" s="95" t="s">
        <v>1088</v>
      </c>
      <c r="E91" s="95" t="s">
        <v>1089</v>
      </c>
      <c r="F91" s="95" t="s">
        <v>1090</v>
      </c>
    </row>
    <row r="92" spans="1:6" x14ac:dyDescent="0.2">
      <c r="A92" s="95" t="s">
        <v>1013</v>
      </c>
      <c r="B92" s="95" t="s">
        <v>1014</v>
      </c>
      <c r="C92" s="95" t="s">
        <v>1015</v>
      </c>
      <c r="D92" s="95" t="s">
        <v>1007</v>
      </c>
      <c r="E92" s="95" t="s">
        <v>1008</v>
      </c>
      <c r="F92" s="95" t="s">
        <v>1009</v>
      </c>
    </row>
    <row r="93" spans="1:6" x14ac:dyDescent="0.2">
      <c r="A93" s="95" t="s">
        <v>1309</v>
      </c>
      <c r="B93" s="95" t="s">
        <v>1310</v>
      </c>
      <c r="C93" s="95" t="s">
        <v>1311</v>
      </c>
      <c r="D93" s="95" t="s">
        <v>1276</v>
      </c>
      <c r="E93" s="95" t="s">
        <v>1277</v>
      </c>
      <c r="F93" s="95" t="s">
        <v>1278</v>
      </c>
    </row>
    <row r="94" spans="1:6" x14ac:dyDescent="0.2">
      <c r="A94" s="95" t="s">
        <v>1037</v>
      </c>
      <c r="B94" s="95" t="s">
        <v>1038</v>
      </c>
      <c r="C94" s="95" t="s">
        <v>1039</v>
      </c>
      <c r="D94" s="95" t="s">
        <v>1025</v>
      </c>
      <c r="E94" s="95" t="s">
        <v>1026</v>
      </c>
      <c r="F94" s="95" t="s">
        <v>1027</v>
      </c>
    </row>
    <row r="95" spans="1:6" x14ac:dyDescent="0.2">
      <c r="A95" s="95" t="s">
        <v>1130</v>
      </c>
      <c r="B95" s="95" t="s">
        <v>1131</v>
      </c>
      <c r="C95" s="95" t="s">
        <v>1132</v>
      </c>
      <c r="D95" s="95" t="s">
        <v>1088</v>
      </c>
      <c r="E95" s="95" t="s">
        <v>1089</v>
      </c>
      <c r="F95" s="95" t="s">
        <v>1090</v>
      </c>
    </row>
    <row r="96" spans="1:6" x14ac:dyDescent="0.2">
      <c r="A96" s="95" t="s">
        <v>1133</v>
      </c>
      <c r="B96" s="95" t="s">
        <v>1134</v>
      </c>
      <c r="C96" s="95" t="s">
        <v>1135</v>
      </c>
      <c r="D96" s="95" t="s">
        <v>1088</v>
      </c>
      <c r="E96" s="95" t="s">
        <v>1089</v>
      </c>
      <c r="F96" s="95" t="s">
        <v>1090</v>
      </c>
    </row>
    <row r="97" spans="1:6" x14ac:dyDescent="0.2">
      <c r="A97" s="95" t="s">
        <v>1582</v>
      </c>
      <c r="B97" s="95" t="s">
        <v>1583</v>
      </c>
      <c r="C97" s="95" t="s">
        <v>1584</v>
      </c>
      <c r="D97" s="95" t="s">
        <v>1546</v>
      </c>
      <c r="E97" s="95" t="s">
        <v>1547</v>
      </c>
      <c r="F97" s="95" t="s">
        <v>1548</v>
      </c>
    </row>
    <row r="98" spans="1:6" x14ac:dyDescent="0.2">
      <c r="A98" s="95" t="s">
        <v>1585</v>
      </c>
      <c r="B98" s="95" t="s">
        <v>1586</v>
      </c>
      <c r="C98" s="95" t="s">
        <v>1587</v>
      </c>
      <c r="D98" s="95" t="s">
        <v>1546</v>
      </c>
      <c r="E98" s="95" t="s">
        <v>1547</v>
      </c>
      <c r="F98" s="95" t="s">
        <v>1548</v>
      </c>
    </row>
    <row r="99" spans="1:6" x14ac:dyDescent="0.2">
      <c r="A99" s="95" t="s">
        <v>1867</v>
      </c>
      <c r="B99" s="95" t="s">
        <v>1868</v>
      </c>
      <c r="C99" s="95" t="s">
        <v>1869</v>
      </c>
      <c r="D99" s="95" t="s">
        <v>1546</v>
      </c>
      <c r="E99" s="95" t="s">
        <v>1547</v>
      </c>
      <c r="F99" s="95" t="s">
        <v>1548</v>
      </c>
    </row>
    <row r="100" spans="1:6" x14ac:dyDescent="0.2">
      <c r="A100" s="95" t="s">
        <v>1765</v>
      </c>
      <c r="B100" s="95" t="s">
        <v>1766</v>
      </c>
      <c r="C100" s="95" t="s">
        <v>1767</v>
      </c>
      <c r="D100" s="95" t="s">
        <v>1546</v>
      </c>
      <c r="E100" s="95" t="s">
        <v>1547</v>
      </c>
      <c r="F100" s="95" t="s">
        <v>1548</v>
      </c>
    </row>
    <row r="101" spans="1:6" x14ac:dyDescent="0.2">
      <c r="A101" s="95" t="s">
        <v>1687</v>
      </c>
      <c r="B101" s="95" t="s">
        <v>1688</v>
      </c>
      <c r="C101" s="95" t="s">
        <v>1689</v>
      </c>
      <c r="D101" s="95" t="s">
        <v>1672</v>
      </c>
      <c r="E101" s="95" t="s">
        <v>1673</v>
      </c>
      <c r="F101" s="95" t="s">
        <v>1674</v>
      </c>
    </row>
    <row r="102" spans="1:6" x14ac:dyDescent="0.2">
      <c r="A102" s="95" t="s">
        <v>1588</v>
      </c>
      <c r="B102" s="95" t="s">
        <v>1589</v>
      </c>
      <c r="C102" s="95" t="s">
        <v>1590</v>
      </c>
      <c r="D102" s="95" t="s">
        <v>1546</v>
      </c>
      <c r="E102" s="95" t="s">
        <v>1547</v>
      </c>
      <c r="F102" s="95" t="s">
        <v>1548</v>
      </c>
    </row>
    <row r="103" spans="1:6" x14ac:dyDescent="0.2">
      <c r="A103" s="95" t="s">
        <v>1927</v>
      </c>
      <c r="B103" s="95" t="s">
        <v>1928</v>
      </c>
      <c r="C103" s="95" t="s">
        <v>1929</v>
      </c>
      <c r="D103" s="95" t="s">
        <v>1384</v>
      </c>
      <c r="E103" s="95" t="s">
        <v>1385</v>
      </c>
      <c r="F103" s="95" t="s">
        <v>1386</v>
      </c>
    </row>
    <row r="104" spans="1:6" x14ac:dyDescent="0.2">
      <c r="A104" s="95" t="s">
        <v>1507</v>
      </c>
      <c r="B104" s="95" t="s">
        <v>1508</v>
      </c>
      <c r="C104" s="95" t="s">
        <v>1509</v>
      </c>
      <c r="D104" s="95" t="s">
        <v>1504</v>
      </c>
      <c r="E104" s="95" t="s">
        <v>1505</v>
      </c>
      <c r="F104" s="95" t="s">
        <v>1506</v>
      </c>
    </row>
    <row r="105" spans="1:6" x14ac:dyDescent="0.2">
      <c r="A105" s="95" t="s">
        <v>1591</v>
      </c>
      <c r="B105" s="95" t="s">
        <v>1592</v>
      </c>
      <c r="C105" s="95" t="s">
        <v>1593</v>
      </c>
      <c r="D105" s="95" t="s">
        <v>1546</v>
      </c>
      <c r="E105" s="95" t="s">
        <v>1547</v>
      </c>
      <c r="F105" s="95" t="s">
        <v>1548</v>
      </c>
    </row>
    <row r="106" spans="1:6" x14ac:dyDescent="0.2">
      <c r="A106" s="95" t="s">
        <v>1942</v>
      </c>
      <c r="B106" s="95" t="s">
        <v>1943</v>
      </c>
      <c r="C106" s="95" t="s">
        <v>1944</v>
      </c>
      <c r="D106" s="95" t="s">
        <v>1276</v>
      </c>
      <c r="E106" s="95" t="s">
        <v>1277</v>
      </c>
      <c r="F106" s="95" t="s">
        <v>1278</v>
      </c>
    </row>
    <row r="107" spans="1:6" x14ac:dyDescent="0.2">
      <c r="A107" s="95" t="s">
        <v>1405</v>
      </c>
      <c r="B107" s="95" t="s">
        <v>1406</v>
      </c>
      <c r="C107" s="95" t="s">
        <v>1407</v>
      </c>
      <c r="D107" s="95" t="s">
        <v>1384</v>
      </c>
      <c r="E107" s="95" t="s">
        <v>1385</v>
      </c>
      <c r="F107" s="95" t="s">
        <v>1386</v>
      </c>
    </row>
    <row r="108" spans="1:6" x14ac:dyDescent="0.2">
      <c r="A108" s="95" t="s">
        <v>1408</v>
      </c>
      <c r="B108" s="95" t="s">
        <v>1409</v>
      </c>
      <c r="C108" s="95" t="s">
        <v>1410</v>
      </c>
      <c r="D108" s="95" t="s">
        <v>1384</v>
      </c>
      <c r="E108" s="95" t="s">
        <v>1385</v>
      </c>
      <c r="F108" s="95" t="s">
        <v>1386</v>
      </c>
    </row>
    <row r="109" spans="1:6" x14ac:dyDescent="0.2">
      <c r="A109" s="95" t="s">
        <v>945</v>
      </c>
      <c r="B109" s="95" t="s">
        <v>946</v>
      </c>
      <c r="C109" s="95" t="s">
        <v>947</v>
      </c>
      <c r="D109" s="95" t="s">
        <v>948</v>
      </c>
      <c r="E109" s="95" t="s">
        <v>949</v>
      </c>
      <c r="F109" s="95" t="s">
        <v>947</v>
      </c>
    </row>
    <row r="110" spans="1:6" x14ac:dyDescent="0.2">
      <c r="A110" s="95" t="s">
        <v>1846</v>
      </c>
      <c r="B110" s="95" t="s">
        <v>1847</v>
      </c>
      <c r="C110" s="95" t="s">
        <v>1848</v>
      </c>
      <c r="D110" s="95" t="s">
        <v>1672</v>
      </c>
      <c r="E110" s="95" t="s">
        <v>1673</v>
      </c>
      <c r="F110" s="95" t="s">
        <v>1674</v>
      </c>
    </row>
    <row r="111" spans="1:6" x14ac:dyDescent="0.2">
      <c r="A111" s="95" t="s">
        <v>1040</v>
      </c>
      <c r="B111" s="95" t="s">
        <v>1041</v>
      </c>
      <c r="C111" s="95" t="s">
        <v>1042</v>
      </c>
      <c r="D111" s="95" t="s">
        <v>1025</v>
      </c>
      <c r="E111" s="95" t="s">
        <v>1026</v>
      </c>
      <c r="F111" s="95" t="s">
        <v>1027</v>
      </c>
    </row>
    <row r="112" spans="1:6" x14ac:dyDescent="0.2">
      <c r="A112" s="95" t="s">
        <v>1312</v>
      </c>
      <c r="B112" s="95" t="s">
        <v>1313</v>
      </c>
      <c r="C112" s="95" t="s">
        <v>1314</v>
      </c>
      <c r="D112" s="95" t="s">
        <v>1276</v>
      </c>
      <c r="E112" s="95" t="s">
        <v>1277</v>
      </c>
      <c r="F112" s="95" t="s">
        <v>1278</v>
      </c>
    </row>
    <row r="113" spans="1:6" x14ac:dyDescent="0.2">
      <c r="A113" s="95" t="s">
        <v>1315</v>
      </c>
      <c r="B113" s="95" t="s">
        <v>1316</v>
      </c>
      <c r="C113" s="95" t="s">
        <v>1317</v>
      </c>
      <c r="D113" s="95" t="s">
        <v>1276</v>
      </c>
      <c r="E113" s="95" t="s">
        <v>1277</v>
      </c>
      <c r="F113" s="95" t="s">
        <v>1278</v>
      </c>
    </row>
    <row r="114" spans="1:6" x14ac:dyDescent="0.2">
      <c r="A114" s="95" t="s">
        <v>1768</v>
      </c>
      <c r="B114" s="95" t="s">
        <v>1769</v>
      </c>
      <c r="C114" s="95" t="s">
        <v>1770</v>
      </c>
      <c r="D114" s="95" t="s">
        <v>1546</v>
      </c>
      <c r="E114" s="95" t="s">
        <v>1547</v>
      </c>
      <c r="F114" s="95" t="s">
        <v>1548</v>
      </c>
    </row>
    <row r="115" spans="1:6" x14ac:dyDescent="0.2">
      <c r="A115" s="95" t="s">
        <v>1043</v>
      </c>
      <c r="B115" s="95" t="s">
        <v>1044</v>
      </c>
      <c r="C115" s="95" t="s">
        <v>1045</v>
      </c>
      <c r="D115" s="95" t="s">
        <v>1025</v>
      </c>
      <c r="E115" s="95" t="s">
        <v>1026</v>
      </c>
      <c r="F115" s="95" t="s">
        <v>1027</v>
      </c>
    </row>
    <row r="116" spans="1:6" x14ac:dyDescent="0.2">
      <c r="A116" s="95" t="s">
        <v>1136</v>
      </c>
      <c r="B116" s="95" t="s">
        <v>1137</v>
      </c>
      <c r="C116" s="95" t="s">
        <v>1138</v>
      </c>
      <c r="D116" s="95" t="s">
        <v>1088</v>
      </c>
      <c r="E116" s="95" t="s">
        <v>1089</v>
      </c>
      <c r="F116" s="95" t="s">
        <v>1090</v>
      </c>
    </row>
    <row r="117" spans="1:6" x14ac:dyDescent="0.2">
      <c r="A117" s="95" t="s">
        <v>1414</v>
      </c>
      <c r="B117" s="95" t="s">
        <v>1415</v>
      </c>
      <c r="C117" s="95" t="s">
        <v>1416</v>
      </c>
      <c r="D117" s="95" t="s">
        <v>1384</v>
      </c>
      <c r="E117" s="95" t="s">
        <v>1385</v>
      </c>
      <c r="F117" s="95" t="s">
        <v>1386</v>
      </c>
    </row>
    <row r="118" spans="1:6" x14ac:dyDescent="0.2">
      <c r="A118" s="95" t="s">
        <v>974</v>
      </c>
      <c r="B118" s="95" t="s">
        <v>975</v>
      </c>
      <c r="C118" s="95" t="s">
        <v>976</v>
      </c>
      <c r="D118" s="95" t="s">
        <v>968</v>
      </c>
      <c r="E118" s="95" t="s">
        <v>969</v>
      </c>
      <c r="F118" s="95" t="s">
        <v>970</v>
      </c>
    </row>
    <row r="119" spans="1:6" x14ac:dyDescent="0.2">
      <c r="A119" s="95" t="s">
        <v>1139</v>
      </c>
      <c r="B119" s="95" t="s">
        <v>1140</v>
      </c>
      <c r="C119" s="95" t="s">
        <v>1141</v>
      </c>
      <c r="D119" s="95" t="s">
        <v>1088</v>
      </c>
      <c r="E119" s="95" t="s">
        <v>1089</v>
      </c>
      <c r="F119" s="95" t="s">
        <v>1090</v>
      </c>
    </row>
    <row r="120" spans="1:6" x14ac:dyDescent="0.2">
      <c r="A120" s="95" t="s">
        <v>1318</v>
      </c>
      <c r="B120" s="95" t="s">
        <v>1319</v>
      </c>
      <c r="C120" s="95" t="s">
        <v>1320</v>
      </c>
      <c r="D120" s="95" t="s">
        <v>1276</v>
      </c>
      <c r="E120" s="95" t="s">
        <v>1277</v>
      </c>
      <c r="F120" s="95" t="s">
        <v>1278</v>
      </c>
    </row>
    <row r="121" spans="1:6" x14ac:dyDescent="0.2">
      <c r="A121" s="95" t="s">
        <v>1321</v>
      </c>
      <c r="B121" s="95" t="s">
        <v>1322</v>
      </c>
      <c r="C121" s="95" t="s">
        <v>1323</v>
      </c>
      <c r="D121" s="95" t="s">
        <v>1276</v>
      </c>
      <c r="E121" s="95" t="s">
        <v>1277</v>
      </c>
      <c r="F121" s="95" t="s">
        <v>1278</v>
      </c>
    </row>
    <row r="122" spans="1:6" x14ac:dyDescent="0.2">
      <c r="A122" s="95" t="s">
        <v>1142</v>
      </c>
      <c r="B122" s="95" t="s">
        <v>1143</v>
      </c>
      <c r="C122" s="95" t="s">
        <v>1144</v>
      </c>
      <c r="D122" s="95" t="s">
        <v>1088</v>
      </c>
      <c r="E122" s="95" t="s">
        <v>1089</v>
      </c>
      <c r="F122" s="95" t="s">
        <v>1090</v>
      </c>
    </row>
    <row r="123" spans="1:6" x14ac:dyDescent="0.2">
      <c r="A123" s="95" t="s">
        <v>977</v>
      </c>
      <c r="B123" s="95" t="s">
        <v>978</v>
      </c>
      <c r="C123" s="95" t="s">
        <v>979</v>
      </c>
      <c r="D123" s="95" t="s">
        <v>968</v>
      </c>
      <c r="E123" s="95" t="s">
        <v>969</v>
      </c>
      <c r="F123" s="95" t="s">
        <v>970</v>
      </c>
    </row>
    <row r="124" spans="1:6" x14ac:dyDescent="0.2">
      <c r="A124" s="95" t="s">
        <v>1690</v>
      </c>
      <c r="B124" s="95" t="s">
        <v>1691</v>
      </c>
      <c r="C124" s="95" t="s">
        <v>1692</v>
      </c>
      <c r="D124" s="95" t="s">
        <v>1672</v>
      </c>
      <c r="E124" s="95" t="s">
        <v>1673</v>
      </c>
      <c r="F124" s="95" t="s">
        <v>1674</v>
      </c>
    </row>
    <row r="125" spans="1:6" x14ac:dyDescent="0.2">
      <c r="A125" s="95" t="s">
        <v>1771</v>
      </c>
      <c r="B125" s="95" t="s">
        <v>1772</v>
      </c>
      <c r="C125" s="95" t="s">
        <v>1773</v>
      </c>
      <c r="D125" s="95" t="s">
        <v>1546</v>
      </c>
      <c r="E125" s="95" t="s">
        <v>1547</v>
      </c>
      <c r="F125" s="95" t="s">
        <v>1548</v>
      </c>
    </row>
    <row r="126" spans="1:6" x14ac:dyDescent="0.2">
      <c r="A126" s="95" t="s">
        <v>1324</v>
      </c>
      <c r="B126" s="95" t="s">
        <v>1325</v>
      </c>
      <c r="C126" s="95" t="s">
        <v>1326</v>
      </c>
      <c r="D126" s="95" t="s">
        <v>1276</v>
      </c>
      <c r="E126" s="95" t="s">
        <v>1277</v>
      </c>
      <c r="F126" s="95" t="s">
        <v>1278</v>
      </c>
    </row>
    <row r="127" spans="1:6" x14ac:dyDescent="0.2">
      <c r="A127" s="95" t="s">
        <v>1046</v>
      </c>
      <c r="B127" s="95" t="s">
        <v>1047</v>
      </c>
      <c r="C127" s="95" t="s">
        <v>1048</v>
      </c>
      <c r="D127" s="95" t="s">
        <v>1025</v>
      </c>
      <c r="E127" s="95" t="s">
        <v>1026</v>
      </c>
      <c r="F127" s="95" t="s">
        <v>1027</v>
      </c>
    </row>
    <row r="128" spans="1:6" x14ac:dyDescent="0.2">
      <c r="A128" s="95" t="s">
        <v>1594</v>
      </c>
      <c r="B128" s="95" t="s">
        <v>1595</v>
      </c>
      <c r="C128" s="95" t="s">
        <v>1596</v>
      </c>
      <c r="D128" s="95" t="s">
        <v>1546</v>
      </c>
      <c r="E128" s="95" t="s">
        <v>1547</v>
      </c>
      <c r="F128" s="95" t="s">
        <v>1548</v>
      </c>
    </row>
    <row r="129" spans="1:6" x14ac:dyDescent="0.2">
      <c r="A129" s="95" t="s">
        <v>1417</v>
      </c>
      <c r="B129" s="95" t="s">
        <v>1418</v>
      </c>
      <c r="C129" s="95" t="s">
        <v>1419</v>
      </c>
      <c r="D129" s="95" t="s">
        <v>1384</v>
      </c>
      <c r="E129" s="95" t="s">
        <v>1385</v>
      </c>
      <c r="F129" s="95" t="s">
        <v>1386</v>
      </c>
    </row>
    <row r="130" spans="1:6" x14ac:dyDescent="0.2">
      <c r="A130" s="95" t="s">
        <v>1049</v>
      </c>
      <c r="B130" s="95" t="s">
        <v>1050</v>
      </c>
      <c r="C130" s="95" t="s">
        <v>1051</v>
      </c>
      <c r="D130" s="95" t="s">
        <v>1025</v>
      </c>
      <c r="E130" s="95" t="s">
        <v>1026</v>
      </c>
      <c r="F130" s="95" t="s">
        <v>1027</v>
      </c>
    </row>
    <row r="131" spans="1:6" x14ac:dyDescent="0.2">
      <c r="A131" s="95" t="s">
        <v>1978</v>
      </c>
      <c r="B131" s="95" t="s">
        <v>1979</v>
      </c>
      <c r="C131" s="95" t="s">
        <v>1980</v>
      </c>
      <c r="D131" s="95" t="s">
        <v>948</v>
      </c>
      <c r="E131" s="95" t="s">
        <v>949</v>
      </c>
      <c r="F131" s="95" t="s">
        <v>947</v>
      </c>
    </row>
    <row r="132" spans="1:6" x14ac:dyDescent="0.2">
      <c r="A132" s="95" t="s">
        <v>1145</v>
      </c>
      <c r="B132" s="95" t="s">
        <v>1146</v>
      </c>
      <c r="C132" s="95" t="s">
        <v>1147</v>
      </c>
      <c r="D132" s="95" t="s">
        <v>1088</v>
      </c>
      <c r="E132" s="95" t="s">
        <v>1089</v>
      </c>
      <c r="F132" s="95" t="s">
        <v>1090</v>
      </c>
    </row>
    <row r="133" spans="1:6" x14ac:dyDescent="0.2">
      <c r="A133" s="95" t="s">
        <v>1600</v>
      </c>
      <c r="B133" s="95" t="s">
        <v>1601</v>
      </c>
      <c r="C133" s="95" t="s">
        <v>1602</v>
      </c>
      <c r="D133" s="95" t="s">
        <v>1546</v>
      </c>
      <c r="E133" s="95" t="s">
        <v>1547</v>
      </c>
      <c r="F133" s="95" t="s">
        <v>1548</v>
      </c>
    </row>
    <row r="134" spans="1:6" x14ac:dyDescent="0.2">
      <c r="A134" s="95" t="s">
        <v>1423</v>
      </c>
      <c r="B134" s="95" t="s">
        <v>1424</v>
      </c>
      <c r="C134" s="95" t="s">
        <v>1425</v>
      </c>
      <c r="D134" s="95" t="s">
        <v>1384</v>
      </c>
      <c r="E134" s="95" t="s">
        <v>1385</v>
      </c>
      <c r="F134" s="95" t="s">
        <v>1386</v>
      </c>
    </row>
    <row r="135" spans="1:6" x14ac:dyDescent="0.2">
      <c r="A135" s="95" t="s">
        <v>1603</v>
      </c>
      <c r="B135" s="95" t="s">
        <v>1604</v>
      </c>
      <c r="C135" s="95" t="s">
        <v>1605</v>
      </c>
      <c r="D135" s="95" t="s">
        <v>1546</v>
      </c>
      <c r="E135" s="95" t="s">
        <v>1547</v>
      </c>
      <c r="F135" s="95" t="s">
        <v>1548</v>
      </c>
    </row>
    <row r="136" spans="1:6" x14ac:dyDescent="0.2">
      <c r="A136" s="95" t="s">
        <v>1330</v>
      </c>
      <c r="B136" s="95" t="s">
        <v>1331</v>
      </c>
      <c r="C136" s="95" t="s">
        <v>1332</v>
      </c>
      <c r="D136" s="95" t="s">
        <v>1276</v>
      </c>
      <c r="E136" s="95" t="s">
        <v>1277</v>
      </c>
      <c r="F136" s="95" t="s">
        <v>1278</v>
      </c>
    </row>
    <row r="137" spans="1:6" x14ac:dyDescent="0.2">
      <c r="A137" s="95" t="s">
        <v>1975</v>
      </c>
      <c r="B137" s="95" t="s">
        <v>1976</v>
      </c>
      <c r="C137" s="95" t="s">
        <v>1977</v>
      </c>
      <c r="D137" s="95" t="s">
        <v>1384</v>
      </c>
      <c r="E137" s="95" t="s">
        <v>1385</v>
      </c>
      <c r="F137" s="95" t="s">
        <v>1386</v>
      </c>
    </row>
    <row r="138" spans="1:6" x14ac:dyDescent="0.2">
      <c r="A138" s="95" t="s">
        <v>1858</v>
      </c>
      <c r="B138" s="95" t="s">
        <v>1859</v>
      </c>
      <c r="C138" s="95" t="s">
        <v>1860</v>
      </c>
      <c r="D138" s="95" t="s">
        <v>1025</v>
      </c>
      <c r="E138" s="95" t="s">
        <v>1026</v>
      </c>
      <c r="F138" s="95" t="s">
        <v>1027</v>
      </c>
    </row>
    <row r="139" spans="1:6" x14ac:dyDescent="0.2">
      <c r="A139" s="95" t="s">
        <v>1921</v>
      </c>
      <c r="B139" s="95" t="s">
        <v>1922</v>
      </c>
      <c r="C139" s="95" t="s">
        <v>1923</v>
      </c>
      <c r="D139" s="95" t="s">
        <v>1276</v>
      </c>
      <c r="E139" s="95" t="s">
        <v>1277</v>
      </c>
      <c r="F139" s="95" t="s">
        <v>1278</v>
      </c>
    </row>
    <row r="140" spans="1:6" x14ac:dyDescent="0.2">
      <c r="A140" s="95" t="s">
        <v>1016</v>
      </c>
      <c r="B140" s="95" t="s">
        <v>1017</v>
      </c>
      <c r="C140" s="95" t="s">
        <v>1018</v>
      </c>
      <c r="D140" s="95" t="s">
        <v>1007</v>
      </c>
      <c r="E140" s="95" t="s">
        <v>1008</v>
      </c>
      <c r="F140" s="95" t="s">
        <v>1009</v>
      </c>
    </row>
    <row r="141" spans="1:6" x14ac:dyDescent="0.2">
      <c r="A141" s="95" t="s">
        <v>1333</v>
      </c>
      <c r="B141" s="95" t="s">
        <v>1334</v>
      </c>
      <c r="C141" s="95" t="s">
        <v>1335</v>
      </c>
      <c r="D141" s="95" t="s">
        <v>1276</v>
      </c>
      <c r="E141" s="95" t="s">
        <v>1277</v>
      </c>
      <c r="F141" s="95" t="s">
        <v>1278</v>
      </c>
    </row>
    <row r="142" spans="1:6" x14ac:dyDescent="0.2">
      <c r="A142" s="95" t="s">
        <v>1738</v>
      </c>
      <c r="B142" s="95" t="s">
        <v>1739</v>
      </c>
      <c r="C142" s="95" t="s">
        <v>1740</v>
      </c>
      <c r="D142" s="95" t="s">
        <v>1672</v>
      </c>
      <c r="E142" s="95" t="s">
        <v>1673</v>
      </c>
      <c r="F142" s="95" t="s">
        <v>1674</v>
      </c>
    </row>
    <row r="143" spans="1:6" x14ac:dyDescent="0.2">
      <c r="A143" s="95" t="s">
        <v>1232</v>
      </c>
      <c r="B143" s="95" t="s">
        <v>1233</v>
      </c>
      <c r="C143" s="95" t="s">
        <v>1234</v>
      </c>
      <c r="D143" s="95" t="s">
        <v>1214</v>
      </c>
      <c r="E143" s="95" t="s">
        <v>1215</v>
      </c>
      <c r="F143" s="95" t="s">
        <v>1216</v>
      </c>
    </row>
    <row r="144" spans="1:6" x14ac:dyDescent="0.2">
      <c r="A144" s="95" t="s">
        <v>1336</v>
      </c>
      <c r="B144" s="95" t="s">
        <v>1337</v>
      </c>
      <c r="C144" s="95" t="s">
        <v>1338</v>
      </c>
      <c r="D144" s="95" t="s">
        <v>1276</v>
      </c>
      <c r="E144" s="95" t="s">
        <v>1277</v>
      </c>
      <c r="F144" s="95" t="s">
        <v>1278</v>
      </c>
    </row>
    <row r="145" spans="1:6" x14ac:dyDescent="0.2">
      <c r="A145" s="95" t="s">
        <v>1513</v>
      </c>
      <c r="B145" s="95" t="s">
        <v>1514</v>
      </c>
      <c r="C145" s="95" t="s">
        <v>1515</v>
      </c>
      <c r="D145" s="95" t="s">
        <v>1504</v>
      </c>
      <c r="E145" s="95" t="s">
        <v>1505</v>
      </c>
      <c r="F145" s="95" t="s">
        <v>1506</v>
      </c>
    </row>
    <row r="146" spans="1:6" x14ac:dyDescent="0.2">
      <c r="A146" s="95" t="s">
        <v>1264</v>
      </c>
      <c r="B146" s="95" t="s">
        <v>1265</v>
      </c>
      <c r="C146" s="95" t="s">
        <v>1266</v>
      </c>
      <c r="D146" s="95" t="s">
        <v>1214</v>
      </c>
      <c r="E146" s="95" t="s">
        <v>1215</v>
      </c>
      <c r="F146" s="95" t="s">
        <v>1216</v>
      </c>
    </row>
    <row r="147" spans="1:6" x14ac:dyDescent="0.2">
      <c r="A147" s="95" t="s">
        <v>1891</v>
      </c>
      <c r="B147" s="95" t="s">
        <v>1892</v>
      </c>
      <c r="C147" s="95" t="s">
        <v>1893</v>
      </c>
      <c r="D147" s="95" t="s">
        <v>1384</v>
      </c>
      <c r="E147" s="95" t="s">
        <v>1385</v>
      </c>
      <c r="F147" s="95" t="s">
        <v>1386</v>
      </c>
    </row>
    <row r="148" spans="1:6" x14ac:dyDescent="0.2">
      <c r="A148" s="95" t="s">
        <v>1052</v>
      </c>
      <c r="B148" s="95" t="s">
        <v>1053</v>
      </c>
      <c r="C148" s="95" t="s">
        <v>1054</v>
      </c>
      <c r="D148" s="95" t="s">
        <v>1025</v>
      </c>
      <c r="E148" s="95" t="s">
        <v>1026</v>
      </c>
      <c r="F148" s="95" t="s">
        <v>1027</v>
      </c>
    </row>
    <row r="149" spans="1:6" x14ac:dyDescent="0.2">
      <c r="A149" s="95" t="s">
        <v>1516</v>
      </c>
      <c r="B149" s="95" t="s">
        <v>1517</v>
      </c>
      <c r="C149" s="95" t="s">
        <v>1518</v>
      </c>
      <c r="D149" s="95" t="s">
        <v>1504</v>
      </c>
      <c r="E149" s="95" t="s">
        <v>1505</v>
      </c>
      <c r="F149" s="95" t="s">
        <v>1506</v>
      </c>
    </row>
    <row r="150" spans="1:6" x14ac:dyDescent="0.2">
      <c r="A150" s="95" t="s">
        <v>1426</v>
      </c>
      <c r="B150" s="95" t="s">
        <v>1427</v>
      </c>
      <c r="C150" s="95" t="s">
        <v>1428</v>
      </c>
      <c r="D150" s="95" t="s">
        <v>1384</v>
      </c>
      <c r="E150" s="95" t="s">
        <v>1385</v>
      </c>
      <c r="F150" s="95" t="s">
        <v>1386</v>
      </c>
    </row>
    <row r="151" spans="1:6" x14ac:dyDescent="0.2">
      <c r="A151" s="95" t="s">
        <v>1693</v>
      </c>
      <c r="B151" s="95" t="s">
        <v>1694</v>
      </c>
      <c r="C151" s="95" t="s">
        <v>1695</v>
      </c>
      <c r="D151" s="95" t="s">
        <v>1672</v>
      </c>
      <c r="E151" s="95" t="s">
        <v>1673</v>
      </c>
      <c r="F151" s="95" t="s">
        <v>1674</v>
      </c>
    </row>
    <row r="152" spans="1:6" x14ac:dyDescent="0.2">
      <c r="A152" s="95" t="s">
        <v>1753</v>
      </c>
      <c r="B152" s="95" t="s">
        <v>1754</v>
      </c>
      <c r="C152" s="95" t="s">
        <v>1755</v>
      </c>
      <c r="D152" s="95" t="s">
        <v>1276</v>
      </c>
      <c r="E152" s="95" t="s">
        <v>1277</v>
      </c>
      <c r="F152" s="95" t="s">
        <v>1278</v>
      </c>
    </row>
    <row r="153" spans="1:6" x14ac:dyDescent="0.2">
      <c r="A153" s="95" t="s">
        <v>1429</v>
      </c>
      <c r="B153" s="95" t="s">
        <v>1430</v>
      </c>
      <c r="C153" s="95" t="s">
        <v>1431</v>
      </c>
      <c r="D153" s="95" t="s">
        <v>1384</v>
      </c>
      <c r="E153" s="95" t="s">
        <v>1385</v>
      </c>
      <c r="F153" s="95" t="s">
        <v>1386</v>
      </c>
    </row>
    <row r="154" spans="1:6" x14ac:dyDescent="0.2">
      <c r="A154" s="95" t="s">
        <v>1936</v>
      </c>
      <c r="B154" s="95" t="s">
        <v>1937</v>
      </c>
      <c r="C154" s="95" t="s">
        <v>1938</v>
      </c>
      <c r="D154" s="95" t="s">
        <v>1384</v>
      </c>
      <c r="E154" s="95" t="s">
        <v>1385</v>
      </c>
      <c r="F154" s="95" t="s">
        <v>1386</v>
      </c>
    </row>
    <row r="155" spans="1:6" x14ac:dyDescent="0.2">
      <c r="A155" s="95" t="s">
        <v>1774</v>
      </c>
      <c r="B155" s="95" t="s">
        <v>1775</v>
      </c>
      <c r="C155" s="95" t="s">
        <v>1776</v>
      </c>
      <c r="D155" s="95" t="s">
        <v>1546</v>
      </c>
      <c r="E155" s="95" t="s">
        <v>1547</v>
      </c>
      <c r="F155" s="95" t="s">
        <v>1548</v>
      </c>
    </row>
    <row r="156" spans="1:6" x14ac:dyDescent="0.2">
      <c r="A156" s="95" t="s">
        <v>1996</v>
      </c>
      <c r="B156" s="95" t="s">
        <v>1997</v>
      </c>
      <c r="C156" s="95" t="s">
        <v>1998</v>
      </c>
      <c r="D156" s="95" t="s">
        <v>1546</v>
      </c>
      <c r="E156" s="95" t="s">
        <v>1547</v>
      </c>
      <c r="F156" s="95" t="s">
        <v>1548</v>
      </c>
    </row>
    <row r="157" spans="1:6" x14ac:dyDescent="0.2">
      <c r="A157" s="95" t="s">
        <v>1669</v>
      </c>
      <c r="B157" s="95" t="s">
        <v>1670</v>
      </c>
      <c r="C157" s="95" t="s">
        <v>1671</v>
      </c>
      <c r="D157" s="95" t="s">
        <v>1672</v>
      </c>
      <c r="E157" s="95" t="s">
        <v>1673</v>
      </c>
      <c r="F157" s="95" t="s">
        <v>1674</v>
      </c>
    </row>
    <row r="158" spans="1:6" x14ac:dyDescent="0.2">
      <c r="A158" s="95" t="s">
        <v>1339</v>
      </c>
      <c r="B158" s="95" t="s">
        <v>1340</v>
      </c>
      <c r="C158" s="95" t="s">
        <v>1341</v>
      </c>
      <c r="D158" s="95" t="s">
        <v>1276</v>
      </c>
      <c r="E158" s="95" t="s">
        <v>1277</v>
      </c>
      <c r="F158" s="95" t="s">
        <v>1278</v>
      </c>
    </row>
    <row r="159" spans="1:6" x14ac:dyDescent="0.2">
      <c r="A159" s="95" t="s">
        <v>1756</v>
      </c>
      <c r="B159" s="95" t="s">
        <v>1757</v>
      </c>
      <c r="C159" s="95" t="s">
        <v>1758</v>
      </c>
      <c r="D159" s="95" t="s">
        <v>1384</v>
      </c>
      <c r="E159" s="95" t="s">
        <v>1385</v>
      </c>
      <c r="F159" s="95" t="s">
        <v>1386</v>
      </c>
    </row>
    <row r="160" spans="1:6" x14ac:dyDescent="0.2">
      <c r="A160" s="95" t="s">
        <v>1342</v>
      </c>
      <c r="B160" s="95" t="s">
        <v>1343</v>
      </c>
      <c r="C160" s="95" t="s">
        <v>1344</v>
      </c>
      <c r="D160" s="95" t="s">
        <v>1276</v>
      </c>
      <c r="E160" s="95" t="s">
        <v>1277</v>
      </c>
      <c r="F160" s="95" t="s">
        <v>1278</v>
      </c>
    </row>
    <row r="161" spans="1:6" x14ac:dyDescent="0.2">
      <c r="A161" s="95" t="s">
        <v>980</v>
      </c>
      <c r="B161" s="95" t="s">
        <v>981</v>
      </c>
      <c r="C161" s="95" t="s">
        <v>982</v>
      </c>
      <c r="D161" s="95" t="s">
        <v>968</v>
      </c>
      <c r="E161" s="95" t="s">
        <v>969</v>
      </c>
      <c r="F161" s="95" t="s">
        <v>970</v>
      </c>
    </row>
    <row r="162" spans="1:6" x14ac:dyDescent="0.2">
      <c r="A162" s="95" t="s">
        <v>1432</v>
      </c>
      <c r="B162" s="95" t="s">
        <v>1433</v>
      </c>
      <c r="C162" s="95" t="s">
        <v>1434</v>
      </c>
      <c r="D162" s="95" t="s">
        <v>1384</v>
      </c>
      <c r="E162" s="95" t="s">
        <v>1385</v>
      </c>
      <c r="F162" s="95" t="s">
        <v>1386</v>
      </c>
    </row>
    <row r="163" spans="1:6" x14ac:dyDescent="0.2">
      <c r="A163" s="95" t="s">
        <v>1435</v>
      </c>
      <c r="B163" s="95" t="s">
        <v>1436</v>
      </c>
      <c r="C163" s="95" t="s">
        <v>1437</v>
      </c>
      <c r="D163" s="95" t="s">
        <v>1384</v>
      </c>
      <c r="E163" s="95" t="s">
        <v>1385</v>
      </c>
      <c r="F163" s="95" t="s">
        <v>1386</v>
      </c>
    </row>
    <row r="164" spans="1:6" x14ac:dyDescent="0.2">
      <c r="A164" s="95" t="s">
        <v>1924</v>
      </c>
      <c r="B164" s="95" t="s">
        <v>1925</v>
      </c>
      <c r="C164" s="95" t="s">
        <v>1926</v>
      </c>
      <c r="D164" s="95" t="s">
        <v>1384</v>
      </c>
      <c r="E164" s="95" t="s">
        <v>1385</v>
      </c>
      <c r="F164" s="95" t="s">
        <v>1386</v>
      </c>
    </row>
    <row r="165" spans="1:6" x14ac:dyDescent="0.2">
      <c r="A165" s="95" t="s">
        <v>1735</v>
      </c>
      <c r="B165" s="95" t="s">
        <v>1736</v>
      </c>
      <c r="C165" s="95" t="s">
        <v>1737</v>
      </c>
      <c r="D165" s="95" t="s">
        <v>953</v>
      </c>
      <c r="E165" s="95" t="s">
        <v>954</v>
      </c>
      <c r="F165" s="95" t="s">
        <v>955</v>
      </c>
    </row>
    <row r="166" spans="1:6" x14ac:dyDescent="0.2">
      <c r="A166" s="95" t="s">
        <v>1759</v>
      </c>
      <c r="B166" s="95" t="s">
        <v>1760</v>
      </c>
      <c r="C166" s="95" t="s">
        <v>1761</v>
      </c>
      <c r="D166" s="95" t="s">
        <v>1672</v>
      </c>
      <c r="E166" s="95" t="s">
        <v>1673</v>
      </c>
      <c r="F166" s="95" t="s">
        <v>1674</v>
      </c>
    </row>
    <row r="167" spans="1:6" x14ac:dyDescent="0.2">
      <c r="A167" s="95" t="s">
        <v>1235</v>
      </c>
      <c r="B167" s="95" t="s">
        <v>1236</v>
      </c>
      <c r="C167" s="95" t="s">
        <v>1237</v>
      </c>
      <c r="D167" s="95" t="s">
        <v>1214</v>
      </c>
      <c r="E167" s="95" t="s">
        <v>1215</v>
      </c>
      <c r="F167" s="95" t="s">
        <v>1216</v>
      </c>
    </row>
    <row r="168" spans="1:6" x14ac:dyDescent="0.2">
      <c r="A168" s="95" t="s">
        <v>1813</v>
      </c>
      <c r="B168" s="95" t="s">
        <v>1814</v>
      </c>
      <c r="C168" s="95" t="s">
        <v>1815</v>
      </c>
      <c r="D168" s="95" t="s">
        <v>1088</v>
      </c>
      <c r="E168" s="95" t="s">
        <v>1089</v>
      </c>
      <c r="F168" s="95" t="s">
        <v>1090</v>
      </c>
    </row>
    <row r="169" spans="1:6" x14ac:dyDescent="0.2">
      <c r="A169" s="95" t="s">
        <v>1438</v>
      </c>
      <c r="B169" s="95" t="s">
        <v>1439</v>
      </c>
      <c r="C169" s="95" t="s">
        <v>1440</v>
      </c>
      <c r="D169" s="95" t="s">
        <v>1384</v>
      </c>
      <c r="E169" s="95" t="s">
        <v>1385</v>
      </c>
      <c r="F169" s="95" t="s">
        <v>1386</v>
      </c>
    </row>
    <row r="170" spans="1:6" x14ac:dyDescent="0.2">
      <c r="A170" s="95" t="s">
        <v>1148</v>
      </c>
      <c r="B170" s="95" t="s">
        <v>1149</v>
      </c>
      <c r="C170" s="95" t="s">
        <v>1150</v>
      </c>
      <c r="D170" s="95" t="s">
        <v>1088</v>
      </c>
      <c r="E170" s="95" t="s">
        <v>1089</v>
      </c>
      <c r="F170" s="95" t="s">
        <v>1090</v>
      </c>
    </row>
    <row r="171" spans="1:6" x14ac:dyDescent="0.2">
      <c r="A171" s="95" t="s">
        <v>1606</v>
      </c>
      <c r="B171" s="95" t="s">
        <v>1607</v>
      </c>
      <c r="C171" s="95" t="s">
        <v>1608</v>
      </c>
      <c r="D171" s="95" t="s">
        <v>1546</v>
      </c>
      <c r="E171" s="95" t="s">
        <v>1547</v>
      </c>
      <c r="F171" s="95" t="s">
        <v>1548</v>
      </c>
    </row>
    <row r="172" spans="1:6" x14ac:dyDescent="0.2">
      <c r="A172" s="95" t="s">
        <v>1238</v>
      </c>
      <c r="B172" s="95" t="s">
        <v>1239</v>
      </c>
      <c r="C172" s="95" t="s">
        <v>1240</v>
      </c>
      <c r="D172" s="95" t="s">
        <v>1214</v>
      </c>
      <c r="E172" s="95" t="s">
        <v>1215</v>
      </c>
      <c r="F172" s="95" t="s">
        <v>1216</v>
      </c>
    </row>
    <row r="173" spans="1:6" x14ac:dyDescent="0.2">
      <c r="A173" s="95" t="s">
        <v>1055</v>
      </c>
      <c r="B173" s="95" t="s">
        <v>1056</v>
      </c>
      <c r="C173" s="95" t="s">
        <v>1057</v>
      </c>
      <c r="D173" s="95" t="s">
        <v>1025</v>
      </c>
      <c r="E173" s="95" t="s">
        <v>1026</v>
      </c>
      <c r="F173" s="95" t="s">
        <v>1027</v>
      </c>
    </row>
    <row r="174" spans="1:6" x14ac:dyDescent="0.2">
      <c r="A174" s="95" t="s">
        <v>1151</v>
      </c>
      <c r="B174" s="95" t="s">
        <v>1152</v>
      </c>
      <c r="C174" s="95" t="s">
        <v>1153</v>
      </c>
      <c r="D174" s="95" t="s">
        <v>1088</v>
      </c>
      <c r="E174" s="95" t="s">
        <v>1089</v>
      </c>
      <c r="F174" s="95" t="s">
        <v>1090</v>
      </c>
    </row>
    <row r="175" spans="1:6" x14ac:dyDescent="0.2">
      <c r="A175" s="95" t="s">
        <v>1762</v>
      </c>
      <c r="B175" s="95" t="s">
        <v>1763</v>
      </c>
      <c r="C175" s="95" t="s">
        <v>1764</v>
      </c>
      <c r="D175" s="95" t="s">
        <v>1672</v>
      </c>
      <c r="E175" s="95" t="s">
        <v>1673</v>
      </c>
      <c r="F175" s="95" t="s">
        <v>1674</v>
      </c>
    </row>
    <row r="176" spans="1:6" x14ac:dyDescent="0.2">
      <c r="A176" s="95" t="s">
        <v>1999</v>
      </c>
      <c r="B176" s="95" t="s">
        <v>2000</v>
      </c>
      <c r="C176" s="95" t="s">
        <v>2001</v>
      </c>
      <c r="D176" s="95" t="s">
        <v>1546</v>
      </c>
      <c r="E176" s="95" t="s">
        <v>1547</v>
      </c>
      <c r="F176" s="95" t="s">
        <v>1548</v>
      </c>
    </row>
    <row r="177" spans="1:6" x14ac:dyDescent="0.2">
      <c r="A177" s="95" t="s">
        <v>1441</v>
      </c>
      <c r="B177" s="95" t="s">
        <v>1442</v>
      </c>
      <c r="C177" s="95" t="s">
        <v>1443</v>
      </c>
      <c r="D177" s="95" t="s">
        <v>1384</v>
      </c>
      <c r="E177" s="95" t="s">
        <v>1385</v>
      </c>
      <c r="F177" s="95" t="s">
        <v>1386</v>
      </c>
    </row>
    <row r="178" spans="1:6" x14ac:dyDescent="0.2">
      <c r="A178" s="95" t="s">
        <v>1696</v>
      </c>
      <c r="B178" s="95" t="s">
        <v>1697</v>
      </c>
      <c r="C178" s="95" t="s">
        <v>1698</v>
      </c>
      <c r="D178" s="95" t="s">
        <v>1672</v>
      </c>
      <c r="E178" s="95" t="s">
        <v>1673</v>
      </c>
      <c r="F178" s="95" t="s">
        <v>1674</v>
      </c>
    </row>
    <row r="179" spans="1:6" x14ac:dyDescent="0.2">
      <c r="A179" s="95" t="s">
        <v>1345</v>
      </c>
      <c r="B179" s="95" t="s">
        <v>1346</v>
      </c>
      <c r="C179" s="95" t="s">
        <v>1347</v>
      </c>
      <c r="D179" s="95" t="s">
        <v>1276</v>
      </c>
      <c r="E179" s="95" t="s">
        <v>1277</v>
      </c>
      <c r="F179" s="95" t="s">
        <v>1278</v>
      </c>
    </row>
    <row r="180" spans="1:6" x14ac:dyDescent="0.2">
      <c r="A180" s="95" t="s">
        <v>1699</v>
      </c>
      <c r="B180" s="95" t="s">
        <v>1700</v>
      </c>
      <c r="C180" s="95" t="s">
        <v>1701</v>
      </c>
      <c r="D180" s="95" t="s">
        <v>1672</v>
      </c>
      <c r="E180" s="95" t="s">
        <v>1673</v>
      </c>
      <c r="F180" s="95" t="s">
        <v>1674</v>
      </c>
    </row>
    <row r="181" spans="1:6" x14ac:dyDescent="0.2">
      <c r="A181" s="95" t="s">
        <v>1948</v>
      </c>
      <c r="B181" s="95" t="s">
        <v>1949</v>
      </c>
      <c r="C181" s="95" t="s">
        <v>1950</v>
      </c>
      <c r="D181" s="95" t="s">
        <v>1546</v>
      </c>
      <c r="E181" s="95" t="s">
        <v>1547</v>
      </c>
      <c r="F181" s="95" t="s">
        <v>1548</v>
      </c>
    </row>
    <row r="182" spans="1:6" x14ac:dyDescent="0.2">
      <c r="A182" s="95" t="s">
        <v>1019</v>
      </c>
      <c r="B182" s="95" t="s">
        <v>1020</v>
      </c>
      <c r="C182" s="95" t="s">
        <v>1021</v>
      </c>
      <c r="D182" s="95" t="s">
        <v>1007</v>
      </c>
      <c r="E182" s="95" t="s">
        <v>1008</v>
      </c>
      <c r="F182" s="95" t="s">
        <v>1009</v>
      </c>
    </row>
    <row r="183" spans="1:6" x14ac:dyDescent="0.2">
      <c r="A183" s="95" t="s">
        <v>1519</v>
      </c>
      <c r="B183" s="95" t="s">
        <v>1520</v>
      </c>
      <c r="C183" s="95" t="s">
        <v>1521</v>
      </c>
      <c r="D183" s="95" t="s">
        <v>1504</v>
      </c>
      <c r="E183" s="95" t="s">
        <v>1505</v>
      </c>
      <c r="F183" s="95" t="s">
        <v>1506</v>
      </c>
    </row>
    <row r="184" spans="1:6" x14ac:dyDescent="0.2">
      <c r="A184" s="95" t="s">
        <v>1879</v>
      </c>
      <c r="B184" s="95" t="s">
        <v>1880</v>
      </c>
      <c r="C184" s="95" t="s">
        <v>1881</v>
      </c>
      <c r="D184" s="95" t="s">
        <v>1384</v>
      </c>
      <c r="E184" s="95" t="s">
        <v>1385</v>
      </c>
      <c r="F184" s="95" t="s">
        <v>1386</v>
      </c>
    </row>
    <row r="185" spans="1:6" x14ac:dyDescent="0.2">
      <c r="A185" s="95" t="s">
        <v>1852</v>
      </c>
      <c r="B185" s="95" t="s">
        <v>1853</v>
      </c>
      <c r="C185" s="95" t="s">
        <v>1854</v>
      </c>
      <c r="D185" s="95" t="s">
        <v>1007</v>
      </c>
      <c r="E185" s="95" t="s">
        <v>1008</v>
      </c>
      <c r="F185" s="95" t="s">
        <v>1009</v>
      </c>
    </row>
    <row r="186" spans="1:6" x14ac:dyDescent="0.2">
      <c r="A186" s="95" t="s">
        <v>1957</v>
      </c>
      <c r="B186" s="95" t="s">
        <v>1958</v>
      </c>
      <c r="C186" s="95" t="s">
        <v>1959</v>
      </c>
      <c r="D186" s="95" t="s">
        <v>948</v>
      </c>
      <c r="E186" s="95" t="s">
        <v>949</v>
      </c>
      <c r="F186" s="95" t="s">
        <v>947</v>
      </c>
    </row>
    <row r="187" spans="1:6" x14ac:dyDescent="0.2">
      <c r="A187" s="95" t="s">
        <v>1822</v>
      </c>
      <c r="B187" s="95" t="s">
        <v>1823</v>
      </c>
      <c r="C187" s="95" t="s">
        <v>1824</v>
      </c>
      <c r="D187" s="95" t="s">
        <v>1546</v>
      </c>
      <c r="E187" s="95" t="s">
        <v>1547</v>
      </c>
      <c r="F187" s="95" t="s">
        <v>1548</v>
      </c>
    </row>
    <row r="188" spans="1:6" x14ac:dyDescent="0.2">
      <c r="A188" s="95" t="s">
        <v>1987</v>
      </c>
      <c r="B188" s="95" t="s">
        <v>1988</v>
      </c>
      <c r="C188" s="95" t="s">
        <v>1989</v>
      </c>
      <c r="D188" s="95" t="s">
        <v>1384</v>
      </c>
      <c r="E188" s="95" t="s">
        <v>1385</v>
      </c>
      <c r="F188" s="95" t="s">
        <v>1386</v>
      </c>
    </row>
    <row r="189" spans="1:6" x14ac:dyDescent="0.2">
      <c r="A189" s="95" t="s">
        <v>1963</v>
      </c>
      <c r="B189" s="95" t="s">
        <v>1964</v>
      </c>
      <c r="C189" s="95" t="s">
        <v>1965</v>
      </c>
      <c r="D189" s="95" t="s">
        <v>1088</v>
      </c>
      <c r="E189" s="95" t="s">
        <v>1089</v>
      </c>
      <c r="F189" s="95" t="s">
        <v>1090</v>
      </c>
    </row>
    <row r="190" spans="1:6" x14ac:dyDescent="0.2">
      <c r="A190" s="95" t="s">
        <v>1241</v>
      </c>
      <c r="B190" s="95" t="s">
        <v>1242</v>
      </c>
      <c r="C190" s="95" t="s">
        <v>1243</v>
      </c>
      <c r="D190" s="95" t="s">
        <v>1214</v>
      </c>
      <c r="E190" s="95" t="s">
        <v>1215</v>
      </c>
      <c r="F190" s="95" t="s">
        <v>1216</v>
      </c>
    </row>
    <row r="191" spans="1:6" x14ac:dyDescent="0.2">
      <c r="A191" s="95" t="s">
        <v>1702</v>
      </c>
      <c r="B191" s="95" t="s">
        <v>1703</v>
      </c>
      <c r="C191" s="95" t="s">
        <v>1704</v>
      </c>
      <c r="D191" s="95" t="s">
        <v>1672</v>
      </c>
      <c r="E191" s="95" t="s">
        <v>1673</v>
      </c>
      <c r="F191" s="95" t="s">
        <v>1674</v>
      </c>
    </row>
    <row r="192" spans="1:6" x14ac:dyDescent="0.2">
      <c r="A192" s="95" t="s">
        <v>1861</v>
      </c>
      <c r="B192" s="95" t="s">
        <v>1862</v>
      </c>
      <c r="C192" s="95" t="s">
        <v>1863</v>
      </c>
      <c r="D192" s="95" t="s">
        <v>1088</v>
      </c>
      <c r="E192" s="95" t="s">
        <v>1089</v>
      </c>
      <c r="F192" s="95" t="s">
        <v>1090</v>
      </c>
    </row>
    <row r="193" spans="1:6" x14ac:dyDescent="0.2">
      <c r="A193" s="95" t="s">
        <v>1705</v>
      </c>
      <c r="B193" s="95" t="s">
        <v>1706</v>
      </c>
      <c r="C193" s="95" t="s">
        <v>1707</v>
      </c>
      <c r="D193" s="95" t="s">
        <v>1672</v>
      </c>
      <c r="E193" s="95" t="s">
        <v>1673</v>
      </c>
      <c r="F193" s="95" t="s">
        <v>1674</v>
      </c>
    </row>
    <row r="194" spans="1:6" x14ac:dyDescent="0.2">
      <c r="A194" s="95" t="s">
        <v>1270</v>
      </c>
      <c r="B194" s="95" t="s">
        <v>1271</v>
      </c>
      <c r="C194" s="95" t="s">
        <v>1272</v>
      </c>
      <c r="D194" s="95" t="s">
        <v>1214</v>
      </c>
      <c r="E194" s="95" t="s">
        <v>1215</v>
      </c>
      <c r="F194" s="95" t="s">
        <v>1216</v>
      </c>
    </row>
    <row r="195" spans="1:6" x14ac:dyDescent="0.2">
      <c r="A195" s="95" t="s">
        <v>1444</v>
      </c>
      <c r="B195" s="95" t="s">
        <v>1445</v>
      </c>
      <c r="C195" s="95" t="s">
        <v>1446</v>
      </c>
      <c r="D195" s="95" t="s">
        <v>1384</v>
      </c>
      <c r="E195" s="95" t="s">
        <v>1385</v>
      </c>
      <c r="F195" s="95" t="s">
        <v>1386</v>
      </c>
    </row>
    <row r="196" spans="1:6" x14ac:dyDescent="0.2">
      <c r="A196" s="95" t="s">
        <v>1154</v>
      </c>
      <c r="B196" s="95" t="s">
        <v>1155</v>
      </c>
      <c r="C196" s="95" t="s">
        <v>1156</v>
      </c>
      <c r="D196" s="95" t="s">
        <v>1088</v>
      </c>
      <c r="E196" s="95" t="s">
        <v>1089</v>
      </c>
      <c r="F196" s="95" t="s">
        <v>1090</v>
      </c>
    </row>
    <row r="197" spans="1:6" x14ac:dyDescent="0.2">
      <c r="A197" s="95" t="s">
        <v>1157</v>
      </c>
      <c r="B197" s="95" t="s">
        <v>1158</v>
      </c>
      <c r="C197" s="95" t="s">
        <v>1159</v>
      </c>
      <c r="D197" s="95" t="s">
        <v>1088</v>
      </c>
      <c r="E197" s="95" t="s">
        <v>1089</v>
      </c>
      <c r="F197" s="95" t="s">
        <v>1090</v>
      </c>
    </row>
    <row r="198" spans="1:6" x14ac:dyDescent="0.2">
      <c r="A198" s="95" t="s">
        <v>1933</v>
      </c>
      <c r="B198" s="95" t="s">
        <v>1934</v>
      </c>
      <c r="C198" s="95" t="s">
        <v>1935</v>
      </c>
      <c r="D198" s="95" t="s">
        <v>1384</v>
      </c>
      <c r="E198" s="95" t="s">
        <v>1385</v>
      </c>
      <c r="F198" s="95" t="s">
        <v>1386</v>
      </c>
    </row>
    <row r="199" spans="1:6" x14ac:dyDescent="0.2">
      <c r="A199" s="95" t="s">
        <v>1984</v>
      </c>
      <c r="B199" s="95" t="s">
        <v>1985</v>
      </c>
      <c r="C199" s="95" t="s">
        <v>1986</v>
      </c>
      <c r="D199" s="95" t="s">
        <v>968</v>
      </c>
      <c r="E199" s="95" t="s">
        <v>969</v>
      </c>
      <c r="F199" s="95" t="s">
        <v>970</v>
      </c>
    </row>
    <row r="200" spans="1:6" x14ac:dyDescent="0.2">
      <c r="A200" s="95" t="s">
        <v>1798</v>
      </c>
      <c r="B200" s="95" t="s">
        <v>1799</v>
      </c>
      <c r="C200" s="95" t="s">
        <v>1800</v>
      </c>
      <c r="D200" s="95" t="s">
        <v>1504</v>
      </c>
      <c r="E200" s="95" t="s">
        <v>1505</v>
      </c>
      <c r="F200" s="95" t="s">
        <v>1506</v>
      </c>
    </row>
    <row r="201" spans="1:6" x14ac:dyDescent="0.2">
      <c r="A201" s="95" t="s">
        <v>1804</v>
      </c>
      <c r="B201" s="95" t="s">
        <v>1805</v>
      </c>
      <c r="C201" s="95" t="s">
        <v>1806</v>
      </c>
      <c r="D201" s="95" t="s">
        <v>1007</v>
      </c>
      <c r="E201" s="95" t="s">
        <v>1008</v>
      </c>
      <c r="F201" s="95" t="s">
        <v>1009</v>
      </c>
    </row>
    <row r="202" spans="1:6" x14ac:dyDescent="0.2">
      <c r="A202" s="95" t="s">
        <v>1058</v>
      </c>
      <c r="B202" s="95" t="s">
        <v>1059</v>
      </c>
      <c r="C202" s="95" t="s">
        <v>1060</v>
      </c>
      <c r="D202" s="95" t="s">
        <v>953</v>
      </c>
      <c r="E202" s="95" t="s">
        <v>954</v>
      </c>
      <c r="F202" s="95" t="s">
        <v>955</v>
      </c>
    </row>
    <row r="203" spans="1:6" x14ac:dyDescent="0.2">
      <c r="A203" s="95" t="s">
        <v>1447</v>
      </c>
      <c r="B203" s="95" t="s">
        <v>1448</v>
      </c>
      <c r="C203" s="95" t="s">
        <v>1449</v>
      </c>
      <c r="D203" s="95" t="s">
        <v>1384</v>
      </c>
      <c r="E203" s="95" t="s">
        <v>1385</v>
      </c>
      <c r="F203" s="95" t="s">
        <v>1386</v>
      </c>
    </row>
    <row r="204" spans="1:6" x14ac:dyDescent="0.2">
      <c r="A204" s="95" t="s">
        <v>1609</v>
      </c>
      <c r="B204" s="95" t="s">
        <v>1610</v>
      </c>
      <c r="C204" s="95" t="s">
        <v>1611</v>
      </c>
      <c r="D204" s="95" t="s">
        <v>1546</v>
      </c>
      <c r="E204" s="95" t="s">
        <v>1547</v>
      </c>
      <c r="F204" s="95" t="s">
        <v>1548</v>
      </c>
    </row>
    <row r="205" spans="1:6" x14ac:dyDescent="0.2">
      <c r="A205" s="95" t="s">
        <v>1205</v>
      </c>
      <c r="B205" s="95" t="s">
        <v>1206</v>
      </c>
      <c r="C205" s="95" t="s">
        <v>1207</v>
      </c>
      <c r="D205" s="95" t="s">
        <v>1088</v>
      </c>
      <c r="E205" s="95" t="s">
        <v>1089</v>
      </c>
      <c r="F205" s="95" t="s">
        <v>1090</v>
      </c>
    </row>
    <row r="206" spans="1:6" x14ac:dyDescent="0.2">
      <c r="A206" s="95" t="s">
        <v>1450</v>
      </c>
      <c r="B206" s="95" t="s">
        <v>1451</v>
      </c>
      <c r="C206" s="95" t="s">
        <v>1452</v>
      </c>
      <c r="D206" s="95" t="s">
        <v>1384</v>
      </c>
      <c r="E206" s="95" t="s">
        <v>1385</v>
      </c>
      <c r="F206" s="95" t="s">
        <v>1386</v>
      </c>
    </row>
    <row r="207" spans="1:6" x14ac:dyDescent="0.2">
      <c r="A207" s="95" t="s">
        <v>1612</v>
      </c>
      <c r="B207" s="95" t="s">
        <v>1613</v>
      </c>
      <c r="C207" s="95" t="s">
        <v>1614</v>
      </c>
      <c r="D207" s="95" t="s">
        <v>1546</v>
      </c>
      <c r="E207" s="95" t="s">
        <v>1547</v>
      </c>
      <c r="F207" s="95" t="s">
        <v>1548</v>
      </c>
    </row>
    <row r="208" spans="1:6" x14ac:dyDescent="0.2">
      <c r="A208" s="95" t="s">
        <v>1615</v>
      </c>
      <c r="B208" s="95" t="s">
        <v>1616</v>
      </c>
      <c r="C208" s="95" t="s">
        <v>1617</v>
      </c>
      <c r="D208" s="95" t="s">
        <v>1546</v>
      </c>
      <c r="E208" s="95" t="s">
        <v>1547</v>
      </c>
      <c r="F208" s="95" t="s">
        <v>1548</v>
      </c>
    </row>
    <row r="209" spans="1:6" x14ac:dyDescent="0.2">
      <c r="A209" s="95" t="s">
        <v>1903</v>
      </c>
      <c r="B209" s="95" t="s">
        <v>1904</v>
      </c>
      <c r="C209" s="95" t="s">
        <v>1905</v>
      </c>
      <c r="D209" s="95" t="s">
        <v>948</v>
      </c>
      <c r="E209" s="95" t="s">
        <v>949</v>
      </c>
      <c r="F209" s="95" t="s">
        <v>947</v>
      </c>
    </row>
    <row r="210" spans="1:6" x14ac:dyDescent="0.2">
      <c r="A210" s="95" t="s">
        <v>1160</v>
      </c>
      <c r="B210" s="95" t="s">
        <v>1161</v>
      </c>
      <c r="C210" s="95" t="s">
        <v>1162</v>
      </c>
      <c r="D210" s="95" t="s">
        <v>1088</v>
      </c>
      <c r="E210" s="95" t="s">
        <v>1089</v>
      </c>
      <c r="F210" s="95" t="s">
        <v>1090</v>
      </c>
    </row>
    <row r="211" spans="1:6" x14ac:dyDescent="0.2">
      <c r="A211" s="95" t="s">
        <v>1061</v>
      </c>
      <c r="B211" s="95" t="s">
        <v>1062</v>
      </c>
      <c r="C211" s="95" t="s">
        <v>1063</v>
      </c>
      <c r="D211" s="95" t="s">
        <v>1025</v>
      </c>
      <c r="E211" s="95" t="s">
        <v>1026</v>
      </c>
      <c r="F211" s="95" t="s">
        <v>1027</v>
      </c>
    </row>
    <row r="212" spans="1:6" x14ac:dyDescent="0.2">
      <c r="A212" s="95" t="s">
        <v>1870</v>
      </c>
      <c r="B212" s="95" t="s">
        <v>1871</v>
      </c>
      <c r="C212" s="95" t="s">
        <v>1872</v>
      </c>
      <c r="D212" s="95" t="s">
        <v>1025</v>
      </c>
      <c r="E212" s="95" t="s">
        <v>1026</v>
      </c>
      <c r="F212" s="95" t="s">
        <v>1027</v>
      </c>
    </row>
    <row r="213" spans="1:6" x14ac:dyDescent="0.2">
      <c r="A213" s="95" t="s">
        <v>1064</v>
      </c>
      <c r="B213" s="95" t="s">
        <v>1065</v>
      </c>
      <c r="C213" s="95" t="s">
        <v>1066</v>
      </c>
      <c r="D213" s="95" t="s">
        <v>1025</v>
      </c>
      <c r="E213" s="95" t="s">
        <v>1026</v>
      </c>
      <c r="F213" s="95" t="s">
        <v>1027</v>
      </c>
    </row>
    <row r="214" spans="1:6" x14ac:dyDescent="0.2">
      <c r="A214" s="95" t="s">
        <v>1750</v>
      </c>
      <c r="B214" s="95" t="s">
        <v>1751</v>
      </c>
      <c r="C214" s="95" t="s">
        <v>1752</v>
      </c>
      <c r="D214" s="95" t="s">
        <v>1088</v>
      </c>
      <c r="E214" s="95" t="s">
        <v>1089</v>
      </c>
      <c r="F214" s="95" t="s">
        <v>1090</v>
      </c>
    </row>
    <row r="215" spans="1:6" x14ac:dyDescent="0.2">
      <c r="A215" s="95" t="s">
        <v>1618</v>
      </c>
      <c r="B215" s="95" t="s">
        <v>1619</v>
      </c>
      <c r="C215" s="95" t="s">
        <v>1620</v>
      </c>
      <c r="D215" s="95" t="s">
        <v>1546</v>
      </c>
      <c r="E215" s="95" t="s">
        <v>1547</v>
      </c>
      <c r="F215" s="95" t="s">
        <v>1548</v>
      </c>
    </row>
    <row r="216" spans="1:6" x14ac:dyDescent="0.2">
      <c r="A216" s="95" t="s">
        <v>983</v>
      </c>
      <c r="B216" s="95" t="s">
        <v>984</v>
      </c>
      <c r="C216" s="95" t="s">
        <v>985</v>
      </c>
      <c r="D216" s="95" t="s">
        <v>968</v>
      </c>
      <c r="E216" s="95" t="s">
        <v>969</v>
      </c>
      <c r="F216" s="95" t="s">
        <v>970</v>
      </c>
    </row>
    <row r="217" spans="1:6" x14ac:dyDescent="0.2">
      <c r="A217" s="95" t="s">
        <v>1348</v>
      </c>
      <c r="B217" s="95" t="s">
        <v>1349</v>
      </c>
      <c r="C217" s="95" t="s">
        <v>1350</v>
      </c>
      <c r="D217" s="95" t="s">
        <v>1276</v>
      </c>
      <c r="E217" s="95" t="s">
        <v>1277</v>
      </c>
      <c r="F217" s="95" t="s">
        <v>1278</v>
      </c>
    </row>
    <row r="218" spans="1:6" x14ac:dyDescent="0.2">
      <c r="A218" s="95" t="s">
        <v>1351</v>
      </c>
      <c r="B218" s="95" t="s">
        <v>1352</v>
      </c>
      <c r="C218" s="95" t="s">
        <v>1353</v>
      </c>
      <c r="D218" s="95" t="s">
        <v>1276</v>
      </c>
      <c r="E218" s="95" t="s">
        <v>1277</v>
      </c>
      <c r="F218" s="95" t="s">
        <v>1278</v>
      </c>
    </row>
    <row r="219" spans="1:6" x14ac:dyDescent="0.2">
      <c r="A219" s="95" t="s">
        <v>986</v>
      </c>
      <c r="B219" s="95" t="s">
        <v>987</v>
      </c>
      <c r="C219" s="95" t="s">
        <v>988</v>
      </c>
      <c r="D219" s="95" t="s">
        <v>968</v>
      </c>
      <c r="E219" s="95" t="s">
        <v>969</v>
      </c>
      <c r="F219" s="95" t="s">
        <v>970</v>
      </c>
    </row>
    <row r="220" spans="1:6" x14ac:dyDescent="0.2">
      <c r="A220" s="95" t="s">
        <v>1621</v>
      </c>
      <c r="B220" s="95" t="s">
        <v>1622</v>
      </c>
      <c r="C220" s="95" t="s">
        <v>1623</v>
      </c>
      <c r="D220" s="95" t="s">
        <v>1546</v>
      </c>
      <c r="E220" s="95" t="s">
        <v>1547</v>
      </c>
      <c r="F220" s="95" t="s">
        <v>1548</v>
      </c>
    </row>
    <row r="221" spans="1:6" x14ac:dyDescent="0.2">
      <c r="A221" s="95" t="s">
        <v>1741</v>
      </c>
      <c r="B221" s="95" t="s">
        <v>1742</v>
      </c>
      <c r="C221" s="95" t="s">
        <v>1743</v>
      </c>
      <c r="D221" s="95" t="s">
        <v>1088</v>
      </c>
      <c r="E221" s="95" t="s">
        <v>1089</v>
      </c>
      <c r="F221" s="95" t="s">
        <v>1090</v>
      </c>
    </row>
    <row r="222" spans="1:6" x14ac:dyDescent="0.2">
      <c r="A222" s="95" t="s">
        <v>1354</v>
      </c>
      <c r="B222" s="95" t="s">
        <v>1355</v>
      </c>
      <c r="C222" s="95" t="s">
        <v>1356</v>
      </c>
      <c r="D222" s="95" t="s">
        <v>1276</v>
      </c>
      <c r="E222" s="95" t="s">
        <v>1277</v>
      </c>
      <c r="F222" s="95" t="s">
        <v>1278</v>
      </c>
    </row>
    <row r="223" spans="1:6" x14ac:dyDescent="0.2">
      <c r="A223" s="95" t="s">
        <v>1453</v>
      </c>
      <c r="B223" s="95" t="s">
        <v>1454</v>
      </c>
      <c r="C223" s="95" t="s">
        <v>1455</v>
      </c>
      <c r="D223" s="95" t="s">
        <v>1214</v>
      </c>
      <c r="E223" s="95" t="s">
        <v>1215</v>
      </c>
      <c r="F223" s="95" t="s">
        <v>1216</v>
      </c>
    </row>
    <row r="224" spans="1:6" x14ac:dyDescent="0.2">
      <c r="A224" s="95" t="s">
        <v>1855</v>
      </c>
      <c r="B224" s="95" t="s">
        <v>1856</v>
      </c>
      <c r="C224" s="95" t="s">
        <v>1857</v>
      </c>
      <c r="D224" s="95" t="s">
        <v>1088</v>
      </c>
      <c r="E224" s="95" t="s">
        <v>1089</v>
      </c>
      <c r="F224" s="95" t="s">
        <v>1090</v>
      </c>
    </row>
    <row r="225" spans="1:6" x14ac:dyDescent="0.2">
      <c r="A225" s="95" t="s">
        <v>1456</v>
      </c>
      <c r="B225" s="95" t="s">
        <v>1457</v>
      </c>
      <c r="C225" s="95" t="s">
        <v>1458</v>
      </c>
      <c r="D225" s="95" t="s">
        <v>1384</v>
      </c>
      <c r="E225" s="95" t="s">
        <v>1385</v>
      </c>
      <c r="F225" s="95" t="s">
        <v>1386</v>
      </c>
    </row>
    <row r="226" spans="1:6" x14ac:dyDescent="0.2">
      <c r="A226" s="95" t="s">
        <v>1900</v>
      </c>
      <c r="B226" s="95" t="s">
        <v>1901</v>
      </c>
      <c r="C226" s="95" t="s">
        <v>1902</v>
      </c>
      <c r="D226" s="95" t="s">
        <v>1672</v>
      </c>
      <c r="E226" s="95" t="s">
        <v>1673</v>
      </c>
      <c r="F226" s="95" t="s">
        <v>1674</v>
      </c>
    </row>
    <row r="227" spans="1:6" x14ac:dyDescent="0.2">
      <c r="A227" s="95" t="s">
        <v>1570</v>
      </c>
      <c r="B227" s="95" t="s">
        <v>1571</v>
      </c>
      <c r="C227" s="95" t="s">
        <v>1572</v>
      </c>
      <c r="D227" s="95" t="s">
        <v>948</v>
      </c>
      <c r="E227" s="95" t="s">
        <v>949</v>
      </c>
      <c r="F227" s="95" t="s">
        <v>947</v>
      </c>
    </row>
    <row r="228" spans="1:6" x14ac:dyDescent="0.2">
      <c r="A228" s="95" t="s">
        <v>1930</v>
      </c>
      <c r="B228" s="95" t="s">
        <v>1931</v>
      </c>
      <c r="C228" s="95" t="s">
        <v>1932</v>
      </c>
      <c r="D228" s="95" t="s">
        <v>1384</v>
      </c>
      <c r="E228" s="95" t="s">
        <v>1385</v>
      </c>
      <c r="F228" s="95" t="s">
        <v>1386</v>
      </c>
    </row>
    <row r="229" spans="1:6" x14ac:dyDescent="0.2">
      <c r="A229" s="95" t="s">
        <v>1357</v>
      </c>
      <c r="B229" s="95" t="s">
        <v>1358</v>
      </c>
      <c r="C229" s="95" t="s">
        <v>1359</v>
      </c>
      <c r="D229" s="95" t="s">
        <v>1276</v>
      </c>
      <c r="E229" s="95" t="s">
        <v>1277</v>
      </c>
      <c r="F229" s="95" t="s">
        <v>1278</v>
      </c>
    </row>
    <row r="230" spans="1:6" x14ac:dyDescent="0.2">
      <c r="A230" s="95" t="s">
        <v>1163</v>
      </c>
      <c r="B230" s="95" t="s">
        <v>1164</v>
      </c>
      <c r="C230" s="95" t="s">
        <v>1165</v>
      </c>
      <c r="D230" s="95" t="s">
        <v>1088</v>
      </c>
      <c r="E230" s="95" t="s">
        <v>1089</v>
      </c>
      <c r="F230" s="95" t="s">
        <v>1090</v>
      </c>
    </row>
    <row r="231" spans="1:6" x14ac:dyDescent="0.2">
      <c r="A231" s="95" t="s">
        <v>1067</v>
      </c>
      <c r="B231" s="95" t="s">
        <v>1068</v>
      </c>
      <c r="C231" s="95" t="s">
        <v>1069</v>
      </c>
      <c r="D231" s="95" t="s">
        <v>1025</v>
      </c>
      <c r="E231" s="95" t="s">
        <v>1026</v>
      </c>
      <c r="F231" s="95" t="s">
        <v>1027</v>
      </c>
    </row>
    <row r="232" spans="1:6" x14ac:dyDescent="0.2">
      <c r="A232" s="95" t="s">
        <v>1522</v>
      </c>
      <c r="B232" s="95" t="s">
        <v>1523</v>
      </c>
      <c r="C232" s="95" t="s">
        <v>1524</v>
      </c>
      <c r="D232" s="95" t="s">
        <v>1504</v>
      </c>
      <c r="E232" s="95" t="s">
        <v>1505</v>
      </c>
      <c r="F232" s="95" t="s">
        <v>1506</v>
      </c>
    </row>
    <row r="233" spans="1:6" x14ac:dyDescent="0.2">
      <c r="A233" s="95" t="s">
        <v>1166</v>
      </c>
      <c r="B233" s="95" t="s">
        <v>1167</v>
      </c>
      <c r="C233" s="95" t="s">
        <v>1168</v>
      </c>
      <c r="D233" s="95" t="s">
        <v>1088</v>
      </c>
      <c r="E233" s="95" t="s">
        <v>1089</v>
      </c>
      <c r="F233" s="95" t="s">
        <v>1090</v>
      </c>
    </row>
    <row r="234" spans="1:6" x14ac:dyDescent="0.2">
      <c r="A234" s="95" t="s">
        <v>1244</v>
      </c>
      <c r="B234" s="95" t="s">
        <v>1245</v>
      </c>
      <c r="C234" s="95" t="s">
        <v>1246</v>
      </c>
      <c r="D234" s="95" t="s">
        <v>1214</v>
      </c>
      <c r="E234" s="95" t="s">
        <v>1215</v>
      </c>
      <c r="F234" s="95" t="s">
        <v>1216</v>
      </c>
    </row>
    <row r="235" spans="1:6" x14ac:dyDescent="0.2">
      <c r="A235" s="95" t="s">
        <v>1777</v>
      </c>
      <c r="B235" s="95" t="s">
        <v>1778</v>
      </c>
      <c r="C235" s="95" t="s">
        <v>1779</v>
      </c>
      <c r="D235" s="95" t="s">
        <v>1546</v>
      </c>
      <c r="E235" s="95" t="s">
        <v>1547</v>
      </c>
      <c r="F235" s="95" t="s">
        <v>1548</v>
      </c>
    </row>
    <row r="236" spans="1:6" x14ac:dyDescent="0.2">
      <c r="A236" s="95" t="s">
        <v>1169</v>
      </c>
      <c r="B236" s="95" t="s">
        <v>1170</v>
      </c>
      <c r="C236" s="95" t="s">
        <v>1171</v>
      </c>
      <c r="D236" s="95" t="s">
        <v>1088</v>
      </c>
      <c r="E236" s="95" t="s">
        <v>1089</v>
      </c>
      <c r="F236" s="95" t="s">
        <v>1090</v>
      </c>
    </row>
    <row r="237" spans="1:6" x14ac:dyDescent="0.2">
      <c r="A237" s="95" t="s">
        <v>1247</v>
      </c>
      <c r="B237" s="95" t="s">
        <v>1248</v>
      </c>
      <c r="C237" s="95" t="s">
        <v>1249</v>
      </c>
      <c r="D237" s="95" t="s">
        <v>1214</v>
      </c>
      <c r="E237" s="95" t="s">
        <v>1215</v>
      </c>
      <c r="F237" s="95" t="s">
        <v>1216</v>
      </c>
    </row>
    <row r="238" spans="1:6" x14ac:dyDescent="0.2">
      <c r="A238" s="95" t="s">
        <v>1459</v>
      </c>
      <c r="B238" s="95" t="s">
        <v>1460</v>
      </c>
      <c r="C238" s="95" t="s">
        <v>1461</v>
      </c>
      <c r="D238" s="95" t="s">
        <v>1384</v>
      </c>
      <c r="E238" s="95" t="s">
        <v>1385</v>
      </c>
      <c r="F238" s="95" t="s">
        <v>1386</v>
      </c>
    </row>
    <row r="239" spans="1:6" x14ac:dyDescent="0.2">
      <c r="A239" s="95" t="s">
        <v>1864</v>
      </c>
      <c r="B239" s="95" t="s">
        <v>1865</v>
      </c>
      <c r="C239" s="95" t="s">
        <v>1866</v>
      </c>
      <c r="D239" s="95" t="s">
        <v>1025</v>
      </c>
      <c r="E239" s="95" t="s">
        <v>1026</v>
      </c>
      <c r="F239" s="95" t="s">
        <v>1027</v>
      </c>
    </row>
    <row r="240" spans="1:6" x14ac:dyDescent="0.2">
      <c r="A240" s="95" t="s">
        <v>1465</v>
      </c>
      <c r="B240" s="95" t="s">
        <v>1466</v>
      </c>
      <c r="C240" s="95" t="s">
        <v>1467</v>
      </c>
      <c r="D240" s="95" t="s">
        <v>1384</v>
      </c>
      <c r="E240" s="95" t="s">
        <v>1385</v>
      </c>
      <c r="F240" s="95" t="s">
        <v>1386</v>
      </c>
    </row>
    <row r="241" spans="1:6" x14ac:dyDescent="0.2">
      <c r="A241" s="95" t="s">
        <v>1780</v>
      </c>
      <c r="B241" s="95" t="s">
        <v>1781</v>
      </c>
      <c r="C241" s="95" t="s">
        <v>1782</v>
      </c>
      <c r="D241" s="95" t="s">
        <v>1672</v>
      </c>
      <c r="E241" s="95" t="s">
        <v>1673</v>
      </c>
      <c r="F241" s="95" t="s">
        <v>1674</v>
      </c>
    </row>
    <row r="242" spans="1:6" x14ac:dyDescent="0.2">
      <c r="A242" s="95" t="s">
        <v>1708</v>
      </c>
      <c r="B242" s="95" t="s">
        <v>1709</v>
      </c>
      <c r="C242" s="95" t="s">
        <v>1710</v>
      </c>
      <c r="D242" s="95" t="s">
        <v>1672</v>
      </c>
      <c r="E242" s="95" t="s">
        <v>1673</v>
      </c>
      <c r="F242" s="95" t="s">
        <v>1674</v>
      </c>
    </row>
    <row r="243" spans="1:6" x14ac:dyDescent="0.2">
      <c r="A243" s="95" t="s">
        <v>1783</v>
      </c>
      <c r="B243" s="95" t="s">
        <v>1784</v>
      </c>
      <c r="C243" s="95" t="s">
        <v>1785</v>
      </c>
      <c r="D243" s="95" t="s">
        <v>1546</v>
      </c>
      <c r="E243" s="95" t="s">
        <v>1547</v>
      </c>
      <c r="F243" s="95" t="s">
        <v>1548</v>
      </c>
    </row>
    <row r="244" spans="1:6" x14ac:dyDescent="0.2">
      <c r="A244" s="95" t="s">
        <v>1462</v>
      </c>
      <c r="B244" s="95" t="s">
        <v>1463</v>
      </c>
      <c r="C244" s="95" t="s">
        <v>1464</v>
      </c>
      <c r="D244" s="95" t="s">
        <v>1384</v>
      </c>
      <c r="E244" s="95" t="s">
        <v>1385</v>
      </c>
      <c r="F244" s="95" t="s">
        <v>1386</v>
      </c>
    </row>
    <row r="245" spans="1:6" x14ac:dyDescent="0.2">
      <c r="A245" s="95" t="s">
        <v>1172</v>
      </c>
      <c r="B245" s="95" t="s">
        <v>1173</v>
      </c>
      <c r="C245" s="95" t="s">
        <v>1174</v>
      </c>
      <c r="D245" s="95" t="s">
        <v>1088</v>
      </c>
      <c r="E245" s="95" t="s">
        <v>1089</v>
      </c>
      <c r="F245" s="95" t="s">
        <v>1090</v>
      </c>
    </row>
    <row r="246" spans="1:6" x14ac:dyDescent="0.2">
      <c r="A246" s="95" t="s">
        <v>1624</v>
      </c>
      <c r="B246" s="95" t="s">
        <v>1625</v>
      </c>
      <c r="C246" s="95" t="s">
        <v>1626</v>
      </c>
      <c r="D246" s="95" t="s">
        <v>1546</v>
      </c>
      <c r="E246" s="95" t="s">
        <v>1547</v>
      </c>
      <c r="F246" s="95" t="s">
        <v>1548</v>
      </c>
    </row>
    <row r="247" spans="1:6" x14ac:dyDescent="0.2">
      <c r="A247" s="95" t="s">
        <v>1360</v>
      </c>
      <c r="B247" s="95" t="s">
        <v>1361</v>
      </c>
      <c r="C247" s="95" t="s">
        <v>1362</v>
      </c>
      <c r="D247" s="95" t="s">
        <v>1276</v>
      </c>
      <c r="E247" s="95" t="s">
        <v>1277</v>
      </c>
      <c r="F247" s="95" t="s">
        <v>1278</v>
      </c>
    </row>
    <row r="248" spans="1:6" x14ac:dyDescent="0.2">
      <c r="A248" s="95" t="s">
        <v>1175</v>
      </c>
      <c r="B248" s="95" t="s">
        <v>1176</v>
      </c>
      <c r="C248" s="95" t="s">
        <v>1177</v>
      </c>
      <c r="D248" s="95" t="s">
        <v>1088</v>
      </c>
      <c r="E248" s="95" t="s">
        <v>1089</v>
      </c>
      <c r="F248" s="95" t="s">
        <v>1090</v>
      </c>
    </row>
    <row r="249" spans="1:6" x14ac:dyDescent="0.2">
      <c r="A249" s="95" t="s">
        <v>1468</v>
      </c>
      <c r="B249" s="95" t="s">
        <v>1469</v>
      </c>
      <c r="C249" s="95" t="s">
        <v>1470</v>
      </c>
      <c r="D249" s="95" t="s">
        <v>1384</v>
      </c>
      <c r="E249" s="95" t="s">
        <v>1385</v>
      </c>
      <c r="F249" s="95" t="s">
        <v>1386</v>
      </c>
    </row>
    <row r="250" spans="1:6" x14ac:dyDescent="0.2">
      <c r="A250" s="95" t="s">
        <v>989</v>
      </c>
      <c r="B250" s="95" t="s">
        <v>990</v>
      </c>
      <c r="C250" s="95" t="s">
        <v>991</v>
      </c>
      <c r="D250" s="95" t="s">
        <v>968</v>
      </c>
      <c r="E250" s="95" t="s">
        <v>969</v>
      </c>
      <c r="F250" s="95" t="s">
        <v>970</v>
      </c>
    </row>
    <row r="251" spans="1:6" x14ac:dyDescent="0.2">
      <c r="A251" s="95" t="s">
        <v>1786</v>
      </c>
      <c r="B251" s="95" t="s">
        <v>1787</v>
      </c>
      <c r="C251" s="95" t="s">
        <v>1788</v>
      </c>
      <c r="D251" s="95" t="s">
        <v>1504</v>
      </c>
      <c r="E251" s="95" t="s">
        <v>1505</v>
      </c>
      <c r="F251" s="95" t="s">
        <v>1506</v>
      </c>
    </row>
    <row r="252" spans="1:6" x14ac:dyDescent="0.2">
      <c r="A252" s="95" t="s">
        <v>1411</v>
      </c>
      <c r="B252" s="95" t="s">
        <v>1412</v>
      </c>
      <c r="C252" s="95" t="s">
        <v>1413</v>
      </c>
      <c r="D252" s="95" t="s">
        <v>1384</v>
      </c>
      <c r="E252" s="95" t="s">
        <v>1385</v>
      </c>
      <c r="F252" s="95" t="s">
        <v>1386</v>
      </c>
    </row>
    <row r="253" spans="1:6" x14ac:dyDescent="0.2">
      <c r="A253" s="95" t="s">
        <v>1597</v>
      </c>
      <c r="B253" s="95" t="s">
        <v>1598</v>
      </c>
      <c r="C253" s="95" t="s">
        <v>1599</v>
      </c>
      <c r="D253" s="95" t="s">
        <v>1546</v>
      </c>
      <c r="E253" s="95" t="s">
        <v>1547</v>
      </c>
      <c r="F253" s="95" t="s">
        <v>1548</v>
      </c>
    </row>
    <row r="254" spans="1:6" x14ac:dyDescent="0.2">
      <c r="A254" s="95" t="s">
        <v>1711</v>
      </c>
      <c r="B254" s="95" t="s">
        <v>1712</v>
      </c>
      <c r="C254" s="95" t="s">
        <v>1713</v>
      </c>
      <c r="D254" s="95" t="s">
        <v>1672</v>
      </c>
      <c r="E254" s="95" t="s">
        <v>1673</v>
      </c>
      <c r="F254" s="95" t="s">
        <v>1674</v>
      </c>
    </row>
    <row r="255" spans="1:6" x14ac:dyDescent="0.2">
      <c r="A255" s="95" t="s">
        <v>1627</v>
      </c>
      <c r="B255" s="95" t="s">
        <v>1628</v>
      </c>
      <c r="C255" s="95" t="s">
        <v>1629</v>
      </c>
      <c r="D255" s="95" t="s">
        <v>1546</v>
      </c>
      <c r="E255" s="95" t="s">
        <v>1547</v>
      </c>
      <c r="F255" s="95" t="s">
        <v>1548</v>
      </c>
    </row>
    <row r="256" spans="1:6" x14ac:dyDescent="0.2">
      <c r="A256" s="95" t="s">
        <v>1888</v>
      </c>
      <c r="B256" s="95" t="s">
        <v>1889</v>
      </c>
      <c r="C256" s="95" t="s">
        <v>1890</v>
      </c>
      <c r="D256" s="95" t="s">
        <v>1672</v>
      </c>
      <c r="E256" s="95" t="s">
        <v>1673</v>
      </c>
      <c r="F256" s="95" t="s">
        <v>1674</v>
      </c>
    </row>
    <row r="257" spans="1:6" x14ac:dyDescent="0.2">
      <c r="A257" s="95" t="s">
        <v>1471</v>
      </c>
      <c r="B257" s="95" t="s">
        <v>1472</v>
      </c>
      <c r="C257" s="95" t="s">
        <v>1473</v>
      </c>
      <c r="D257" s="95" t="s">
        <v>1384</v>
      </c>
      <c r="E257" s="95" t="s">
        <v>1385</v>
      </c>
      <c r="F257" s="95" t="s">
        <v>1386</v>
      </c>
    </row>
    <row r="258" spans="1:6" x14ac:dyDescent="0.2">
      <c r="A258" s="95" t="s">
        <v>1828</v>
      </c>
      <c r="B258" s="95" t="s">
        <v>1829</v>
      </c>
      <c r="C258" s="95" t="s">
        <v>1830</v>
      </c>
      <c r="D258" s="95" t="s">
        <v>1504</v>
      </c>
      <c r="E258" s="95" t="s">
        <v>1505</v>
      </c>
      <c r="F258" s="95" t="s">
        <v>1506</v>
      </c>
    </row>
    <row r="259" spans="1:6" x14ac:dyDescent="0.2">
      <c r="A259" s="95" t="s">
        <v>992</v>
      </c>
      <c r="B259" s="95" t="s">
        <v>993</v>
      </c>
      <c r="C259" s="95" t="s">
        <v>994</v>
      </c>
      <c r="D259" s="95" t="s">
        <v>968</v>
      </c>
      <c r="E259" s="95" t="s">
        <v>969</v>
      </c>
      <c r="F259" s="95" t="s">
        <v>970</v>
      </c>
    </row>
    <row r="260" spans="1:6" x14ac:dyDescent="0.2">
      <c r="A260" s="95" t="s">
        <v>1250</v>
      </c>
      <c r="B260" s="95" t="s">
        <v>1251</v>
      </c>
      <c r="C260" s="95" t="s">
        <v>1252</v>
      </c>
      <c r="D260" s="95" t="s">
        <v>1214</v>
      </c>
      <c r="E260" s="95" t="s">
        <v>1215</v>
      </c>
      <c r="F260" s="95" t="s">
        <v>1216</v>
      </c>
    </row>
    <row r="261" spans="1:6" x14ac:dyDescent="0.2">
      <c r="A261" s="95" t="s">
        <v>1630</v>
      </c>
      <c r="B261" s="95" t="s">
        <v>1631</v>
      </c>
      <c r="C261" s="95" t="s">
        <v>1632</v>
      </c>
      <c r="D261" s="95" t="s">
        <v>1546</v>
      </c>
      <c r="E261" s="95" t="s">
        <v>1547</v>
      </c>
      <c r="F261" s="95" t="s">
        <v>1548</v>
      </c>
    </row>
    <row r="262" spans="1:6" x14ac:dyDescent="0.2">
      <c r="A262" s="95" t="s">
        <v>1633</v>
      </c>
      <c r="B262" s="95" t="s">
        <v>1634</v>
      </c>
      <c r="C262" s="95" t="s">
        <v>1635</v>
      </c>
      <c r="D262" s="95" t="s">
        <v>1546</v>
      </c>
      <c r="E262" s="95" t="s">
        <v>1547</v>
      </c>
      <c r="F262" s="95" t="s">
        <v>1548</v>
      </c>
    </row>
    <row r="263" spans="1:6" x14ac:dyDescent="0.2">
      <c r="A263" s="95" t="s">
        <v>956</v>
      </c>
      <c r="B263" s="95" t="s">
        <v>957</v>
      </c>
      <c r="C263" s="95" t="s">
        <v>958</v>
      </c>
      <c r="D263" s="95" t="s">
        <v>948</v>
      </c>
      <c r="E263" s="95" t="s">
        <v>949</v>
      </c>
      <c r="F263" s="95" t="s">
        <v>947</v>
      </c>
    </row>
    <row r="264" spans="1:6" x14ac:dyDescent="0.2">
      <c r="A264" s="95" t="s">
        <v>1070</v>
      </c>
      <c r="B264" s="95" t="s">
        <v>1071</v>
      </c>
      <c r="C264" s="95" t="s">
        <v>1072</v>
      </c>
      <c r="D264" s="95" t="s">
        <v>1025</v>
      </c>
      <c r="E264" s="95" t="s">
        <v>1026</v>
      </c>
      <c r="F264" s="95" t="s">
        <v>1027</v>
      </c>
    </row>
    <row r="265" spans="1:6" x14ac:dyDescent="0.2">
      <c r="A265" s="95" t="s">
        <v>1420</v>
      </c>
      <c r="B265" s="95" t="s">
        <v>1421</v>
      </c>
      <c r="C265" s="95" t="s">
        <v>1422</v>
      </c>
      <c r="D265" s="95" t="s">
        <v>1276</v>
      </c>
      <c r="E265" s="95" t="s">
        <v>1277</v>
      </c>
      <c r="F265" s="95" t="s">
        <v>1278</v>
      </c>
    </row>
    <row r="266" spans="1:6" x14ac:dyDescent="0.2">
      <c r="A266" s="95" t="s">
        <v>1636</v>
      </c>
      <c r="B266" s="95" t="s">
        <v>1637</v>
      </c>
      <c r="C266" s="95" t="s">
        <v>1638</v>
      </c>
      <c r="D266" s="95" t="s">
        <v>1546</v>
      </c>
      <c r="E266" s="95" t="s">
        <v>1547</v>
      </c>
      <c r="F266" s="95" t="s">
        <v>1548</v>
      </c>
    </row>
    <row r="267" spans="1:6" x14ac:dyDescent="0.2">
      <c r="A267" s="95" t="s">
        <v>1819</v>
      </c>
      <c r="B267" s="95" t="s">
        <v>1820</v>
      </c>
      <c r="C267" s="95" t="s">
        <v>1821</v>
      </c>
      <c r="D267" s="95" t="s">
        <v>1025</v>
      </c>
      <c r="E267" s="95" t="s">
        <v>1026</v>
      </c>
      <c r="F267" s="95" t="s">
        <v>1027</v>
      </c>
    </row>
    <row r="268" spans="1:6" x14ac:dyDescent="0.2">
      <c r="A268" s="95" t="s">
        <v>1714</v>
      </c>
      <c r="B268" s="95" t="s">
        <v>1715</v>
      </c>
      <c r="C268" s="95" t="s">
        <v>1716</v>
      </c>
      <c r="D268" s="95" t="s">
        <v>1672</v>
      </c>
      <c r="E268" s="95" t="s">
        <v>1673</v>
      </c>
      <c r="F268" s="95" t="s">
        <v>1674</v>
      </c>
    </row>
    <row r="269" spans="1:6" x14ac:dyDescent="0.2">
      <c r="A269" s="95" t="s">
        <v>1918</v>
      </c>
      <c r="B269" s="95" t="s">
        <v>1919</v>
      </c>
      <c r="C269" s="95" t="s">
        <v>1920</v>
      </c>
      <c r="D269" s="95" t="s">
        <v>1214</v>
      </c>
      <c r="E269" s="95" t="s">
        <v>1215</v>
      </c>
      <c r="F269" s="95" t="s">
        <v>1216</v>
      </c>
    </row>
    <row r="270" spans="1:6" x14ac:dyDescent="0.2">
      <c r="A270" s="95" t="s">
        <v>1909</v>
      </c>
      <c r="B270" s="95" t="s">
        <v>1910</v>
      </c>
      <c r="C270" s="95" t="s">
        <v>1911</v>
      </c>
      <c r="D270" s="95" t="s">
        <v>968</v>
      </c>
      <c r="E270" s="95" t="s">
        <v>969</v>
      </c>
      <c r="F270" s="95" t="s">
        <v>970</v>
      </c>
    </row>
    <row r="271" spans="1:6" x14ac:dyDescent="0.2">
      <c r="A271" s="95" t="s">
        <v>1525</v>
      </c>
      <c r="B271" s="95" t="s">
        <v>1526</v>
      </c>
      <c r="C271" s="95" t="s">
        <v>1527</v>
      </c>
      <c r="D271" s="95" t="s">
        <v>1504</v>
      </c>
      <c r="E271" s="95" t="s">
        <v>1505</v>
      </c>
      <c r="F271" s="95" t="s">
        <v>1506</v>
      </c>
    </row>
    <row r="272" spans="1:6" x14ac:dyDescent="0.2">
      <c r="A272" s="95" t="s">
        <v>995</v>
      </c>
      <c r="B272" s="95" t="s">
        <v>996</v>
      </c>
      <c r="C272" s="95" t="s">
        <v>997</v>
      </c>
      <c r="D272" s="95" t="s">
        <v>968</v>
      </c>
      <c r="E272" s="95" t="s">
        <v>969</v>
      </c>
      <c r="F272" s="95" t="s">
        <v>970</v>
      </c>
    </row>
    <row r="273" spans="1:6" x14ac:dyDescent="0.2">
      <c r="A273" s="95" t="s">
        <v>1363</v>
      </c>
      <c r="B273" s="95" t="s">
        <v>1364</v>
      </c>
      <c r="C273" s="95" t="s">
        <v>1365</v>
      </c>
      <c r="D273" s="95" t="s">
        <v>1276</v>
      </c>
      <c r="E273" s="95" t="s">
        <v>1277</v>
      </c>
      <c r="F273" s="95" t="s">
        <v>1278</v>
      </c>
    </row>
    <row r="274" spans="1:6" x14ac:dyDescent="0.2">
      <c r="A274" s="95" t="s">
        <v>1744</v>
      </c>
      <c r="B274" s="95" t="s">
        <v>1745</v>
      </c>
      <c r="C274" s="95" t="s">
        <v>1746</v>
      </c>
      <c r="D274" s="95" t="s">
        <v>1384</v>
      </c>
      <c r="E274" s="95" t="s">
        <v>1385</v>
      </c>
      <c r="F274" s="95" t="s">
        <v>1386</v>
      </c>
    </row>
    <row r="275" spans="1:6" x14ac:dyDescent="0.2">
      <c r="A275" s="95" t="s">
        <v>1528</v>
      </c>
      <c r="B275" s="95" t="s">
        <v>1529</v>
      </c>
      <c r="C275" s="95" t="s">
        <v>1530</v>
      </c>
      <c r="D275" s="95" t="s">
        <v>1504</v>
      </c>
      <c r="E275" s="95" t="s">
        <v>1505</v>
      </c>
      <c r="F275" s="95" t="s">
        <v>1506</v>
      </c>
    </row>
    <row r="276" spans="1:6" x14ac:dyDescent="0.2">
      <c r="A276" s="95" t="s">
        <v>1178</v>
      </c>
      <c r="B276" s="95" t="s">
        <v>1179</v>
      </c>
      <c r="C276" s="95" t="s">
        <v>1180</v>
      </c>
      <c r="D276" s="95" t="s">
        <v>1088</v>
      </c>
      <c r="E276" s="95" t="s">
        <v>1089</v>
      </c>
      <c r="F276" s="95" t="s">
        <v>1090</v>
      </c>
    </row>
    <row r="277" spans="1:6" x14ac:dyDescent="0.2">
      <c r="A277" s="95" t="s">
        <v>1642</v>
      </c>
      <c r="B277" s="95" t="s">
        <v>1643</v>
      </c>
      <c r="C277" s="95" t="s">
        <v>1644</v>
      </c>
      <c r="D277" s="95" t="s">
        <v>1546</v>
      </c>
      <c r="E277" s="95" t="s">
        <v>1547</v>
      </c>
      <c r="F277" s="95" t="s">
        <v>1548</v>
      </c>
    </row>
    <row r="278" spans="1:6" x14ac:dyDescent="0.2">
      <c r="A278" s="95" t="s">
        <v>1073</v>
      </c>
      <c r="B278" s="95" t="s">
        <v>1074</v>
      </c>
      <c r="C278" s="95" t="s">
        <v>1075</v>
      </c>
      <c r="D278" s="95" t="s">
        <v>1025</v>
      </c>
      <c r="E278" s="95" t="s">
        <v>1026</v>
      </c>
      <c r="F278" s="95" t="s">
        <v>1027</v>
      </c>
    </row>
    <row r="279" spans="1:6" x14ac:dyDescent="0.2">
      <c r="A279" s="95" t="s">
        <v>1807</v>
      </c>
      <c r="B279" s="95" t="s">
        <v>1808</v>
      </c>
      <c r="C279" s="95" t="s">
        <v>1809</v>
      </c>
      <c r="D279" s="95" t="s">
        <v>1025</v>
      </c>
      <c r="E279" s="95" t="s">
        <v>1026</v>
      </c>
      <c r="F279" s="95" t="s">
        <v>1027</v>
      </c>
    </row>
    <row r="280" spans="1:6" x14ac:dyDescent="0.2">
      <c r="A280" s="95" t="s">
        <v>1849</v>
      </c>
      <c r="B280" s="95" t="s">
        <v>1850</v>
      </c>
      <c r="C280" s="95" t="s">
        <v>1851</v>
      </c>
      <c r="D280" s="95" t="s">
        <v>1007</v>
      </c>
      <c r="E280" s="95" t="s">
        <v>1008</v>
      </c>
      <c r="F280" s="95" t="s">
        <v>1009</v>
      </c>
    </row>
    <row r="281" spans="1:6" x14ac:dyDescent="0.2">
      <c r="A281" s="95" t="s">
        <v>1540</v>
      </c>
      <c r="B281" s="95" t="s">
        <v>1541</v>
      </c>
      <c r="C281" s="95" t="s">
        <v>1542</v>
      </c>
      <c r="D281" s="95" t="s">
        <v>968</v>
      </c>
      <c r="E281" s="95" t="s">
        <v>969</v>
      </c>
      <c r="F281" s="95" t="s">
        <v>970</v>
      </c>
    </row>
    <row r="282" spans="1:6" x14ac:dyDescent="0.2">
      <c r="A282" s="95" t="s">
        <v>1366</v>
      </c>
      <c r="B282" s="95" t="s">
        <v>1367</v>
      </c>
      <c r="C282" s="95" t="s">
        <v>1368</v>
      </c>
      <c r="D282" s="95" t="s">
        <v>1276</v>
      </c>
      <c r="E282" s="95" t="s">
        <v>1277</v>
      </c>
      <c r="F282" s="95" t="s">
        <v>1278</v>
      </c>
    </row>
    <row r="283" spans="1:6" x14ac:dyDescent="0.2">
      <c r="A283" s="95" t="s">
        <v>1369</v>
      </c>
      <c r="B283" s="95" t="s">
        <v>1370</v>
      </c>
      <c r="C283" s="95" t="s">
        <v>1371</v>
      </c>
      <c r="D283" s="95" t="s">
        <v>1276</v>
      </c>
      <c r="E283" s="95" t="s">
        <v>1277</v>
      </c>
      <c r="F283" s="95" t="s">
        <v>1278</v>
      </c>
    </row>
    <row r="284" spans="1:6" x14ac:dyDescent="0.2">
      <c r="A284" s="95" t="s">
        <v>1076</v>
      </c>
      <c r="B284" s="95" t="s">
        <v>1077</v>
      </c>
      <c r="C284" s="95" t="s">
        <v>1078</v>
      </c>
      <c r="D284" s="95" t="s">
        <v>953</v>
      </c>
      <c r="E284" s="95" t="s">
        <v>954</v>
      </c>
      <c r="F284" s="95" t="s">
        <v>955</v>
      </c>
    </row>
    <row r="285" spans="1:6" x14ac:dyDescent="0.2">
      <c r="A285" s="95" t="s">
        <v>1253</v>
      </c>
      <c r="B285" s="95" t="s">
        <v>1254</v>
      </c>
      <c r="C285" s="95" t="s">
        <v>1216</v>
      </c>
      <c r="D285" s="95" t="s">
        <v>1214</v>
      </c>
      <c r="E285" s="95" t="s">
        <v>1215</v>
      </c>
      <c r="F285" s="95" t="s">
        <v>1216</v>
      </c>
    </row>
    <row r="286" spans="1:6" x14ac:dyDescent="0.2">
      <c r="A286" s="95" t="s">
        <v>1747</v>
      </c>
      <c r="B286" s="95" t="s">
        <v>1748</v>
      </c>
      <c r="C286" s="95" t="s">
        <v>1749</v>
      </c>
      <c r="D286" s="95" t="s">
        <v>1214</v>
      </c>
      <c r="E286" s="95" t="s">
        <v>1215</v>
      </c>
      <c r="F286" s="95" t="s">
        <v>1216</v>
      </c>
    </row>
    <row r="287" spans="1:6" x14ac:dyDescent="0.2">
      <c r="A287" s="95" t="s">
        <v>1717</v>
      </c>
      <c r="B287" s="95" t="s">
        <v>1718</v>
      </c>
      <c r="C287" s="95" t="s">
        <v>1719</v>
      </c>
      <c r="D287" s="95" t="s">
        <v>1672</v>
      </c>
      <c r="E287" s="95" t="s">
        <v>1673</v>
      </c>
      <c r="F287" s="95" t="s">
        <v>1674</v>
      </c>
    </row>
    <row r="288" spans="1:6" x14ac:dyDescent="0.2">
      <c r="A288" s="95" t="s">
        <v>1732</v>
      </c>
      <c r="B288" s="95" t="s">
        <v>1733</v>
      </c>
      <c r="C288" s="95" t="s">
        <v>1734</v>
      </c>
      <c r="D288" s="95" t="s">
        <v>1672</v>
      </c>
      <c r="E288" s="95" t="s">
        <v>1673</v>
      </c>
      <c r="F288" s="95" t="s">
        <v>1674</v>
      </c>
    </row>
    <row r="289" spans="1:6" x14ac:dyDescent="0.2">
      <c r="A289" s="95" t="s">
        <v>1645</v>
      </c>
      <c r="B289" s="95" t="s">
        <v>1646</v>
      </c>
      <c r="C289" s="95" t="s">
        <v>1647</v>
      </c>
      <c r="D289" s="95" t="s">
        <v>1546</v>
      </c>
      <c r="E289" s="95" t="s">
        <v>1547</v>
      </c>
      <c r="F289" s="95" t="s">
        <v>1548</v>
      </c>
    </row>
    <row r="290" spans="1:6" x14ac:dyDescent="0.2">
      <c r="A290" s="95" t="s">
        <v>959</v>
      </c>
      <c r="B290" s="95" t="s">
        <v>960</v>
      </c>
      <c r="C290" s="95" t="s">
        <v>961</v>
      </c>
      <c r="D290" s="95" t="s">
        <v>948</v>
      </c>
      <c r="E290" s="95" t="s">
        <v>949</v>
      </c>
      <c r="F290" s="95" t="s">
        <v>947</v>
      </c>
    </row>
    <row r="291" spans="1:6" x14ac:dyDescent="0.2">
      <c r="A291" s="95" t="s">
        <v>1255</v>
      </c>
      <c r="B291" s="95" t="s">
        <v>1256</v>
      </c>
      <c r="C291" s="95" t="s">
        <v>1257</v>
      </c>
      <c r="D291" s="95" t="s">
        <v>1214</v>
      </c>
      <c r="E291" s="95" t="s">
        <v>1215</v>
      </c>
      <c r="F291" s="95" t="s">
        <v>1216</v>
      </c>
    </row>
    <row r="292" spans="1:6" x14ac:dyDescent="0.2">
      <c r="A292" s="95" t="s">
        <v>1531</v>
      </c>
      <c r="B292" s="95" t="s">
        <v>1532</v>
      </c>
      <c r="C292" s="95" t="s">
        <v>1533</v>
      </c>
      <c r="D292" s="95" t="s">
        <v>1504</v>
      </c>
      <c r="E292" s="95" t="s">
        <v>1505</v>
      </c>
      <c r="F292" s="95" t="s">
        <v>1506</v>
      </c>
    </row>
    <row r="293" spans="1:6" x14ac:dyDescent="0.2">
      <c r="A293" s="95" t="s">
        <v>1648</v>
      </c>
      <c r="B293" s="95" t="s">
        <v>1649</v>
      </c>
      <c r="C293" s="95" t="s">
        <v>1650</v>
      </c>
      <c r="D293" s="95" t="s">
        <v>1546</v>
      </c>
      <c r="E293" s="95" t="s">
        <v>1547</v>
      </c>
      <c r="F293" s="95" t="s">
        <v>1548</v>
      </c>
    </row>
    <row r="294" spans="1:6" x14ac:dyDescent="0.2">
      <c r="A294" s="95" t="s">
        <v>1372</v>
      </c>
      <c r="B294" s="95" t="s">
        <v>1373</v>
      </c>
      <c r="C294" s="95" t="s">
        <v>1374</v>
      </c>
      <c r="D294" s="95" t="s">
        <v>1276</v>
      </c>
      <c r="E294" s="95" t="s">
        <v>1277</v>
      </c>
      <c r="F294" s="95" t="s">
        <v>1278</v>
      </c>
    </row>
    <row r="295" spans="1:6" x14ac:dyDescent="0.2">
      <c r="A295" s="95" t="s">
        <v>1720</v>
      </c>
      <c r="B295" s="95" t="s">
        <v>1721</v>
      </c>
      <c r="C295" s="95" t="s">
        <v>1722</v>
      </c>
      <c r="D295" s="95" t="s">
        <v>1672</v>
      </c>
      <c r="E295" s="95" t="s">
        <v>1673</v>
      </c>
      <c r="F295" s="95" t="s">
        <v>1674</v>
      </c>
    </row>
    <row r="296" spans="1:6" x14ac:dyDescent="0.2">
      <c r="A296" s="95" t="s">
        <v>1723</v>
      </c>
      <c r="B296" s="95" t="s">
        <v>1724</v>
      </c>
      <c r="C296" s="95" t="s">
        <v>1725</v>
      </c>
      <c r="D296" s="95" t="s">
        <v>1672</v>
      </c>
      <c r="E296" s="95" t="s">
        <v>1673</v>
      </c>
      <c r="F296" s="95" t="s">
        <v>1674</v>
      </c>
    </row>
    <row r="297" spans="1:6" x14ac:dyDescent="0.2">
      <c r="A297" s="95" t="s">
        <v>1972</v>
      </c>
      <c r="B297" s="95" t="s">
        <v>1973</v>
      </c>
      <c r="C297" s="95" t="s">
        <v>1974</v>
      </c>
      <c r="D297" s="95" t="s">
        <v>1214</v>
      </c>
      <c r="E297" s="95" t="s">
        <v>1215</v>
      </c>
      <c r="F297" s="95" t="s">
        <v>1216</v>
      </c>
    </row>
    <row r="298" spans="1:6" x14ac:dyDescent="0.2">
      <c r="A298" s="95" t="s">
        <v>1477</v>
      </c>
      <c r="B298" s="95" t="s">
        <v>1478</v>
      </c>
      <c r="C298" s="95" t="s">
        <v>1479</v>
      </c>
      <c r="D298" s="95" t="s">
        <v>1384</v>
      </c>
      <c r="E298" s="95" t="s">
        <v>1385</v>
      </c>
      <c r="F298" s="95" t="s">
        <v>1386</v>
      </c>
    </row>
    <row r="299" spans="1:6" x14ac:dyDescent="0.2">
      <c r="A299" s="95" t="s">
        <v>998</v>
      </c>
      <c r="B299" s="95" t="s">
        <v>999</v>
      </c>
      <c r="C299" s="95" t="s">
        <v>1000</v>
      </c>
      <c r="D299" s="95" t="s">
        <v>968</v>
      </c>
      <c r="E299" s="95" t="s">
        <v>969</v>
      </c>
      <c r="F299" s="95" t="s">
        <v>970</v>
      </c>
    </row>
    <row r="300" spans="1:6" x14ac:dyDescent="0.2">
      <c r="A300" s="95" t="s">
        <v>1534</v>
      </c>
      <c r="B300" s="95" t="s">
        <v>1535</v>
      </c>
      <c r="C300" s="95" t="s">
        <v>1536</v>
      </c>
      <c r="D300" s="95" t="s">
        <v>1504</v>
      </c>
      <c r="E300" s="95" t="s">
        <v>1505</v>
      </c>
      <c r="F300" s="95" t="s">
        <v>1506</v>
      </c>
    </row>
    <row r="301" spans="1:6" x14ac:dyDescent="0.2">
      <c r="A301" s="95" t="s">
        <v>1726</v>
      </c>
      <c r="B301" s="95" t="s">
        <v>1727</v>
      </c>
      <c r="C301" s="95" t="s">
        <v>1728</v>
      </c>
      <c r="D301" s="95" t="s">
        <v>1672</v>
      </c>
      <c r="E301" s="95" t="s">
        <v>1673</v>
      </c>
      <c r="F301" s="95" t="s">
        <v>1674</v>
      </c>
    </row>
    <row r="302" spans="1:6" x14ac:dyDescent="0.2">
      <c r="A302" s="95" t="s">
        <v>2002</v>
      </c>
      <c r="B302" s="95" t="s">
        <v>2003</v>
      </c>
      <c r="C302" s="95" t="s">
        <v>2004</v>
      </c>
      <c r="D302" s="95" t="s">
        <v>1384</v>
      </c>
      <c r="E302" s="95" t="s">
        <v>1385</v>
      </c>
      <c r="F302" s="95" t="s">
        <v>1386</v>
      </c>
    </row>
    <row r="303" spans="1:6" x14ac:dyDescent="0.2">
      <c r="A303" s="95" t="s">
        <v>1480</v>
      </c>
      <c r="B303" s="95" t="s">
        <v>1481</v>
      </c>
      <c r="C303" s="95" t="s">
        <v>1482</v>
      </c>
      <c r="D303" s="95" t="s">
        <v>1384</v>
      </c>
      <c r="E303" s="95" t="s">
        <v>1385</v>
      </c>
      <c r="F303" s="95" t="s">
        <v>1386</v>
      </c>
    </row>
    <row r="304" spans="1:6" x14ac:dyDescent="0.2">
      <c r="A304" s="95" t="s">
        <v>1181</v>
      </c>
      <c r="B304" s="95" t="s">
        <v>1182</v>
      </c>
      <c r="C304" s="95" t="s">
        <v>1183</v>
      </c>
      <c r="D304" s="95" t="s">
        <v>1088</v>
      </c>
      <c r="E304" s="95" t="s">
        <v>1089</v>
      </c>
      <c r="F304" s="95" t="s">
        <v>1090</v>
      </c>
    </row>
    <row r="305" spans="1:6" x14ac:dyDescent="0.2">
      <c r="A305" s="95" t="s">
        <v>1651</v>
      </c>
      <c r="B305" s="95" t="s">
        <v>1652</v>
      </c>
      <c r="C305" s="95" t="s">
        <v>1653</v>
      </c>
      <c r="D305" s="95" t="s">
        <v>1546</v>
      </c>
      <c r="E305" s="95" t="s">
        <v>1547</v>
      </c>
      <c r="F305" s="95" t="s">
        <v>1548</v>
      </c>
    </row>
    <row r="306" spans="1:6" x14ac:dyDescent="0.2">
      <c r="A306" s="95" t="s">
        <v>1951</v>
      </c>
      <c r="B306" s="95" t="s">
        <v>1952</v>
      </c>
      <c r="C306" s="95" t="s">
        <v>1953</v>
      </c>
      <c r="D306" s="95" t="s">
        <v>968</v>
      </c>
      <c r="E306" s="95" t="s">
        <v>969</v>
      </c>
      <c r="F306" s="95" t="s">
        <v>970</v>
      </c>
    </row>
    <row r="307" spans="1:6" x14ac:dyDescent="0.2">
      <c r="A307" s="95" t="s">
        <v>1654</v>
      </c>
      <c r="B307" s="95" t="s">
        <v>1655</v>
      </c>
      <c r="C307" s="95" t="s">
        <v>1656</v>
      </c>
      <c r="D307" s="95" t="s">
        <v>1546</v>
      </c>
      <c r="E307" s="95" t="s">
        <v>1547</v>
      </c>
      <c r="F307" s="95" t="s">
        <v>1548</v>
      </c>
    </row>
    <row r="308" spans="1:6" x14ac:dyDescent="0.2">
      <c r="A308" s="95" t="s">
        <v>1657</v>
      </c>
      <c r="B308" s="95" t="s">
        <v>1658</v>
      </c>
      <c r="C308" s="95" t="s">
        <v>1659</v>
      </c>
      <c r="D308" s="95" t="s">
        <v>1546</v>
      </c>
      <c r="E308" s="95" t="s">
        <v>1547</v>
      </c>
      <c r="F308" s="95" t="s">
        <v>1548</v>
      </c>
    </row>
    <row r="309" spans="1:6" x14ac:dyDescent="0.2">
      <c r="A309" s="95" t="s">
        <v>1483</v>
      </c>
      <c r="B309" s="95" t="s">
        <v>1484</v>
      </c>
      <c r="C309" s="95" t="s">
        <v>1485</v>
      </c>
      <c r="D309" s="95" t="s">
        <v>1384</v>
      </c>
      <c r="E309" s="95" t="s">
        <v>1385</v>
      </c>
      <c r="F309" s="95" t="s">
        <v>1386</v>
      </c>
    </row>
    <row r="310" spans="1:6" x14ac:dyDescent="0.2">
      <c r="A310" s="95" t="s">
        <v>1184</v>
      </c>
      <c r="B310" s="95" t="s">
        <v>1185</v>
      </c>
      <c r="C310" s="95" t="s">
        <v>1186</v>
      </c>
      <c r="D310" s="95" t="s">
        <v>1088</v>
      </c>
      <c r="E310" s="95" t="s">
        <v>1089</v>
      </c>
      <c r="F310" s="95" t="s">
        <v>1090</v>
      </c>
    </row>
    <row r="311" spans="1:6" x14ac:dyDescent="0.2">
      <c r="A311" s="95" t="s">
        <v>1486</v>
      </c>
      <c r="B311" s="95" t="s">
        <v>1487</v>
      </c>
      <c r="C311" s="95" t="s">
        <v>1488</v>
      </c>
      <c r="D311" s="95" t="s">
        <v>1384</v>
      </c>
      <c r="E311" s="95" t="s">
        <v>1385</v>
      </c>
      <c r="F311" s="95" t="s">
        <v>1386</v>
      </c>
    </row>
    <row r="312" spans="1:6" x14ac:dyDescent="0.2">
      <c r="A312" s="95" t="s">
        <v>1639</v>
      </c>
      <c r="B312" s="95" t="s">
        <v>1640</v>
      </c>
      <c r="C312" s="95" t="s">
        <v>1641</v>
      </c>
      <c r="D312" s="95" t="s">
        <v>1276</v>
      </c>
      <c r="E312" s="95" t="s">
        <v>1277</v>
      </c>
      <c r="F312" s="95" t="s">
        <v>1278</v>
      </c>
    </row>
    <row r="313" spans="1:6" x14ac:dyDescent="0.2">
      <c r="A313" s="95" t="s">
        <v>1729</v>
      </c>
      <c r="B313" s="95" t="s">
        <v>1730</v>
      </c>
      <c r="C313" s="95" t="s">
        <v>1731</v>
      </c>
      <c r="D313" s="95" t="s">
        <v>1672</v>
      </c>
      <c r="E313" s="95" t="s">
        <v>1673</v>
      </c>
      <c r="F313" s="95" t="s">
        <v>1674</v>
      </c>
    </row>
    <row r="314" spans="1:6" x14ac:dyDescent="0.2">
      <c r="A314" s="95" t="s">
        <v>1969</v>
      </c>
      <c r="B314" s="95" t="s">
        <v>1970</v>
      </c>
      <c r="C314" s="95" t="s">
        <v>1971</v>
      </c>
      <c r="D314" s="95" t="s">
        <v>1088</v>
      </c>
      <c r="E314" s="95" t="s">
        <v>1089</v>
      </c>
      <c r="F314" s="95" t="s">
        <v>1090</v>
      </c>
    </row>
    <row r="315" spans="1:6" x14ac:dyDescent="0.2">
      <c r="A315" s="95" t="s">
        <v>1510</v>
      </c>
      <c r="B315" s="95" t="s">
        <v>1511</v>
      </c>
      <c r="C315" s="95" t="s">
        <v>1512</v>
      </c>
      <c r="D315" s="95" t="s">
        <v>1088</v>
      </c>
      <c r="E315" s="95" t="s">
        <v>1089</v>
      </c>
      <c r="F315" s="95" t="s">
        <v>1090</v>
      </c>
    </row>
    <row r="316" spans="1:6" x14ac:dyDescent="0.2">
      <c r="A316" s="95" t="s">
        <v>1981</v>
      </c>
      <c r="B316" s="95" t="s">
        <v>1982</v>
      </c>
      <c r="C316" s="95" t="s">
        <v>1983</v>
      </c>
      <c r="D316" s="95" t="s">
        <v>948</v>
      </c>
      <c r="E316" s="95" t="s">
        <v>949</v>
      </c>
      <c r="F316" s="95" t="s">
        <v>947</v>
      </c>
    </row>
    <row r="317" spans="1:6" x14ac:dyDescent="0.2">
      <c r="A317" s="95" t="s">
        <v>1810</v>
      </c>
      <c r="B317" s="95" t="s">
        <v>1811</v>
      </c>
      <c r="C317" s="95" t="s">
        <v>1812</v>
      </c>
      <c r="D317" s="95" t="s">
        <v>1007</v>
      </c>
      <c r="E317" s="95" t="s">
        <v>1008</v>
      </c>
      <c r="F317" s="95" t="s">
        <v>1009</v>
      </c>
    </row>
    <row r="318" spans="1:6" x14ac:dyDescent="0.2">
      <c r="A318" s="95" t="s">
        <v>1187</v>
      </c>
      <c r="B318" s="95" t="s">
        <v>1188</v>
      </c>
      <c r="C318" s="95" t="s">
        <v>1189</v>
      </c>
      <c r="D318" s="95" t="s">
        <v>1088</v>
      </c>
      <c r="E318" s="95" t="s">
        <v>1089</v>
      </c>
      <c r="F318" s="95" t="s">
        <v>1090</v>
      </c>
    </row>
    <row r="319" spans="1:6" x14ac:dyDescent="0.2">
      <c r="A319" s="95" t="s">
        <v>1954</v>
      </c>
      <c r="B319" s="95" t="s">
        <v>1955</v>
      </c>
      <c r="C319" s="95" t="s">
        <v>1956</v>
      </c>
      <c r="D319" s="95" t="s">
        <v>948</v>
      </c>
      <c r="E319" s="95" t="s">
        <v>949</v>
      </c>
      <c r="F319" s="95" t="s">
        <v>947</v>
      </c>
    </row>
    <row r="320" spans="1:6" x14ac:dyDescent="0.2">
      <c r="A320" s="95" t="s">
        <v>1876</v>
      </c>
      <c r="B320" s="95" t="s">
        <v>1877</v>
      </c>
      <c r="C320" s="95" t="s">
        <v>1878</v>
      </c>
      <c r="D320" s="95" t="s">
        <v>1384</v>
      </c>
      <c r="E320" s="95" t="s">
        <v>1385</v>
      </c>
      <c r="F320" s="95" t="s">
        <v>1386</v>
      </c>
    </row>
    <row r="321" spans="1:6" x14ac:dyDescent="0.2">
      <c r="A321" s="95" t="s">
        <v>1001</v>
      </c>
      <c r="B321" s="95" t="s">
        <v>1002</v>
      </c>
      <c r="C321" s="95" t="s">
        <v>1003</v>
      </c>
      <c r="D321" s="95" t="s">
        <v>968</v>
      </c>
      <c r="E321" s="95" t="s">
        <v>969</v>
      </c>
      <c r="F321" s="95" t="s">
        <v>970</v>
      </c>
    </row>
    <row r="322" spans="1:6" x14ac:dyDescent="0.2">
      <c r="A322" s="95" t="s">
        <v>1079</v>
      </c>
      <c r="B322" s="95" t="s">
        <v>1080</v>
      </c>
      <c r="C322" s="95" t="s">
        <v>1081</v>
      </c>
      <c r="D322" s="95" t="s">
        <v>1025</v>
      </c>
      <c r="E322" s="95" t="s">
        <v>1026</v>
      </c>
      <c r="F322" s="95" t="s">
        <v>1027</v>
      </c>
    </row>
    <row r="323" spans="1:6" x14ac:dyDescent="0.2">
      <c r="A323" s="95" t="s">
        <v>1193</v>
      </c>
      <c r="B323" s="95" t="s">
        <v>1194</v>
      </c>
      <c r="C323" s="95" t="s">
        <v>1195</v>
      </c>
      <c r="D323" s="95" t="s">
        <v>1088</v>
      </c>
      <c r="E323" s="95" t="s">
        <v>1089</v>
      </c>
      <c r="F323" s="95" t="s">
        <v>1090</v>
      </c>
    </row>
    <row r="324" spans="1:6" x14ac:dyDescent="0.2">
      <c r="A324" s="95" t="s">
        <v>1801</v>
      </c>
      <c r="B324" s="95" t="s">
        <v>1802</v>
      </c>
      <c r="C324" s="95" t="s">
        <v>1803</v>
      </c>
      <c r="D324" s="95" t="s">
        <v>1276</v>
      </c>
      <c r="E324" s="95" t="s">
        <v>1277</v>
      </c>
      <c r="F324" s="95" t="s">
        <v>1278</v>
      </c>
    </row>
    <row r="325" spans="1:6" x14ac:dyDescent="0.2">
      <c r="A325" s="95" t="s">
        <v>1261</v>
      </c>
      <c r="B325" s="95" t="s">
        <v>1262</v>
      </c>
      <c r="C325" s="95" t="s">
        <v>1263</v>
      </c>
      <c r="D325" s="95" t="s">
        <v>1214</v>
      </c>
      <c r="E325" s="95" t="s">
        <v>1215</v>
      </c>
      <c r="F325" s="95" t="s">
        <v>1216</v>
      </c>
    </row>
    <row r="326" spans="1:6" x14ac:dyDescent="0.2">
      <c r="A326" s="95" t="s">
        <v>1190</v>
      </c>
      <c r="B326" s="95" t="s">
        <v>1191</v>
      </c>
      <c r="C326" s="95" t="s">
        <v>1192</v>
      </c>
      <c r="D326" s="95" t="s">
        <v>1088</v>
      </c>
      <c r="E326" s="95" t="s">
        <v>1089</v>
      </c>
      <c r="F326" s="95" t="s">
        <v>1090</v>
      </c>
    </row>
    <row r="327" spans="1:6" x14ac:dyDescent="0.2">
      <c r="A327" s="95" t="s">
        <v>1660</v>
      </c>
      <c r="B327" s="95" t="s">
        <v>1661</v>
      </c>
      <c r="C327" s="95" t="s">
        <v>1662</v>
      </c>
      <c r="D327" s="95" t="s">
        <v>1546</v>
      </c>
      <c r="E327" s="95" t="s">
        <v>1547</v>
      </c>
      <c r="F327" s="95" t="s">
        <v>1548</v>
      </c>
    </row>
    <row r="328" spans="1:6" x14ac:dyDescent="0.2">
      <c r="A328" s="95" t="s">
        <v>1489</v>
      </c>
      <c r="B328" s="95" t="s">
        <v>1490</v>
      </c>
      <c r="C328" s="95" t="s">
        <v>1491</v>
      </c>
      <c r="D328" s="95" t="s">
        <v>1214</v>
      </c>
      <c r="E328" s="95" t="s">
        <v>1215</v>
      </c>
      <c r="F328" s="95" t="s">
        <v>1216</v>
      </c>
    </row>
    <row r="329" spans="1:6" x14ac:dyDescent="0.2">
      <c r="A329" s="95" t="s">
        <v>1666</v>
      </c>
      <c r="B329" s="95" t="s">
        <v>1667</v>
      </c>
      <c r="C329" s="95" t="s">
        <v>1668</v>
      </c>
      <c r="D329" s="95" t="s">
        <v>1276</v>
      </c>
      <c r="E329" s="95" t="s">
        <v>1277</v>
      </c>
      <c r="F329" s="95" t="s">
        <v>1278</v>
      </c>
    </row>
    <row r="330" spans="1:6" x14ac:dyDescent="0.2">
      <c r="A330" s="95" t="s">
        <v>1258</v>
      </c>
      <c r="B330" s="95" t="s">
        <v>1259</v>
      </c>
      <c r="C330" s="95" t="s">
        <v>1260</v>
      </c>
      <c r="D330" s="95" t="s">
        <v>1214</v>
      </c>
      <c r="E330" s="95" t="s">
        <v>1215</v>
      </c>
      <c r="F330" s="95" t="s">
        <v>1216</v>
      </c>
    </row>
    <row r="331" spans="1:6" x14ac:dyDescent="0.2">
      <c r="A331" s="95" t="s">
        <v>1378</v>
      </c>
      <c r="B331" s="95" t="s">
        <v>1379</v>
      </c>
      <c r="C331" s="95" t="s">
        <v>1380</v>
      </c>
      <c r="D331" s="95" t="s">
        <v>1276</v>
      </c>
      <c r="E331" s="95" t="s">
        <v>1277</v>
      </c>
      <c r="F331" s="95" t="s">
        <v>1278</v>
      </c>
    </row>
    <row r="332" spans="1:6" x14ac:dyDescent="0.2">
      <c r="A332" s="95" t="s">
        <v>1196</v>
      </c>
      <c r="B332" s="95" t="s">
        <v>1197</v>
      </c>
      <c r="C332" s="95" t="s">
        <v>1198</v>
      </c>
      <c r="D332" s="95" t="s">
        <v>1088</v>
      </c>
      <c r="E332" s="95" t="s">
        <v>1089</v>
      </c>
      <c r="F332" s="95" t="s">
        <v>1090</v>
      </c>
    </row>
    <row r="333" spans="1:6" x14ac:dyDescent="0.2">
      <c r="A333" s="95" t="s">
        <v>1375</v>
      </c>
      <c r="B333" s="95" t="s">
        <v>1376</v>
      </c>
      <c r="C333" s="95" t="s">
        <v>1377</v>
      </c>
      <c r="D333" s="95" t="s">
        <v>1276</v>
      </c>
      <c r="E333" s="95" t="s">
        <v>1277</v>
      </c>
      <c r="F333" s="95" t="s">
        <v>1278</v>
      </c>
    </row>
    <row r="334" spans="1:6" x14ac:dyDescent="0.2">
      <c r="A334" s="95" t="s">
        <v>962</v>
      </c>
      <c r="B334" s="95" t="s">
        <v>963</v>
      </c>
      <c r="C334" s="95" t="s">
        <v>964</v>
      </c>
      <c r="D334" s="95" t="s">
        <v>953</v>
      </c>
      <c r="E334" s="95" t="s">
        <v>954</v>
      </c>
      <c r="F334" s="95" t="s">
        <v>955</v>
      </c>
    </row>
    <row r="335" spans="1:6" x14ac:dyDescent="0.2">
      <c r="A335" s="95" t="s">
        <v>1267</v>
      </c>
      <c r="B335" s="95" t="s">
        <v>1268</v>
      </c>
      <c r="C335" s="95" t="s">
        <v>1269</v>
      </c>
      <c r="D335" s="95" t="s">
        <v>1214</v>
      </c>
      <c r="E335" s="95" t="s">
        <v>1215</v>
      </c>
      <c r="F335" s="95" t="s">
        <v>1216</v>
      </c>
    </row>
    <row r="336" spans="1:6" x14ac:dyDescent="0.2">
      <c r="A336" s="95" t="s">
        <v>1199</v>
      </c>
      <c r="B336" s="95" t="s">
        <v>1200</v>
      </c>
      <c r="C336" s="95" t="s">
        <v>1201</v>
      </c>
      <c r="D336" s="95" t="s">
        <v>1088</v>
      </c>
      <c r="E336" s="95" t="s">
        <v>1089</v>
      </c>
      <c r="F336" s="95" t="s">
        <v>1090</v>
      </c>
    </row>
    <row r="337" spans="1:6" x14ac:dyDescent="0.2">
      <c r="A337" s="95" t="s">
        <v>1492</v>
      </c>
      <c r="B337" s="95" t="s">
        <v>1493</v>
      </c>
      <c r="C337" s="95" t="s">
        <v>1494</v>
      </c>
      <c r="D337" s="95" t="s">
        <v>1384</v>
      </c>
      <c r="E337" s="95" t="s">
        <v>1385</v>
      </c>
      <c r="F337" s="95" t="s">
        <v>1386</v>
      </c>
    </row>
    <row r="338" spans="1:6" x14ac:dyDescent="0.2">
      <c r="A338" s="95" t="s">
        <v>1495</v>
      </c>
      <c r="B338" s="95" t="s">
        <v>1496</v>
      </c>
      <c r="C338" s="95" t="s">
        <v>1497</v>
      </c>
      <c r="D338" s="95" t="s">
        <v>1384</v>
      </c>
      <c r="E338" s="95" t="s">
        <v>1385</v>
      </c>
      <c r="F338" s="95" t="s">
        <v>1386</v>
      </c>
    </row>
    <row r="339" spans="1:6" x14ac:dyDescent="0.2">
      <c r="A339" s="95" t="s">
        <v>1897</v>
      </c>
      <c r="B339" s="95" t="s">
        <v>1898</v>
      </c>
      <c r="C339" s="95" t="s">
        <v>1899</v>
      </c>
      <c r="D339" s="95" t="s">
        <v>1384</v>
      </c>
      <c r="E339" s="95" t="s">
        <v>1385</v>
      </c>
      <c r="F339" s="95" t="s">
        <v>1386</v>
      </c>
    </row>
    <row r="340" spans="1:6" x14ac:dyDescent="0.2">
      <c r="A340" s="95" t="s">
        <v>1663</v>
      </c>
      <c r="B340" s="95" t="s">
        <v>1664</v>
      </c>
      <c r="C340" s="95" t="s">
        <v>1665</v>
      </c>
      <c r="D340" s="95" t="s">
        <v>1546</v>
      </c>
      <c r="E340" s="95" t="s">
        <v>1547</v>
      </c>
      <c r="F340" s="95" t="s">
        <v>1548</v>
      </c>
    </row>
    <row r="341" spans="1:6" x14ac:dyDescent="0.2">
      <c r="A341" s="95" t="s">
        <v>1202</v>
      </c>
      <c r="B341" s="95" t="s">
        <v>1203</v>
      </c>
      <c r="C341" s="95" t="s">
        <v>1204</v>
      </c>
      <c r="D341" s="95" t="s">
        <v>1088</v>
      </c>
      <c r="E341" s="95" t="s">
        <v>1089</v>
      </c>
      <c r="F341" s="95" t="s">
        <v>1090</v>
      </c>
    </row>
    <row r="342" spans="1:6" x14ac:dyDescent="0.2">
      <c r="A342" s="95" t="s">
        <v>1906</v>
      </c>
      <c r="B342" s="95" t="s">
        <v>1907</v>
      </c>
      <c r="C342" s="95" t="s">
        <v>1908</v>
      </c>
      <c r="D342" s="95" t="s">
        <v>1025</v>
      </c>
      <c r="E342" s="95" t="s">
        <v>1026</v>
      </c>
      <c r="F342" s="95" t="s">
        <v>1027</v>
      </c>
    </row>
    <row r="343" spans="1:6" x14ac:dyDescent="0.2">
      <c r="A343" s="95" t="s">
        <v>1498</v>
      </c>
      <c r="B343" s="95" t="s">
        <v>1499</v>
      </c>
      <c r="C343" s="95" t="s">
        <v>1500</v>
      </c>
      <c r="D343" s="95" t="s">
        <v>1384</v>
      </c>
      <c r="E343" s="95" t="s">
        <v>1385</v>
      </c>
      <c r="F343" s="95" t="s">
        <v>1386</v>
      </c>
    </row>
    <row r="344" spans="1:6" x14ac:dyDescent="0.2">
      <c r="A344" s="95" t="s">
        <v>1082</v>
      </c>
      <c r="B344" s="95" t="s">
        <v>1083</v>
      </c>
      <c r="C344" s="95" t="s">
        <v>1084</v>
      </c>
      <c r="D344" s="95" t="s">
        <v>1025</v>
      </c>
      <c r="E344" s="95" t="s">
        <v>1026</v>
      </c>
      <c r="F344" s="95" t="s">
        <v>1027</v>
      </c>
    </row>
  </sheetData>
  <sortState xmlns:xlrd2="http://schemas.microsoft.com/office/spreadsheetml/2017/richdata2"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Niels Langeveld - Terrascan</dc:creator>
  <cp:lastModifiedBy>Niels Langeveld - Terrascan</cp:lastModifiedBy>
  <cp:lastPrinted>2024-02-14T09:56:22Z</cp:lastPrinted>
  <dcterms:created xsi:type="dcterms:W3CDTF">2008-05-15T11:56:05Z</dcterms:created>
  <dcterms:modified xsi:type="dcterms:W3CDTF">2025-07-03T09:03:03Z</dcterms:modified>
</cp:coreProperties>
</file>